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6755" windowHeight="7635" tabRatio="924" activeTab="17"/>
  </bookViews>
  <sheets>
    <sheet name="R K DCF" sheetId="75" r:id="rId1"/>
    <sheet name="Valuation Summary" sheetId="4" state="hidden" r:id="rId2"/>
    <sheet name="DCF" sheetId="13" state="hidden" r:id="rId3"/>
    <sheet name="PL " sheetId="10" r:id="rId4"/>
    <sheet name="BS " sheetId="11" r:id="rId5"/>
    <sheet name="Valuation_NAV" sheetId="5" state="hidden" r:id="rId6"/>
    <sheet name="Valuation_CCM" sheetId="6" state="hidden" r:id="rId7"/>
    <sheet name="Company Beta" sheetId="20" state="hidden" r:id="rId8"/>
    <sheet name="CCM Inputs" sheetId="9" state="hidden" r:id="rId9"/>
    <sheet name="Beta" sheetId="23" state="hidden" r:id="rId10"/>
    <sheet name="Tax and net debt" sheetId="21" state="hidden" r:id="rId11"/>
    <sheet name="Summary " sheetId="41" r:id="rId12"/>
    <sheet name="DSCR" sheetId="42" state="hidden" r:id="rId13"/>
    <sheet name="BS" sheetId="43" state="hidden" r:id="rId14"/>
    <sheet name="Monthly BS" sheetId="44" state="hidden" r:id="rId15"/>
    <sheet name="Monthly PL" sheetId="45" r:id="rId16"/>
    <sheet name="Capex Plan" sheetId="74" r:id="rId17"/>
    <sheet name="PL" sheetId="46" r:id="rId18"/>
    <sheet name="CF Capex" sheetId="47" state="hidden" r:id="rId19"/>
    <sheet name="CF" sheetId="48" state="hidden" r:id="rId20"/>
    <sheet name="Monthly CF" sheetId="49" state="hidden" r:id="rId21"/>
    <sheet name="IRR" sheetId="50" state="hidden" r:id="rId22"/>
    <sheet name="Debt (2)" sheetId="51" state="hidden" r:id="rId23"/>
    <sheet name="Water Revenue" sheetId="52" r:id="rId24"/>
    <sheet name="NOR Revenue" sheetId="53" r:id="rId25"/>
    <sheet name="O&amp;M" sheetId="54" r:id="rId26"/>
    <sheet name="Expenses" sheetId="55" r:id="rId27"/>
    <sheet name="IT" sheetId="56" state="hidden" r:id="rId28"/>
    <sheet name="F&amp;A" sheetId="57" state="hidden" r:id="rId29"/>
    <sheet name="G&amp;A" sheetId="58" state="hidden" r:id="rId30"/>
    <sheet name="List" sheetId="59" state="hidden" r:id="rId31"/>
    <sheet name="Work Schedule" sheetId="60" state="hidden" r:id="rId32"/>
    <sheet name="Work CF" sheetId="61" state="hidden" r:id="rId33"/>
    <sheet name="CF Working" sheetId="62" state="hidden" r:id="rId34"/>
    <sheet name="Works Working" sheetId="63" state="hidden" r:id="rId35"/>
    <sheet name="Automation" sheetId="64" state="hidden" r:id="rId36"/>
    <sheet name="Existing UGRs" sheetId="65" state="hidden" r:id="rId37"/>
    <sheet name="New UGRs" sheetId="66" state="hidden" r:id="rId38"/>
    <sheet name="WTP" sheetId="67" state="hidden" r:id="rId39"/>
    <sheet name="Supply Revenue" sheetId="68" state="hidden" r:id="rId40"/>
    <sheet name="Supply Cost" sheetId="69" state="hidden" r:id="rId41"/>
    <sheet name="Execulation Revenue" sheetId="70" state="hidden" r:id="rId42"/>
    <sheet name="Execution Cost" sheetId="71" state="hidden" r:id="rId43"/>
    <sheet name="R&amp;P" sheetId="72" state="hidden" r:id="rId44"/>
    <sheet name="Work" sheetId="73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</externalReferences>
  <definedNames>
    <definedName name="\" hidden="1">{#N/A,#N/A,FALSE,"MODULE3"}</definedName>
    <definedName name="\0">[1]Sheet1!#REF!</definedName>
    <definedName name="\1">#REF!</definedName>
    <definedName name="\10">#REF!</definedName>
    <definedName name="\13">#REF!</definedName>
    <definedName name="\16">#REF!</definedName>
    <definedName name="\2">#REF!</definedName>
    <definedName name="\3">#REF!</definedName>
    <definedName name="\3N">#REF!</definedName>
    <definedName name="\3N1">#REF!</definedName>
    <definedName name="\4">#REF!</definedName>
    <definedName name="\6">#REF!</definedName>
    <definedName name="\7">#REF!</definedName>
    <definedName name="\a">#REF!</definedName>
    <definedName name="\B" localSheetId="8">#REF!</definedName>
    <definedName name="\B">#REF!</definedName>
    <definedName name="\C" localSheetId="8">#REF!</definedName>
    <definedName name="\C">#REF!</definedName>
    <definedName name="\E">#REF!</definedName>
    <definedName name="\F">#REF!</definedName>
    <definedName name="\H">'[2]#REF'!#REF!</definedName>
    <definedName name="\i">'[3]Fin. Proj.'!#REF!</definedName>
    <definedName name="\INT">#REF!</definedName>
    <definedName name="\IRR">#REF!</definedName>
    <definedName name="\K">#REF!</definedName>
    <definedName name="\L">#REF!</definedName>
    <definedName name="\m">#REF!</definedName>
    <definedName name="\new">[4]RUPEE!$B$1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_" localSheetId="19" hidden="1">[5]DESBASTE!#REF!</definedName>
    <definedName name="_" localSheetId="12" hidden="1">[5]DESBASTE!#REF!</definedName>
    <definedName name="_" localSheetId="36" hidden="1">[5]DESBASTE!#REF!</definedName>
    <definedName name="_" localSheetId="28" hidden="1">[5]DESBASTE!#REF!</definedName>
    <definedName name="_" localSheetId="29" hidden="1">[5]DESBASTE!#REF!</definedName>
    <definedName name="_" localSheetId="27" hidden="1">[5]DESBASTE!#REF!</definedName>
    <definedName name="_" localSheetId="14" hidden="1">[5]DESBASTE!#REF!</definedName>
    <definedName name="_" localSheetId="20" hidden="1">[5]DESBASTE!#REF!</definedName>
    <definedName name="_" localSheetId="15" hidden="1">[5]DESBASTE!#REF!</definedName>
    <definedName name="_" localSheetId="37" hidden="1">[5]DESBASTE!#REF!</definedName>
    <definedName name="_" localSheetId="24" hidden="1">[5]DESBASTE!#REF!</definedName>
    <definedName name="_" localSheetId="25" hidden="1">[5]DESBASTE!#REF!</definedName>
    <definedName name="_" localSheetId="17" hidden="1">[5]DESBASTE!#REF!</definedName>
    <definedName name="_" localSheetId="11" hidden="1">[5]DESBASTE!#REF!</definedName>
    <definedName name="_" localSheetId="23" hidden="1">[5]DESBASTE!#REF!</definedName>
    <definedName name="_" localSheetId="32" hidden="1">[5]DESBASTE!#REF!</definedName>
    <definedName name="_" localSheetId="38" hidden="1">[5]DESBASTE!#REF!</definedName>
    <definedName name="_">#N/A</definedName>
    <definedName name="__" localSheetId="19" hidden="1">[5]DESBASTE!#REF!</definedName>
    <definedName name="__" localSheetId="36" hidden="1">[5]DESBASTE!#REF!</definedName>
    <definedName name="__" localSheetId="28" hidden="1">[5]DESBASTE!#REF!</definedName>
    <definedName name="__" localSheetId="29" hidden="1">[5]DESBASTE!#REF!</definedName>
    <definedName name="__" localSheetId="27" hidden="1">[5]DESBASTE!#REF!</definedName>
    <definedName name="__" localSheetId="14" hidden="1">[5]DESBASTE!#REF!</definedName>
    <definedName name="__" localSheetId="20" hidden="1">[5]DESBASTE!#REF!</definedName>
    <definedName name="__" localSheetId="15" hidden="1">[5]DESBASTE!#REF!</definedName>
    <definedName name="__" localSheetId="37" hidden="1">[5]DESBASTE!#REF!</definedName>
    <definedName name="__" localSheetId="24" hidden="1">[5]DESBASTE!#REF!</definedName>
    <definedName name="__" localSheetId="25" hidden="1">[5]DESBASTE!#REF!</definedName>
    <definedName name="__" localSheetId="17" hidden="1">[5]DESBASTE!#REF!</definedName>
    <definedName name="__" localSheetId="11" hidden="1">[5]DESBASTE!#REF!</definedName>
    <definedName name="__" localSheetId="23" hidden="1">[5]DESBASTE!#REF!</definedName>
    <definedName name="__" localSheetId="32" hidden="1">[5]DESBASTE!#REF!</definedName>
    <definedName name="__" localSheetId="38" hidden="1">[5]DESBASTE!#REF!</definedName>
    <definedName name="__" hidden="1">[5]DESBASTE!#REF!</definedName>
    <definedName name="_________________________DAT1">[6]ND!#REF!</definedName>
    <definedName name="_________________________DAT2">[6]ND!#REF!</definedName>
    <definedName name="_________________________DAT3">[6]ND!#REF!</definedName>
    <definedName name="_________________________DAT4">#REF!</definedName>
    <definedName name="_________________________DAT99">[6]ND!#REF!</definedName>
    <definedName name="________________________DAT3">#REF!</definedName>
    <definedName name="________________________DAT4">#REF!</definedName>
    <definedName name="_______________________DAT3">#REF!</definedName>
    <definedName name="_______________________DAT4">#REF!</definedName>
    <definedName name="______________________DAT3">#REF!</definedName>
    <definedName name="______________________DAT4">#REF!</definedName>
    <definedName name="_____________________DAT3">#REF!</definedName>
    <definedName name="_____________________DAT4">#REF!</definedName>
    <definedName name="____________________DAT3">#REF!</definedName>
    <definedName name="____________________DAT4">#REF!</definedName>
    <definedName name="___________________DAT3">#REF!</definedName>
    <definedName name="___________________DAT4">#REF!</definedName>
    <definedName name="__________________DAT3">#REF!</definedName>
    <definedName name="_________________DAT4">#REF!</definedName>
    <definedName name="________________DAT3">#REF!</definedName>
    <definedName name="________________DAT4">#REF!</definedName>
    <definedName name="_______________DAT3">#REF!</definedName>
    <definedName name="_______________DAT4">#REF!</definedName>
    <definedName name="______________DAT3">#REF!</definedName>
    <definedName name="______________DAT4">#REF!</definedName>
    <definedName name="_____________DAT3">#REF!</definedName>
    <definedName name="_____________DAT4">#REF!</definedName>
    <definedName name="____________DAT3">#REF!</definedName>
    <definedName name="____________DAT4">#REF!</definedName>
    <definedName name="___________DAT3">#REF!</definedName>
    <definedName name="___________DAT4">#REF!</definedName>
    <definedName name="__________DAT3">#REF!</definedName>
    <definedName name="__________DAT4">#REF!</definedName>
    <definedName name="_________axe1" localSheetId="41">#REF!</definedName>
    <definedName name="_________axe1" localSheetId="42">#REF!</definedName>
    <definedName name="_________axe1">#REF!</definedName>
    <definedName name="_________axe2" localSheetId="41">#REF!</definedName>
    <definedName name="_________axe2" localSheetId="42">#REF!</definedName>
    <definedName name="_________axe2">#REF!</definedName>
    <definedName name="_________axe3" localSheetId="41">#REF!</definedName>
    <definedName name="_________axe3" localSheetId="42">#REF!</definedName>
    <definedName name="_________axe3">#REF!</definedName>
    <definedName name="_________CED12" localSheetId="41">#REF!</definedName>
    <definedName name="_________CED12" localSheetId="42">#REF!</definedName>
    <definedName name="_________CED12">#REF!</definedName>
    <definedName name="_________DAT3">#REF!</definedName>
    <definedName name="_________DAT4">#REF!</definedName>
    <definedName name="_________PAO05" localSheetId="41">#REF!</definedName>
    <definedName name="_________PAO05" localSheetId="42">#REF!</definedName>
    <definedName name="_________PAO05">#REF!</definedName>
    <definedName name="_________PAO06" localSheetId="41">#REF!</definedName>
    <definedName name="_________PAO06" localSheetId="42">#REF!</definedName>
    <definedName name="_________PAO06">#REF!</definedName>
    <definedName name="_________RRD12" localSheetId="41">#REF!</definedName>
    <definedName name="_________RRD12" localSheetId="42">#REF!</definedName>
    <definedName name="_________RRD12">#REF!</definedName>
    <definedName name="________cap1">#REF!</definedName>
    <definedName name="________cap2">#REF!</definedName>
    <definedName name="________cap44">#REF!</definedName>
    <definedName name="________DAT3">#REF!</definedName>
    <definedName name="________DAT4">#REF!</definedName>
    <definedName name="________js17">#REF!</definedName>
    <definedName name="________oc1">#REF!</definedName>
    <definedName name="________oc2">#REF!</definedName>
    <definedName name="________pc1">#REF!</definedName>
    <definedName name="________pc2">#REF!</definedName>
    <definedName name="________sp1">#REF!</definedName>
    <definedName name="________sp2">#REF!</definedName>
    <definedName name="________usd1">#REF!</definedName>
    <definedName name="_______cap1">#REF!</definedName>
    <definedName name="_______cap2">#REF!</definedName>
    <definedName name="_______cap44">#REF!</definedName>
    <definedName name="_______DAT14" localSheetId="41">#REF!</definedName>
    <definedName name="_______DAT14" localSheetId="42">#REF!</definedName>
    <definedName name="_______DAT14">#REF!</definedName>
    <definedName name="_______DAT3">#REF!</definedName>
    <definedName name="_______DAT4">#REF!</definedName>
    <definedName name="_______dec07">[7]param!$AH$6:$AH$17</definedName>
    <definedName name="_______js17">#REF!</definedName>
    <definedName name="_______oc1">#REF!</definedName>
    <definedName name="_______oc2">#REF!</definedName>
    <definedName name="_______pc1">#REF!</definedName>
    <definedName name="_______pc2">#REF!</definedName>
    <definedName name="_______sp1">#REF!</definedName>
    <definedName name="_______sp2">#REF!</definedName>
    <definedName name="_______usd1">#REF!</definedName>
    <definedName name="______cap1">#REF!</definedName>
    <definedName name="______cap2">#REF!</definedName>
    <definedName name="______cap44">#REF!</definedName>
    <definedName name="______DAT14" localSheetId="41">#REF!</definedName>
    <definedName name="______DAT14" localSheetId="42">#REF!</definedName>
    <definedName name="______DAT14">#REF!</definedName>
    <definedName name="______DAT3">#REF!</definedName>
    <definedName name="______DAT4">#REF!</definedName>
    <definedName name="______dec07">[7]param!$AH$6:$AH$17</definedName>
    <definedName name="______js17">#REF!</definedName>
    <definedName name="______oc1">#REF!</definedName>
    <definedName name="______oc2">#REF!</definedName>
    <definedName name="______pc1">#REF!</definedName>
    <definedName name="______pc2">#REF!</definedName>
    <definedName name="______sp1">#REF!</definedName>
    <definedName name="______sp2">#REF!</definedName>
    <definedName name="______usd1">#REF!</definedName>
    <definedName name="______VE1" localSheetId="41">#REF!</definedName>
    <definedName name="______VE1" localSheetId="42">#REF!</definedName>
    <definedName name="______VE1">#REF!</definedName>
    <definedName name="______VE2" localSheetId="41">#REF!</definedName>
    <definedName name="______VE2" localSheetId="42">#REF!</definedName>
    <definedName name="______VE2">#REF!</definedName>
    <definedName name="______VR1" localSheetId="41">#REF!</definedName>
    <definedName name="______VR1" localSheetId="42">#REF!</definedName>
    <definedName name="______VR1">#REF!</definedName>
    <definedName name="______VR2" localSheetId="41">#REF!</definedName>
    <definedName name="______VR2" localSheetId="42">#REF!</definedName>
    <definedName name="______VR2">#REF!</definedName>
    <definedName name="______VR3" localSheetId="41">#REF!</definedName>
    <definedName name="______VR3" localSheetId="42">#REF!</definedName>
    <definedName name="______VR3">#REF!</definedName>
    <definedName name="______VR4" localSheetId="41">#REF!</definedName>
    <definedName name="______VR4" localSheetId="42">#REF!</definedName>
    <definedName name="______VR4">#REF!</definedName>
    <definedName name="______VR5" localSheetId="41">#REF!</definedName>
    <definedName name="______VR5" localSheetId="42">#REF!</definedName>
    <definedName name="______VR5">#REF!</definedName>
    <definedName name="______VS1" localSheetId="41">#REF!</definedName>
    <definedName name="______VS1" localSheetId="42">#REF!</definedName>
    <definedName name="______VS1">#REF!</definedName>
    <definedName name="______VS2" localSheetId="41">#REF!</definedName>
    <definedName name="______VS2" localSheetId="42">#REF!</definedName>
    <definedName name="______VS2">#REF!</definedName>
    <definedName name="______VS3" localSheetId="41">#REF!</definedName>
    <definedName name="______VS3" localSheetId="42">#REF!</definedName>
    <definedName name="______VS3">#REF!</definedName>
    <definedName name="______VS4" localSheetId="41">#REF!</definedName>
    <definedName name="______VS4" localSheetId="42">#REF!</definedName>
    <definedName name="______VS4">#REF!</definedName>
    <definedName name="_____cap1">#REF!</definedName>
    <definedName name="_____cap2">#REF!</definedName>
    <definedName name="_____cap44">#REF!</definedName>
    <definedName name="_____DAT14" localSheetId="41">#REF!</definedName>
    <definedName name="_____DAT14" localSheetId="42">#REF!</definedName>
    <definedName name="_____DAT14">#REF!</definedName>
    <definedName name="_____DAT18" localSheetId="41">#REF!</definedName>
    <definedName name="_____DAT18" localSheetId="42">#REF!</definedName>
    <definedName name="_____DAT18">#REF!</definedName>
    <definedName name="_____DAT3">#REF!</definedName>
    <definedName name="_____DAT4">#REF!</definedName>
    <definedName name="_____dec07">[7]param!$AH$6:$AH$17</definedName>
    <definedName name="_____js17">#REF!</definedName>
    <definedName name="_____oc1">#REF!</definedName>
    <definedName name="_____oc2">#REF!</definedName>
    <definedName name="_____pc1">#REF!</definedName>
    <definedName name="_____pc2">#REF!</definedName>
    <definedName name="_____sp1">#REF!</definedName>
    <definedName name="_____sp2">#REF!</definedName>
    <definedName name="_____usd1">#REF!</definedName>
    <definedName name="____cap1">#REF!</definedName>
    <definedName name="____cap2">#REF!</definedName>
    <definedName name="____cap44">#REF!</definedName>
    <definedName name="____DAT1" localSheetId="41">#REF!</definedName>
    <definedName name="____DAT1" localSheetId="42">#REF!</definedName>
    <definedName name="____DAT1">#REF!</definedName>
    <definedName name="____DAT10" localSheetId="41">#REF!</definedName>
    <definedName name="____DAT10" localSheetId="42">#REF!</definedName>
    <definedName name="____DAT10">#REF!</definedName>
    <definedName name="____DAT11" localSheetId="41">#REF!</definedName>
    <definedName name="____DAT11" localSheetId="42">#REF!</definedName>
    <definedName name="____DAT11">#REF!</definedName>
    <definedName name="____DAT12" localSheetId="41">#REF!</definedName>
    <definedName name="____DAT12" localSheetId="42">#REF!</definedName>
    <definedName name="____DAT12">#REF!</definedName>
    <definedName name="____DAT13" localSheetId="41">#REF!</definedName>
    <definedName name="____DAT13" localSheetId="42">#REF!</definedName>
    <definedName name="____DAT13">#REF!</definedName>
    <definedName name="____DAT14" localSheetId="41">#REF!</definedName>
    <definedName name="____DAT14" localSheetId="42">#REF!</definedName>
    <definedName name="____DAT14">#REF!</definedName>
    <definedName name="____DAT15" localSheetId="41">#REF!</definedName>
    <definedName name="____DAT15" localSheetId="42">#REF!</definedName>
    <definedName name="____DAT15">#REF!</definedName>
    <definedName name="____DAT16" localSheetId="41">#REF!</definedName>
    <definedName name="____DAT16" localSheetId="42">#REF!</definedName>
    <definedName name="____DAT16">#REF!</definedName>
    <definedName name="____DAT18" localSheetId="41">#REF!</definedName>
    <definedName name="____DAT18" localSheetId="42">#REF!</definedName>
    <definedName name="____DAT18">#REF!</definedName>
    <definedName name="____DAT2" localSheetId="41">#REF!</definedName>
    <definedName name="____DAT2" localSheetId="42">#REF!</definedName>
    <definedName name="____DAT2">#REF!</definedName>
    <definedName name="____DAT3" localSheetId="41">#REF!</definedName>
    <definedName name="____DAT3" localSheetId="42">#REF!</definedName>
    <definedName name="____DAT3">#REF!</definedName>
    <definedName name="____DAT4" localSheetId="41">#REF!</definedName>
    <definedName name="____DAT4" localSheetId="42">#REF!</definedName>
    <definedName name="____DAT4">#REF!</definedName>
    <definedName name="____DAT5" localSheetId="41">#REF!</definedName>
    <definedName name="____DAT5" localSheetId="42">#REF!</definedName>
    <definedName name="____DAT5">#REF!</definedName>
    <definedName name="____DAT6" localSheetId="41">#REF!</definedName>
    <definedName name="____DAT6" localSheetId="42">#REF!</definedName>
    <definedName name="____DAT6">#REF!</definedName>
    <definedName name="____DAT7" localSheetId="41">#REF!</definedName>
    <definedName name="____DAT7" localSheetId="42">#REF!</definedName>
    <definedName name="____DAT7">#REF!</definedName>
    <definedName name="____DAT8" localSheetId="41">#REF!</definedName>
    <definedName name="____DAT8" localSheetId="42">#REF!</definedName>
    <definedName name="____DAT8">#REF!</definedName>
    <definedName name="____DAT9" localSheetId="41">#REF!</definedName>
    <definedName name="____DAT9" localSheetId="42">#REF!</definedName>
    <definedName name="____DAT9">#REF!</definedName>
    <definedName name="____dec07">[7]param!$AH$6:$AH$17</definedName>
    <definedName name="____js17">#REF!</definedName>
    <definedName name="____oc1">#REF!</definedName>
    <definedName name="____oc2">#REF!</definedName>
    <definedName name="____pc1">#REF!</definedName>
    <definedName name="____pc2">#REF!</definedName>
    <definedName name="____sp1">#REF!</definedName>
    <definedName name="____sp2">#REF!</definedName>
    <definedName name="____usd1">#REF!</definedName>
    <definedName name="___aaa1" hidden="1">{#N/A,#N/A,FALSE,"Model";#N/A,#N/A,FALSE,"Division"}</definedName>
    <definedName name="___bpf1">#N/A</definedName>
    <definedName name="___bpf2">#N/A</definedName>
    <definedName name="___c" hidden="1">{#N/A,#N/A,FALSE,"Layout Cash Flow"}</definedName>
    <definedName name="___cap1">#REF!</definedName>
    <definedName name="___cap2">#REF!</definedName>
    <definedName name="___cap44">#REF!</definedName>
    <definedName name="___DAT1" localSheetId="41">#REF!</definedName>
    <definedName name="___DAT1" localSheetId="42">#REF!</definedName>
    <definedName name="___DAT1">#REF!</definedName>
    <definedName name="___DAT10" localSheetId="41">#REF!</definedName>
    <definedName name="___DAT10" localSheetId="42">#REF!</definedName>
    <definedName name="___DAT10">#REF!</definedName>
    <definedName name="___DAT11" localSheetId="41">#REF!</definedName>
    <definedName name="___DAT11" localSheetId="42">#REF!</definedName>
    <definedName name="___DAT11">#REF!</definedName>
    <definedName name="___DAT12" localSheetId="41">#REF!</definedName>
    <definedName name="___DAT12" localSheetId="42">#REF!</definedName>
    <definedName name="___DAT12">#REF!</definedName>
    <definedName name="___DAT13" localSheetId="41">#REF!</definedName>
    <definedName name="___DAT13" localSheetId="42">#REF!</definedName>
    <definedName name="___DAT13">#REF!</definedName>
    <definedName name="___DAT14" localSheetId="41">#REF!</definedName>
    <definedName name="___DAT14" localSheetId="42">#REF!</definedName>
    <definedName name="___DAT14">#REF!</definedName>
    <definedName name="___DAT15" localSheetId="41">#REF!</definedName>
    <definedName name="___DAT15" localSheetId="42">#REF!</definedName>
    <definedName name="___DAT15">#REF!</definedName>
    <definedName name="___DAT16" localSheetId="41">#REF!</definedName>
    <definedName name="___DAT16" localSheetId="42">#REF!</definedName>
    <definedName name="___DAT16">#REF!</definedName>
    <definedName name="___DAT18" localSheetId="41">#REF!</definedName>
    <definedName name="___DAT18" localSheetId="42">#REF!</definedName>
    <definedName name="___DAT18">#REF!</definedName>
    <definedName name="___DAT2" localSheetId="41">#REF!</definedName>
    <definedName name="___DAT2" localSheetId="42">#REF!</definedName>
    <definedName name="___DAT2">#REF!</definedName>
    <definedName name="___DAT3" localSheetId="41">#REF!</definedName>
    <definedName name="___DAT3" localSheetId="42">#REF!</definedName>
    <definedName name="___DAT3">#REF!</definedName>
    <definedName name="___DAT4" localSheetId="41">#REF!</definedName>
    <definedName name="___DAT4" localSheetId="42">#REF!</definedName>
    <definedName name="___DAT4">#REF!</definedName>
    <definedName name="___DAT5" localSheetId="41">#REF!</definedName>
    <definedName name="___DAT5" localSheetId="42">#REF!</definedName>
    <definedName name="___DAT5">#REF!</definedName>
    <definedName name="___DAT6" localSheetId="41">#REF!</definedName>
    <definedName name="___DAT6" localSheetId="42">#REF!</definedName>
    <definedName name="___DAT6">#REF!</definedName>
    <definedName name="___DAT7" localSheetId="41">#REF!</definedName>
    <definedName name="___DAT7" localSheetId="42">#REF!</definedName>
    <definedName name="___DAT7">#REF!</definedName>
    <definedName name="___DAT8" localSheetId="41">#REF!</definedName>
    <definedName name="___DAT8" localSheetId="42">#REF!</definedName>
    <definedName name="___DAT8">#REF!</definedName>
    <definedName name="___DAT9" localSheetId="41">#REF!</definedName>
    <definedName name="___DAT9" localSheetId="42">#REF!</definedName>
    <definedName name="___DAT9">#REF!</definedName>
    <definedName name="___dec07">[7]param!$AH$6:$AH$17</definedName>
    <definedName name="___fy97" hidden="1">{#N/A,#N/A,FALSE,"FY97";#N/A,#N/A,FALSE,"FY98";#N/A,#N/A,FALSE,"FY99";#N/A,#N/A,FALSE,"FY00";#N/A,#N/A,FALSE,"FY01"}</definedName>
    <definedName name="___INDEX_SHEET___ASAP_Utilities" localSheetId="41">#REF!</definedName>
    <definedName name="___INDEX_SHEET___ASAP_Utilities" localSheetId="42">#REF!</definedName>
    <definedName name="___INDEX_SHEET___ASAP_Utilities">"#REF!"</definedName>
    <definedName name="___js17">#REF!</definedName>
    <definedName name="___oc1">#REF!</definedName>
    <definedName name="___oc2">#REF!</definedName>
    <definedName name="___pc1">#REF!</definedName>
    <definedName name="___pc2">#REF!</definedName>
    <definedName name="___r" hidden="1">{"consolidated",#N/A,FALSE,"Sheet1";"cms",#N/A,FALSE,"Sheet1";"fse",#N/A,FALSE,"Sheet1"}</definedName>
    <definedName name="___sp1">#REF!</definedName>
    <definedName name="___sp2">#REF!</definedName>
    <definedName name="___usd1">#REF!</definedName>
    <definedName name="___VE1" localSheetId="41">#REF!</definedName>
    <definedName name="___VE1" localSheetId="42">#REF!</definedName>
    <definedName name="___VE1">#REF!</definedName>
    <definedName name="___VE2" localSheetId="41">#REF!</definedName>
    <definedName name="___VE2" localSheetId="42">#REF!</definedName>
    <definedName name="___VE2">#REF!</definedName>
    <definedName name="___VR1" localSheetId="41">#REF!</definedName>
    <definedName name="___VR1" localSheetId="42">#REF!</definedName>
    <definedName name="___VR1">#REF!</definedName>
    <definedName name="___VR2" localSheetId="41">#REF!</definedName>
    <definedName name="___VR2" localSheetId="42">#REF!</definedName>
    <definedName name="___VR2">#REF!</definedName>
    <definedName name="___VR3" localSheetId="41">#REF!</definedName>
    <definedName name="___VR3" localSheetId="42">#REF!</definedName>
    <definedName name="___VR3">#REF!</definedName>
    <definedName name="___VR4" localSheetId="41">#REF!</definedName>
    <definedName name="___VR4" localSheetId="42">#REF!</definedName>
    <definedName name="___VR4">#REF!</definedName>
    <definedName name="___VR5" localSheetId="41">#REF!</definedName>
    <definedName name="___VR5" localSheetId="42">#REF!</definedName>
    <definedName name="___VR5">#REF!</definedName>
    <definedName name="___VS1" localSheetId="41">#REF!</definedName>
    <definedName name="___VS1" localSheetId="42">#REF!</definedName>
    <definedName name="___VS1">#REF!</definedName>
    <definedName name="___VS2" localSheetId="41">#REF!</definedName>
    <definedName name="___VS2" localSheetId="42">#REF!</definedName>
    <definedName name="___VS2">#REF!</definedName>
    <definedName name="___VS3" localSheetId="41">#REF!</definedName>
    <definedName name="___VS3" localSheetId="42">#REF!</definedName>
    <definedName name="___VS3">#REF!</definedName>
    <definedName name="___VS4" localSheetId="41">#REF!</definedName>
    <definedName name="___VS4" localSheetId="42">#REF!</definedName>
    <definedName name="___VS4">#REF!</definedName>
    <definedName name="___WC1">#N/A</definedName>
    <definedName name="___wrn1" hidden="1">{#N/A,#N/A,FALSE,"DCF";#N/A,#N/A,FALSE,"WACC";#N/A,#N/A,FALSE,"Sales_EBIT";#N/A,#N/A,FALSE,"Capex_Depreciation";#N/A,#N/A,FALSE,"WC";#N/A,#N/A,FALSE,"Interest";#N/A,#N/A,FALSE,"Assumptions"}</definedName>
    <definedName name="__123Graph_A" localSheetId="19" hidden="1">'[8]BS, PL, Sch 5 to 9'!#REF!</definedName>
    <definedName name="__123Graph_A" localSheetId="12" hidden="1">'[9]BS, PL, Sch 5 to 9'!#REF!</definedName>
    <definedName name="__123Graph_A" localSheetId="36" hidden="1">'[8]BS, PL, Sch 5 to 9'!#REF!</definedName>
    <definedName name="__123Graph_A" localSheetId="28" hidden="1">'[8]BS, PL, Sch 5 to 9'!#REF!</definedName>
    <definedName name="__123Graph_A" localSheetId="27" hidden="1">'[8]BS, PL, Sch 5 to 9'!#REF!</definedName>
    <definedName name="__123Graph_A" localSheetId="14" hidden="1">'[8]BS, PL, Sch 5 to 9'!#REF!</definedName>
    <definedName name="__123Graph_A" localSheetId="20" hidden="1">'[8]BS, PL, Sch 5 to 9'!#REF!</definedName>
    <definedName name="__123Graph_A" localSheetId="15" hidden="1">'[8]BS, PL, Sch 5 to 9'!#REF!</definedName>
    <definedName name="__123Graph_A" localSheetId="37" hidden="1">'[8]BS, PL, Sch 5 to 9'!#REF!</definedName>
    <definedName name="__123Graph_A" localSheetId="24" hidden="1">'[8]BS, PL, Sch 5 to 9'!#REF!</definedName>
    <definedName name="__123Graph_A" localSheetId="17" hidden="1">'[8]BS, PL, Sch 5 to 9'!#REF!</definedName>
    <definedName name="__123Graph_A" localSheetId="11" hidden="1">'[8]BS, PL, Sch 5 to 9'!#REF!</definedName>
    <definedName name="__123Graph_A" localSheetId="23" hidden="1">'[8]BS, PL, Sch 5 to 9'!#REF!</definedName>
    <definedName name="__123Graph_A" localSheetId="32" hidden="1">'[8]BS, PL, Sch 5 to 9'!#REF!</definedName>
    <definedName name="__123Graph_A" localSheetId="38" hidden="1">'[8]BS, PL, Sch 5 to 9'!#REF!</definedName>
    <definedName name="__123Graph_A" hidden="1">#REF!</definedName>
    <definedName name="__123Graph_A___0">#N/A</definedName>
    <definedName name="__123Graph_A___1">#N/A</definedName>
    <definedName name="__123Graph_ACAD" hidden="1">'[10]Earnings model'!#REF!</definedName>
    <definedName name="__123Graph_ACAD1" hidden="1">'[10]Earnings model'!#REF!</definedName>
    <definedName name="__123Graph_ACAD2" hidden="1">'[10]Earnings model'!#REF!</definedName>
    <definedName name="__123Graph_ACHART1" hidden="1">#REF!</definedName>
    <definedName name="__123Graph_ACHART2" hidden="1">#REF!</definedName>
    <definedName name="__123Graph_ACOL" hidden="1">'[11]Earnings model'!#REF!</definedName>
    <definedName name="__123Graph_ACOL2" hidden="1">'[11]Earnings model'!#REF!</definedName>
    <definedName name="__123Graph_ACOL3" hidden="1">'[11]Earnings model'!#REF!</definedName>
    <definedName name="__123Graph_ACURRENT" hidden="1">#REF!</definedName>
    <definedName name="__123Graph_AGraph4" hidden="1">'[12]01.11.2004'!#REF!</definedName>
    <definedName name="__123Graph_APUBMKT">#REF!</definedName>
    <definedName name="__123Graph_APVTMKT">#REF!</definedName>
    <definedName name="__123Graph_ATOTMKT">#REF!</definedName>
    <definedName name="__123Graph_B" localSheetId="19" hidden="1">'[8]BS, PL, Sch 5 to 9'!#REF!</definedName>
    <definedName name="__123Graph_B" localSheetId="12" hidden="1">'[9]BS, PL, Sch 5 to 9'!#REF!</definedName>
    <definedName name="__123Graph_B" localSheetId="36" hidden="1">'[8]BS, PL, Sch 5 to 9'!#REF!</definedName>
    <definedName name="__123Graph_B" localSheetId="28" hidden="1">'[8]BS, PL, Sch 5 to 9'!#REF!</definedName>
    <definedName name="__123Graph_B" localSheetId="27" hidden="1">'[8]BS, PL, Sch 5 to 9'!#REF!</definedName>
    <definedName name="__123Graph_B" localSheetId="14" hidden="1">'[8]BS, PL, Sch 5 to 9'!#REF!</definedName>
    <definedName name="__123Graph_B" localSheetId="20" hidden="1">'[8]BS, PL, Sch 5 to 9'!#REF!</definedName>
    <definedName name="__123Graph_B" localSheetId="15" hidden="1">'[8]BS, PL, Sch 5 to 9'!#REF!</definedName>
    <definedName name="__123Graph_B" localSheetId="37" hidden="1">'[8]BS, PL, Sch 5 to 9'!#REF!</definedName>
    <definedName name="__123Graph_B" localSheetId="24" hidden="1">'[8]BS, PL, Sch 5 to 9'!#REF!</definedName>
    <definedName name="__123Graph_B" localSheetId="17" hidden="1">'[8]BS, PL, Sch 5 to 9'!#REF!</definedName>
    <definedName name="__123Graph_B" localSheetId="11" hidden="1">'[8]BS, PL, Sch 5 to 9'!#REF!</definedName>
    <definedName name="__123Graph_B" localSheetId="23" hidden="1">'[8]BS, PL, Sch 5 to 9'!#REF!</definedName>
    <definedName name="__123Graph_B" localSheetId="32" hidden="1">'[8]BS, PL, Sch 5 to 9'!#REF!</definedName>
    <definedName name="__123Graph_B" localSheetId="38" hidden="1">'[8]BS, PL, Sch 5 to 9'!#REF!</definedName>
    <definedName name="__123Graph_B" hidden="1">#REF!</definedName>
    <definedName name="__123Graph_B___0">#N/A</definedName>
    <definedName name="__123Graph_B___1">#N/A</definedName>
    <definedName name="__123Graph_BCAD" hidden="1">'[10]Earnings model'!#REF!</definedName>
    <definedName name="__123Graph_BCAD1" hidden="1">'[10]Earnings model'!#REF!</definedName>
    <definedName name="__123Graph_BCAD2" hidden="1">'[10]Earnings model'!#REF!</definedName>
    <definedName name="__123Graph_BCHART1" hidden="1">#REF!</definedName>
    <definedName name="__123Graph_BCHART2" hidden="1">#REF!</definedName>
    <definedName name="__123Graph_BCOL" hidden="1">'[11]Earnings model'!#REF!</definedName>
    <definedName name="__123Graph_BCOL2" hidden="1">'[11]Earnings model'!#REF!</definedName>
    <definedName name="__123Graph_BCOL3" hidden="1">'[11]Earnings model'!#REF!</definedName>
    <definedName name="__123Graph_BCURRENT" hidden="1">#REF!</definedName>
    <definedName name="__123Graph_BGraph4" hidden="1">'[12]01.11.2004'!#REF!</definedName>
    <definedName name="__123Graph_BPUBMKT">#REF!</definedName>
    <definedName name="__123Graph_BPVTMKT">#REF!</definedName>
    <definedName name="__123Graph_BTOTMKT">#REF!</definedName>
    <definedName name="__123Graph_C" hidden="1">#REF!</definedName>
    <definedName name="__123Graph_C___0">#N/A</definedName>
    <definedName name="__123Graph_C___1">#N/A</definedName>
    <definedName name="__123Graph_CCAD" hidden="1">'[10]Earnings model'!#REF!</definedName>
    <definedName name="__123Graph_CCAD1" hidden="1">'[10]Earnings model'!#REF!</definedName>
    <definedName name="__123Graph_CCAD2" hidden="1">'[10]Earnings model'!#REF!</definedName>
    <definedName name="__123Graph_CCHART1" hidden="1">#REF!</definedName>
    <definedName name="__123Graph_CCHART2" hidden="1">#REF!</definedName>
    <definedName name="__123Graph_CCOL" hidden="1">'[11]Earnings model'!#REF!</definedName>
    <definedName name="__123Graph_CCOL2" hidden="1">'[11]Earnings model'!#REF!</definedName>
    <definedName name="__123Graph_CCOL3" hidden="1">'[11]Earnings model'!#REF!</definedName>
    <definedName name="__123Graph_CCURRENT" hidden="1">#REF!</definedName>
    <definedName name="__123Graph_CGraph4" hidden="1">'[12]01.11.2004'!#REF!</definedName>
    <definedName name="__123Graph_CPUBMKT">#REF!</definedName>
    <definedName name="__123Graph_CPVTMKT">#REF!</definedName>
    <definedName name="__123Graph_CTOTMKT">#REF!</definedName>
    <definedName name="__123Graph_D" hidden="1">#REF!</definedName>
    <definedName name="__123Graph_DCAD" hidden="1">'[10]Earnings model'!#REF!</definedName>
    <definedName name="__123Graph_DCAD1" hidden="1">'[10]Earnings model'!#REF!</definedName>
    <definedName name="__123Graph_DCAD2" hidden="1">'[10]Earnings model'!#REF!</definedName>
    <definedName name="__123Graph_DCHART1" hidden="1">#REF!</definedName>
    <definedName name="__123Graph_DCHART2" hidden="1">#REF!</definedName>
    <definedName name="__123Graph_DCOL" hidden="1">'[11]Earnings model'!#REF!</definedName>
    <definedName name="__123Graph_DCOL2" hidden="1">'[11]Earnings model'!#REF!</definedName>
    <definedName name="__123Graph_DCOL3" hidden="1">'[11]Earnings model'!#REF!</definedName>
    <definedName name="__123Graph_DCURRENT" hidden="1">#REF!</definedName>
    <definedName name="__123Graph_DPUBMKT">#REF!</definedName>
    <definedName name="__123Graph_DPVTMKT">#REF!</definedName>
    <definedName name="__123Graph_E" hidden="1">#REF!</definedName>
    <definedName name="__123Graph_ECAD" hidden="1">'[10]Earnings model'!#REF!</definedName>
    <definedName name="__123Graph_ECAD1" hidden="1">'[10]Earnings model'!#REF!</definedName>
    <definedName name="__123Graph_ECAD2" hidden="1">'[10]Earnings model'!#REF!</definedName>
    <definedName name="__123Graph_ECHART1" hidden="1">#REF!</definedName>
    <definedName name="__123Graph_ECHART2" hidden="1">#REF!</definedName>
    <definedName name="__123Graph_ECOL" hidden="1">'[11]Earnings model'!#REF!</definedName>
    <definedName name="__123Graph_ECOL2" hidden="1">'[11]Earnings model'!#REF!</definedName>
    <definedName name="__123Graph_ECOL3" hidden="1">'[11]Earnings model'!#REF!</definedName>
    <definedName name="__123Graph_ECURRENT" hidden="1">#REF!</definedName>
    <definedName name="__123Graph_EPUBMKT">#REF!</definedName>
    <definedName name="__123Graph_EPVTMKT">#REF!</definedName>
    <definedName name="__123Graph_F" hidden="1">#REF!</definedName>
    <definedName name="__123Graph_FCAD2" hidden="1">'[10]Earnings model'!#REF!</definedName>
    <definedName name="__123Graph_FCHART1" hidden="1">#REF!</definedName>
    <definedName name="__123Graph_FCHART2" hidden="1">#REF!</definedName>
    <definedName name="__123Graph_FCOL3" hidden="1">'[11]Earnings model'!#REF!</definedName>
    <definedName name="__123Graph_FCURRENT" hidden="1">#REF!</definedName>
    <definedName name="__123Graph_FPUBMKT">#REF!</definedName>
    <definedName name="__123Graph_X" hidden="1">#REF!</definedName>
    <definedName name="__123Graph_X___0">#N/A</definedName>
    <definedName name="__123Graph_X___1">#N/A</definedName>
    <definedName name="__123Graph_XCAD" hidden="1">'[10]Earnings model'!#REF!</definedName>
    <definedName name="__123Graph_XCAD1" hidden="1">'[10]Earnings model'!#REF!</definedName>
    <definedName name="__123Graph_XCAD2" hidden="1">'[10]Earnings model'!#REF!</definedName>
    <definedName name="__123Graph_XCHART1" hidden="1">#REF!</definedName>
    <definedName name="__123Graph_XCHART2" hidden="1">#REF!</definedName>
    <definedName name="__123Graph_XCOL" hidden="1">'[11]Earnings model'!#REF!</definedName>
    <definedName name="__123Graph_XCOL2" hidden="1">'[11]Earnings model'!#REF!</definedName>
    <definedName name="__123Graph_XCOL3" hidden="1">'[11]Earnings model'!#REF!</definedName>
    <definedName name="__123Graph_XCURRENT" hidden="1">#REF!</definedName>
    <definedName name="__123Graph_XPUBMKT">#REF!</definedName>
    <definedName name="__123Graph_XPVTMKT">#REF!</definedName>
    <definedName name="__123Graph_XTOTMKT">#REF!</definedName>
    <definedName name="__1Excel_BuiltIn_Print_Area_30_1_1_1">#REF!</definedName>
    <definedName name="__2Excel_BuiltIn_Print_Area_32_1_1_1_1">#REF!</definedName>
    <definedName name="__aaa1" hidden="1">{#N/A,#N/A,FALSE,"Model";#N/A,#N/A,FALSE,"Division"}</definedName>
    <definedName name="__bpf1">#N/A</definedName>
    <definedName name="__bpf2">#N/A</definedName>
    <definedName name="__c" hidden="1">{#N/A,#N/A,FALSE,"Layout Cash Flow"}</definedName>
    <definedName name="__cap1">#REF!</definedName>
    <definedName name="__cap2">#REF!</definedName>
    <definedName name="__cap44">#REF!</definedName>
    <definedName name="__DAT1" localSheetId="41">#REF!</definedName>
    <definedName name="__DAT1" localSheetId="42">#REF!</definedName>
    <definedName name="__DAT1">#REF!</definedName>
    <definedName name="__DAT10" localSheetId="41">#REF!</definedName>
    <definedName name="__DAT10" localSheetId="42">#REF!</definedName>
    <definedName name="__DAT10">#REF!</definedName>
    <definedName name="__DAT11" localSheetId="41">#REF!</definedName>
    <definedName name="__DAT11" localSheetId="42">#REF!</definedName>
    <definedName name="__DAT11">#REF!</definedName>
    <definedName name="__DAT12" localSheetId="41">#REF!</definedName>
    <definedName name="__DAT12" localSheetId="42">#REF!</definedName>
    <definedName name="__DAT12">#REF!</definedName>
    <definedName name="__DAT13" localSheetId="41">#REF!</definedName>
    <definedName name="__DAT13" localSheetId="42">#REF!</definedName>
    <definedName name="__DAT13">#REF!</definedName>
    <definedName name="__DAT14" localSheetId="41">#REF!</definedName>
    <definedName name="__DAT14" localSheetId="42">#REF!</definedName>
    <definedName name="__DAT14">#REF!</definedName>
    <definedName name="__DAT15" localSheetId="41">#REF!</definedName>
    <definedName name="__DAT15" localSheetId="42">#REF!</definedName>
    <definedName name="__DAT15">#REF!</definedName>
    <definedName name="__DAT16" localSheetId="41">#REF!</definedName>
    <definedName name="__DAT16" localSheetId="42">#REF!</definedName>
    <definedName name="__DAT16">#REF!</definedName>
    <definedName name="__DAT18" localSheetId="41">#REF!</definedName>
    <definedName name="__DAT18" localSheetId="42">#REF!</definedName>
    <definedName name="__DAT18">#REF!</definedName>
    <definedName name="__DAT2" localSheetId="41">#REF!</definedName>
    <definedName name="__DAT2" localSheetId="42">#REF!</definedName>
    <definedName name="__DAT2">#REF!</definedName>
    <definedName name="__DAT3" localSheetId="41">#REF!</definedName>
    <definedName name="__DAT3" localSheetId="42">#REF!</definedName>
    <definedName name="__DAT3">#REF!</definedName>
    <definedName name="__DAT4" localSheetId="41">#REF!</definedName>
    <definedName name="__DAT4" localSheetId="42">#REF!</definedName>
    <definedName name="__DAT4">#REF!</definedName>
    <definedName name="__DAT5" localSheetId="41">#REF!</definedName>
    <definedName name="__DAT5" localSheetId="42">#REF!</definedName>
    <definedName name="__DAT5">#REF!</definedName>
    <definedName name="__DAT6" localSheetId="41">#REF!</definedName>
    <definedName name="__DAT6" localSheetId="42">#REF!</definedName>
    <definedName name="__DAT6">#REF!</definedName>
    <definedName name="__DAT7" localSheetId="41">#REF!</definedName>
    <definedName name="__DAT7" localSheetId="42">#REF!</definedName>
    <definedName name="__DAT7">#REF!</definedName>
    <definedName name="__DAT8" localSheetId="41">#REF!</definedName>
    <definedName name="__DAT8" localSheetId="42">#REF!</definedName>
    <definedName name="__DAT8">#REF!</definedName>
    <definedName name="__DAT9" localSheetId="41">#REF!</definedName>
    <definedName name="__DAT9" localSheetId="42">#REF!</definedName>
    <definedName name="__DAT9">#REF!</definedName>
    <definedName name="__Dec02">[13]SalaryData!$AV$11</definedName>
    <definedName name="__Dec03">[13]SalaryData!$BH$11</definedName>
    <definedName name="__FDS_HYPERLINK_TOGGLE_STATE__" hidden="1">"ON"</definedName>
    <definedName name="__FDS_UNIQUE_RANGE_ID_GENERATOR_COUNTER" hidden="1">1</definedName>
    <definedName name="__fy97" hidden="1">{#N/A,#N/A,FALSE,"FY97";#N/A,#N/A,FALSE,"FY98";#N/A,#N/A,FALSE,"FY99";#N/A,#N/A,FALSE,"FY00";#N/A,#N/A,FALSE,"FY01"}</definedName>
    <definedName name="__JAN02">[13]SalaryData!$AK$11</definedName>
    <definedName name="__js17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oc1">#REF!</definedName>
    <definedName name="__oc2">#REF!</definedName>
    <definedName name="__pc1">#REF!</definedName>
    <definedName name="__pc2">#REF!</definedName>
    <definedName name="__r" hidden="1">{"consolidated",#N/A,FALSE,"Sheet1";"cms",#N/A,FALSE,"Sheet1";"fse",#N/A,FALSE,"Sheet1"}</definedName>
    <definedName name="__sp1">#REF!</definedName>
    <definedName name="__sp2">#REF!</definedName>
    <definedName name="_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TL2">'[15]Fin. Proj.'!#REF!</definedName>
    <definedName name="__usd1">#REF!</definedName>
    <definedName name="__WC1">#N/A</definedName>
    <definedName name="__WC2">#N/A</definedName>
    <definedName name="__wrn1" hidden="1">{#N/A,#N/A,FALSE,"DCF";#N/A,#N/A,FALSE,"WACC";#N/A,#N/A,FALSE,"Sales_EBIT";#N/A,#N/A,FALSE,"Capex_Depreciation";#N/A,#N/A,FALSE,"WC";#N/A,#N/A,FALSE,"Interest";#N/A,#N/A,FALSE,"Assumptions"}</definedName>
    <definedName name="__xlnm.Print_Titles_12">#REF!</definedName>
    <definedName name="_0\">#REF!</definedName>
    <definedName name="_1__123Graph_BCHART_5" hidden="1">#REF!</definedName>
    <definedName name="_1__FDSAUDITLINK__" hidden="1">{"fdsup://IBCentral/FAT Viewer?action=UPDATE&amp;creator=factset&amp;DOC_NAME=fat:reuters_annual_source_window.fat&amp;display_string=Audit&amp;DYN_ARGS=TRUE&amp;VAR:ID1=680260&amp;VAR:RCODE=NIBX&amp;VAR:SDATE=20100399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1_C_1">[16]Power_Fuel!#REF!</definedName>
    <definedName name="_1_Daily_Survey">#REF!</definedName>
    <definedName name="_10__123Graph_BCHART_3" hidden="1">#REF!</definedName>
    <definedName name="_11__123Graph_DCHART_1" hidden="1">[17]synthgraph!#REF!</definedName>
    <definedName name="_12__123Graph_LBL_ACHART_1" hidden="1">[17]synthgraph!#REF!</definedName>
    <definedName name="_13__123Graph_LBL_ACHART_3" hidden="1">#REF!</definedName>
    <definedName name="_14__123Graph_LBL_DCHART_1" hidden="1">[17]synthgraph!#REF!</definedName>
    <definedName name="_155___1702">'[18]PE CHARGES'!#REF!</definedName>
    <definedName name="_155___1703">'[18]PE CHARGES'!#REF!</definedName>
    <definedName name="_155___1704">'[18]PE CHARGES'!#REF!</definedName>
    <definedName name="_17_0_0Cwvu.GREY_A" hidden="1">[19]TargIS!#REF!</definedName>
    <definedName name="_19ELECPD">[20]G1!#REF!</definedName>
    <definedName name="_1Excel_BuiltIn_Print_Area_30_1_1_1">#REF!</definedName>
    <definedName name="_1ST_YEAR_DAYS">#REF!</definedName>
    <definedName name="_1STYR_WKG_DAYS">#REF!</definedName>
    <definedName name="_2">#REF!</definedName>
    <definedName name="_2__FDSAUDITLINK__" hidden="1">{"fdsup://IBCentral/FAT Viewer?action=UPDATE&amp;creator=factset&amp;DOC_NAME=fat:reuters_annual_source_window.fat&amp;display_string=Audit&amp;DYN_ARGS=TRUE&amp;VAR:ID1=680260&amp;VAR:RCODE=NIBX&amp;VAR:SDATE=20090399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2_04_TB_monthly">#REF!</definedName>
    <definedName name="_2_WEEKLY_TRAFFIC_SUMMARY">#REF!</definedName>
    <definedName name="_2006_Plan_aktuell" localSheetId="41">#REF!</definedName>
    <definedName name="_2006_Plan_aktuell" localSheetId="42">#REF!</definedName>
    <definedName name="_2006_Plan_aktuell">#REF!</definedName>
    <definedName name="_2211_104">[20]G1!#REF!</definedName>
    <definedName name="_2211_105">[20]G1!#REF!</definedName>
    <definedName name="_2211_106">[20]G1!#REF!</definedName>
    <definedName name="_2211_107">[20]G1!#REF!</definedName>
    <definedName name="_2211_108">[20]G1!#REF!</definedName>
    <definedName name="_2Excel_BuiltIn_Print_Area_32_1_1_1_1">#REF!</definedName>
    <definedName name="_3__FDSAUDITLINK__" hidden="1">{"fdsup://IBCentral/FAT Viewer?action=UPDATE&amp;creator=factset&amp;DOC_NAME=fat:reuters_annual_source_window.fat&amp;display_string=Audit&amp;DYN_ARGS=TRUE&amp;VAR:ID1=680260&amp;VAR:RCODE=NIBX&amp;VAR:SDATE=20080399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3_Zoning_Scheme">#REF!</definedName>
    <definedName name="_3Excel_BuiltIn_Print_Titles_1_1_1_1_1_1_1_1_1_1">#REF!</definedName>
    <definedName name="_4__FDSAUDITLINK__" hidden="1">{"fdsup://IBCentral/FAT Viewer?action=UPDATE&amp;creator=factset&amp;DOC_NAME=fat:reuters_annual_source_window.fat&amp;display_string=Audit&amp;DYN_ARGS=TRUE&amp;VAR:ID1=680260&amp;VAR:RCODE=AEQI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4_O_D_Matrix">#REF!</definedName>
    <definedName name="_5__FDSAUDITLINK__" hidden="1">{"fdsup://IBCentral/FAT Viewer?action=UPDATE&amp;creator=factset&amp;DOC_NAME=fat:reuters_annual_source_window.fat&amp;display_string=Audit&amp;DYN_ARGS=TRUE&amp;VAR:ID1=680260&amp;VAR:RCODE=LMIN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5_Axle_Load_Analysis">#REF!</definedName>
    <definedName name="_6__FDSAUDITLINK__" hidden="1">{"fdsup://IBCentral/FAT Viewer?action=UPDATE&amp;creator=factset&amp;DOC_NAME=fat:reuters_qtrly_source_window.fat&amp;display_string=Audit&amp;DYN_ARGS=TRUE&amp;VAR:ID1=680260&amp;VAR:RCODE=SCSI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6_Projected_Annual_Average_Daily_Traffic_Based_on_Vehicle_Registration">#REF!</definedName>
    <definedName name="_64_Kbps">#REF!</definedName>
    <definedName name="_7__123Graph_ACHART_1" hidden="1">[17]synthgraph!#REF!</definedName>
    <definedName name="_7__FDSAUDITLINK__" hidden="1">{"fdsup://IBCentral/FAT Viewer?action=UPDATE&amp;creator=factset&amp;DOC_NAME=fat:reuters_qtrly_source_window.fat&amp;display_string=Audit&amp;DYN_ARGS=TRUE&amp;VAR:ID1=680260&amp;VAR:RCODE=STLD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8__123Graph_ACHART_3" hidden="1">#REF!</definedName>
    <definedName name="_9__123Graph_BCHART_1" hidden="1">[17]synthgraph!#REF!</definedName>
    <definedName name="_a">#REF!</definedName>
    <definedName name="_aaa1" hidden="1">{#N/A,#N/A,FALSE,"Model";#N/A,#N/A,FALSE,"Division"}</definedName>
    <definedName name="_aoc1">'[21]01'!$F$31</definedName>
    <definedName name="_aoc2">'[21]02'!$F$25</definedName>
    <definedName name="_aoc3">'[21]03'!$F$24</definedName>
    <definedName name="_avg97">#REF!</definedName>
    <definedName name="_axe1" localSheetId="41">#REF!</definedName>
    <definedName name="_axe1" localSheetId="42">#REF!</definedName>
    <definedName name="_axe1">#REF!</definedName>
    <definedName name="_axe2" localSheetId="41">#REF!</definedName>
    <definedName name="_axe2" localSheetId="42">#REF!</definedName>
    <definedName name="_axe2">#REF!</definedName>
    <definedName name="_axe3" localSheetId="41">#REF!</definedName>
    <definedName name="_axe3" localSheetId="42">#REF!</definedName>
    <definedName name="_axe3">#REF!</definedName>
    <definedName name="_B">#REF!</definedName>
    <definedName name="_b1">'[22]Annexure G'!$HC$42</definedName>
    <definedName name="_bdm.91CD4DEC29C049BD929A8110F777B566.edm" hidden="1">#REF!</definedName>
    <definedName name="_bdm.9D576385AB334E0F91FC7FB7CEA21807.edm" hidden="1">#REF!</definedName>
    <definedName name="_bdm.F8A8DCEB4DD84118B520FF6070B6FAA2.edm" hidden="1">#REF!</definedName>
    <definedName name="_bpf1">'[23]COP &amp; MoF'!#REF!</definedName>
    <definedName name="_bpf2">'[23]COP &amp; MoF'!#REF!</definedName>
    <definedName name="_BUD96">#REF!</definedName>
    <definedName name="_BUD97">#REF!</definedName>
    <definedName name="_BUD98">#REF!</definedName>
    <definedName name="_BUD9901">#REF!</definedName>
    <definedName name="_C">'[16]Power&amp;Fuel'!#REF!</definedName>
    <definedName name="_cap1">#REF!</definedName>
    <definedName name="_cap2">#REF!</definedName>
    <definedName name="_cap44">#REF!</definedName>
    <definedName name="_CAP88">#REF!</definedName>
    <definedName name="_ccu1">[24]Interface!$E$22</definedName>
    <definedName name="_CED12" localSheetId="41">#REF!</definedName>
    <definedName name="_CED12" localSheetId="42">#REF!</definedName>
    <definedName name="_CED12">#REF!</definedName>
    <definedName name="_coc1">[24]Interface!$E$20</definedName>
    <definedName name="_csp1">[24]Interface!$E$21</definedName>
    <definedName name="_d999999">[25]TDS!#REF!</definedName>
    <definedName name="_DAT1" localSheetId="41">#REF!</definedName>
    <definedName name="_DAT1" localSheetId="42">#REF!</definedName>
    <definedName name="_DAT1">#REF!</definedName>
    <definedName name="_DAT10" localSheetId="41">#REF!</definedName>
    <definedName name="_DAT10" localSheetId="42">#REF!</definedName>
    <definedName name="_DAT10">[26]Sheet1!#REF!</definedName>
    <definedName name="_DAT11" localSheetId="41">#REF!</definedName>
    <definedName name="_DAT11" localSheetId="42">#REF!</definedName>
    <definedName name="_DAT11">[27]BLDG!#REF!</definedName>
    <definedName name="_DAT12" localSheetId="41">#REF!</definedName>
    <definedName name="_DAT12" localSheetId="42">#REF!</definedName>
    <definedName name="_DAT12">[26]Sheet1!#REF!</definedName>
    <definedName name="_DAT13" localSheetId="41">#REF!</definedName>
    <definedName name="_DAT13" localSheetId="42">#REF!</definedName>
    <definedName name="_DAT13">[26]Sheet1!#REF!</definedName>
    <definedName name="_DAT14" localSheetId="41">#REF!</definedName>
    <definedName name="_DAT14" localSheetId="42">#REF!</definedName>
    <definedName name="_DAT14">[26]Sheet1!#REF!</definedName>
    <definedName name="_DAT15" localSheetId="41">#REF!</definedName>
    <definedName name="_DAT15" localSheetId="42">#REF!</definedName>
    <definedName name="_DAT15">[26]Sheet1!#REF!</definedName>
    <definedName name="_DAT16" localSheetId="41">#REF!</definedName>
    <definedName name="_DAT16" localSheetId="42">#REF!</definedName>
    <definedName name="_DAT16">[26]Sheet1!#REF!</definedName>
    <definedName name="_DAT17">[26]Sheet1!#REF!</definedName>
    <definedName name="_DAT18" localSheetId="41">#REF!</definedName>
    <definedName name="_DAT18" localSheetId="42">#REF!</definedName>
    <definedName name="_DAT18">#REF!</definedName>
    <definedName name="_DAT19">#REF!</definedName>
    <definedName name="_DAT2" localSheetId="41">#REF!</definedName>
    <definedName name="_DAT2" localSheetId="42">#REF!</definedName>
    <definedName name="_DAT2">#REF!</definedName>
    <definedName name="_DAT20">#REF!</definedName>
    <definedName name="_DAT21">#REF!</definedName>
    <definedName name="_DAT3" localSheetId="41">#REF!</definedName>
    <definedName name="_DAT3" localSheetId="42">#REF!</definedName>
    <definedName name="_DAT3">#REF!</definedName>
    <definedName name="_DAT4" localSheetId="41">#REF!</definedName>
    <definedName name="_DAT4" localSheetId="42">#REF!</definedName>
    <definedName name="_DAT4">#REF!</definedName>
    <definedName name="_DAT5" localSheetId="41">#REF!</definedName>
    <definedName name="_DAT5" localSheetId="42">#REF!</definedName>
    <definedName name="_DAT5">#REF!</definedName>
    <definedName name="_DAT6" localSheetId="41">#REF!</definedName>
    <definedName name="_DAT6" localSheetId="42">#REF!</definedName>
    <definedName name="_DAT6">#REF!</definedName>
    <definedName name="_DAT7" localSheetId="41">#REF!</definedName>
    <definedName name="_DAT7" localSheetId="42">#REF!</definedName>
    <definedName name="_DAT7">#REF!</definedName>
    <definedName name="_DAT8" localSheetId="41">#REF!</definedName>
    <definedName name="_DAT8" localSheetId="42">#REF!</definedName>
    <definedName name="_DAT8">#REF!</definedName>
    <definedName name="_DAT9" localSheetId="41">#REF!</definedName>
    <definedName name="_DAT9" localSheetId="42">#REF!</definedName>
    <definedName name="_DAT9">#REF!</definedName>
    <definedName name="_DAT99" localSheetId="41">[6]ND!#REF!</definedName>
    <definedName name="_DAT99" localSheetId="42">[6]ND!#REF!</definedName>
    <definedName name="_DAT99">[6]ND!#REF!</definedName>
    <definedName name="_DAYS">#REF!</definedName>
    <definedName name="_DCF1" hidden="1">{#N/A,#N/A,FALSE,"DCF Summary";#N/A,#N/A,FALSE,"Casema";#N/A,#N/A,FALSE,"Casema NoTel";#N/A,#N/A,FALSE,"UK";#N/A,#N/A,FALSE,"RCF";#N/A,#N/A,FALSE,"Intercable CZ";#N/A,#N/A,FALSE,"Interkabel P"}</definedName>
    <definedName name="_Dec02">[13]SalaryData!$AV$11</definedName>
    <definedName name="_Dec03">[13]SalaryData!$BH$11</definedName>
    <definedName name="_dec07">[7]param!$AH$6:$AH$17</definedName>
    <definedName name="_EUR4">#REF!</definedName>
    <definedName name="_F554314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ill" hidden="1">[28]formx!$ES$5</definedName>
    <definedName name="_Fill1" hidden="1">[29]S1BOQ!#REF!</definedName>
    <definedName name="_xlnm._FilterDatabase" localSheetId="35" hidden="1">Automation!$A$1:$M$6</definedName>
    <definedName name="_xlnm._FilterDatabase" localSheetId="13" hidden="1">BS!$A$2:$Q$26</definedName>
    <definedName name="_xlnm._FilterDatabase" localSheetId="19" hidden="1">CF!$A$2:$J$37</definedName>
    <definedName name="_xlnm._FilterDatabase" localSheetId="33" hidden="1">'CF Working'!$A$2:$M$88</definedName>
    <definedName name="_xlnm._FilterDatabase" localSheetId="12" hidden="1">DSCR!$A$2:$Q$16</definedName>
    <definedName name="_xlnm._FilterDatabase" localSheetId="41" hidden="1">'Execulation Revenue'!$A$1:$AJ$19</definedName>
    <definedName name="_xlnm._FilterDatabase" localSheetId="42" hidden="1">'Execution Cost'!$A$1:$AJ$18</definedName>
    <definedName name="_xlnm._FilterDatabase" localSheetId="36" hidden="1">'Existing UGRs'!$A$1:$M$14</definedName>
    <definedName name="_xlnm._FilterDatabase" localSheetId="26" hidden="1">Expenses!$A$2:$CY$7</definedName>
    <definedName name="_xlnm._FilterDatabase" localSheetId="28" hidden="1">'F&amp;A'!$A$2:$CY$62</definedName>
    <definedName name="_xlnm._FilterDatabase" localSheetId="29" hidden="1">'G&amp;A'!$A$1:$CY$42</definedName>
    <definedName name="_xlnm._FilterDatabase" localSheetId="27" hidden="1">IT!$A$2:$DB$37</definedName>
    <definedName name="_xlnm._FilterDatabase" localSheetId="30" hidden="1">List!$A$2:$CY$87</definedName>
    <definedName name="_xlnm._FilterDatabase" localSheetId="14" hidden="1">'Monthly BS'!$A$3:$CV$30</definedName>
    <definedName name="_xlnm._FilterDatabase" localSheetId="20" hidden="1">'Monthly CF'!$A$2:$CV$38</definedName>
    <definedName name="_xlnm._FilterDatabase" localSheetId="15" hidden="1">'Monthly PL'!$A$2:$CW$32</definedName>
    <definedName name="_xlnm._FilterDatabase" localSheetId="37" hidden="1">'New UGRs'!$A$1:$N$13</definedName>
    <definedName name="_xlnm._FilterDatabase" localSheetId="24" hidden="1">'NOR Revenue'!$A$2:$DF$22</definedName>
    <definedName name="_xlnm._FilterDatabase" localSheetId="25" hidden="1">'O&amp;M'!$A$1:$CY$17</definedName>
    <definedName name="_xlnm._FilterDatabase" localSheetId="17" hidden="1">PL!$A$2:$V$50</definedName>
    <definedName name="_xlnm._FilterDatabase" localSheetId="11" hidden="1">'Summary '!$A$1:$A$16</definedName>
    <definedName name="_xlnm._FilterDatabase" localSheetId="40" hidden="1">'Supply Cost'!$G$1:$AH$9</definedName>
    <definedName name="_xlnm._FilterDatabase" localSheetId="39" hidden="1">'Supply Revenue'!$G$1:$AH$9</definedName>
    <definedName name="_xlnm._FilterDatabase" localSheetId="23" hidden="1">'Water Revenue'!$A$1:$DF$29</definedName>
    <definedName name="_xlnm._FilterDatabase" localSheetId="32" hidden="1">'Work CF'!$A$1:$K$38</definedName>
    <definedName name="_xlnm._FilterDatabase" localSheetId="31" hidden="1">'Work Schedule'!$A$1:$K$38</definedName>
    <definedName name="_xlnm._FilterDatabase" localSheetId="34" hidden="1">'Works Working'!$A$2:$L$82</definedName>
    <definedName name="_xlnm._FilterDatabase" localSheetId="38" hidden="1">WTP!$A$1:$M$8</definedName>
    <definedName name="_xlnm._FilterDatabase" hidden="1">#REF!</definedName>
    <definedName name="_ftn1_43">#N/A</definedName>
    <definedName name="_ftn2_43">#N/A</definedName>
    <definedName name="_ftn3_43">#N/A</definedName>
    <definedName name="_ftn4_43">#N/A</definedName>
    <definedName name="_ftn5_43">#N/A</definedName>
    <definedName name="_ftnref5_43">#N/A</definedName>
    <definedName name="_fy97" hidden="1">{#N/A,#N/A,FALSE,"FY97";#N/A,#N/A,FALSE,"FY98";#N/A,#N/A,FALSE,"FY99";#N/A,#N/A,FALSE,"FY00";#N/A,#N/A,FALSE,"FY01"}</definedName>
    <definedName name="_GRP1">OFFSET(#REF!,0,0,COUNTA(#REF!),1)</definedName>
    <definedName name="_GRP2">OFFSET(#REF!,0,0,COUNTA(#REF!),1)</definedName>
    <definedName name="_GSRATES_1" hidden="1">"CT30000120021231        "</definedName>
    <definedName name="_GSRATES_10" hidden="1">"CF3000012002123120020331"</definedName>
    <definedName name="_GSRATES_2" hidden="1">"CT30000120031231        "</definedName>
    <definedName name="_GSRATES_3" hidden="1">"CT30000120040331        "</definedName>
    <definedName name="_GSRATES_4" hidden="1">"CF3000012004033120030331"</definedName>
    <definedName name="_GSRATES_5" hidden="1">"CF3000012002093020020331"</definedName>
    <definedName name="_GSRATES_6" hidden="1">"CF3000012003123120030331"</definedName>
    <definedName name="_GSRATES_7" hidden="1">"CT300001Latest          "</definedName>
    <definedName name="_GSRATES_8" hidden="1">"CT300001Latest          "</definedName>
    <definedName name="_GSRATES_9" hidden="1">"CF3000012002123120020331"</definedName>
    <definedName name="_GSRATES_COUNT" hidden="1">10</definedName>
    <definedName name="_inf01">'[30]Input-D'!#REF!</definedName>
    <definedName name="_inf02">'[30]Input-D'!#REF!</definedName>
    <definedName name="_inf03">'[30]Input-D'!#REF!</definedName>
    <definedName name="_inf04">'[30]Input-D'!#REF!</definedName>
    <definedName name="_inf05">'[30]Input-D'!#REF!</definedName>
    <definedName name="_inf06">'[30]Input-D'!#REF!</definedName>
    <definedName name="_inf07">'[30]Input-D'!#REF!</definedName>
    <definedName name="_inf08">'[30]Input-D'!#REF!</definedName>
    <definedName name="_inf98">'[30]Input-D'!#REF!</definedName>
    <definedName name="_inf99">'[30]Input-D'!#REF!</definedName>
    <definedName name="_JAN02">[13]SalaryData!$AK$11</definedName>
    <definedName name="_js17">#REF!</definedName>
    <definedName name="_k13" hidden="1">{0,0,FALSE,0}</definedName>
    <definedName name="_Key1" hidden="1">[31]sheet6!#REF!</definedName>
    <definedName name="_Key2" hidden="1">#REF!</definedName>
    <definedName name="_L">#REF!</definedName>
    <definedName name="_m">#REF!</definedName>
    <definedName name="_m_7">[32]_REF!$A$208</definedName>
    <definedName name="_MatInverse_In" hidden="1">[33]finstats!#REF!</definedName>
    <definedName name="_MatInverse_Out" hidden="1">[33]finstats!#REF!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c1">#REF!</definedName>
    <definedName name="_oc2">#REF!</definedName>
    <definedName name="_Order1" hidden="1">255</definedName>
    <definedName name="_Order2" hidden="1">255</definedName>
    <definedName name="_p">#REF!</definedName>
    <definedName name="_p_7">[32]_REF!$A$196</definedName>
    <definedName name="_PAO05">#REF!</definedName>
    <definedName name="_PAO06" localSheetId="41">#REF!</definedName>
    <definedName name="_PAO06" localSheetId="42">#REF!</definedName>
    <definedName name="_PAO06">#REF!</definedName>
    <definedName name="_Parse_In" hidden="1">'[12]01.11.2004'!#REF!</definedName>
    <definedName name="_Parse_Out" hidden="1">#REF!</definedName>
    <definedName name="_pc1">#REF!</definedName>
    <definedName name="_pc2">#REF!</definedName>
    <definedName name="_Q">#REF!</definedName>
    <definedName name="_QTR3">#REF!</definedName>
    <definedName name="_R">#REF!</definedName>
    <definedName name="_Regression_Int" hidden="1">1</definedName>
    <definedName name="_Regression_Out" hidden="1">'[34]2-wlr'!$H$27:$H$27</definedName>
    <definedName name="_Regression_X" hidden="1">'[34]2-wlr'!$E$17:$E$23</definedName>
    <definedName name="_Regression_Y" hidden="1">'[34]2-wlr'!$E$2:$E$8</definedName>
    <definedName name="_RRD12" localSheetId="41">#REF!</definedName>
    <definedName name="_RRD12" localSheetId="42">#REF!</definedName>
    <definedName name="_RRD12">#REF!</definedName>
    <definedName name="_S" localSheetId="19" hidden="1">[35]DESBAST!#REF!</definedName>
    <definedName name="_S" localSheetId="12" hidden="1">[35]DESBAST!#REF!</definedName>
    <definedName name="_S" localSheetId="36" hidden="1">[36]DESBAST!#REF!</definedName>
    <definedName name="_S" localSheetId="28" hidden="1">[35]DESBAST!#REF!</definedName>
    <definedName name="_S" localSheetId="29" hidden="1">[35]DESBAST!#REF!</definedName>
    <definedName name="_S" localSheetId="27" hidden="1">[35]DESBAST!#REF!</definedName>
    <definedName name="_S" localSheetId="14" hidden="1">[35]DESBAST!#REF!</definedName>
    <definedName name="_S" localSheetId="20" hidden="1">[35]DESBAST!#REF!</definedName>
    <definedName name="_S" localSheetId="15" hidden="1">[35]DESBAST!#REF!</definedName>
    <definedName name="_S" localSheetId="37" hidden="1">[36]DESBAST!#REF!</definedName>
    <definedName name="_S" localSheetId="24" hidden="1">[35]DESBAST!#REF!</definedName>
    <definedName name="_S" localSheetId="25" hidden="1">[35]DESBAST!#REF!</definedName>
    <definedName name="_S" localSheetId="17" hidden="1">[35]DESBAST!#REF!</definedName>
    <definedName name="_S" localSheetId="11" hidden="1">[35]DESBAST!#REF!</definedName>
    <definedName name="_S" localSheetId="23" hidden="1">[35]DESBAST!#REF!</definedName>
    <definedName name="_S" localSheetId="32" hidden="1">[35]DESBAST!#REF!</definedName>
    <definedName name="_S" localSheetId="38" hidden="1">[36]DESBAST!#REF!</definedName>
    <definedName name="_s">#REF!</definedName>
    <definedName name="_s_7">[32]_REF!$A$206</definedName>
    <definedName name="_Sort" localSheetId="19" hidden="1">[37]LLEGADA!#REF!</definedName>
    <definedName name="_Sort" localSheetId="12" hidden="1">[37]LLEGADA!#REF!</definedName>
    <definedName name="_Sort" localSheetId="36" hidden="1">[37]LLEGADA!#REF!</definedName>
    <definedName name="_Sort" localSheetId="28" hidden="1">[37]LLEGADA!#REF!</definedName>
    <definedName name="_Sort" localSheetId="29" hidden="1">[37]LLEGADA!#REF!</definedName>
    <definedName name="_Sort" localSheetId="27" hidden="1">[37]LLEGADA!#REF!</definedName>
    <definedName name="_Sort" localSheetId="14" hidden="1">[37]LLEGADA!#REF!</definedName>
    <definedName name="_Sort" localSheetId="20" hidden="1">[37]LLEGADA!#REF!</definedName>
    <definedName name="_Sort" localSheetId="15" hidden="1">[37]LLEGADA!#REF!</definedName>
    <definedName name="_Sort" localSheetId="37" hidden="1">[37]LLEGADA!#REF!</definedName>
    <definedName name="_Sort" localSheetId="24" hidden="1">[37]LLEGADA!#REF!</definedName>
    <definedName name="_Sort" localSheetId="25" hidden="1">[37]LLEGADA!#REF!</definedName>
    <definedName name="_Sort" localSheetId="17" hidden="1">[37]LLEGADA!#REF!</definedName>
    <definedName name="_Sort" localSheetId="11" hidden="1">[37]LLEGADA!#REF!</definedName>
    <definedName name="_Sort" localSheetId="23" hidden="1">[37]LLEGADA!#REF!</definedName>
    <definedName name="_Sort" localSheetId="32" hidden="1">[37]LLEGADA!#REF!</definedName>
    <definedName name="_Sort" localSheetId="38" hidden="1">[37]LLEGADA!#REF!</definedName>
    <definedName name="_Sort" hidden="1">#REF!</definedName>
    <definedName name="_sp1">#REF!</definedName>
    <definedName name="_sp2">#REF!</definedName>
    <definedName name="_SS" localSheetId="19" hidden="1">[35]DESBAST!#REF!</definedName>
    <definedName name="_SS" localSheetId="36" hidden="1">[36]DESBAST!#REF!</definedName>
    <definedName name="_SS" localSheetId="28" hidden="1">[35]DESBAST!#REF!</definedName>
    <definedName name="_SS" localSheetId="29" hidden="1">[35]DESBAST!#REF!</definedName>
    <definedName name="_SS" localSheetId="14" hidden="1">[35]DESBAST!#REF!</definedName>
    <definedName name="_SS" localSheetId="20" hidden="1">[35]DESBAST!#REF!</definedName>
    <definedName name="_SS" localSheetId="15" hidden="1">[35]DESBAST!#REF!</definedName>
    <definedName name="_SS" localSheetId="37" hidden="1">[36]DESBAST!#REF!</definedName>
    <definedName name="_SS" localSheetId="24" hidden="1">[35]DESBAST!#REF!</definedName>
    <definedName name="_SS" localSheetId="25" hidden="1">[35]DESBAST!#REF!</definedName>
    <definedName name="_SS" localSheetId="17" hidden="1">[35]DESBAST!#REF!</definedName>
    <definedName name="_SS" localSheetId="11" hidden="1">[35]DESBAST!#REF!</definedName>
    <definedName name="_SS" localSheetId="23" hidden="1">[35]DESBAST!#REF!</definedName>
    <definedName name="_SS" localSheetId="32" hidden="1">[35]DESBAST!#REF!</definedName>
    <definedName name="_SS" localSheetId="38" hidden="1">[36]DESBAST!#REF!</definedName>
    <definedName name="_SS" hidden="1">[35]DESBAST!#REF!</definedName>
    <definedName name="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ab8">#REF!</definedName>
    <definedName name="_Table1_In1" hidden="1">#REF!</definedName>
    <definedName name="_Table1_Out" hidden="1">'[12]01.11.2004'!#REF!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b1" hidden="1">{#N/A,#N/A,FALSE,"One Pager";#N/A,#N/A,FALSE,"Technical"}</definedName>
    <definedName name="_tic2">#REF!</definedName>
    <definedName name="_TL2">'[15]Fin. Proj.'!#REF!</definedName>
    <definedName name="_top20" hidden="1">{"page1",#N/A,FALSE,"Feuil1";"page2",#N/A,FALSE,"Feuil1";"page3",#N/A,FALSE,"Feuil1";"page4",#N/A,FALSE,"Feuil1"}</definedName>
    <definedName name="_u">#REF!</definedName>
    <definedName name="_u_7">[32]_REF!$A$212</definedName>
    <definedName name="_UP4" localSheetId="8" hidden="1">{"Daily Survey Report",#N/A,FALSE,"Daily"}</definedName>
    <definedName name="_UP4" localSheetId="6" hidden="1">{"Daily Survey Report",#N/A,FALSE,"Daily"}</definedName>
    <definedName name="_UP4" localSheetId="5" hidden="1">{"Daily Survey Report",#N/A,FALSE,"Daily"}</definedName>
    <definedName name="_UP4" hidden="1">{"Daily Survey Report",#N/A,FALSE,"Daily"}</definedName>
    <definedName name="_usd1">#REF!</definedName>
    <definedName name="_WC1">[23]WC!$D$23</definedName>
    <definedName name="_WC2">#N/A</definedName>
    <definedName name="_WN7" hidden="1">{#N/A,#N/A,FALSE,"MODULE3"}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A">#REF!</definedName>
    <definedName name="A\" hidden="1">#REF!</definedName>
    <definedName name="A_CGEA" localSheetId="41">#REF!</definedName>
    <definedName name="A_CGEA" localSheetId="42">#REF!</definedName>
    <definedName name="A_CGEA">#REF!</definedName>
    <definedName name="a6666666666">#REF!</definedName>
    <definedName name="aa">#REF!</definedName>
    <definedName name="aaa" localSheetId="19" hidden="1">[37]LLEGADA!#REF!</definedName>
    <definedName name="aaa" localSheetId="12" hidden="1">[37]LLEGADA!#REF!</definedName>
    <definedName name="aaa" localSheetId="36" hidden="1">[37]LLEGADA!#REF!</definedName>
    <definedName name="aaa" localSheetId="28" hidden="1">[37]LLEGADA!#REF!</definedName>
    <definedName name="aaa" localSheetId="29" hidden="1">[37]LLEGADA!#REF!</definedName>
    <definedName name="aaa" localSheetId="27" hidden="1">[37]LLEGADA!#REF!</definedName>
    <definedName name="aaa" localSheetId="14" hidden="1">[37]LLEGADA!#REF!</definedName>
    <definedName name="aaa" localSheetId="20" hidden="1">[37]LLEGADA!#REF!</definedName>
    <definedName name="aaa" localSheetId="15" hidden="1">[37]LLEGADA!#REF!</definedName>
    <definedName name="aaa" localSheetId="37" hidden="1">[37]LLEGADA!#REF!</definedName>
    <definedName name="aaa" localSheetId="24" hidden="1">[37]LLEGADA!#REF!</definedName>
    <definedName name="aaa" localSheetId="25" hidden="1">[37]LLEGADA!#REF!</definedName>
    <definedName name="aaa" localSheetId="17" hidden="1">[37]LLEGADA!#REF!</definedName>
    <definedName name="aaa" localSheetId="11" hidden="1">[37]LLEGADA!#REF!</definedName>
    <definedName name="aaa" localSheetId="23" hidden="1">[37]LLEGADA!#REF!</definedName>
    <definedName name="aaa" localSheetId="32" hidden="1">[37]LLEGADA!#REF!</definedName>
    <definedName name="aaa" localSheetId="38" hidden="1">[37]LLEGADA!#REF!</definedName>
    <definedName name="AA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AAA_DOCTOPS" hidden="1">"AAA_SET"</definedName>
    <definedName name="AAA_duser" hidden="1">"OFF"</definedName>
    <definedName name="aaaa">#REF!</definedName>
    <definedName name="aaaaa" localSheetId="41">Compte Rés [38]!Euro</definedName>
    <definedName name="aaaaa" localSheetId="42">Compte Rés [38]!Euro</definedName>
    <definedName name="aaaaa" localSheetId="40">Compte Rés [38]!Euro</definedName>
    <definedName name="aaaaa" localSheetId="39">Compte Rés [38]!Euro</definedName>
    <definedName name="aaaaa" localSheetId="44">Compte Rés [38]!Euro</definedName>
    <definedName name="aaaaa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aaaaaaaaa">#REF!</definedName>
    <definedName name="aaaaab" hidden="1">{#N/A,#N/A,FALSE,"Model";#N/A,#N/A,FALSE,"Division"}</definedName>
    <definedName name="aab">[39]DEP_CO!#REF!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hart2" hidden="1">#REF!</definedName>
    <definedName name="aachart6" hidden="1">#REF!</definedName>
    <definedName name="aasaaaa">'[40]ANNX -II'!$B$80:$K$97</definedName>
    <definedName name="AB">#REF!</definedName>
    <definedName name="ab_Head_Count_Run">#REF!</definedName>
    <definedName name="aBasicTax">#REF!</definedName>
    <definedName name="abc">'[41]Projections (2)'!#REF!</definedName>
    <definedName name="abcccahrt1b" hidden="1">'[42]Voorr data'!$C$76:$T$76</definedName>
    <definedName name="abccchart1" hidden="1">'[42]3 INPUT'!$S$57:$AG$57</definedName>
    <definedName name="abccchart2" hidden="1">'[42]3 INPUT'!$S$54:$AG$54</definedName>
    <definedName name="abccchart23" hidden="1">[42]INPUT!$C$33:$K$33</definedName>
    <definedName name="abccchart3" hidden="1">'[42]3 INPUT'!$S$53:$AG$53</definedName>
    <definedName name="abccchart4" hidden="1">'[42]3 INPUT'!$S$56:$AG$56</definedName>
    <definedName name="abcchart1" hidden="1">'[42]3 INPUT'!$S$38:$AG$38</definedName>
    <definedName name="abcchart1b" hidden="1">'[42]Voorr data'!$C$75:$T$75</definedName>
    <definedName name="abcchart2" hidden="1">'[42]3 INPUT'!$S$35:$AG$35</definedName>
    <definedName name="abcchart23" hidden="1">[42]INPUT!$C$35:$N$35</definedName>
    <definedName name="abcchart3" hidden="1">'[42]3 INPUT'!$S$34:$AG$34</definedName>
    <definedName name="abcchart4" hidden="1">'[42]3 INPUT'!$S$37:$AG$37</definedName>
    <definedName name="abcchart5" hidden="1">'[42]3 INPUT'!$S$36:$AG$36</definedName>
    <definedName name="abcd">#N/A</definedName>
    <definedName name="abce">#REF!</definedName>
    <definedName name="ABchart1" hidden="1">'[42]3 INPUT'!$S$44:$AG$44</definedName>
    <definedName name="abchart1b" hidden="1">'[42]Voorr data'!$C$74:$T$74</definedName>
    <definedName name="abchart2" hidden="1">'[42]3 INPUT'!$S$41:$AG$41</definedName>
    <definedName name="abchart23" hidden="1">[42]INPUT!$C$22:$N$22</definedName>
    <definedName name="abchart3" hidden="1">'[42]3 INPUT'!$S$40:$AG$40</definedName>
    <definedName name="abchart4" hidden="1">'[42]3 INPUT'!$S$43:$AG$43</definedName>
    <definedName name="abchart4e" hidden="1">'[42]Voorr data'!$C$61:$T$61</definedName>
    <definedName name="abchart5" hidden="1">'[42]3 INPUT'!$S$42:$AG$42</definedName>
    <definedName name="abchart6" hidden="1">'[42]6 Input'!$F$55:$N$55</definedName>
    <definedName name="abchart7" hidden="1">'[42]6 Input'!$B$4:$S$4</definedName>
    <definedName name="abchart8" hidden="1">'[42]6 Input'!$B$3:$S$3</definedName>
    <definedName name="abg">#REF!</definedName>
    <definedName name="AbilityToPayCalc">#N/A</definedName>
    <definedName name="AC">[43]Sheet1!#REF!</definedName>
    <definedName name="AC_Gold_Mark_Dn">[44]AC_Cost_KU!$B$14</definedName>
    <definedName name="AC_OR_IR_Ratio">[44]AC_Cost_KU!$B$12</definedName>
    <definedName name="AC_Plat_Mark_Dn">[44]AC_Cost_KU!$B$13</definedName>
    <definedName name="aCashSpread">#REF!</definedName>
    <definedName name="acc" hidden="1">{#N/A,#N/A,FALSE,"Calc";#N/A,#N/A,FALSE,"Sensitivity";#N/A,#N/A,FALSE,"LT Earn.Dil.";#N/A,#N/A,FALSE,"Dil. AVP"}</definedName>
    <definedName name="AccCapital">#REF!</definedName>
    <definedName name="AccDepreciation">#REF!</definedName>
    <definedName name="access_router_decline">#REF!</definedName>
    <definedName name="AccessDatabase" hidden="1">"E:\KUNAL\MIS_REPT\MBF\MBFRPT07.mdb"</definedName>
    <definedName name="Account_Balance">#REF!</definedName>
    <definedName name="Account_Code">[45]個人資料!$I$3:$L$15</definedName>
    <definedName name="ACCRETE">#REF!</definedName>
    <definedName name="accrExpPct">#REF!</definedName>
    <definedName name="acct">[46]Inputs!#REF!</definedName>
    <definedName name="Acct_Groups">'[47]Web Traffic Forecast Data'!#REF!</definedName>
    <definedName name="achart2" hidden="1">#REF!</definedName>
    <definedName name="achart3" hidden="1">#REF!</definedName>
    <definedName name="achart4" hidden="1">#REF!</definedName>
    <definedName name="achart5" hidden="1">#REF!</definedName>
    <definedName name="acno">#REF!</definedName>
    <definedName name="ACRS">#REF!</definedName>
    <definedName name="ActDSR">#REF!</definedName>
    <definedName name="ACTUAL_08_MTH">#REF!</definedName>
    <definedName name="ACTUAL_08_YTD">#REF!</definedName>
    <definedName name="ACTUAL_09_MTH">#REF!</definedName>
    <definedName name="ACTUAL_09_YTD">#REF!</definedName>
    <definedName name="ad" hidden="1">{#N/A,#N/A,TRUE,"Outlook98";#N/A,#N/A,TRUE,"Reduction Model"}</definedName>
    <definedName name="ad_Head_Count_Run__HIRES_____detail">#REF!</definedName>
    <definedName name="ada" hidden="1">{"'Trend_Total'!$A$7:$V$10","'Trend_Total'!$A$1:$V$4"}</definedName>
    <definedName name="adada" hidden="1">{"'Customer Support Trends'!$A$1:$AB$13"}</definedName>
    <definedName name="AddDSR">#REF!</definedName>
    <definedName name="addme">#REF!</definedName>
    <definedName name="adf" hidden="1">{"'Trend_Total'!$A$7:$V$10","'Trend_Total'!$A$1:$V$4"}</definedName>
    <definedName name="aDividendTax">#REF!</definedName>
    <definedName name="Adjustment_G_L_Distributions">#REF!</definedName>
    <definedName name="adl" localSheetId="18" hidden="1">{#N/A,#N/A,FALSE,"RECAP Note Global";#N/A,#N/A,FALSE,"RECAP Note France";#N/A,#N/A,FALSE,"RECAP Note étranger";#N/A,#N/A,FALSE,"RECAP Note Zones"}</definedName>
    <definedName name="adl" localSheetId="12" hidden="1">{#N/A,#N/A,FALSE,"RECAP Note Global";#N/A,#N/A,FALSE,"RECAP Note France";#N/A,#N/A,FALSE,"RECAP Note étranger";#N/A,#N/A,FALSE,"RECAP Note Zones"}</definedName>
    <definedName name="adl" localSheetId="41" hidden="1">{#N/A,#N/A,FALSE,"RECAP Note Global";#N/A,#N/A,FALSE,"RECAP Note France";#N/A,#N/A,FALSE,"RECAP Note étranger";#N/A,#N/A,FALSE,"RECAP Note Zones"}</definedName>
    <definedName name="adl" localSheetId="42" hidden="1">{#N/A,#N/A,FALSE,"RECAP Note Global";#N/A,#N/A,FALSE,"RECAP Note France";#N/A,#N/A,FALSE,"RECAP Note étranger";#N/A,#N/A,FALSE,"RECAP Note Zones"}</definedName>
    <definedName name="adl" localSheetId="17" hidden="1">{#N/A,#N/A,FALSE,"RECAP Note Global";#N/A,#N/A,FALSE,"RECAP Note France";#N/A,#N/A,FALSE,"RECAP Note étranger";#N/A,#N/A,FALSE,"RECAP Note Zones"}</definedName>
    <definedName name="adl" localSheetId="40" hidden="1">{#N/A,#N/A,FALSE,"RECAP Note Global";#N/A,#N/A,FALSE,"RECAP Note France";#N/A,#N/A,FALSE,"RECAP Note étranger";#N/A,#N/A,FALSE,"RECAP Note Zones"}</definedName>
    <definedName name="adl" localSheetId="39" hidden="1">{#N/A,#N/A,FALSE,"RECAP Note Global";#N/A,#N/A,FALSE,"RECAP Note France";#N/A,#N/A,FALSE,"RECAP Note étranger";#N/A,#N/A,FALSE,"RECAP Note Zones"}</definedName>
    <definedName name="adl" hidden="1">{#N/A,#N/A,FALSE,"RECAP Note Global";#N/A,#N/A,FALSE,"RECAP Note France";#N/A,#N/A,FALSE,"RECAP Note étranger";#N/A,#N/A,FALSE,"RECAP Note Zones"}</definedName>
    <definedName name="admin">#REF!</definedName>
    <definedName name="adminboh">#REF!</definedName>
    <definedName name="adminkner">#REF!</definedName>
    <definedName name="adminpol">#REF!</definedName>
    <definedName name="Ads_Per_Day">#REF!</definedName>
    <definedName name="adsfadf" hidden="1">{"'Staffing'!$A$1:$D$62"}</definedName>
    <definedName name="AE">#REF!</definedName>
    <definedName name="af">#N/A</definedName>
    <definedName name="AFDRUKBEREIK">#REF!</definedName>
    <definedName name="AFEE">#REF!</definedName>
    <definedName name="AfG_nach_Marken">#REF!</definedName>
    <definedName name="aForeignDebt">#REF!</definedName>
    <definedName name="aForeignDebtSpread">#REF!</definedName>
    <definedName name="AFRIQMOYENORIENT">#REF!</definedName>
    <definedName name="afs">#REF!</definedName>
    <definedName name="afTaxHol">#REF!</definedName>
    <definedName name="AG">#REF!</definedName>
    <definedName name="agfds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AGGREGATE">'[48]#REF'!$B$30</definedName>
    <definedName name="AGGREGATE_CRUSHING_PLANT">'[48]#REF'!$B$45</definedName>
    <definedName name="AI">#REF!</definedName>
    <definedName name="aiBSCash">#REF!</definedName>
    <definedName name="aiCommDiv">#REF!</definedName>
    <definedName name="aiCommStock">#REF!</definedName>
    <definedName name="aiDeferredTax">#REF!</definedName>
    <definedName name="aiDollar">#REF!</definedName>
    <definedName name="aiGoodwill">#REF!</definedName>
    <definedName name="aiLibor">#REF!</definedName>
    <definedName name="aiNetPPnE">#REF!</definedName>
    <definedName name="aiOtherAssets">#REF!</definedName>
    <definedName name="aiPrefDiv">#REF!</definedName>
    <definedName name="aiPrefStock">#REF!</definedName>
    <definedName name="aiRetainedEarnings">#REF!</definedName>
    <definedName name="aiRevolver">#REF!</definedName>
    <definedName name="aiTaxHol">#REF!</definedName>
    <definedName name="aiTaxPayable">#REF!</definedName>
    <definedName name="aiWorkingCap">#REF!</definedName>
    <definedName name="AJ">#REF!</definedName>
    <definedName name="Ajay">#REF!</definedName>
    <definedName name="AK">#REF!</definedName>
    <definedName name="Aka">#REF!</definedName>
    <definedName name="AL">#REF!</definedName>
    <definedName name="ALARON" localSheetId="41">#REF!</definedName>
    <definedName name="ALARON" localSheetId="42">#REF!</definedName>
    <definedName name="ALARON">#REF!</definedName>
    <definedName name="ALERT2">#REF!</definedName>
    <definedName name="ALEXANDRIE" localSheetId="41">#REF!</definedName>
    <definedName name="ALEXANDRIE" localSheetId="42">#REF!</definedName>
    <definedName name="ALEXANDRIE">#REF!</definedName>
    <definedName name="all">#REF!</definedName>
    <definedName name="ALLEMACGEA" localSheetId="41">#REF!</definedName>
    <definedName name="ALLEMACGEA" localSheetId="42">#REF!</definedName>
    <definedName name="ALLEMACGEA">#REF!</definedName>
    <definedName name="ALLEMAGNE" localSheetId="41">#REF!</definedName>
    <definedName name="ALLEMAGNE" localSheetId="42">#REF!</definedName>
    <definedName name="ALLEMAGNE">#REF!</definedName>
    <definedName name="Allowance" hidden="1">{"'Trend_Total'!$A$7:$V$10","'Trend_Total'!$A$1:$V$4"}</definedName>
    <definedName name="Allowances">[13]SalaryData!#REF!</definedName>
    <definedName name="AllTables">{18}</definedName>
    <definedName name="aLTDebt">#REF!</definedName>
    <definedName name="aLTDebtSpread">#REF!</definedName>
    <definedName name="AM">#REF!</definedName>
    <definedName name="AMERIQSUD" localSheetId="41">#REF!</definedName>
    <definedName name="AMERIQSUD" localSheetId="42">#REF!</definedName>
    <definedName name="AMERIQSUD">#REF!</definedName>
    <definedName name="aMinApTax">#REF!</definedName>
    <definedName name="aMinOpCash">#REF!</definedName>
    <definedName name="amort">#REF!</definedName>
    <definedName name="AmortY">#REF!</definedName>
    <definedName name="AMOUNT">OFFSET(#REF!,0,0,COUNTA(#REF!),COUNTA(#REF!))</definedName>
    <definedName name="AMOUNT_3M">OFFSET(#REF!,0,0,COUNTA(#REF!),1)</definedName>
    <definedName name="Amounts9707">#REF!</definedName>
    <definedName name="Amounts9708">#REF!</definedName>
    <definedName name="Amounts9709">#REF!</definedName>
    <definedName name="Amounts9710">#REF!</definedName>
    <definedName name="Amounts9711">#REF!</definedName>
    <definedName name="Amounts9712">#REF!</definedName>
    <definedName name="AN">#REF!</definedName>
    <definedName name="ANAL">'[12]01.11.2004'!#REF!</definedName>
    <definedName name="ANALYSIS_OF_BENKELMAN_BEAM_DEFLECTION_DATA">'[49]12 BBD Tests'!#REF!</definedName>
    <definedName name="Andrew___Data">'[50]Original Andrew___Data'!$B$6:$N$507</definedName>
    <definedName name="ANN_III">#REF!</definedName>
    <definedName name="ANN_X">#REF!</definedName>
    <definedName name="ANNEE">[51]Settings!$A$1</definedName>
    <definedName name="ANNEXA">#REF!</definedName>
    <definedName name="ANNEXB">#REF!</definedName>
    <definedName name="ANNEXC">#REF!</definedName>
    <definedName name="ANNEXD">#REF!</definedName>
    <definedName name="ANNEXE">#REF!</definedName>
    <definedName name="ANNEXF">#REF!</definedName>
    <definedName name="ANNEXG">#REF!</definedName>
    <definedName name="ANNEXH">#REF!</definedName>
    <definedName name="ANNEXI">#REF!</definedName>
    <definedName name="ANNEXJ">#REF!</definedName>
    <definedName name="Annexure_to_Schedule">#REF!</definedName>
    <definedName name="AnnualManpowerEscalation">'[52]Input Sheet'!$C$17</definedName>
    <definedName name="anscount" hidden="1">1</definedName>
    <definedName name="ANX_13">#N/A</definedName>
    <definedName name="ANX_18">#N/A</definedName>
    <definedName name="ANX_19">#REF!</definedName>
    <definedName name="ANX_20">#REF!</definedName>
    <definedName name="ANX_9">#N/A</definedName>
    <definedName name="any">[53]master!$A$2:$F$61</definedName>
    <definedName name="AO">#REF!</definedName>
    <definedName name="AP">#REF!</definedName>
    <definedName name="ap6.7">[54]secu!#REF!</definedName>
    <definedName name="ap7.8">#REF!</definedName>
    <definedName name="ap7.8_7">[32]_REF!$A$151:$P$192</definedName>
    <definedName name="apDays">#REF!</definedName>
    <definedName name="APP___V">#REF!</definedName>
    <definedName name="APP___VI">#REF!</definedName>
    <definedName name="APP___VII">#REF!</definedName>
    <definedName name="APP_III">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ied_Receipts_Adjustments">#REF!</definedName>
    <definedName name="approved_project_cost">[55]Phasing!$F$14</definedName>
    <definedName name="Apr_Bal">#REF!</definedName>
    <definedName name="aPrimeRate">#REF!</definedName>
    <definedName name="AQ">#REF!</definedName>
    <definedName name="AR">#REF!</definedName>
    <definedName name="AR_2">#REF!</definedName>
    <definedName name="ARC_FURNACE_Production_2001">#REF!</definedName>
    <definedName name="ARC_FURNACERaw_Materials_2001">#REF!</definedName>
    <definedName name="arDays">#REF!</definedName>
    <definedName name="AREA">#REF!</definedName>
    <definedName name="Area_Conversions">#REF!</definedName>
    <definedName name="aRevolverSpread">#REF!</definedName>
    <definedName name="ARNHEM">#REF!</definedName>
    <definedName name="as" localSheetId="41">#REF!</definedName>
    <definedName name="as" localSheetId="42">#REF!</definedName>
    <definedName name="as">#REF!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#REF!</definedName>
    <definedName name="asd" hidden="1">{#N/A,#N/A,FALSE,"DCF Summary";#N/A,#N/A,FALSE,"Casema";#N/A,#N/A,FALSE,"Casema NoTel";#N/A,#N/A,FALSE,"UK";#N/A,#N/A,FALSE,"RCF";#N/A,#N/A,FALSE,"Intercable CZ";#N/A,#N/A,FALSE,"Interkabel P"}</definedName>
    <definedName name="asdfad" hidden="1">{#N/A,#N/A,TRUE,"Outlook98";#N/A,#N/A,TRUE,"Reduction Model"}</definedName>
    <definedName name="asdfg">[56]RNT!#REF!</definedName>
    <definedName name="asdse" hidden="1">{#N/A,#N/A,FALSE,"Model";#N/A,#N/A,FALSE,"Division"}</definedName>
    <definedName name="asfg" hidden="1">{#N/A,#N/A,FALSE,"Balance Sheet";#N/A,#N/A,FALSE,"Income Statement";#N/A,#N/A,FALSE,"Changes in Financial Position"}</definedName>
    <definedName name="asg">#REF!</definedName>
    <definedName name="ashdlka" localSheetId="41">#REF!</definedName>
    <definedName name="ashdlka" localSheetId="42">#REF!</definedName>
    <definedName name="ashdlka">#REF!</definedName>
    <definedName name="asLibor">#REF!</definedName>
    <definedName name="asm6.7">[54]secu!#REF!</definedName>
    <definedName name="asm7.8">#REF!</definedName>
    <definedName name="asm7.8_7">[32]_REF!$A$239:$P$280</definedName>
    <definedName name="ass">#REF!</definedName>
    <definedName name="ASSUMPTION">#REF!</definedName>
    <definedName name="aSurTax">#REF!</definedName>
    <definedName name="attire98">'[30]Input-D'!#REF!</definedName>
    <definedName name="ATTRIBUTS_COPIES" localSheetId="41">#REF!</definedName>
    <definedName name="ATTRIBUTS_COPIES" localSheetId="42">#REF!</definedName>
    <definedName name="ATTRIBUTS_COPIES">#REF!</definedName>
    <definedName name="ATTRIBUTS_PLANNING" localSheetId="41">#REF!</definedName>
    <definedName name="ATTRIBUTS_PLANNING" localSheetId="42">#REF!</definedName>
    <definedName name="ATTRIBUTS_PLANNING">#REF!</definedName>
    <definedName name="AUD" localSheetId="41">#REF!</definedName>
    <definedName name="AUD" localSheetId="42">#REF!</definedName>
    <definedName name="AUD">#REF!</definedName>
    <definedName name="AUDIT_ID" localSheetId="41">#REF!</definedName>
    <definedName name="AUDIT_ID" localSheetId="42">#REF!</definedName>
    <definedName name="AUDIT_ID">#REF!</definedName>
    <definedName name="aug">'[57]Aug 03'!$A$131:$H$471</definedName>
    <definedName name="Aug_00_Head_Count">#REF!</definedName>
    <definedName name="Aug_00_Hires">#REF!</definedName>
    <definedName name="Aug_Bal">#REF!</definedName>
    <definedName name="Authorware_AIS">'[58]FY97 Gross Revenue Summary'!$A$4:$B$5</definedName>
    <definedName name="AUTO" localSheetId="41">#REF!</definedName>
    <definedName name="AUTO" localSheetId="42">#REF!</definedName>
    <definedName name="Auto">#REF!</definedName>
    <definedName name="Autre_CZ">[59]ROA!#REF!</definedName>
    <definedName name="AUTRESEUROPE" localSheetId="41">#REF!</definedName>
    <definedName name="AUTRESEUROPE" localSheetId="42">#REF!</definedName>
    <definedName name="AUTRESEUROPE">#REF!</definedName>
    <definedName name="Availability">#REF!</definedName>
    <definedName name="avg">#REF!</definedName>
    <definedName name="avgboh">#REF!</definedName>
    <definedName name="avgkner">#REF!</definedName>
    <definedName name="avgpol">#REF!</definedName>
    <definedName name="AvgSellPr" hidden="1">[60]Input!$K$162:$Y$162,[60]Input!$K$180:$Y$180,[60]Input!$K$198:$Y$198,[60]Input!$K$216:$Y$216,[60]Input!$K$234:$Y$234,[60]Input!$K$252:$Y$252,[60]Input!$K$270:$Y$270,[60]Input!$K$288:$Y$288</definedName>
    <definedName name="avrg_PLPc_large">#REF!</definedName>
    <definedName name="avrg_PLPc_large2">#REF!</definedName>
    <definedName name="avrg_PLPc_medium">#REF!</definedName>
    <definedName name="avrg_PLPc_medium2">#REF!</definedName>
    <definedName name="avrg_PLPc_small">#REF!</definedName>
    <definedName name="avrg_PLPc_small2">#REF!</definedName>
    <definedName name="Avrg_price_int_2000">#REF!</definedName>
    <definedName name="Avrg_price_int_2001">#REF!</definedName>
    <definedName name="Avrg_price_int_2002">#REF!</definedName>
    <definedName name="Avrg_price_int_2004">#REF!</definedName>
    <definedName name="Avrg_price_int_2005">#REF!</definedName>
    <definedName name="Avrg_price_nat_2000">#REF!</definedName>
    <definedName name="Avrg_price_nat_2001">#REF!</definedName>
    <definedName name="Avrg_price_nat_2002">#REF!</definedName>
    <definedName name="Avrg_price_nat_2004">#REF!</definedName>
    <definedName name="axe.6" localSheetId="41">#REF!</definedName>
    <definedName name="axe.6" localSheetId="42">#REF!</definedName>
    <definedName name="axe.6">#REF!</definedName>
    <definedName name="Axle_Load_Analysis">#REF!</definedName>
    <definedName name="AZERTY">[61]PAO!$A$30:$A$35</definedName>
    <definedName name="b" localSheetId="8">MATCH(0.01,[0]!End_Bal,-1)+1</definedName>
    <definedName name="B" localSheetId="18" hidden="1">{#N/A,#N/A,FALSE,"RECAP Note Global";#N/A,#N/A,FALSE,"RECAP Note France";#N/A,#N/A,FALSE,"RECAP Note étranger";#N/A,#N/A,FALSE,"RECAP Note Zones"}</definedName>
    <definedName name="B" localSheetId="12" hidden="1">{#N/A,#N/A,FALSE,"RECAP Note Global";#N/A,#N/A,FALSE,"RECAP Note France";#N/A,#N/A,FALSE,"RECAP Note étranger";#N/A,#N/A,FALSE,"RECAP Note Zones"}</definedName>
    <definedName name="B" localSheetId="41" hidden="1">{#N/A,#N/A,FALSE,"RECAP Note Global";#N/A,#N/A,FALSE,"RECAP Note France";#N/A,#N/A,FALSE,"RECAP Note étranger";#N/A,#N/A,FALSE,"RECAP Note Zones"}</definedName>
    <definedName name="B" localSheetId="42" hidden="1">{#N/A,#N/A,FALSE,"RECAP Note Global";#N/A,#N/A,FALSE,"RECAP Note France";#N/A,#N/A,FALSE,"RECAP Note étranger";#N/A,#N/A,FALSE,"RECAP Note Zones"}</definedName>
    <definedName name="B" localSheetId="17" hidden="1">{#N/A,#N/A,FALSE,"RECAP Note Global";#N/A,#N/A,FALSE,"RECAP Note France";#N/A,#N/A,FALSE,"RECAP Note étranger";#N/A,#N/A,FALSE,"RECAP Note Zones"}</definedName>
    <definedName name="B" localSheetId="40" hidden="1">{#N/A,#N/A,FALSE,"RECAP Note Global";#N/A,#N/A,FALSE,"RECAP Note France";#N/A,#N/A,FALSE,"RECAP Note étranger";#N/A,#N/A,FALSE,"RECAP Note Zones"}</definedName>
    <definedName name="B" localSheetId="39" hidden="1">{#N/A,#N/A,FALSE,"RECAP Note Global";#N/A,#N/A,FALSE,"RECAP Note France";#N/A,#N/A,FALSE,"RECAP Note étranger";#N/A,#N/A,FALSE,"RECAP Note Zones"}</definedName>
    <definedName name="b" localSheetId="6">MATCH(0.01,[0]!End_Bal,-1)+1</definedName>
    <definedName name="b" localSheetId="5">MATCH(0.01,[0]!End_Bal,-1)+1</definedName>
    <definedName name="b">MATCH(0.01,[0]!End_Bal,-1)+1</definedName>
    <definedName name="B_C">#REF!</definedName>
    <definedName name="B_M">#REF!</definedName>
    <definedName name="B_PUIDF">#REF!</definedName>
    <definedName name="B_T">#REF!</definedName>
    <definedName name="b21.">#REF!</definedName>
    <definedName name="Backlog_Commissioned">"Backlog - Commissioned"</definedName>
    <definedName name="Backlog_Commissioned_Q2">"Backlog - Commissioned by Q2"</definedName>
    <definedName name="Backlog_Commissioned_Qtr">"Backlog - Commissioned by Q3"</definedName>
    <definedName name="Backlog_Non_Commissioned">"Backlog - Non-Commissioned"</definedName>
    <definedName name="Backlog_Non_Commissioned_Q2">"Backlog - Non-Commissioned by Q2"</definedName>
    <definedName name="Backlog_Non_Commissioned_Qtr">"Backlog - Non-Commissioned by Q3"</definedName>
    <definedName name="backup">#REF!</definedName>
    <definedName name="BAL">[62]Cmadata!#REF!</definedName>
    <definedName name="BALANCE">#REF!</definedName>
    <definedName name="Balance_Sheet">#REF!</definedName>
    <definedName name="Balancesheet_print">#REF!</definedName>
    <definedName name="Balancesheet_print_25">#REF!</definedName>
    <definedName name="BALIMP">#REF!</definedName>
    <definedName name="balsh">#REF!</definedName>
    <definedName name="bank">#REF!</definedName>
    <definedName name="bank1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bankfinance">#REF!</definedName>
    <definedName name="BAR_BENDERS">'[48]#REF'!#REF!</definedName>
    <definedName name="base">1</definedName>
    <definedName name="Base_Case">'[63]Consolidate ShockRave Revenue'!$F$6</definedName>
    <definedName name="base1" hidden="1">'[64]Power &amp; Fuel(SMS)'!#REF!</definedName>
    <definedName name="baseYear">#REF!</definedName>
    <definedName name="baseyr">'[65]Forecast-Input'!$E1</definedName>
    <definedName name="BasicSalaries">#REF!</definedName>
    <definedName name="BATCHING_PLANT">'[48]#REF'!$B$46:$B$54</definedName>
    <definedName name="bb">[66]ICICI!#REF!</definedName>
    <definedName name="bbb">[67]PROJECT!#REF!</definedName>
    <definedName name="bbbb">#REF!</definedName>
    <definedName name="bbbbb" hidden="1">{"consolidated",#N/A,FALSE,"Sheet1";"cms",#N/A,FALSE,"Sheet1";"fse",#N/A,FALSE,"Sheet1"}</definedName>
    <definedName name="bbchart1" hidden="1">#REF!</definedName>
    <definedName name="bbchart2" hidden="1">#REF!</definedName>
    <definedName name="bbchart3" hidden="1">#REF!</definedName>
    <definedName name="bbchart4" hidden="1">#REF!</definedName>
    <definedName name="bbchart5" hidden="1">#REF!</definedName>
    <definedName name="BC">#REF!</definedName>
    <definedName name="bcahrt2" hidden="1">#REF!</definedName>
    <definedName name="bcahrt4" hidden="1">#REF!</definedName>
    <definedName name="bchart1" hidden="1">#REF!</definedName>
    <definedName name="bchart5" hidden="1">#REF!</definedName>
    <definedName name="BCS">#REF!</definedName>
    <definedName name="BCS___0">#N/A</definedName>
    <definedName name="BCS___1">#N/A</definedName>
    <definedName name="BCSMKT">#REF!</definedName>
    <definedName name="BCSMKT___0">#N/A</definedName>
    <definedName name="BCSMKT___1">#N/A</definedName>
    <definedName name="bdep">#REF!</definedName>
    <definedName name="Beg_Bal" localSheetId="41">#REF!</definedName>
    <definedName name="Beg_Bal" localSheetId="42">#REF!</definedName>
    <definedName name="Beg_Bal">#REF!</definedName>
    <definedName name="begavg">[65]Valuation!$Y$15</definedName>
    <definedName name="BELDAR">'[48]#REF'!$B$9</definedName>
    <definedName name="Benchmark">#REF!</definedName>
    <definedName name="BENDERS">'[48]BASIC RATES'!#REF!</definedName>
    <definedName name="BEP">#REF!</definedName>
    <definedName name="BEP_1">[68]SI_FIN!#REF!</definedName>
    <definedName name="BER">[69]Assumptions!$D$24</definedName>
    <definedName name="BEREICH">[70]looplist!#REF!</definedName>
    <definedName name="Berlin">[59]ROA!#REF!</definedName>
    <definedName name="BFRfrance" localSheetId="41">#REF!</definedName>
    <definedName name="BFRfrance" localSheetId="42">#REF!</definedName>
    <definedName name="BFRfrance">#REF!</definedName>
    <definedName name="BFRfrancespe" localSheetId="41">#REF!</definedName>
    <definedName name="BFRfrancespe" localSheetId="42">#REF!</definedName>
    <definedName name="BFRfrancespe">#REF!</definedName>
    <definedName name="BFRnord" localSheetId="41">#REF!</definedName>
    <definedName name="BFRnord" localSheetId="42">#REF!</definedName>
    <definedName name="BFRnord">#REF!</definedName>
    <definedName name="BFRpeco" localSheetId="41">#REF!</definedName>
    <definedName name="BFRpeco" localSheetId="42">#REF!</definedName>
    <definedName name="BFRpeco">#REF!</definedName>
    <definedName name="BFRsud" localSheetId="41">#REF!</definedName>
    <definedName name="BFRsud" localSheetId="42">#REF!</definedName>
    <definedName name="BFRsud">#REF!</definedName>
    <definedName name="BG_Del" hidden="1">15</definedName>
    <definedName name="BG_Ins" hidden="1">4</definedName>
    <definedName name="BG_Mod" hidden="1">6</definedName>
    <definedName name="BGH" hidden="1">{#N/A,#N/A,FALSE,"MODULE3"}</definedName>
    <definedName name="bgtfd">'[71]Input-D'!#REF!</definedName>
    <definedName name="bgth">'[71]Input-D'!#REF!</definedName>
    <definedName name="bgtvfr">'[71]Input-D'!#REF!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lletcost">#REF!</definedName>
    <definedName name="billetho">#REF!</definedName>
    <definedName name="BITUMEN__70_80">'[48]#REF'!#REF!</definedName>
    <definedName name="BITUMEN__SUSPENSION">'[48]#REF'!#REF!</definedName>
    <definedName name="BITUMEN_SPRAYER">'[48]#REF'!$B$47</definedName>
    <definedName name="bkdepr">[72]Financials!#REF!</definedName>
    <definedName name="BKFIN">[62]Cmadata!#REF!</definedName>
    <definedName name="bl">#REF!</definedName>
    <definedName name="BLACK_SMITH">'[48]#REF'!#REF!</definedName>
    <definedName name="BLPH1" hidden="1">#REF!</definedName>
    <definedName name="BLPH10" hidden="1">#N/A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7" hidden="1">#N/A</definedName>
    <definedName name="BLPH8" hidden="1">#N/A</definedName>
    <definedName name="BLPH9" hidden="1">#N/A</definedName>
    <definedName name="Blue" hidden="1">{#N/A,#N/A,TRUE,"Outlook98";#N/A,#N/A,TRUE,"Reduction Model"}</definedName>
    <definedName name="bnnn" hidden="1">{"consolidated",#N/A,FALSE,"Sheet1";"cms",#N/A,FALSE,"Sheet1";"fse",#N/A,FALSE,"Sheet1"}</definedName>
    <definedName name="BookDepreciation">#REF!</definedName>
    <definedName name="bottom">#REF!</definedName>
    <definedName name="bottom_commcos">#REF!</definedName>
    <definedName name="BOULDERS">'[48]#REF'!#REF!</definedName>
    <definedName name="bpfdiff">#N/A</definedName>
    <definedName name="braj" localSheetId="8" hidden="1">{"Daily Survey Report",#N/A,FALSE,"Daily"}</definedName>
    <definedName name="braj" localSheetId="6" hidden="1">{"Daily Survey Report",#N/A,FALSE,"Daily"}</definedName>
    <definedName name="braj" localSheetId="5" hidden="1">{"Daily Survey Report",#N/A,FALSE,"Daily"}</definedName>
    <definedName name="braj" hidden="1">{"Daily Survey Report",#N/A,FALSE,"Daily"}</definedName>
    <definedName name="BREAK_EVEN_POINT">#REF!</definedName>
    <definedName name="BRICKS">'[48]#REF'!#REF!</definedName>
    <definedName name="BRIDGE_CONDITION_SURVEY">'[49]14 Bridge Condition Survey'!#REF!</definedName>
    <definedName name="BRIDGE_INSPECTION_REPORT">'[49]14 Bridge Condition Survey'!#REF!</definedName>
    <definedName name="Bridge_Inventory_Survey">'[49]13 Bridge Inventory Survey'!#REF!</definedName>
    <definedName name="BRIDGES">'[73]BOQ Distribution'!$A$35:$G$47</definedName>
    <definedName name="brs" hidden="1">{#N/A,#N/A,FALSE,"MODULE3"}</definedName>
    <definedName name="BS">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AccrExp">#REF!</definedName>
    <definedName name="BSAcctsPay">#REF!</definedName>
    <definedName name="BSAcctsRec">#REF!</definedName>
    <definedName name="BSCash">#REF!</definedName>
    <definedName name="BSCheck">#REF!</definedName>
    <definedName name="BSCommStock">#REF!</definedName>
    <definedName name="BSDeferredTax">#REF!</definedName>
    <definedName name="BSDivOwing">#REF!</definedName>
    <definedName name="BSEquityInt">#REF!</definedName>
    <definedName name="BSGoodwill">#REF!</definedName>
    <definedName name="BSH">#REF!</definedName>
    <definedName name="BSH_1">[68]SI_FIN!#REF!</definedName>
    <definedName name="bsheet">#REF!</definedName>
    <definedName name="BSInventories">#REF!</definedName>
    <definedName name="BSLiabsEquity">#REF!</definedName>
    <definedName name="BSLtDebt">#REF!</definedName>
    <definedName name="BSNetPPnE">#REF!</definedName>
    <definedName name="BSOtherAssets">#REF!</definedName>
    <definedName name="BSOtherCurAssets">#REF!</definedName>
    <definedName name="BSOtherCurLiabs">#REF!</definedName>
    <definedName name="BSOtherLtLiabs">#REF!</definedName>
    <definedName name="BSPrefStock">#REF!</definedName>
    <definedName name="BSRetEarnings">#REF!</definedName>
    <definedName name="BSStDebt">#REF!</definedName>
    <definedName name="BSTaxOwing">#REF!</definedName>
    <definedName name="BSTotalAssets">#REF!</definedName>
    <definedName name="BSTotalCurAssets">#REF!</definedName>
    <definedName name="BSTotalCurLiabs">#REF!</definedName>
    <definedName name="BSTotalEquity">#REF!</definedName>
    <definedName name="BSTotalLtLiabs">#REF!</definedName>
    <definedName name="btp_PL">'[74]P&amp;L '!#REF!</definedName>
    <definedName name="BU">#REF!</definedName>
    <definedName name="BudDeprece">#REF!</definedName>
    <definedName name="BudEnergy">#REF!</definedName>
    <definedName name="BudExch">#REF!</definedName>
    <definedName name="BudFinance">#REF!</definedName>
    <definedName name="BUDGET_08_YTD">#REF!</definedName>
    <definedName name="BUDGET_09_MTH">#REF!</definedName>
    <definedName name="BUDGET_09_YTD">#REF!</definedName>
    <definedName name="BudOtherOper">#REF!</definedName>
    <definedName name="BudOtherVar">#REF!</definedName>
    <definedName name="BudPrice">#REF!</definedName>
    <definedName name="BudPulp">#REF!</definedName>
    <definedName name="BudStock">#REF!</definedName>
    <definedName name="BudVolume">#REF!</definedName>
    <definedName name="BudWages">#REF!</definedName>
    <definedName name="BudWood">#REF!</definedName>
    <definedName name="BuildingDepreciation">#REF!</definedName>
    <definedName name="BuiltIn_Print_Area" localSheetId="41">#REF!</definedName>
    <definedName name="BuiltIn_Print_Area" localSheetId="42">#REF!</definedName>
    <definedName name="BuiltIn_Print_Area">#REF!</definedName>
    <definedName name="BuiltIn_Print_Area___0" localSheetId="41">#REF!</definedName>
    <definedName name="BuiltIn_Print_Area___0" localSheetId="42">#REF!</definedName>
    <definedName name="BuiltIn_Print_Area___0">#REF!</definedName>
    <definedName name="BuiltIn_Print_Titles" localSheetId="41">#REF!</definedName>
    <definedName name="BuiltIn_Print_Titles" localSheetId="42">#REF!</definedName>
    <definedName name="BuiltIn_Print_Titles">#REF!</definedName>
    <definedName name="BuiltIn_Print_Titles___0" localSheetId="41">#REF!</definedName>
    <definedName name="BuiltIn_Print_Titles___0" localSheetId="42">#REF!</definedName>
    <definedName name="BuiltIn_Print_Titles___0">#REF!</definedName>
    <definedName name="BUREAU_ETUDES" localSheetId="41">#REF!</definedName>
    <definedName name="BUREAU_ETUDES" localSheetId="42">#REF!</definedName>
    <definedName name="BUREAU_ETUDES">#REF!</definedName>
    <definedName name="BURGLARY">#N/A</definedName>
    <definedName name="Business__Business_Units">"Retrieval_AreaTOTAL+Essbase!$A$1:$E$16"</definedName>
    <definedName name="Bust">#REF!</definedName>
    <definedName name="BW">#REF!</definedName>
    <definedName name="BW.RD">#REF!</definedName>
    <definedName name="BW.RD.W">#REF!</definedName>
    <definedName name="BW.VD">#REF!</definedName>
    <definedName name="BW.VD.W">#REF!</definedName>
    <definedName name="BW.W">#REF!</definedName>
    <definedName name="C_">#REF!</definedName>
    <definedName name="C____0">#REF!</definedName>
    <definedName name="C____1">#N/A</definedName>
    <definedName name="C_C">#REF!</definedName>
    <definedName name="c_dateswitch">#REF!</definedName>
    <definedName name="C_DIIDF" localSheetId="41">#REF!</definedName>
    <definedName name="C_DIIDF" localSheetId="42">#REF!</definedName>
    <definedName name="C_DIIDF">#REF!</definedName>
    <definedName name="C_M">#REF!</definedName>
    <definedName name="c_pageswitch">#REF!</definedName>
    <definedName name="c_pathswitch">#REF!</definedName>
    <definedName name="c_proj_switch">#REF!</definedName>
    <definedName name="c_SSBswitch">#REF!</definedName>
    <definedName name="C_T">#REF!</definedName>
    <definedName name="CA_LIA">[62]Cmadata!#REF!</definedName>
    <definedName name="cacl">#REF!</definedName>
    <definedName name="CAFD12" localSheetId="41">#REF!</definedName>
    <definedName name="CAFD12" localSheetId="42">#REF!</definedName>
    <definedName name="CAFD12">#REF!</definedName>
    <definedName name="cal6.7">[54]secu!#REF!</definedName>
    <definedName name="cal7.8">#REF!</definedName>
    <definedName name="cal7.8_7">[32]_REF!$A$371:$P$412</definedName>
    <definedName name="Calc1CashAvail">#REF!</definedName>
    <definedName name="Calc1CashEOY">#REF!</definedName>
    <definedName name="Calc1CashInt">#REF!</definedName>
    <definedName name="Calc1RevolverEOY">#REF!</definedName>
    <definedName name="Calc1RevolverInt">#REF!</definedName>
    <definedName name="Calc1RevolverIntOne">#REF!</definedName>
    <definedName name="Calc1RevolverIntTwo">#REF!</definedName>
    <definedName name="Calc1TxToRevolver">#REF!</definedName>
    <definedName name="Calc2CashAvail">#REF!</definedName>
    <definedName name="Calc2CashEOY">#REF!</definedName>
    <definedName name="Calc2CashInt">#REF!</definedName>
    <definedName name="Calc2CashIntOne">#REF!</definedName>
    <definedName name="Calc2CashIntTwo">#REF!</definedName>
    <definedName name="Calc2RevolverEOY">#REF!</definedName>
    <definedName name="Calc2RevolverInt">#REF!</definedName>
    <definedName name="Calc2TxToRevolver">#REF!</definedName>
    <definedName name="CalcBookIncome">#REF!</definedName>
    <definedName name="CalcBookIncomeExInt">#REF!</definedName>
    <definedName name="CalcCashAvail">#REF!</definedName>
    <definedName name="CalcCashBOY">#REF!</definedName>
    <definedName name="CalcCashEOY">#REF!</definedName>
    <definedName name="CalcCashExInt">#REF!</definedName>
    <definedName name="CalcCashExTaxInt">#REF!</definedName>
    <definedName name="CalcCashFinance">#REF!</definedName>
    <definedName name="CalcCashInt">#REF!</definedName>
    <definedName name="CalcCashInvest">#REF!</definedName>
    <definedName name="CalcCashMin">#REF!</definedName>
    <definedName name="CalcCashOps">#REF!</definedName>
    <definedName name="CalcCashTotal">#REF!</definedName>
    <definedName name="CalcMAT">#REF!</definedName>
    <definedName name="CalcMATExInt">#REF!</definedName>
    <definedName name="CalcRevolverBOY">#REF!</definedName>
    <definedName name="CalcRevolverEOY">#REF!</definedName>
    <definedName name="CalcRevolverInt">#REF!</definedName>
    <definedName name="CalcTaxableIncome">#REF!</definedName>
    <definedName name="CalcTaxableIncomeExInt">#REF!</definedName>
    <definedName name="CalcTaxCharge">#REF!</definedName>
    <definedName name="CalcTaxDeferred">#REF!</definedName>
    <definedName name="CalcTaxExInt">#REF!</definedName>
    <definedName name="CalcTaxIncome">#REF!</definedName>
    <definedName name="CalcTaxIncomeExInt">#REF!</definedName>
    <definedName name="CalcTaxOwing">#REF!</definedName>
    <definedName name="CalcTaxPaid">#REF!</definedName>
    <definedName name="CalcTaxPaidExInt">#REF!</definedName>
    <definedName name="CalcTxToRevolver">#REF!</definedName>
    <definedName name="Calls_A">#REF!</definedName>
    <definedName name="Calls_B">#REF!</definedName>
    <definedName name="Calls_C">#REF!</definedName>
    <definedName name="Calls_D">#REF!</definedName>
    <definedName name="Calls_E">#REF!</definedName>
    <definedName name="Calls_F">#REF!</definedName>
    <definedName name="Calls_G">#REF!</definedName>
    <definedName name="Calls_T">#REF!</definedName>
    <definedName name="cam_exp">'[75]Lease rents'!$C$25</definedName>
    <definedName name="CAP">#REF!</definedName>
    <definedName name="CAPAPR">[1]Sheet1!#REF!</definedName>
    <definedName name="CAPAUG">[1]Sheet1!#REF!</definedName>
    <definedName name="capch">[65]Valuation!$U$13</definedName>
    <definedName name="CAPDEC">[1]Sheet1!#REF!</definedName>
    <definedName name="Capex">#REF!</definedName>
    <definedName name="CapexDraw">#REF!</definedName>
    <definedName name="CapexInput">#REF!</definedName>
    <definedName name="capexsensitivity">#REF!</definedName>
    <definedName name="CapexYear">#REF!</definedName>
    <definedName name="CAPFEB">[1]Sheet1!#REF!</definedName>
    <definedName name="capital">#REF!</definedName>
    <definedName name="Capital_Inflation">#REF!</definedName>
    <definedName name="capitaladj">#REF!</definedName>
    <definedName name="CAPITALISATION">#REF!</definedName>
    <definedName name="CapitalLink">[76]Capital_by_Years_Valuation!$B$8</definedName>
    <definedName name="CAPJAN">[1]Sheet1!#REF!</definedName>
    <definedName name="CAPJUL">[1]Sheet1!#REF!</definedName>
    <definedName name="CAPJUN">[1]Sheet1!#REF!</definedName>
    <definedName name="CAPMAR">[1]Sheet1!#REF!</definedName>
    <definedName name="CAPMAY">[1]Sheet1!#REF!</definedName>
    <definedName name="capn">#REF!</definedName>
    <definedName name="CAPNOV">[1]Sheet1!#REF!</definedName>
    <definedName name="capnumber">#REF!</definedName>
    <definedName name="CAPOCT">[1]Sheet1!#REF!</definedName>
    <definedName name="CAPSEP">[1]Sheet1!#REF!</definedName>
    <definedName name="capu">[77]Sensitivity_!$E$10</definedName>
    <definedName name="capx">#REF!</definedName>
    <definedName name="Car_Ownewship">#REF!</definedName>
    <definedName name="CarAllowance">[13]SalaryData!$GA$10</definedName>
    <definedName name="CArecap" localSheetId="18" hidden="1">{#N/A,#N/A,FALSE,"RECAP Note Global";#N/A,#N/A,FALSE,"RECAP Note France";#N/A,#N/A,FALSE,"RECAP Note étranger";#N/A,#N/A,FALSE,"RECAP Note Zones"}</definedName>
    <definedName name="CArecap" localSheetId="12" hidden="1">{#N/A,#N/A,FALSE,"RECAP Note Global";#N/A,#N/A,FALSE,"RECAP Note France";#N/A,#N/A,FALSE,"RECAP Note étranger";#N/A,#N/A,FALSE,"RECAP Note Zones"}</definedName>
    <definedName name="CArecap" localSheetId="41" hidden="1">{#N/A,#N/A,FALSE,"RECAP Note Global";#N/A,#N/A,FALSE,"RECAP Note France";#N/A,#N/A,FALSE,"RECAP Note étranger";#N/A,#N/A,FALSE,"RECAP Note Zones"}</definedName>
    <definedName name="CArecap" localSheetId="42" hidden="1">{#N/A,#N/A,FALSE,"RECAP Note Global";#N/A,#N/A,FALSE,"RECAP Note France";#N/A,#N/A,FALSE,"RECAP Note étranger";#N/A,#N/A,FALSE,"RECAP Note Zones"}</definedName>
    <definedName name="CArecap" localSheetId="17" hidden="1">{#N/A,#N/A,FALSE,"RECAP Note Global";#N/A,#N/A,FALSE,"RECAP Note France";#N/A,#N/A,FALSE,"RECAP Note étranger";#N/A,#N/A,FALSE,"RECAP Note Zones"}</definedName>
    <definedName name="CArecap" localSheetId="40" hidden="1">{#N/A,#N/A,FALSE,"RECAP Note Global";#N/A,#N/A,FALSE,"RECAP Note France";#N/A,#N/A,FALSE,"RECAP Note étranger";#N/A,#N/A,FALSE,"RECAP Note Zones"}</definedName>
    <definedName name="CArecap" localSheetId="39" hidden="1">{#N/A,#N/A,FALSE,"RECAP Note Global";#N/A,#N/A,FALSE,"RECAP Note France";#N/A,#N/A,FALSE,"RECAP Note étranger";#N/A,#N/A,FALSE,"RECAP Note Zones"}</definedName>
    <definedName name="CArecap" hidden="1">{#N/A,#N/A,FALSE,"RECAP Note Global";#N/A,#N/A,FALSE,"RECAP Note France";#N/A,#N/A,FALSE,"RECAP Note étranger";#N/A,#N/A,FALSE,"RECAP Note Zones"}</definedName>
    <definedName name="cascrente">#REF!</definedName>
    <definedName name="Case">[78]Input!$G$2</definedName>
    <definedName name="case_Switch">#REF!</definedName>
    <definedName name="casenumber">#REF!</definedName>
    <definedName name="CASH">[62]Cmadata!#REF!</definedName>
    <definedName name="Cashflow">#REF!</definedName>
    <definedName name="Cashflow_print">#REF!</definedName>
    <definedName name="Cashflow_print_25">#REF!</definedName>
    <definedName name="CashFlowDSR">#REF!</definedName>
    <definedName name="Categories9707">#REF!</definedName>
    <definedName name="Categories9708">#REF!</definedName>
    <definedName name="Categories9709">#REF!</definedName>
    <definedName name="Categories9710">#REF!</definedName>
    <definedName name="Categories9711">#REF!</definedName>
    <definedName name="Categories9712">#REF!</definedName>
    <definedName name="cb_sChart155F5559_opts" hidden="1">"1, 1, 1, False, 2, False, False, , 0, False, False, 1, 1"</definedName>
    <definedName name="cb_sChart155F5734_opts" hidden="1">"1, 1, 1, False, 2, False, False, , 0, False, False, 2, 1"</definedName>
    <definedName name="cb_sChart155F57B3_opts" hidden="1">"1, 1, 1, False, 2, False, False, , 0, False, False, 1, 1"</definedName>
    <definedName name="CBS">#REF!</definedName>
    <definedName name="CC">#REF!</definedName>
    <definedName name="ccase">#REF!</definedName>
    <definedName name="ccc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>#REF!</definedName>
    <definedName name="CCCC" localSheetId="19" hidden="1">#REF!</definedName>
    <definedName name="CCCC" localSheetId="12" hidden="1">#REF!</definedName>
    <definedName name="CCCC" localSheetId="41" hidden="1">#REF!</definedName>
    <definedName name="CCCC" localSheetId="42" hidden="1">#REF!</definedName>
    <definedName name="CCCC" localSheetId="36" hidden="1">#REF!</definedName>
    <definedName name="CCCC" localSheetId="28" hidden="1">#REF!</definedName>
    <definedName name="CCCC" localSheetId="29" hidden="1">#REF!</definedName>
    <definedName name="CCCC" localSheetId="14" hidden="1">#REF!</definedName>
    <definedName name="CCCC" localSheetId="20" hidden="1">#REF!</definedName>
    <definedName name="CCCC" localSheetId="15" hidden="1">#REF!</definedName>
    <definedName name="CCCC" localSheetId="37" hidden="1">#REF!</definedName>
    <definedName name="CCCC" localSheetId="24" hidden="1">#REF!</definedName>
    <definedName name="CCCC" localSheetId="25" hidden="1">#REF!</definedName>
    <definedName name="CCCC" localSheetId="17" hidden="1">#REF!</definedName>
    <definedName name="CCCC" localSheetId="11" hidden="1">#REF!</definedName>
    <definedName name="CCCC" localSheetId="40" hidden="1">#REF!</definedName>
    <definedName name="CCCC" localSheetId="39" hidden="1">#REF!</definedName>
    <definedName name="CCCC" localSheetId="23" hidden="1">#REF!</definedName>
    <definedName name="CCCC" localSheetId="32" hidden="1">#REF!</definedName>
    <definedName name="CCCC" localSheetId="38" hidden="1">#REF!</definedName>
    <definedName name="CCCC">[79]Inventory!$AF$11</definedName>
    <definedName name="ccccc" hidden="1">{#N/A,#N/A,FALSE,"Layout Cash Flow"}</definedName>
    <definedName name="ccccccc">[54]secu!#REF!</definedName>
    <definedName name="ccchart1" hidden="1">#REF!</definedName>
    <definedName name="ccchart2" hidden="1">#REF!</definedName>
    <definedName name="ccchart3" hidden="1">#REF!</definedName>
    <definedName name="ccchart4" hidden="1">#REF!</definedName>
    <definedName name="ccchart5" hidden="1">#REF!</definedName>
    <definedName name="cchart1" hidden="1">#REF!</definedName>
    <definedName name="cchart2" hidden="1">#REF!</definedName>
    <definedName name="cchart4" hidden="1">#REF!</definedName>
    <definedName name="cchart5" hidden="1">#REF!</definedName>
    <definedName name="CCLIST">#REF!</definedName>
    <definedName name="CCLookup">#REF!</definedName>
    <definedName name="cctable">[80]CCTable2001!$A$1:$G$288</definedName>
    <definedName name="cdds">#REF!</definedName>
    <definedName name="CDM">#REF!</definedName>
    <definedName name="CE.DIV">'[81]Rep PAO DIV'!$W$27:$AN$82</definedName>
    <definedName name="CE.GEO">'[81]Rep GEO PAO'!$W$33:$AN$88</definedName>
    <definedName name="CELLNOTE0">#REF!</definedName>
    <definedName name="CELLNOTE1">#REF!</definedName>
    <definedName name="CELLNOTE2">#REF!</definedName>
    <definedName name="CELLNOTE3">#REF!</definedName>
    <definedName name="CELLNOTE4">#REF!</definedName>
    <definedName name="CELLNOTE5">#REF!</definedName>
    <definedName name="CELLNOTE6">#REF!</definedName>
    <definedName name="CELLNOTE7">#REF!</definedName>
    <definedName name="CEMENT">'[48]#REF'!#REF!</definedName>
    <definedName name="Centrale">[82]PAO!$B$9:$B$16</definedName>
    <definedName name="CF">#REF!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Deferred_Taxes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rovisions">#REF!</definedName>
    <definedName name="CF_Straight_Debt">#REF!</definedName>
    <definedName name="CF_Straight_Preferred">#REF!</definedName>
    <definedName name="CFAssetProceeds">#REF!</definedName>
    <definedName name="CFCommDividends">#REF!</definedName>
    <definedName name="CFCommStockIssued">#REF!</definedName>
    <definedName name="CFEBITDA">#REF!</definedName>
    <definedName name="CFFinancing">#REF!</definedName>
    <definedName name="CFFree">#REF!</definedName>
    <definedName name="CFIntPaid">#REF!</definedName>
    <definedName name="CFInvestments">#REF!</definedName>
    <definedName name="CFL">#REF!</definedName>
    <definedName name="CFL_1">[68]SI_FIN!#REF!</definedName>
    <definedName name="CFLtLiabs">#REF!</definedName>
    <definedName name="CFOperations">#REF!</definedName>
    <definedName name="CFOtherAssets">#REF!</definedName>
    <definedName name="CFOtherInvestments">#REF!</definedName>
    <definedName name="CFPostIntInc">#REF!</definedName>
    <definedName name="CFPPnE">#REF!</definedName>
    <definedName name="CFPrefDividends">#REF!</definedName>
    <definedName name="CFPrefStockIssued">#REF!</definedName>
    <definedName name="CFRevolver">#REF!</definedName>
    <definedName name="CFTaxPaid">#REF!</definedName>
    <definedName name="CFTotal">#REF!</definedName>
    <definedName name="CFWorkingCapital">#REF!</definedName>
    <definedName name="CGE" localSheetId="41">#REF!</definedName>
    <definedName name="CGE" localSheetId="42">#REF!</definedName>
    <definedName name="CGE">#REF!</definedName>
    <definedName name="CGEA" localSheetId="41">#REF!</definedName>
    <definedName name="CGEA" localSheetId="42">#REF!</definedName>
    <definedName name="CGEA">#REF!</definedName>
    <definedName name="CGEA_ASIA" localSheetId="41">#REF!</definedName>
    <definedName name="CGEA_ASIA" localSheetId="42">#REF!</definedName>
    <definedName name="CGEA_ASIA">#REF!</definedName>
    <definedName name="cgfhjx" hidden="1">{"page1",#N/A,FALSE,"Feuil1";"page2",#N/A,FALSE,"Feuil1";"page3",#N/A,FALSE,"Feuil1";"page4",#N/A,FALSE,"Feuil1"}</definedName>
    <definedName name="cghj" hidden="1">{"assets",#N/A,FALSE,"CONS9703";"liab",#N/A,FALSE,"CONS9703";"pl",#N/A,FALSE,"CONS9703"}</definedName>
    <definedName name="cguhj" hidden="1">{"page1",#N/A,FALSE,"Feuil1";"page2",#N/A,FALSE,"Feuil1";"page3",#N/A,FALSE,"Feuil1";"page4",#N/A,FALSE,"Feuil1"}</definedName>
    <definedName name="cgzj" hidden="1">{#N/A,#N/A,FALSE,"Production 1"}</definedName>
    <definedName name="cha">'[83]ANNX -II'!$B$80:$K$97</definedName>
    <definedName name="change1">[84]Sheet2!$B$1,[84]Sheet2!$B$3,[84]Sheet2!$B$4,[84]Sheet2!$B$5,[84]Sheet2!$B$9,[84]Sheet2!$C$9,[84]Sheet2!$D$9,[84]Sheet2!$B$10,[84]Sheet2!$C$10,[84]Sheet2!$D$10,[84]Sheet2!$B$11,[84]Sheet2!$C$11,[84]Sheet2!$D$11,[84]Sheet2!$B$12,[84]Sheet2!$C$12,[84]Sheet2!$D$12,[84]Sheet2!$B$15,[84]Sheet2!$B$16,[84]Sheet2!$B$17,[84]Sheet2!$C$17,[84]Sheet2!$B$21,[84]Sheet2!$B$22,[84]Sheet2!$B$23,[84]Sheet2!$B$25,[84]Sheet2!$B$26,[84]Sheet2!$B$27,[84]Sheet2!$B$28,[84]Sheet2!$B$29,[84]Sheet2!$B$30,[84]Sheet2!$B$32,[84]Sheet2!$B$33,[84]Sheet2!$B$34,[84]Sheet2!$B$35,[84]Sheet2!$B$36,[84]Sheet2!$B$37,[84]Sheet2!$B$38</definedName>
    <definedName name="change2">[84]Sheet2!$G$4,[84]Sheet2!$G$5,[84]Sheet2!$G$6,[84]Sheet2!$G$9,[84]Sheet2!$G$10,[84]Sheet2!$G$12,[84]Sheet2!$L$3,[84]Sheet2!$L$4,[84]Sheet2!$L$5,[84]Sheet2!$L$6,[84]Sheet2!$L$7,[84]Sheet2!$L$8,[84]Sheet2!$L$9,[84]Sheet2!$L$10,[84]Sheet2!$L$11,[84]Sheet2!$L$13,[84]Sheet2!$L$14,[84]Sheet2!$L$15,[84]Sheet2!$N$13,[84]Sheet2!$L$20,[84]Sheet2!$L$21,[84]Sheet2!$L$22,[84]Sheet2!$L$23,[84]Sheet2!$L$24,[84]Sheet2!$L$25,[84]Sheet2!$L$26,[84]Sheet2!$L$27,[84]Sheet2!$L$28</definedName>
    <definedName name="channels">[85]Channels!$A$2:$B$100</definedName>
    <definedName name="charan">'[40]ANNX -II'!$B$80:$K$97</definedName>
    <definedName name="Charges">#REF!</definedName>
    <definedName name="ChartCaptions">#REF!</definedName>
    <definedName name="ChartingArea">#REF!,#REF!</definedName>
    <definedName name="ChartingLabels">#REF!</definedName>
    <definedName name="check">#REF!</definedName>
    <definedName name="CheckCashInt">#REF!</definedName>
    <definedName name="CheckRevolverInt">#REF!</definedName>
    <definedName name="CheckTxToRevolver">#REF!</definedName>
    <definedName name="chgcvhgvvg" hidden="1">#REF!</definedName>
    <definedName name="chhhhkg" hidden="1">{#N/A,#N/A,FALSE,"Production 1"}</definedName>
    <definedName name="cl">#REF!</definedName>
    <definedName name="Cl_Stock">#REF!</definedName>
    <definedName name="ClearIPOTables">#REF!,#REF!,#REF!,#REF!,#REF!,#REF!,#REF!,#REF!</definedName>
    <definedName name="ClearNoIPOTables">#REF!,#REF!,#REF!,#REF!,#REF!,#REF!,#REF!,#REF!</definedName>
    <definedName name="ClickSpnr">#N/A</definedName>
    <definedName name="CLOSBS">#REF!</definedName>
    <definedName name="close">#REF!</definedName>
    <definedName name="close97">#REF!</definedName>
    <definedName name="closeboh">#REF!</definedName>
    <definedName name="Closed">"2-Closed"</definedName>
    <definedName name="Closed_B">"2-Closed 9/16-9/30"</definedName>
    <definedName name="closekner">#REF!</definedName>
    <definedName name="closepol">#REF!</definedName>
    <definedName name="cm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CN">#REF!</definedName>
    <definedName name="Co" hidden="1">{"'Customer Support Trends'!$A$1:$AB$13"}</definedName>
    <definedName name="co_p">[86]Inputs!#REF!</definedName>
    <definedName name="coa" hidden="1">[87]DET0900!#REF!</definedName>
    <definedName name="cogs">#REF!</definedName>
    <definedName name="coj">[88]Assumptions!#REF!</definedName>
    <definedName name="CokeDustRate">[89]DataSheet!$CH$36</definedName>
    <definedName name="CokeRemelt">#REF!</definedName>
    <definedName name="colAttachment">[90]Recipients!$E$1</definedName>
    <definedName name="colEmail">[90]Recipients!$C$1</definedName>
    <definedName name="colName">[90]Recipients!$A$1</definedName>
    <definedName name="colSendOrNot">[90]Recipients!$D$1</definedName>
    <definedName name="colSuccess">[90]Recipients!$H$1</definedName>
    <definedName name="Column_1">'[91] Parameters'!$E$18</definedName>
    <definedName name="Committed">"3-Committed"</definedName>
    <definedName name="commMaxDiv">#REF!</definedName>
    <definedName name="company">[92]Combined!$F$48</definedName>
    <definedName name="compare">#REF!</definedName>
    <definedName name="COMPRESSOR____450_CFM">'[48]#REF'!$B$49</definedName>
    <definedName name="CON">#REF!</definedName>
    <definedName name="CONDITION_SURVEY_OF_CULVERTS">'[49]11 Condition survey of Culverts'!#REF!</definedName>
    <definedName name="CONNEX" localSheetId="41">#REF!</definedName>
    <definedName name="CONNEX" localSheetId="42">#REF!</definedName>
    <definedName name="CONNEX">#REF!</definedName>
    <definedName name="Construction_Budget">#REF!</definedName>
    <definedName name="Construction_Budget___0">#N/A</definedName>
    <definedName name="Construction_Budget___1">#N/A</definedName>
    <definedName name="Consultation">[93]Assumptions!#REF!</definedName>
    <definedName name="consum">'[28]CONSUMABLES-7'!$A$1:$E$12</definedName>
    <definedName name="consumablespm">'[94]p&amp;l'!#REF!</definedName>
    <definedName name="ConTariff">#REF!</definedName>
    <definedName name="ConTariff_I">#REF!</definedName>
    <definedName name="CONTIGENCY">#REF!</definedName>
    <definedName name="contin">'[28]form ix'!$C$43</definedName>
    <definedName name="Continue">#REF!</definedName>
    <definedName name="Contour">#REF!</definedName>
    <definedName name="Contrôle_çFrance" localSheetId="41">#REF!</definedName>
    <definedName name="Contrôle_çFrance" localSheetId="42">#REF!</definedName>
    <definedName name="Contrôle_çFrance">#REF!</definedName>
    <definedName name="Contrôle_global" localSheetId="41">#REF!</definedName>
    <definedName name="Contrôle_global" localSheetId="42">#REF!</definedName>
    <definedName name="Contrôle_global">#REF!</definedName>
    <definedName name="Conv">#REF!</definedName>
    <definedName name="convention">#REF!</definedName>
    <definedName name="copa_sch6">OFFSET(#REF!,0,0,COUNTA(#REF!),COUNTA(#REF!))</definedName>
    <definedName name="Copper">#REF!</definedName>
    <definedName name="copy" hidden="1">{"'Customer Support Trends'!$A$1:$AB$13"}</definedName>
    <definedName name="copy1" hidden="1">{"'Customer Support Trends'!$A$1:$AB$13"}</definedName>
    <definedName name="copy2" hidden="1">{"'Customer Support Trends'!$A$1:$AB$13"}</definedName>
    <definedName name="COR____dat">#REF!</definedName>
    <definedName name="COR___dat">#REF!</definedName>
    <definedName name="COR___numtrunc">#REF!</definedName>
    <definedName name="CORP">#REF!</definedName>
    <definedName name="COST">'[12]01.11.2004'!#REF!</definedName>
    <definedName name="cost_PLP_server_HW">#REF!</definedName>
    <definedName name="cost_PLP_server_HW2">#REF!</definedName>
    <definedName name="Costa_Rica__Cellular_Subcsribers_by_standard__1994_2001">#REF!</definedName>
    <definedName name="CostCenters">#REF!</definedName>
    <definedName name="CosumablesAF2001">#REF!</definedName>
    <definedName name="cot">[65]wwww!$D$64</definedName>
    <definedName name="cota">[95]Assume!$D$6</definedName>
    <definedName name="cotsw">[65]Assume!$D$6</definedName>
    <definedName name="cottonpricehike">#REF!</definedName>
    <definedName name="Country">[96]Datenbank!$B$3:$M$3</definedName>
    <definedName name="COuntry___0">#REF!</definedName>
    <definedName name="COuntry___1">#N/A</definedName>
    <definedName name="Country_X_Local_Switch_Capacity__000">#REF!</definedName>
    <definedName name="cov">#REF!</definedName>
    <definedName name="Cr">'[97]Exist Assump'!$C$113</definedName>
    <definedName name="cr_monthly_interim_application_no__01_revised__payment_certificate">#REF!</definedName>
    <definedName name="Creditors">#REF!</definedName>
    <definedName name="Creditors_I">#REF!</definedName>
    <definedName name="_xlnm.Criteria">#REF!</definedName>
    <definedName name="crore">'[98]Ph II-Key Assumptions'!$C$203</definedName>
    <definedName name="CU">[99]Sensitivity!$F$14</definedName>
    <definedName name="CU_Factor">[100]Sensitivity!$K$25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CULVERTS">'[73]BOQ Distribution'!$A$27:$G$32</definedName>
    <definedName name="cumforex">#REF!</definedName>
    <definedName name="Curr">#REF!</definedName>
    <definedName name="currecnyboh">#REF!</definedName>
    <definedName name="Currency">#REF!</definedName>
    <definedName name="currencykner">#REF!</definedName>
    <definedName name="current" localSheetId="41">#REF!</definedName>
    <definedName name="current" localSheetId="42">#REF!</definedName>
    <definedName name="current">#REF!</definedName>
    <definedName name="CurrentYear">#REF!</definedName>
    <definedName name="currpol">#REF!</definedName>
    <definedName name="curs04">#REF!</definedName>
    <definedName name="curs05">#REF!</definedName>
    <definedName name="curs06">#REF!</definedName>
    <definedName name="customer" localSheetId="41">#REF!</definedName>
    <definedName name="customer" localSheetId="42">#REF!</definedName>
    <definedName name="customer">#REF!</definedName>
    <definedName name="Customers" hidden="1">{#N/A,#N/A,FALSE,"1996";#N/A,#N/A,FALSE,"1995";#N/A,#N/A,FALSE,"1994"}</definedName>
    <definedName name="CWEX">[101]Input!$E$15</definedName>
    <definedName name="cwip">[102]Schedule!#REF!</definedName>
    <definedName name="CWIPP">[103]Schedule!#REF!</definedName>
    <definedName name="CWNP">#REF!</definedName>
    <definedName name="Cwvu.GREY_ALL." hidden="1">#REF!</definedName>
    <definedName name="CYSS" localSheetId="19" hidden="1">[35]DESBAST!#REF!</definedName>
    <definedName name="CYSS" localSheetId="12" hidden="1">[35]DESBAST!#REF!</definedName>
    <definedName name="CYSS" localSheetId="36" hidden="1">[36]DESBAST!#REF!</definedName>
    <definedName name="CYSS" localSheetId="28" hidden="1">[35]DESBAST!#REF!</definedName>
    <definedName name="CYSS" localSheetId="29" hidden="1">[35]DESBAST!#REF!</definedName>
    <definedName name="CYSS" localSheetId="27" hidden="1">[35]DESBAST!#REF!</definedName>
    <definedName name="CYSS" localSheetId="14" hidden="1">[35]DESBAST!#REF!</definedName>
    <definedName name="CYSS" localSheetId="20" hidden="1">[35]DESBAST!#REF!</definedName>
    <definedName name="CYSS" localSheetId="15" hidden="1">[35]DESBAST!#REF!</definedName>
    <definedName name="CYSS" localSheetId="37" hidden="1">[36]DESBAST!#REF!</definedName>
    <definedName name="CYSS" localSheetId="24" hidden="1">[35]DESBAST!#REF!</definedName>
    <definedName name="CYSS" localSheetId="25" hidden="1">[35]DESBAST!#REF!</definedName>
    <definedName name="CYSS" localSheetId="17" hidden="1">[35]DESBAST!#REF!</definedName>
    <definedName name="CYSS" localSheetId="11" hidden="1">[35]DESBAST!#REF!</definedName>
    <definedName name="CYSS" localSheetId="23" hidden="1">[35]DESBAST!#REF!</definedName>
    <definedName name="CYSS" localSheetId="32" hidden="1">[35]DESBAST!#REF!</definedName>
    <definedName name="CYSS" localSheetId="38" hidden="1">[36]DESBAST!#REF!</definedName>
    <definedName name="CYSS" hidden="1">[35]DESBAST!#REF!</definedName>
    <definedName name="CZK" localSheetId="41">#REF!</definedName>
    <definedName name="CZK" localSheetId="42">#REF!</definedName>
    <definedName name="CZK">#REF!</definedName>
    <definedName name="d" localSheetId="19" hidden="1">[5]DESBASTE!#REF!</definedName>
    <definedName name="d" localSheetId="12" hidden="1">[5]DESBASTE!#REF!</definedName>
    <definedName name="d" localSheetId="20" hidden="1">[5]DESBASTE!#REF!</definedName>
    <definedName name="d" localSheetId="32" hidden="1">[5]DESBASTE!#REF!</definedName>
    <definedName name="d">'[104]Fin-Ind.'!$A$2:$L$90</definedName>
    <definedName name="D_REPVE" localSheetId="41">#REF!</definedName>
    <definedName name="D_REPVE" localSheetId="42">#REF!</definedName>
    <definedName name="D_REPVE">#REF!</definedName>
    <definedName name="dadsa" hidden="1">[105]S1BOQ!#REF!</definedName>
    <definedName name="Daily_Survey">#REF!</definedName>
    <definedName name="DALKIA_DAT_01" localSheetId="41">#REF!</definedName>
    <definedName name="DALKIA_DAT_01" localSheetId="42">#REF!</definedName>
    <definedName name="DALKIA_DAT_01">#REF!</definedName>
    <definedName name="DALKIA_edf_4_50" localSheetId="41">#REF!</definedName>
    <definedName name="DALKIA_edf_4_50" localSheetId="42">#REF!</definedName>
    <definedName name="DALKIA_edf_4_50">#REF!</definedName>
    <definedName name="DALKIA_edf_5_44" localSheetId="41">#REF!</definedName>
    <definedName name="DALKIA_edf_5_44" localSheetId="42">#REF!</definedName>
    <definedName name="DALKIA_edf_5_44">#REF!</definedName>
    <definedName name="DALKIA_edf_5_725176" localSheetId="41">#REF!</definedName>
    <definedName name="DALKIA_edf_5_725176" localSheetId="42">#REF!</definedName>
    <definedName name="DALKIA_edf_5_725176">#REF!</definedName>
    <definedName name="DALKIA_HOLDING" localSheetId="41">#REF!</definedName>
    <definedName name="DALKIA_HOLDING" localSheetId="42">#REF!</definedName>
    <definedName name="DALKIA_HOLDING">#REF!</definedName>
    <definedName name="DALKIA_OD" localSheetId="41">#REF!</definedName>
    <definedName name="DALKIA_OD" localSheetId="42">#REF!</definedName>
    <definedName name="DALKIA_OD">#REF!</definedName>
    <definedName name="DALKIA_TRESORERIE" localSheetId="41">#REF!</definedName>
    <definedName name="DALKIA_TRESORERIE" localSheetId="42">#REF!</definedName>
    <definedName name="DALKIA_TRESORERIE">#REF!</definedName>
    <definedName name="DANEMARK" localSheetId="41">#REF!</definedName>
    <definedName name="DANEMARK" localSheetId="42">#REF!</definedName>
    <definedName name="DANEMARK">#REF!</definedName>
    <definedName name="dap">#REF!</definedName>
    <definedName name="dar">#REF!</definedName>
    <definedName name="Dat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" localSheetId="41">#REF!</definedName>
    <definedName name="Data" localSheetId="42">#REF!</definedName>
    <definedName name="Data">#REF!</definedName>
    <definedName name="DATA_1">#N/A</definedName>
    <definedName name="DATA_2">#N/A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_Table_License_Revenue_by_Product">#REF!</definedName>
    <definedName name="Data_Terminals__000">#REF!</definedName>
    <definedName name="DATA1" localSheetId="41">[106]IFRS!#REF!</definedName>
    <definedName name="DATA1" localSheetId="42">[106]IFRS!#REF!</definedName>
    <definedName name="DATA1">#REF!</definedName>
    <definedName name="DATA10" localSheetId="41">'[107]Korrektur Aufwertungen IFRS2010'!#REF!</definedName>
    <definedName name="DATA10" localSheetId="42">'[107]Korrektur Aufwertungen IFRS2010'!#REF!</definedName>
    <definedName name="DATA10">#REF!</definedName>
    <definedName name="DATA11" localSheetId="41">'[107]Korrektur Aufwertungen IFRS2010'!#REF!</definedName>
    <definedName name="DATA11" localSheetId="42">'[107]Korrektur Aufwertungen IFRS2010'!#REF!</definedName>
    <definedName name="DATA11">#REF!</definedName>
    <definedName name="DATA12">#REF!</definedName>
    <definedName name="DATA13" localSheetId="41">'[107]Korrektur Aufwertungen IFRS2010'!#REF!</definedName>
    <definedName name="DATA13" localSheetId="42">'[107]Korrektur Aufwertungen IFRS2010'!#REF!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'[107]Korrektur Aufwertungen IFRS2010'!#REF!</definedName>
    <definedName name="DATA21">'[107]Korrektur Aufwertungen IFRS2010'!#REF!</definedName>
    <definedName name="DATA22">'[107]Korrektur Aufwertungen IFRS2010'!#REF!</definedName>
    <definedName name="DATA23">'[107]Korrektur Aufwertungen IFRS2010'!#REF!</definedName>
    <definedName name="DATA24">'[107]Korrektur Aufwertungen IFRS2010'!#REF!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 localSheetId="41">#REF!</definedName>
    <definedName name="_xlnm.Database" localSheetId="42">#REF!</definedName>
    <definedName name="_xlnm.Database">[96]Datenbank!$3:$134</definedName>
    <definedName name="Date2">#REF!</definedName>
    <definedName name="Date3">#REF!</definedName>
    <definedName name="DateHeader">#REF!</definedName>
    <definedName name="days">'[98]Ph II-Key Assumptions'!$C$210</definedName>
    <definedName name="daysyr">[108]Input!$E$25</definedName>
    <definedName name="DBASE">#REF!</definedName>
    <definedName name="DBASE___0">#N/A</definedName>
    <definedName name="DBASE___1">#N/A</definedName>
    <definedName name="DBASE2">#REF!</definedName>
    <definedName name="dbed" hidden="1">{"histincome",#N/A,FALSE,"hyfins";"closing balance",#N/A,FALSE,"hyfins"}</definedName>
    <definedName name="DCF" hidden="1">{#N/A,#N/A,FALSE,"DCF Summary";#N/A,#N/A,FALSE,"Casema";#N/A,#N/A,FALSE,"Casema NoTel";#N/A,#N/A,FALSE,"UK";#N/A,#N/A,FALSE,"RCF";#N/A,#N/A,FALSE,"Intercable CZ";#N/A,#N/A,FALSE,"Interkabel P"}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Case">#REF!</definedName>
    <definedName name="dcfcase">#REF!</definedName>
    <definedName name="dchart1" hidden="1">#REF!</definedName>
    <definedName name="dchart4" hidden="1">#REF!</definedName>
    <definedName name="dd" localSheetId="8" hidden="1">{"Daily Survey Report",#N/A,FALSE,"Daily"}</definedName>
    <definedName name="dd" localSheetId="6" hidden="1">{"Daily Survey Report",#N/A,FALSE,"Daily"}</definedName>
    <definedName name="dd" localSheetId="5" hidden="1">{"Daily Survey Report",#N/A,FALSE,"Daily"}</definedName>
    <definedName name="dd" hidden="1">{"Daily Survey Report",#N/A,FALSE,"Daily"}</definedName>
    <definedName name="ddchart1" hidden="1">#REF!</definedName>
    <definedName name="ddd" hidden="1">#REF!,#REF!</definedName>
    <definedName name="DDDDD" hidden="1">{#N/A,#N/A,FALSE,"MODULE3"}</definedName>
    <definedName name="dddddd">'[83]ANNX -II'!$B$80:$K$97</definedName>
    <definedName name="ddd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ddebboh">#REF!</definedName>
    <definedName name="ddebt">#REF!</definedName>
    <definedName name="ddee" hidden="1">{#N/A,#N/A,FALSE,"Finanzbedarsrechnung"}</definedName>
    <definedName name="ddpol">#REF!</definedName>
    <definedName name="ddukd" hidden="1">{"assets",#N/A,FALSE,"CONS9703";"liab",#N/A,FALSE,"CONS9703";"pl",#N/A,FALSE,"CONS9703"}</definedName>
    <definedName name="De">'[109]Debt- Details'!$EU$1</definedName>
    <definedName name="Dealer_Fee">#REF!</definedName>
    <definedName name="Dealer_Penetration">#REF!</definedName>
    <definedName name="DEBIT_SCRAP_List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_Spare_Engine">[69]Assumptions!$E$78</definedName>
    <definedName name="debt_switch">#REF!</definedName>
    <definedName name="debtamort">#REF!</definedName>
    <definedName name="DebtDolForeignBOY">#REF!</definedName>
    <definedName name="DebtDolForeignEOY">#REF!</definedName>
    <definedName name="DebtDolForeignNew">#REF!</definedName>
    <definedName name="DebtDolForeignPayment">#REF!</definedName>
    <definedName name="DebtForeignBOY">#REF!</definedName>
    <definedName name="DebtForeignEOY">#REF!</definedName>
    <definedName name="DebtForeignInflBOY">#REF!</definedName>
    <definedName name="DebtForeignInterest">#REF!</definedName>
    <definedName name="DebtForeignNew">#REF!</definedName>
    <definedName name="DebtForeignPayment">#REF!</definedName>
    <definedName name="DebtLongBOY">#REF!</definedName>
    <definedName name="DebtLongEOY">#REF!</definedName>
    <definedName name="DebtLongInterest">#REF!</definedName>
    <definedName name="DebtLongNew">#REF!</definedName>
    <definedName name="DebtLongPayment">#REF!</definedName>
    <definedName name="DebtLongTotal">#REF!</definedName>
    <definedName name="Debtors">[110]Assumptions!$C$111</definedName>
    <definedName name="debtrig">#REF!</definedName>
    <definedName name="DebtServiceReq">#REF!</definedName>
    <definedName name="Dec_Bal">#REF!</definedName>
    <definedName name="dec07rt">[7]param!$AI$6:$AI$17</definedName>
    <definedName name="Dec95_Bal">#REF!</definedName>
    <definedName name="Def">[111]Market_Share!$A$12</definedName>
    <definedName name="defrev">'[112]PFE - 2005'!$W$50</definedName>
    <definedName name="DelDSR">#REF!</definedName>
    <definedName name="denim98">'[30]Input-D'!#REF!</definedName>
    <definedName name="DEP">#REF!</definedName>
    <definedName name="Dep_Chem">[113]Financials!#REF!</definedName>
    <definedName name="deppm">'[94]p&amp;l'!#REF!</definedName>
    <definedName name="depr">#REF!</definedName>
    <definedName name="depr._override">#REF!</definedName>
    <definedName name="DepreciableAssets">#REF!</definedName>
    <definedName name="depreciation">'[28]form xiiD'!$B$20:$K$26</definedName>
    <definedName name="deq">#REF!</definedName>
    <definedName name="DESC">OFFSET(#REF!,0,0,COUNTA(#REF!),1)</definedName>
    <definedName name="Desc_Bonus">#REF!</definedName>
    <definedName name="Detail">[114]S1BOQ!$A$3</definedName>
    <definedName name="DEVI">[51]Settings!$A$3</definedName>
    <definedName name="df">[115]Assumptions!$P$2</definedName>
    <definedName name="dfa">#REF!</definedName>
    <definedName name="dfaboh">#REF!</definedName>
    <definedName name="dfac1">[115]Assumptions!$P$3</definedName>
    <definedName name="dfapol">#REF!</definedName>
    <definedName name="dfhj">#N/A</definedName>
    <definedName name="dfr">#N/A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ghjk" hidden="1">{"assets",#N/A,FALSE,"CONS9703";"liab",#N/A,FALSE,"CONS9703";"pl",#N/A,FALSE,"CONS9703"}</definedName>
    <definedName name="Difference">#REF!</definedName>
    <definedName name="Directorate_Main_lines">#REF!</definedName>
    <definedName name="Directorate_Main_lines___0">#N/A</definedName>
    <definedName name="Directorate_Main_lines___1">#N/A</definedName>
    <definedName name="DIS">#REF!</definedName>
    <definedName name="Disaggregations">#REF!</definedName>
    <definedName name="discount">#REF!</definedName>
    <definedName name="Discount_on_conversion">'[116]Input -Output sheet'!$C$42</definedName>
    <definedName name="discountRate">#REF!</definedName>
    <definedName name="DisplaySelectedSheetsMacroButton">#REF!</definedName>
    <definedName name="DIST">#REF!</definedName>
    <definedName name="dividendesnord" localSheetId="41">#REF!</definedName>
    <definedName name="dividendesnord" localSheetId="42">#REF!</definedName>
    <definedName name="dividendesnord">#REF!</definedName>
    <definedName name="dividendespeco" localSheetId="41">#REF!</definedName>
    <definedName name="dividendespeco" localSheetId="42">#REF!</definedName>
    <definedName name="dividendespeco">#REF!</definedName>
    <definedName name="dividendessud" localSheetId="41">#REF!</definedName>
    <definedName name="dividendessud" localSheetId="42">#REF!</definedName>
    <definedName name="dividendessud">#REF!</definedName>
    <definedName name="DKK" localSheetId="41">#REF!</definedName>
    <definedName name="DKK" localSheetId="42">#REF!</definedName>
    <definedName name="DKK">#REF!</definedName>
    <definedName name="DLJDFLS" localSheetId="41">#REF!</definedName>
    <definedName name="DLJDFLS" localSheetId="42">#REF!</definedName>
    <definedName name="DLJDFLS">#REF!</definedName>
    <definedName name="DLX2.EUR">[117]Haver!#REF!</definedName>
    <definedName name="DNC">#REF!</definedName>
    <definedName name="Documents_array">#REF!</definedName>
    <definedName name="Dollar">#REF!</definedName>
    <definedName name="Dollar_Diff">#N/A</definedName>
    <definedName name="DollarHeader">#REF!</definedName>
    <definedName name="doTheTick">#N/A</definedName>
    <definedName name="DPS">#REF!</definedName>
    <definedName name="DRBA3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druck14">#REF!</definedName>
    <definedName name="druck141">#REF!</definedName>
    <definedName name="ds">#REF!</definedName>
    <definedName name="dsched">#REF!</definedName>
    <definedName name="DSCR">'[28]DSCR-17'!$B$2:$J$26</definedName>
    <definedName name="DSCR_1">[68]SI_FIN!#REF!</definedName>
    <definedName name="DSCR_Avg">#REF!</definedName>
    <definedName name="DSCR_Min">#REF!</definedName>
    <definedName name="dscrc">#REF!</definedName>
    <definedName name="dscrc_7">#REF!</definedName>
    <definedName name="dscrc_8">#REF!</definedName>
    <definedName name="dsg" hidden="1">{#N/A,#N/A,FALSE,"Calc";#N/A,#N/A,FALSE,"Sensitivity";#N/A,#N/A,FALSE,"LT Earn.Dil.";#N/A,#N/A,FALSE,"Dil. AVP"}</definedName>
    <definedName name="dsghi" localSheetId="18" hidden="1">{#N/A,#N/A,FALSE,"Aging Summary";#N/A,#N/A,FALSE,"Ratio Analysis";#N/A,#N/A,FALSE,"Test 120 Day Accts";#N/A,#N/A,FALSE,"Tickmarks"}</definedName>
    <definedName name="dsghi" localSheetId="12" hidden="1">{#N/A,#N/A,FALSE,"Aging Summary";#N/A,#N/A,FALSE,"Ratio Analysis";#N/A,#N/A,FALSE,"Test 120 Day Accts";#N/A,#N/A,FALSE,"Tickmarks"}</definedName>
    <definedName name="dsghi" localSheetId="41" hidden="1">{#N/A,#N/A,FALSE,"Aging Summary";#N/A,#N/A,FALSE,"Ratio Analysis";#N/A,#N/A,FALSE,"Test 120 Day Accts";#N/A,#N/A,FALSE,"Tickmarks"}</definedName>
    <definedName name="dsghi" localSheetId="42" hidden="1">{#N/A,#N/A,FALSE,"Aging Summary";#N/A,#N/A,FALSE,"Ratio Analysis";#N/A,#N/A,FALSE,"Test 120 Day Accts";#N/A,#N/A,FALSE,"Tickmarks"}</definedName>
    <definedName name="dsghi" localSheetId="17" hidden="1">{#N/A,#N/A,FALSE,"Aging Summary";#N/A,#N/A,FALSE,"Ratio Analysis";#N/A,#N/A,FALSE,"Test 120 Day Accts";#N/A,#N/A,FALSE,"Tickmarks"}</definedName>
    <definedName name="dsghi" localSheetId="40" hidden="1">{#N/A,#N/A,FALSE,"Aging Summary";#N/A,#N/A,FALSE,"Ratio Analysis";#N/A,#N/A,FALSE,"Test 120 Day Accts";#N/A,#N/A,FALSE,"Tickmarks"}</definedName>
    <definedName name="dsghi" localSheetId="39" hidden="1">{#N/A,#N/A,FALSE,"Aging Summary";#N/A,#N/A,FALSE,"Ratio Analysis";#N/A,#N/A,FALSE,"Test 120 Day Accts";#N/A,#N/A,FALSE,"Tickmarks"}</definedName>
    <definedName name="dsghi" hidden="1">{#N/A,#N/A,FALSE,"Aging Summary";#N/A,#N/A,FALSE,"Ratio Analysis";#N/A,#N/A,FALSE,"Test 120 Day Accts";#N/A,#N/A,FALSE,"Tickmarks"}</definedName>
    <definedName name="dss" hidden="1">{#N/A,#N/A,FALSE,"ACQ_GRAPHS";#N/A,#N/A,FALSE,"T_1 GRAPHS";#N/A,#N/A,FALSE,"T_2 GRAPHS";#N/A,#N/A,FALSE,"COMB_GRAPHS"}</definedName>
    <definedName name="DSWshare1">#REF!</definedName>
    <definedName name="DSWshare2">#REF!</definedName>
    <definedName name="dta">[65]wwww!$E$64</definedName>
    <definedName name="DTA_m">#REF!</definedName>
    <definedName name="DTA_mf">#REF!</definedName>
    <definedName name="DTA_mfg">#N/A</definedName>
    <definedName name="dtaaaa">'[118] DTA'!#REF!</definedName>
    <definedName name="DtChange">#REF!,#REF!,#REF!,#REF!,#REF!,#REF!,#REF!,#REF!,#REF!,#REF!,#REF!,#REF!,#REF!,#REF!,#REF!,#REF!,#REF!,#REF!,#REF!,#REF!,#REF!,#REF!</definedName>
    <definedName name="DTGRetrieval_Area">#REF!</definedName>
    <definedName name="dtl">[65]wwww!$F$64</definedName>
    <definedName name="DTS">#REF!</definedName>
    <definedName name="dtuzid" hidden="1">{"page1",#N/A,FALSE,"Feuil1";"page2",#N/A,FALSE,"Feuil1";"page3",#N/A,FALSE,"Feuil1";"page4",#N/A,FALSE,"Feuil1"}</definedName>
    <definedName name="dtzi" hidden="1">{"page1",#N/A,FALSE,"Feuil1";"page2",#N/A,FALSE,"Feuil1";"page3",#N/A,FALSE,"Feuil1";"page4",#N/A,FALSE,"Feuil1"}</definedName>
    <definedName name="dtzic" hidden="1">{#N/A,#N/A,FALSE,"BS9703PET";#N/A,#N/A,FALSE,"BS9703KNE";#N/A,#N/A,FALSE,"BS9703KRP";#N/A,#N/A,FALSE,"BS9703POL"}</definedName>
    <definedName name="dtzu" hidden="1">{"page1",#N/A,FALSE,"Feuil1";"page2",#N/A,FALSE,"Feuil1";"page3",#N/A,FALSE,"Feuil1";"page4",#N/A,FALSE,"Feuil1"}</definedName>
    <definedName name="dvv">#REF!</definedName>
    <definedName name="dzkd" hidden="1">{"assets",#N/A,FALSE,"CONS9703";"liab",#N/A,FALSE,"CONS9703";"pl",#N/A,FALSE,"CONS9703"}</definedName>
    <definedName name="e">#REF!</definedName>
    <definedName name="E_1">#REF!</definedName>
    <definedName name="E_F_A">#REF!</definedName>
    <definedName name="E_G_A">#REF!</definedName>
    <definedName name="E_M_A">#REF!</definedName>
    <definedName name="E_NE" localSheetId="41">#REF!</definedName>
    <definedName name="E_NE" localSheetId="42">#REF!</definedName>
    <definedName name="E_NE">#REF!</definedName>
    <definedName name="E_R_A">#REF!</definedName>
    <definedName name="E_S_A">#REF!</definedName>
    <definedName name="eaf" hidden="1">#REF!</definedName>
    <definedName name="EARTH">'[48]#REF'!$B$34</definedName>
    <definedName name="ebdait">#REF!</definedName>
    <definedName name="EBITDA_Bridge">#REF!</definedName>
    <definedName name="EBITDA_Multiple">'[116]Input -Output sheet'!$C$47</definedName>
    <definedName name="EDIT__END__LEFT__DEL___DOWN">#REF!</definedName>
    <definedName name="EDO">#REF!</definedName>
    <definedName name="edr">#REF!</definedName>
    <definedName name="EE" localSheetId="41">#REF!</definedName>
    <definedName name="EE" localSheetId="42">#REF!</definedName>
    <definedName name="ee">#REF!</definedName>
    <definedName name="eee">#REF!</definedName>
    <definedName name="eeeeeeeeeeee" hidden="1">[119]Proforma!#REF!</definedName>
    <definedName name="eererer" hidden="1">{"mgmt forecast",#N/A,FALSE,"Mgmt Forecast";"dcf table",#N/A,FALSE,"Mgmt Forecast";"sensitivity",#N/A,FALSE,"Mgmt Forecast";"table inputs",#N/A,FALSE,"Mgmt Forecast";"calculations",#N/A,FALSE,"Mgmt Forecast"}</definedName>
    <definedName name="Effective_Tax_Rate">#REF!</definedName>
    <definedName name="EFND12" localSheetId="41">#REF!</definedName>
    <definedName name="EFND12" localSheetId="42">#REF!</definedName>
    <definedName name="EFND12">#REF!</definedName>
    <definedName name="emailAttachment">[90]Help!$B$16</definedName>
    <definedName name="EmailsTodayTable" localSheetId="41">#REF!</definedName>
    <definedName name="EmailsTodayTable" localSheetId="42">#REF!</definedName>
    <definedName name="EmailsTodayTable">#REF!</definedName>
    <definedName name="emailSubject">[90]Help!$B$2</definedName>
    <definedName name="Emilio" localSheetId="19" hidden="1">[120]DESBASTE!#REF!</definedName>
    <definedName name="Emilio" localSheetId="12" hidden="1">[120]DESBASTE!#REF!</definedName>
    <definedName name="Emilio" localSheetId="36" hidden="1">[121]DESBASTE!#REF!</definedName>
    <definedName name="Emilio" localSheetId="28" hidden="1">[120]DESBASTE!#REF!</definedName>
    <definedName name="Emilio" localSheetId="29" hidden="1">[120]DESBASTE!#REF!</definedName>
    <definedName name="Emilio" localSheetId="27" hidden="1">[120]DESBASTE!#REF!</definedName>
    <definedName name="Emilio" localSheetId="14" hidden="1">[120]DESBASTE!#REF!</definedName>
    <definedName name="Emilio" localSheetId="20" hidden="1">[120]DESBASTE!#REF!</definedName>
    <definedName name="Emilio" localSheetId="15" hidden="1">[120]DESBASTE!#REF!</definedName>
    <definedName name="Emilio" localSheetId="37" hidden="1">[121]DESBASTE!#REF!</definedName>
    <definedName name="Emilio" localSheetId="24" hidden="1">[120]DESBASTE!#REF!</definedName>
    <definedName name="Emilio" localSheetId="25" hidden="1">[120]DESBASTE!#REF!</definedName>
    <definedName name="Emilio" localSheetId="17" hidden="1">[120]DESBASTE!#REF!</definedName>
    <definedName name="Emilio" localSheetId="11" hidden="1">[120]DESBASTE!#REF!</definedName>
    <definedName name="Emilio" localSheetId="23" hidden="1">[120]DESBASTE!#REF!</definedName>
    <definedName name="Emilio" localSheetId="32" hidden="1">[120]DESBASTE!#REF!</definedName>
    <definedName name="Emilio" localSheetId="38" hidden="1">[121]DESBASTE!#REF!</definedName>
    <definedName name="Emilio" hidden="1">[120]DESBASTE!#REF!</definedName>
    <definedName name="emilio1" localSheetId="19" hidden="1">#REF!</definedName>
    <definedName name="emilio1" localSheetId="12" hidden="1">#REF!</definedName>
    <definedName name="emilio1" localSheetId="41" hidden="1">#REF!</definedName>
    <definedName name="emilio1" localSheetId="42" hidden="1">#REF!</definedName>
    <definedName name="emilio1" localSheetId="36" hidden="1">#REF!</definedName>
    <definedName name="emilio1" localSheetId="28" hidden="1">#REF!</definedName>
    <definedName name="emilio1" localSheetId="29" hidden="1">#REF!</definedName>
    <definedName name="emilio1" localSheetId="27" hidden="1">#REF!</definedName>
    <definedName name="emilio1" localSheetId="14" hidden="1">#REF!</definedName>
    <definedName name="emilio1" localSheetId="20" hidden="1">#REF!</definedName>
    <definedName name="emilio1" localSheetId="15" hidden="1">#REF!</definedName>
    <definedName name="emilio1" localSheetId="37" hidden="1">#REF!</definedName>
    <definedName name="emilio1" localSheetId="24" hidden="1">#REF!</definedName>
    <definedName name="emilio1" localSheetId="25" hidden="1">#REF!</definedName>
    <definedName name="emilio1" localSheetId="17" hidden="1">#REF!</definedName>
    <definedName name="emilio1" localSheetId="11" hidden="1">#REF!</definedName>
    <definedName name="emilio1" localSheetId="40" hidden="1">#REF!</definedName>
    <definedName name="emilio1" localSheetId="39" hidden="1">#REF!</definedName>
    <definedName name="emilio1" localSheetId="23" hidden="1">#REF!</definedName>
    <definedName name="emilio1" localSheetId="32" hidden="1">#REF!</definedName>
    <definedName name="emilio1" localSheetId="38" hidden="1">#REF!</definedName>
    <definedName name="emilio1" hidden="1">#REF!</definedName>
    <definedName name="Emilio2" localSheetId="19" hidden="1">[122]LLEGADA!#REF!</definedName>
    <definedName name="Emilio2" localSheetId="12" hidden="1">[122]LLEGADA!#REF!</definedName>
    <definedName name="Emilio2" localSheetId="36" hidden="1">[123]LLEGADA!#REF!</definedName>
    <definedName name="Emilio2" localSheetId="28" hidden="1">[122]LLEGADA!#REF!</definedName>
    <definedName name="Emilio2" localSheetId="29" hidden="1">[122]LLEGADA!#REF!</definedName>
    <definedName name="Emilio2" localSheetId="27" hidden="1">[122]LLEGADA!#REF!</definedName>
    <definedName name="Emilio2" localSheetId="14" hidden="1">[122]LLEGADA!#REF!</definedName>
    <definedName name="Emilio2" localSheetId="20" hidden="1">[122]LLEGADA!#REF!</definedName>
    <definedName name="Emilio2" localSheetId="15" hidden="1">[122]LLEGADA!#REF!</definedName>
    <definedName name="Emilio2" localSheetId="37" hidden="1">[123]LLEGADA!#REF!</definedName>
    <definedName name="Emilio2" localSheetId="24" hidden="1">[122]LLEGADA!#REF!</definedName>
    <definedName name="Emilio2" localSheetId="25" hidden="1">[122]LLEGADA!#REF!</definedName>
    <definedName name="Emilio2" localSheetId="17" hidden="1">[122]LLEGADA!#REF!</definedName>
    <definedName name="Emilio2" localSheetId="11" hidden="1">[122]LLEGADA!#REF!</definedName>
    <definedName name="Emilio2" localSheetId="23" hidden="1">[122]LLEGADA!#REF!</definedName>
    <definedName name="Emilio2" localSheetId="32" hidden="1">[122]LLEGADA!#REF!</definedName>
    <definedName name="Emilio2" localSheetId="38" hidden="1">[123]LLEGADA!#REF!</definedName>
    <definedName name="Emilio2" hidden="1">[122]LLEGADA!#REF!</definedName>
    <definedName name="emily" hidden="1">{#N/A,#N/A,FALSE,"Calc";#N/A,#N/A,FALSE,"Sensitivity";#N/A,#N/A,FALSE,"LT Earn.Dil.";#N/A,#N/A,FALSE,"Dil. AVP"}</definedName>
    <definedName name="employeecostpermonth">'[94]p&amp;l'!#REF!</definedName>
    <definedName name="End_Bal" localSheetId="41">#REF!</definedName>
    <definedName name="End_Bal" localSheetId="42">#REF!</definedName>
    <definedName name="End_Bal">#REF!</definedName>
    <definedName name="EndDate">'[124]Acct Recon'!$E$3</definedName>
    <definedName name="ENERGY">'[125]Data Input'!$B$274:$P$375</definedName>
    <definedName name="Enotsure">[126]Data!$D$38</definedName>
    <definedName name="ENTEL_Long_Distance_Tariffs">#REF!</definedName>
    <definedName name="ENTEL_Long_Distance_Tariffs___0">#N/A</definedName>
    <definedName name="ENTEL_Long_Distance_Tariffs___1">#N/A</definedName>
    <definedName name="ENTITY" localSheetId="41">#REF!</definedName>
    <definedName name="ENTITY" localSheetId="42">#REF!</definedName>
    <definedName name="ENTITY">#REF!</definedName>
    <definedName name="EPS">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pDepreciation">#REF!</definedName>
    <definedName name="Equity">#REF!</definedName>
    <definedName name="Equity_Distribute">[127]CF!$B$33</definedName>
    <definedName name="equitycap">'[128]Projected Balance Sheet'!#REF!</definedName>
    <definedName name="ER">#REF!</definedName>
    <definedName name="erika">#N/A</definedName>
    <definedName name="error">#REF!</definedName>
    <definedName name="error___0">#N/A</definedName>
    <definedName name="error___1">#N/A</definedName>
    <definedName name="erty">'[71]Input-D'!#REF!</definedName>
    <definedName name="esc" localSheetId="41">#REF!</definedName>
    <definedName name="esc" localSheetId="42">#REF!</definedName>
    <definedName name="esc">#REF!</definedName>
    <definedName name="esc_constcost">#REF!</definedName>
    <definedName name="esc_constcost_I">#REF!</definedName>
    <definedName name="esc_om_I">#REF!</definedName>
    <definedName name="EscGas3yrs">#REF!</definedName>
    <definedName name="EscGas3yrs_I">#REF!</definedName>
    <definedName name="EscGas4thyr">#REF!</definedName>
    <definedName name="EscGas4thyr_I">#REF!</definedName>
    <definedName name="EscTariff">#REF!</definedName>
    <definedName name="EscTariff_I">#REF!</definedName>
    <definedName name="EscTrans">#REF!</definedName>
    <definedName name="EscTrans_I">#REF!</definedName>
    <definedName name="esgj" hidden="1">{#N/A,#N/A,FALSE,"Production 1"}</definedName>
    <definedName name="EssAliasTable_10">"Default"</definedName>
    <definedName name="EssAliasTable_11">"Default"</definedName>
    <definedName name="EssAliasTable_12">"Default"</definedName>
    <definedName name="EssAliasTable_19">"Default"</definedName>
    <definedName name="EssAliasTable_20">"Default"</definedName>
    <definedName name="EssAliasTable_21">"Default"</definedName>
    <definedName name="EssAliasTable_22">"Default"</definedName>
    <definedName name="EssAliasTable_23">"Default"</definedName>
    <definedName name="EssAliasTable_24">"Default"</definedName>
    <definedName name="EssAliasTable_25">"Default"</definedName>
    <definedName name="EssAliasTable_26">"Default"</definedName>
    <definedName name="EssAliasTable_27">"Default"</definedName>
    <definedName name="EssAliasTable_31">"Default"</definedName>
    <definedName name="EssAliasTable_32">"Default"</definedName>
    <definedName name="EssAliasTable_33">"Default"</definedName>
    <definedName name="EssAliasTable_34">"Default"</definedName>
    <definedName name="EssAliasTable_35">"Default"</definedName>
    <definedName name="EssAliasTable_36">"Default"</definedName>
    <definedName name="EssAliasTable_37">"Default"</definedName>
    <definedName name="EssAliasTable_38">"Default"</definedName>
    <definedName name="EssAliasTable_39">"Default"</definedName>
    <definedName name="EssAliasTable_40">"Default"</definedName>
    <definedName name="EssAliasTable_41">"Default"</definedName>
    <definedName name="EssAliasTable_42">"Default"</definedName>
    <definedName name="EssAliasTable_43">"Default"</definedName>
    <definedName name="EssAliasTable_44">"Default"</definedName>
    <definedName name="EssAliasTable_45">"Default"</definedName>
    <definedName name="EssAliasTable_46">"Default"</definedName>
    <definedName name="EssAliasTable_47">"Default"</definedName>
    <definedName name="EssAliasTable_48">"Default"</definedName>
    <definedName name="EssAliasTable_49">"Default"</definedName>
    <definedName name="EssAliasTable_50">"Default"</definedName>
    <definedName name="EssAliasTable_51">"Default"</definedName>
    <definedName name="EssAliasTable_52">"Default"</definedName>
    <definedName name="EssAliasTable_53">"Default"</definedName>
    <definedName name="EssAliasTable_54">"Default"</definedName>
    <definedName name="EssAliasTable_55">"Default"</definedName>
    <definedName name="EssAliasTable_56">"Default"</definedName>
    <definedName name="EssAliasTable_57">"Default"</definedName>
    <definedName name="EssAliasTable_58">"Default"</definedName>
    <definedName name="EssAliasTable_59">"Default"</definedName>
    <definedName name="EssAliasTable_60">"Default"</definedName>
    <definedName name="EssAliasTable_61">"Default"</definedName>
    <definedName name="EssAliasTable_62">"Default"</definedName>
    <definedName name="EssAliasTable_63">"Default"</definedName>
    <definedName name="EssAliasTable_64">"Default"</definedName>
    <definedName name="EssAliasTable_65">"Default"</definedName>
    <definedName name="EssAliasTable_66">"Default"</definedName>
    <definedName name="EssAliasTable_67">"Default"</definedName>
    <definedName name="EssAliasTable_68">"Default"</definedName>
    <definedName name="EssAliasTable_69">"Default"</definedName>
    <definedName name="EssAliasTable_70">"Default"</definedName>
    <definedName name="EssAliasTable_71">"Default"</definedName>
    <definedName name="EssAliasTable_72">"Default"</definedName>
    <definedName name="EssAliasTable_73">"Default"</definedName>
    <definedName name="EssAliasTable_74">"Default"</definedName>
    <definedName name="EssAliasTable_75">"Default"</definedName>
    <definedName name="EssAliasTable_76">"Default"</definedName>
    <definedName name="EssAliasTable_77">"Default"</definedName>
    <definedName name="EssAliasTable_78">"Default"</definedName>
    <definedName name="EssAliasTable_79">"Default"</definedName>
    <definedName name="EssAliasTable_8">"Default"</definedName>
    <definedName name="EssAliasTable_80">"Default"</definedName>
    <definedName name="EssAliasTable_81">"Default"</definedName>
    <definedName name="EssAliasTable_82">"Default"</definedName>
    <definedName name="EssAliasTable_9">"Default"</definedName>
    <definedName name="EssLatest_10">"Jan"</definedName>
    <definedName name="EssLatest_11">"Jan"</definedName>
    <definedName name="EssLatest_12">"Jan"</definedName>
    <definedName name="EssLatest_19">"Jan"</definedName>
    <definedName name="EssLatest_20">"Jan"</definedName>
    <definedName name="EssLatest_21">"Jan"</definedName>
    <definedName name="EssLatest_22">"Jan"</definedName>
    <definedName name="EssLatest_23">"Jan"</definedName>
    <definedName name="EssLatest_24">"Jan"</definedName>
    <definedName name="EssLatest_25">"Jan"</definedName>
    <definedName name="EssLatest_26">"Jan"</definedName>
    <definedName name="EssLatest_27">"Jan"</definedName>
    <definedName name="EssLatest_31">"Jan"</definedName>
    <definedName name="EssLatest_32">"Jan"</definedName>
    <definedName name="EssLatest_33">"Jan"</definedName>
    <definedName name="EssLatest_34">"Jan"</definedName>
    <definedName name="EssLatest_35">"Jan"</definedName>
    <definedName name="EssLatest_36">"Jan"</definedName>
    <definedName name="EssLatest_37">"Jan"</definedName>
    <definedName name="EssLatest_38">"Jan"</definedName>
    <definedName name="EssLatest_39">"Jan"</definedName>
    <definedName name="EssLatest_40">"Jan"</definedName>
    <definedName name="EssLatest_41">"Jan"</definedName>
    <definedName name="EssLatest_42">"Jan"</definedName>
    <definedName name="EssLatest_43">"Jan"</definedName>
    <definedName name="EssLatest_44">"Jan"</definedName>
    <definedName name="EssLatest_45">"Jan"</definedName>
    <definedName name="EssLatest_46">"Jan"</definedName>
    <definedName name="EssLatest_47">"Jan"</definedName>
    <definedName name="EssLatest_48">"Jan"</definedName>
    <definedName name="EssLatest_49">"Jan"</definedName>
    <definedName name="EssLatest_50">"Jan"</definedName>
    <definedName name="EssLatest_51">"Jan"</definedName>
    <definedName name="EssLatest_52">"Jan"</definedName>
    <definedName name="EssLatest_53">"Jan"</definedName>
    <definedName name="EssLatest_54">"Jan"</definedName>
    <definedName name="EssLatest_55">"Jan"</definedName>
    <definedName name="EssLatest_56">"Jan"</definedName>
    <definedName name="EssLatest_57">"Jan"</definedName>
    <definedName name="EssLatest_58">"Jan"</definedName>
    <definedName name="EssLatest_59">"Jan"</definedName>
    <definedName name="EssLatest_60">"Jan"</definedName>
    <definedName name="EssLatest_61">"Jan"</definedName>
    <definedName name="EssLatest_62">"Jan"</definedName>
    <definedName name="EssLatest_63">"Jan"</definedName>
    <definedName name="EssLatest_64">"Jan"</definedName>
    <definedName name="EssLatest_65">"Jan"</definedName>
    <definedName name="EssLatest_66">"Jan"</definedName>
    <definedName name="EssLatest_67">"Jan"</definedName>
    <definedName name="EssLatest_68">"Jan"</definedName>
    <definedName name="EssLatest_69">"Jan"</definedName>
    <definedName name="EssLatest_70">"Jan"</definedName>
    <definedName name="EssLatest_71">"Jan"</definedName>
    <definedName name="EssLatest_72">"Jan"</definedName>
    <definedName name="EssLatest_73">"Jan"</definedName>
    <definedName name="EssLatest_74">"Jan"</definedName>
    <definedName name="EssLatest_75">"Jan"</definedName>
    <definedName name="EssLatest_76">"Jan"</definedName>
    <definedName name="EssLatest_77">"Jan"</definedName>
    <definedName name="EssLatest_78">"Jan"</definedName>
    <definedName name="EssLatest_79">"Jan"</definedName>
    <definedName name="EssLatest_8">"Jan"</definedName>
    <definedName name="EssLatest_80">"Jan"</definedName>
    <definedName name="EssLatest_81">"Jan"</definedName>
    <definedName name="EssLatest_82">"Jan"</definedName>
    <definedName name="EssLatest_9">"Jan"</definedName>
    <definedName name="EssOptions_10">"A1100100000111000000001101100_01000"</definedName>
    <definedName name="EssOptions_11">"A1100000000111000000001100000_01001-"</definedName>
    <definedName name="EssOptions_12">"A1100000000111000000001100000_01001-"</definedName>
    <definedName name="EssOptions_16">"A1100000000111000000001100000_01001-"</definedName>
    <definedName name="EssOptions_19">"A1100000000111000000001100000_01001-"</definedName>
    <definedName name="EssOptions_20">"A1100000000111000000001100000_01001-"</definedName>
    <definedName name="EssOptions_21">"A1100100000011000000001101100_01000"</definedName>
    <definedName name="EssOptions_22">"A1100000000111000000001100000_01001-"</definedName>
    <definedName name="EssOptions_23">"A1100000000111000000001100000_01001-"</definedName>
    <definedName name="EssOptions_24">"A1100100000011000000001101100_01000"</definedName>
    <definedName name="EssOptions_25">"A1100000000111000000001100000_01001-"</definedName>
    <definedName name="EssOptions_26">"A1100100000111000000001101100_01000"</definedName>
    <definedName name="EssOptions_27">"A1100000000111000000001100100_01000"</definedName>
    <definedName name="EssOptions_31">"A1100000000111000010001100100_01000"</definedName>
    <definedName name="EssOptions_32">"A1100000000111000010001100100_01000"</definedName>
    <definedName name="EssOptions_33">"A1100000000111000010001100100_01000"</definedName>
    <definedName name="EssOptions_34">"A1100000000111000010001100100_01000"</definedName>
    <definedName name="EssOptions_35">"A1100000000111000010001100100_01000"</definedName>
    <definedName name="EssOptions_36">"A1100000000111000010001100100_01000"</definedName>
    <definedName name="EssOptions_37">"A1100000000111000010001100100_01000"</definedName>
    <definedName name="EssOptions_38">"A1100000000111000010001100100_01000"</definedName>
    <definedName name="EssOptions_39">"A1100000000111000010001100100_01000"</definedName>
    <definedName name="EssOptions_40">"A1100000000111000010001100100_01000"</definedName>
    <definedName name="EssOptions_41">"A1100000000111000010001100100_01000"</definedName>
    <definedName name="EssOptions_42">"A1100000000111000010001100100_01000"</definedName>
    <definedName name="EssOptions_43">"A1100000000111000010001100100_01000"</definedName>
    <definedName name="EssOptions_44">"A1100000000111000010001100100_01000"</definedName>
    <definedName name="EssOptions_45">"A1100000000111000010001100100_01000"</definedName>
    <definedName name="EssOptions_46">"A1100000000111000010001100100_01000"</definedName>
    <definedName name="EssOptions_47">"A1100000000111000010001100100_01000"</definedName>
    <definedName name="EssOptions_48">"A1100000000111000010001100100_01000"</definedName>
    <definedName name="EssOptions_49">"A1100000000111000010001100100_01000"</definedName>
    <definedName name="EssOptions_50">"A1100000000111000010001100100_01000"</definedName>
    <definedName name="EssOptions_51">"A1100000000111000010001100100_01000"</definedName>
    <definedName name="EssOptions_52">"A1100000000111000010001100100_01000"</definedName>
    <definedName name="EssOptions_53">"A1100000000111000010001100100_01000"</definedName>
    <definedName name="EssOptions_54">"A1100000000111000010001100100_01000"</definedName>
    <definedName name="EssOptions_55">"A1100000000111000010001100100_01000"</definedName>
    <definedName name="EssOptions_56">"A1100000000111000010001100100_01000"</definedName>
    <definedName name="EssOptions_57">"A1100000000111000010001100100_01000"</definedName>
    <definedName name="EssOptions_58">"A1100000000111000010001100100_01000"</definedName>
    <definedName name="EssOptions_59">"A1100000000111000010001100100_01000"</definedName>
    <definedName name="EssOptions_60">"A1100000000111000010001100100_01000"</definedName>
    <definedName name="EssOptions_61">"A1100000000111000010001100100_01000"</definedName>
    <definedName name="EssOptions_62">"A1100000000111000010001100100_01000"</definedName>
    <definedName name="EssOptions_63">"A1100000000111000010001100100_01000"</definedName>
    <definedName name="EssOptions_64">"A1100000000111000010001100100_01000"</definedName>
    <definedName name="EssOptions_65">"A1100000000111000010001100100_01000"</definedName>
    <definedName name="EssOptions_66">"A1100000000111000010001100100_01000"</definedName>
    <definedName name="EssOptions_67">"A1100000000111000010001100100_01000"</definedName>
    <definedName name="EssOptions_68">"A1100000000111000010001100100_01000"</definedName>
    <definedName name="EssOptions_69">"A1100000000111000010001100100_01000"</definedName>
    <definedName name="EssOptions_70">"A1100000000111000010001100100_01000"</definedName>
    <definedName name="EssOptions_71">"A1100000000111000010001100100_01000"</definedName>
    <definedName name="EssOptions_72">"A1100000000111000010001100100_01000"</definedName>
    <definedName name="EssOptions_73">"A1100000000111000010001100100_01000"</definedName>
    <definedName name="EssOptions_74">"A1100000000111000010001100100_01000"</definedName>
    <definedName name="EssOptions_75">"A1100000000111000010001100100_01000"</definedName>
    <definedName name="EssOptions_76">"A1100000000111000010001100100_01000"</definedName>
    <definedName name="EssOptions_77">"A1100000000111000010001100100_01000"</definedName>
    <definedName name="EssOptions_78">"A1100000000111000010001100100_01000"</definedName>
    <definedName name="EssOptions_79">"A1100000000111000010001100100_01000"</definedName>
    <definedName name="EssOptions_8">"A1100000000011000000001100100_01000"</definedName>
    <definedName name="EssOptions_80">"A1100000000111000010001100100_01000"</definedName>
    <definedName name="EssOptions_81">"A1100000000111000010001100100_01000"</definedName>
    <definedName name="EssOptions_82">"A1100000000111000010001100100_01000"</definedName>
    <definedName name="EssOptions_9">"A1100100000111000000001101100_01000"</definedName>
    <definedName name="EST" localSheetId="41">#REF!</definedName>
    <definedName name="EST" localSheetId="42">#REF!</definedName>
    <definedName name="EST">#REF!</definedName>
    <definedName name="ESTIME2">[7]param!$J$6:$J$17</definedName>
    <definedName name="ESTIME2RT">[7]param!$AD$20:$AD$31</definedName>
    <definedName name="estime2sulo" localSheetId="41">#REF!</definedName>
    <definedName name="estime2sulo" localSheetId="42">#REF!</definedName>
    <definedName name="estime2sulo">#REF!</definedName>
    <definedName name="et35h" hidden="1">{"assets",#N/A,FALSE,"CONS9703";"liab",#N/A,FALSE,"CONS9703";"pl",#N/A,FALSE,"CONS9703"}</definedName>
    <definedName name="etet" hidden="1">{#N/A,#N/A,FALSE,"Calc";#N/A,#N/A,FALSE,"Sensitivity";#N/A,#N/A,FALSE,"LT Earn.Dil.";#N/A,#N/A,FALSE,"Dil. AVP"}</definedName>
    <definedName name="Ethroughput">#REF!</definedName>
    <definedName name="etpcost">'[129]Power &amp; fuel'!#REF!</definedName>
    <definedName name="EUGR" localSheetId="41">#REF!</definedName>
    <definedName name="EUGR" localSheetId="42">#REF!</definedName>
    <definedName name="EUGR">#REF!</definedName>
    <definedName name="EUR">#REF!</definedName>
    <definedName name="Euro" localSheetId="41">#REF!</definedName>
    <definedName name="Euro" localSheetId="42">#REF!</definedName>
    <definedName name="Euro">#REF!</definedName>
    <definedName name="Euro_Diff">#N/A</definedName>
    <definedName name="EUROPCONTINENTAL" localSheetId="41">#REF!</definedName>
    <definedName name="EUROPCONTINENTAL" localSheetId="42">#REF!</definedName>
    <definedName name="EUROPCONTINENTAL">#REF!</definedName>
    <definedName name="EUROPNORD" localSheetId="41">#REF!</definedName>
    <definedName name="EUROPNORD" localSheetId="42">#REF!</definedName>
    <definedName name="EUROPNORD">#REF!</definedName>
    <definedName name="evergreen_ar">#REF!</definedName>
    <definedName name="evergreen_inv">#REF!</definedName>
    <definedName name="Ex_Rate">#REF!</definedName>
    <definedName name="Excel_BuiltIn__FilterDatabase_5">NA()</definedName>
    <definedName name="Excel_BuiltIn_Database" localSheetId="41">#REF!</definedName>
    <definedName name="Excel_BuiltIn_Database" localSheetId="42">#REF!</definedName>
    <definedName name="Excel_BuiltIn_Database">#REF!</definedName>
    <definedName name="Excel_BuiltIn_Database_61" localSheetId="41">#REF!</definedName>
    <definedName name="Excel_BuiltIn_Database_61" localSheetId="42">#REF!</definedName>
    <definedName name="Excel_BuiltIn_Database_61">#REF!</definedName>
    <definedName name="Excel_BuiltIn_Print_Area">#REF!</definedName>
    <definedName name="Excel_BuiltIn_Print_Area_1">"$#REF!.$A$1:$J$33"</definedName>
    <definedName name="Excel_BuiltIn_Print_Area_1_1" localSheetId="41">#REF!</definedName>
    <definedName name="Excel_BuiltIn_Print_Area_1_1" localSheetId="42">#REF!</definedName>
    <definedName name="Excel_BuiltIn_Print_Area_1_1">#REF!</definedName>
    <definedName name="Excel_BuiltIn_Print_Area_11">[130]LoanDetails!#REF!</definedName>
    <definedName name="Excel_BuiltIn_Print_Area_14">#REF!</definedName>
    <definedName name="Excel_BuiltIn_Print_Area_16">#REF!</definedName>
    <definedName name="Excel_BuiltIn_Print_Area_2">#REF!</definedName>
    <definedName name="Excel_BuiltIn_Print_Area_2_1" localSheetId="41">#REF!</definedName>
    <definedName name="Excel_BuiltIn_Print_Area_2_1" localSheetId="42">#REF!</definedName>
    <definedName name="Excel_BuiltIn_Print_Area_2_1">#REF!</definedName>
    <definedName name="Excel_BuiltIn_Print_Area_2_1_1" localSheetId="41">#REF!</definedName>
    <definedName name="Excel_BuiltIn_Print_Area_2_1_1" localSheetId="42">#REF!</definedName>
    <definedName name="Excel_BuiltIn_Print_Area_2_1_1">#REF!</definedName>
    <definedName name="Excel_BuiltIn_Print_Area_27_1">#REF!</definedName>
    <definedName name="Excel_BuiltIn_Print_Area_28">#REF!</definedName>
    <definedName name="Excel_BuiltIn_Print_Area_28_1">#REF!</definedName>
    <definedName name="Excel_BuiltIn_Print_Area_28_1_1">#REF!</definedName>
    <definedName name="Excel_BuiltIn_Print_Area_29">#REF!</definedName>
    <definedName name="Excel_BuiltIn_Print_Area_29_1">#REF!</definedName>
    <definedName name="Excel_BuiltIn_Print_Area_29_1_1">#REF!</definedName>
    <definedName name="Excel_BuiltIn_Print_Area_29_1_1_1">#REF!</definedName>
    <definedName name="Excel_BuiltIn_Print_Area_3_1" localSheetId="41">#REF!</definedName>
    <definedName name="Excel_BuiltIn_Print_Area_3_1" localSheetId="42">#REF!</definedName>
    <definedName name="Excel_BuiltIn_Print_Area_3_1">#REF!</definedName>
    <definedName name="Excel_BuiltIn_Print_Area_30">#REF!</definedName>
    <definedName name="Excel_BuiltIn_Print_Area_30_1">#REF!</definedName>
    <definedName name="Excel_BuiltIn_Print_Area_30_1_1">#REF!</definedName>
    <definedName name="Excel_BuiltIn_Print_Area_30_1_1_1">#REF!</definedName>
    <definedName name="Excel_BuiltIn_Print_Area_31_1">#REF!</definedName>
    <definedName name="Excel_BuiltIn_Print_Area_32">#REF!</definedName>
    <definedName name="Excel_BuiltIn_Print_Area_32_1">#REF!</definedName>
    <definedName name="Excel_BuiltIn_Print_Area_32_1_1">#REF!</definedName>
    <definedName name="Excel_BuiltIn_Print_Area_32_1_1_1">#REF!</definedName>
    <definedName name="Excel_BuiltIn_Print_Area_34">"$Sal_dis.$#REF!$#REF!:$#REF!$#REF!"</definedName>
    <definedName name="Excel_BuiltIn_Print_Area_36">#REF!</definedName>
    <definedName name="Excel_BuiltIn_Print_Area_4" localSheetId="41">#REF!</definedName>
    <definedName name="Excel_BuiltIn_Print_Area_4" localSheetId="42">#REF!</definedName>
    <definedName name="Excel_BuiltIn_Print_Area_4">[39]DEP_CO!#REF!</definedName>
    <definedName name="Excel_BuiltIn_Print_Area_4_1" localSheetId="41">#REF!</definedName>
    <definedName name="Excel_BuiltIn_Print_Area_4_1" localSheetId="42">#REF!</definedName>
    <definedName name="Excel_BuiltIn_Print_Area_4_1">#REF!</definedName>
    <definedName name="Excel_BuiltIn_Print_Area_40_1">#REF!</definedName>
    <definedName name="Excel_BuiltIn_Print_Area_40_1_1">#REF!</definedName>
    <definedName name="Excel_BuiltIn_Print_Area_42_1">#REF!</definedName>
    <definedName name="Excel_BuiltIn_Print_Area_42_1_1">#REF!</definedName>
    <definedName name="Excel_BuiltIn_Print_Area_43_1">#REF!</definedName>
    <definedName name="Excel_BuiltIn_Print_Area_44_1">#REF!</definedName>
    <definedName name="Excel_BuiltIn_Print_Area_45_1">#REF!</definedName>
    <definedName name="Excel_BuiltIn_Print_Area_45_1_1">#REF!</definedName>
    <definedName name="Excel_BuiltIn_Print_Area_46_1">#REF!</definedName>
    <definedName name="Excel_BuiltIn_Print_Area_47_1">#REF!</definedName>
    <definedName name="Excel_BuiltIn_Print_Area_48">#REF!</definedName>
    <definedName name="Excel_BuiltIn_Print_Area_48_1">#REF!</definedName>
    <definedName name="Excel_BuiltIn_Print_Area_48_1_1">#REF!</definedName>
    <definedName name="Excel_BuiltIn_Print_Area_5_1">#REF!</definedName>
    <definedName name="Excel_BuiltIn_Print_Area_50_1">#REF!</definedName>
    <definedName name="Excel_BuiltIn_Print_Area_52_1">#REF!</definedName>
    <definedName name="Excel_BuiltIn_Print_Area_53_1">#REF!</definedName>
    <definedName name="Excel_BuiltIn_Print_Area_54_1">#REF!</definedName>
    <definedName name="Excel_BuiltIn_Print_Area_55_1">#REF!</definedName>
    <definedName name="Excel_BuiltIn_Print_Area_7">#REF!</definedName>
    <definedName name="Excel_BuiltIn_Print_Area_8" localSheetId="41">#REF!</definedName>
    <definedName name="Excel_BuiltIn_Print_Area_8" localSheetId="42">#REF!</definedName>
    <definedName name="Excel_BuiltIn_Print_Area_8">#REF!</definedName>
    <definedName name="Excel_BuiltIn_Print_Titles_1_1_1_1_1_1">#REF!</definedName>
    <definedName name="Excel_BuiltIn_Print_Titles_1_1_1_1_1_1_1">#REF!</definedName>
    <definedName name="Excel_BuiltIn_Print_Titles_1_1_1_1_1_1_1_1">#REF!</definedName>
    <definedName name="Excel_BuiltIn_Print_Titles_1_1_1_1_1_1_1_1_1">#REF!</definedName>
    <definedName name="Excel_BuiltIn_Print_Titles_1_1_1_1_1_1_1_1_1_1">#REF!</definedName>
    <definedName name="Excel_BuiltIn_Print_Titles_1_1_1_1_1_1_1_1_1_1_1">#REF!</definedName>
    <definedName name="Excel_BuiltIn_Print_Titles_1_1_1_1_1_1_1_1_1_1_1_1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40_1">#REF!</definedName>
    <definedName name="excelDirectory">[90]Help!$B$13</definedName>
    <definedName name="EXCH_RATE_CHF">#REF!</definedName>
    <definedName name="EXCH_RATE_DM">#REF!</definedName>
    <definedName name="EXCH_RATE_USD">#REF!</definedName>
    <definedName name="EXCH_RATEPOUND">#REF!</definedName>
    <definedName name="ExchangeDate">[131]HistoricData!$A$1</definedName>
    <definedName name="EXCISE">#REF!</definedName>
    <definedName name="Exercice" localSheetId="41">#REF!</definedName>
    <definedName name="Exercice" localSheetId="42">#REF!</definedName>
    <definedName name="Exercice">#REF!</definedName>
    <definedName name="Exhibit_14_12">#REF!</definedName>
    <definedName name="Exhibit_14_13">#REF!</definedName>
    <definedName name="Exhibit_14_2">#REF!</definedName>
    <definedName name="Exhibit_14_5">#REF!</definedName>
    <definedName name="Exhibit_X__National_Tariffs">#REF!</definedName>
    <definedName name="ExistingCapital">#REF!</definedName>
    <definedName name="exit" hidden="1">{#N/A,#N/A,FALSE,"MODULE3"}</definedName>
    <definedName name="Exp1.4MW">#REF!</definedName>
    <definedName name="Exp1.4MW_I">#REF!</definedName>
    <definedName name="Expected">"4-Expected"</definedName>
    <definedName name="Expected_balance">#REF!</definedName>
    <definedName name="EXPP">#REF!</definedName>
    <definedName name="ExRate_Base">[132]Sensitivity!$F$9</definedName>
    <definedName name="Extra_Pay" localSheetId="41">#REF!</definedName>
    <definedName name="Extra_Pay" localSheetId="42">#REF!</definedName>
    <definedName name="Extra_Pay">#REF!</definedName>
    <definedName name="_xlnm.Extract">#REF!</definedName>
    <definedName name="extraexp">#REF!</definedName>
    <definedName name="extraexpkner">#REF!</definedName>
    <definedName name="extraexppol">#REF!</definedName>
    <definedName name="extraincome">#REF!</definedName>
    <definedName name="extrainmcomekner">#REF!</definedName>
    <definedName name="extreaexboh">#REF!</definedName>
    <definedName name="extrincomboh">#REF!</definedName>
    <definedName name="extrincompol">#REF!</definedName>
    <definedName name="f" localSheetId="41">#REF!</definedName>
    <definedName name="f" localSheetId="42">#REF!</definedName>
    <definedName name="F">'[104]F-FL.'!$A$1:$K$64</definedName>
    <definedName name="F_NEP" localSheetId="41">#REF!</definedName>
    <definedName name="F_NEP" localSheetId="42">#REF!</definedName>
    <definedName name="F_NEP">#REF!</definedName>
    <definedName name="FA">#REF!</definedName>
    <definedName name="fac">#REF!</definedName>
    <definedName name="fact">#REF!</definedName>
    <definedName name="fadf">[133]Stock!$B$4</definedName>
    <definedName name="fant">#REF!</definedName>
    <definedName name="fantimp">#REF!</definedName>
    <definedName name="fantimprod">#REF!</definedName>
    <definedName name="fantimproduction">#REF!</definedName>
    <definedName name="Fax_Terminals__000">#REF!</definedName>
    <definedName name="fc">'[134]Sensitivity '!$C$15</definedName>
    <definedName name="FC_Date">[135]IP!$E$57</definedName>
    <definedName name="fcd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CFD12" localSheetId="41">#REF!</definedName>
    <definedName name="FCFD12" localSheetId="42">#REF!</definedName>
    <definedName name="FCFD12">#REF!</definedName>
    <definedName name="fcuk" hidden="1">{"by departments",#N/A,TRUE,"FORECAST";"cap_headcount",#N/A,TRUE,"FORECAST";"summary",#N/A,TRUE,"FORECAST"}</definedName>
    <definedName name="fd" hidden="1">#REF!</definedName>
    <definedName name="fdskj" hidden="1">{#N/A,#N/A,FALSE,"Model";#N/A,#N/A,FALSE,"Division"}</definedName>
    <definedName name="fdy">[54]secu!#REF!</definedName>
    <definedName name="fe" hidden="1">{#N/A,#N/A,FALSE,"Layout GuV"}</definedName>
    <definedName name="Feb_Bal">#REF!</definedName>
    <definedName name="fedtax">#REF!</definedName>
    <definedName name="FEE">#REF!</definedName>
    <definedName name="feild">'[131]FX (OLD)'!$B$3</definedName>
    <definedName name="ff" hidden="1">{#N/A,#N/A,FALSE,"Layout Aktiva";#N/A,#N/A,FALSE,"Layout Passiva";#N/A,#N/A,FALSE,"Layout GuV";#N/A,#N/A,FALSE,"Layout Cash Flow";#N/A,#N/A,FALSE,"Mittelherkunft";#N/A,#N/A,FALSE,"Mittelverwendung";#N/A,#N/A,FALSE,"Finanzbedarsrechnung"}</definedName>
    <definedName name="fff">'[83]ANNX -II'!$AI$2:$AS$55</definedName>
    <definedName name="fffff">'[83]ANNX -II'!$B$80:$K$97</definedName>
    <definedName name="ffffffffff">'[83]ANNX -II'!$A$6:$V$37</definedName>
    <definedName name="ffy" hidden="1">{#N/A,#N/A,FALSE,"FY97";#N/A,#N/A,FALSE,"FY98";#N/A,#N/A,FALSE,"FY99";#N/A,#N/A,FALSE,"FY00";#N/A,#N/A,FALSE,"FY01"}</definedName>
    <definedName name="fg">[54]secu!#REF!</definedName>
    <definedName name="fgb">'[71]Input-D'!#REF!</definedName>
    <definedName name="FGFGF" hidden="1">{#N/A,#N/A,FALSE,"MODULE3"}</definedName>
    <definedName name="fgfgfgf" hidden="1">{"mgmt forecast",#N/A,FALSE,"Mgmt Forecast";"dcf table",#N/A,FALSE,"Mgmt Forecast";"sensitivity",#N/A,FALSE,"Mgmt Forecast";"table inputs",#N/A,FALSE,"Mgmt Forecast";"calculations",#N/A,FALSE,"Mgmt Forecast"}</definedName>
    <definedName name="fggx" hidden="1">{"page1",#N/A,FALSE,"Feuil1";"page2",#N/A,FALSE,"Feuil1";"page3",#N/A,FALSE,"Feuil1";"page4",#N/A,FALSE,"Feuil1"}</definedName>
    <definedName name="fgh" hidden="1">{"page1",#N/A,FALSE,"Feuil1";"page2",#N/A,FALSE,"Feuil1";"page3",#N/A,FALSE,"Feuil1";"page4",#N/A,FALSE,"Feuil1"}</definedName>
    <definedName name="fghs" hidden="1">{"assets",#N/A,FALSE,"CONS9703";"liab",#N/A,FALSE,"CONS9703";"pl",#N/A,FALSE,"CONS9703"}</definedName>
    <definedName name="fgsg" hidden="1">{"consolidated",#N/A,FALSE,"Sheet1";"cms",#N/A,FALSE,"Sheet1";"fse",#N/A,FALSE,"Sheet1"}</definedName>
    <definedName name="FHEOGF">'[99]Project-Cost'!#REF!</definedName>
    <definedName name="fhg" hidden="1">[87]DET0900!#REF!</definedName>
    <definedName name="fhjk" hidden="1">{"page1",#N/A,FALSE,"Feuil1";"page2",#N/A,FALSE,"Feuil1";"page3",#N/A,FALSE,"Feuil1";"page4",#N/A,FALSE,"Feuil1"}</definedName>
    <definedName name="Fiber">#REF!</definedName>
    <definedName name="Fiber_Optic__000_route_km">#REF!</definedName>
    <definedName name="Field_Crit">#REF!</definedName>
    <definedName name="fill" hidden="1">'[136]Sheet3 (2)'!$A$60:$A$76</definedName>
    <definedName name="FIMEUR">5.94573</definedName>
    <definedName name="FIn_Ind">#REF!</definedName>
    <definedName name="final">[137]Sheet1!#REF!</definedName>
    <definedName name="Finance">#REF!</definedName>
    <definedName name="Financial_Database">#REF!</definedName>
    <definedName name="financierfrance" localSheetId="41">#REF!</definedName>
    <definedName name="financierfrance" localSheetId="42">#REF!</definedName>
    <definedName name="financierfrance">#REF!</definedName>
    <definedName name="financierfrancespe" localSheetId="41">#REF!</definedName>
    <definedName name="financierfrancespe" localSheetId="42">#REF!</definedName>
    <definedName name="financierfrancespe">#REF!</definedName>
    <definedName name="financiernord" localSheetId="41">#REF!</definedName>
    <definedName name="financiernord" localSheetId="42">#REF!</definedName>
    <definedName name="financiernord">#REF!</definedName>
    <definedName name="financierpeco" localSheetId="41">#REF!</definedName>
    <definedName name="financierpeco" localSheetId="42">#REF!</definedName>
    <definedName name="financierpeco">#REF!</definedName>
    <definedName name="financiersud" localSheetId="41">#REF!</definedName>
    <definedName name="financiersud" localSheetId="42">#REF!</definedName>
    <definedName name="financiersud">#REF!</definedName>
    <definedName name="FinishedGoods">'[138] FG VALUATION'!$E$7:$E$8,'[138] FG VALUATION'!$E$10</definedName>
    <definedName name="FINP">#REF!</definedName>
    <definedName name="FIRE">#N/A</definedName>
    <definedName name="First">[139]Int.!$CI$37:$CI$39,[139]Int.!$CI$43,[139]Int.!$CI$45:$CI$47,[139]Int.!$CI$50:$CI$62</definedName>
    <definedName name="firstYear">#REF!</definedName>
    <definedName name="FITTER">'[48]#REF'!$B$11</definedName>
    <definedName name="fix">#REF!</definedName>
    <definedName name="fjk" hidden="1">{"assets",#N/A,FALSE,"CONS9703";"liab",#N/A,FALSE,"CONS9703";"pl",#N/A,FALSE,"CONS9703"}</definedName>
    <definedName name="FLAG">#REF!</definedName>
    <definedName name="flash" hidden="1">'[140]Earnings model'!#REF!</definedName>
    <definedName name="footnotes">#REF!</definedName>
    <definedName name="Footprint">#REF!</definedName>
    <definedName name="forced_on">#REF!</definedName>
    <definedName name="forced_on2">#REF!</definedName>
    <definedName name="FORECAST2">[141]PARAM!$D$1:$D$12</definedName>
    <definedName name="FOREMAN">'[48]#REF'!$B$10</definedName>
    <definedName name="forex">#REF!</definedName>
    <definedName name="FORM_B12G">[142]B12!#REF!</definedName>
    <definedName name="FORM_B13G">[142]B13!#REF!</definedName>
    <definedName name="FORM_B4G">[142]B4!#REF!</definedName>
    <definedName name="FORM_B7.3">#REF!</definedName>
    <definedName name="FORM_IX">'[28]form ix'!$B$3:$K$16</definedName>
    <definedName name="FORM_IX_B">'[28]form ixb'!$C$5:$P$33</definedName>
    <definedName name="FORM_XIIB">'[28]FM XIIB'!$C$4:$K$48</definedName>
    <definedName name="FORM_XV">#REF!</definedName>
    <definedName name="FORM1">#REF!</definedName>
    <definedName name="FORM2A">#REF!</definedName>
    <definedName name="FORM2B">#REF!</definedName>
    <definedName name="FORM3A">#REF!</definedName>
    <definedName name="FORM3B">#REF!</definedName>
    <definedName name="FORM3C">#REF!</definedName>
    <definedName name="FORM3D">#REF!</definedName>
    <definedName name="FORM4A">#REF!</definedName>
    <definedName name="FORM4B">#REF!</definedName>
    <definedName name="FORM5">#REF!</definedName>
    <definedName name="FORM6A">#REF!</definedName>
    <definedName name="FORM6B">#REF!</definedName>
    <definedName name="FormatStringTable">[76]ReportsParameters!$A$50:$E$55</definedName>
    <definedName name="FRAISDEPERS" localSheetId="18" hidden="1">{#N/A,#N/A,FALSE,"RECAP Note Global";#N/A,#N/A,FALSE,"RECAP Note France";#N/A,#N/A,FALSE,"RECAP Note étranger";#N/A,#N/A,FALSE,"RECAP Note Zones"}</definedName>
    <definedName name="FRAISDEPERS" localSheetId="12" hidden="1">{#N/A,#N/A,FALSE,"RECAP Note Global";#N/A,#N/A,FALSE,"RECAP Note France";#N/A,#N/A,FALSE,"RECAP Note étranger";#N/A,#N/A,FALSE,"RECAP Note Zones"}</definedName>
    <definedName name="FRAISDEPERS" localSheetId="41" hidden="1">{#N/A,#N/A,FALSE,"RECAP Note Global";#N/A,#N/A,FALSE,"RECAP Note France";#N/A,#N/A,FALSE,"RECAP Note étranger";#N/A,#N/A,FALSE,"RECAP Note Zones"}</definedName>
    <definedName name="FRAISDEPERS" localSheetId="42" hidden="1">{#N/A,#N/A,FALSE,"RECAP Note Global";#N/A,#N/A,FALSE,"RECAP Note France";#N/A,#N/A,FALSE,"RECAP Note étranger";#N/A,#N/A,FALSE,"RECAP Note Zones"}</definedName>
    <definedName name="FRAISDEPERS" localSheetId="17" hidden="1">{#N/A,#N/A,FALSE,"RECAP Note Global";#N/A,#N/A,FALSE,"RECAP Note France";#N/A,#N/A,FALSE,"RECAP Note étranger";#N/A,#N/A,FALSE,"RECAP Note Zones"}</definedName>
    <definedName name="FRAISDEPERS" localSheetId="40" hidden="1">{#N/A,#N/A,FALSE,"RECAP Note Global";#N/A,#N/A,FALSE,"RECAP Note France";#N/A,#N/A,FALSE,"RECAP Note étranger";#N/A,#N/A,FALSE,"RECAP Note Zones"}</definedName>
    <definedName name="FRAISDEPERS" localSheetId="39" hidden="1">{#N/A,#N/A,FALSE,"RECAP Note Global";#N/A,#N/A,FALSE,"RECAP Note France";#N/A,#N/A,FALSE,"RECAP Note étranger";#N/A,#N/A,FALSE,"RECAP Note Zones"}</definedName>
    <definedName name="FRAISDEPERS" hidden="1">{#N/A,#N/A,FALSE,"RECAP Note Global";#N/A,#N/A,FALSE,"RECAP Note France";#N/A,#N/A,FALSE,"RECAP Note étranger";#N/A,#N/A,FALSE,"RECAP Note Zones"}</definedName>
    <definedName name="FRANCE">#REF!</definedName>
    <definedName name="freephone_share">#REF!</definedName>
    <definedName name="freephone_share2">#REF!</definedName>
    <definedName name="FRN">#REF!</definedName>
    <definedName name="fsfs" hidden="1">{#N/A,#N/A,FALSE,"Calc";#N/A,#N/A,FALSE,"Sensitivity";#N/A,#N/A,FALSE,"LT Earn.Dil.";#N/A,#N/A,FALSE,"Dil. AVP"}</definedName>
    <definedName name="FSI_Assumptions">#REF!</definedName>
    <definedName name="ftebasic">[143]fORMULAE!$AS$7</definedName>
    <definedName name="ftzc" hidden="1">{"page1",#N/A,FALSE,"Feuil1";"page2",#N/A,FALSE,"Feuil1";"page3",#N/A,FALSE,"Feuil1";"page4",#N/A,FALSE,"Feuil1"}</definedName>
    <definedName name="fuck" hidden="1">{"by departments",#N/A,TRUE,"FORECAST";"cap_headcount",#N/A,TRUE,"FORECAST";"summary",#N/A,TRUE,"FORECAST"}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elpm">'[94]p&amp;l'!#REF!</definedName>
    <definedName name="fui" hidden="1">{"page1",#N/A,FALSE,"Feuil1";"page2",#N/A,FALSE,"Feuil1";"page3",#N/A,FALSE,"Feuil1";"page4",#N/A,FALSE,"Feuil1"}</definedName>
    <definedName name="Full_Print" localSheetId="41">#REF!</definedName>
    <definedName name="Full_Print" localSheetId="42">#REF!</definedName>
    <definedName name="Full_Print">#REF!</definedName>
    <definedName name="fund">#REF!</definedName>
    <definedName name="FUNDS">[62]Cmadata!#REF!</definedName>
    <definedName name="FunktionA">2+2+2+2</definedName>
    <definedName name="fuSubsectName">#REF!</definedName>
    <definedName name="FV">#REF!</definedName>
    <definedName name="FwDate">#REF!</definedName>
    <definedName name="FwDay" localSheetId="41">#REF!</definedName>
    <definedName name="FwDay" localSheetId="42">#REF!</definedName>
    <definedName name="FwDay">#REF!</definedName>
    <definedName name="FwMonth" localSheetId="41">#REF!</definedName>
    <definedName name="FwMonth" localSheetId="42">#REF!</definedName>
    <definedName name="FwMonth">#REF!</definedName>
    <definedName name="FwYear" localSheetId="41">#REF!</definedName>
    <definedName name="FwYear" localSheetId="42">#REF!</definedName>
    <definedName name="FwYear">#REF!</definedName>
    <definedName name="FX">#REF!</definedName>
    <definedName name="FX_rate">#N/A</definedName>
    <definedName name="fxfainpol">#REF!</definedName>
    <definedName name="fxgain2pol">#REF!</definedName>
    <definedName name="fxgainboh">#REF!</definedName>
    <definedName name="fxgainloans">#REF!</definedName>
    <definedName name="fxgainloanskner">#REF!</definedName>
    <definedName name="fxgainother">#REF!</definedName>
    <definedName name="fxgainotherboh">#REF!</definedName>
    <definedName name="fxgainotherkner">#REF!</definedName>
    <definedName name="fxloss2pol">#REF!</definedName>
    <definedName name="fxlossboh">#REF!</definedName>
    <definedName name="fxlossloankner">#REF!</definedName>
    <definedName name="fxlossloans">#REF!</definedName>
    <definedName name="fxlossother">#REF!</definedName>
    <definedName name="fxlossotherboh">#REF!</definedName>
    <definedName name="fxlossotherkner">#REF!</definedName>
    <definedName name="fxlosspol">#REF!</definedName>
    <definedName name="FY00Tax_Rate">#REF!</definedName>
    <definedName name="fyCoverDate">#REF!</definedName>
    <definedName name="fyCoverDraft">#REF!</definedName>
    <definedName name="fyCurrencyUnit">#REF!</definedName>
    <definedName name="fye">#REF!</definedName>
    <definedName name="FYMonths">[76]ReportsParameters!$B$42</definedName>
    <definedName name="fyProjectName">#REF!</definedName>
    <definedName name="fySectionName">#REF!</definedName>
    <definedName name="fySheetName">#REF!</definedName>
    <definedName name="fySubsectName">#REF!</definedName>
    <definedName name="fzgij" hidden="1">{"assets",#N/A,FALSE,"CONS9703";"liab",#N/A,FALSE,"CONS9703";"pl",#N/A,FALSE,"CONS9703"}</definedName>
    <definedName name="g" localSheetId="41">#REF!</definedName>
    <definedName name="g" localSheetId="42">#REF!</definedName>
    <definedName name="G">'[104]Lib-Smt'!$A$3:$K$72</definedName>
    <definedName name="G.Assumptions">#REF!</definedName>
    <definedName name="G.BalanceSheet">#REF!</definedName>
    <definedName name="G.BookDeprec">#REF!</definedName>
    <definedName name="G.CashFlow">#REF!</definedName>
    <definedName name="G.CloseBalSheet">#REF!</definedName>
    <definedName name="G.ControlPanel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TaxDeprec">#REF!</definedName>
    <definedName name="G.Triggers">#REF!</definedName>
    <definedName name="G_F_A">#REF!</definedName>
    <definedName name="G_G_A">#REF!</definedName>
    <definedName name="G_M_A">#REF!</definedName>
    <definedName name="G_NORMA" localSheetId="41">#REF!</definedName>
    <definedName name="G_NORMA" localSheetId="42">#REF!</definedName>
    <definedName name="G_NORMA">#REF!</definedName>
    <definedName name="G_R_A">#REF!</definedName>
    <definedName name="G_S_A">#REF!</definedName>
    <definedName name="GA_Crit">#REF!</definedName>
    <definedName name="GA_installation">#REF!</definedName>
    <definedName name="GA_share">#REF!</definedName>
    <definedName name="GA_share2">#REF!</definedName>
    <definedName name="Gain_WASO_Q">#REF!</definedName>
    <definedName name="Gain_WASO_YTD">#REF!</definedName>
    <definedName name="GasCostUnit">#REF!</definedName>
    <definedName name="GasCostUnit_I">#REF!</definedName>
    <definedName name="GasReqUnit">#REF!</definedName>
    <definedName name="GasReqUnit_I">#REF!</definedName>
    <definedName name="GBP" localSheetId="41">#REF!</definedName>
    <definedName name="GBP" localSheetId="42">#REF!</definedName>
    <definedName name="GBP">#REF!</definedName>
    <definedName name="gdgd" hidden="1">{#N/A,#N/A,FALSE,"Calc";#N/A,#N/A,FALSE,"Sensitivity";#N/A,#N/A,FALSE,"LT Earn.Dil.";#N/A,#N/A,FALSE,"Dil. AVP"}</definedName>
    <definedName name="GenAdmin">#REF!</definedName>
    <definedName name="GenAdmin_I">#REF!</definedName>
    <definedName name="generation">#REF!</definedName>
    <definedName name="generation_I">#REF!</definedName>
    <definedName name="gfgffgf" hidden="1">{"mgmt forecast",#N/A,FALSE,"Mgmt Forecast";"dcf table",#N/A,FALSE,"Mgmt Forecast";"sensitivity",#N/A,FALSE,"Mgmt Forecast";"table inputs",#N/A,FALSE,"Mgmt Forecast";"calculations",#N/A,FALSE,"Mgmt Forecast"}</definedName>
    <definedName name="gfh" localSheetId="19" hidden="1">[37]LLEGADA!#REF!</definedName>
    <definedName name="gfh" localSheetId="12" hidden="1">[37]LLEGADA!#REF!</definedName>
    <definedName name="gfh" localSheetId="20" hidden="1">[37]LLEGADA!#REF!</definedName>
    <definedName name="gfh" localSheetId="11" hidden="1">[37]LLEGADA!#REF!</definedName>
    <definedName name="gfh" localSheetId="32" hidden="1">[37]LLEGADA!#REF!</definedName>
    <definedName name="gfh" hidden="1">[37]LLEGADA!#REF!</definedName>
    <definedName name="gfsd" hidden="1">{"consolidated",#N/A,FALSE,"Sheet1";"cms",#N/A,FALSE,"Sheet1";"fse",#N/A,FALSE,"Sheet1"}</definedName>
    <definedName name="gggg" hidden="1">{"ss",#N/A,FALSE,"MODULE3"}</definedName>
    <definedName name="gggggg">'[83]ANNX -II'!$X$20:$AG$41</definedName>
    <definedName name="ghj" hidden="1">{#N/A,#N/A,FALSE,"BS9703PET";#N/A,#N/A,FALSE,"BS9703KNE";#N/A,#N/A,FALSE,"BS9703KRP";#N/A,#N/A,FALSE,"BS9703POL"}</definedName>
    <definedName name="ghjghjh">[72]Anupam!#REF!</definedName>
    <definedName name="ghr">MATCH(0.01,[144]!End_Bal,-1)+1</definedName>
    <definedName name="gikl" hidden="1">{"page1",#N/A,FALSE,"Feuil1";"page2",#N/A,FALSE,"Feuil1";"page3",#N/A,FALSE,"Feuil1";"page4",#N/A,FALSE,"Feuil1"}</definedName>
    <definedName name="GIUI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GIULIO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gkj" hidden="1">{"page1",#N/A,FALSE,"Feuil1";"page2",#N/A,FALSE,"Feuil1";"page3",#N/A,FALSE,"Feuil1";"page4",#N/A,FALSE,"Feuil1"}</definedName>
    <definedName name="gkjl" hidden="1">{"page1",#N/A,FALSE,"Feuil1";"page2",#N/A,FALSE,"Feuil1";"page3",#N/A,FALSE,"Feuil1";"page4",#N/A,FALSE,"Feuil1"}</definedName>
    <definedName name="GLCD">OFFSET(#REF!,0,0,COUNTA(#REF!),1)</definedName>
    <definedName name="gods" hidden="1">{"consolidated",#N/A,FALSE,"Sheet1";"cms",#N/A,FALSE,"Sheet1";"fse",#N/A,FALSE,"Sheet1"}</definedName>
    <definedName name="Gold_Mark_Dn">[44]PC_Cost_Ku!$B$13</definedName>
    <definedName name="goodwill">#REF!</definedName>
    <definedName name="Goodwill_Life">[46]Inputs!#REF!</definedName>
    <definedName name="GoodwillAcc">#REF!</definedName>
    <definedName name="GoodwillAmort">#REF!</definedName>
    <definedName name="GoodwillAmortAcc">#REF!</definedName>
    <definedName name="GoodwillNet">#REF!</definedName>
    <definedName name="GoodwillReversed">#REF!</definedName>
    <definedName name="GoodwillSchedule">#REF!</definedName>
    <definedName name="Govt">#REF!</definedName>
    <definedName name="GRANDE_BRETAGNE" localSheetId="41">#REF!</definedName>
    <definedName name="GRANDE_BRETAGNE" localSheetId="42">#REF!</definedName>
    <definedName name="GRANDE_BRETAGNE">#REF!</definedName>
    <definedName name="granul_extension_pack">#REF!</definedName>
    <definedName name="granul_extension_pack2">#REF!</definedName>
    <definedName name="GRAPH">#REF!</definedName>
    <definedName name="GRAPH___0">#REF!</definedName>
    <definedName name="GRAPH___1">#N/A</definedName>
    <definedName name="Green_Hills_Ltd">'[145]profit reco (2)'!#REF!</definedName>
    <definedName name="GREENLINE" localSheetId="41">#REF!</definedName>
    <definedName name="GREENLINE" localSheetId="42">#REF!</definedName>
    <definedName name="GREENLINE">#REF!</definedName>
    <definedName name="greyfab1">'[30]Input-D'!#REF!</definedName>
    <definedName name="grossblock">'[128]Projected Balance Sheet'!#REF!</definedName>
    <definedName name="grossp">#REF!</definedName>
    <definedName name="Groupe_CGEA_CONNEX" localSheetId="41">Compte Rés 'Execulation Revenue'!Euro</definedName>
    <definedName name="Groupe_CGEA_CONNEX" localSheetId="42">Compte Rés 'Execution Cost'!Euro</definedName>
    <definedName name="Groupe_CGEA_CONNEX" localSheetId="40">Compte Rés [0]!Euro</definedName>
    <definedName name="Groupe_CGEA_CONNEX" localSheetId="39">Compte Rés [0]!Euro</definedName>
    <definedName name="Groupe_CGEA_CONNEX" localSheetId="44">Compte Rés [0]!Euro</definedName>
    <definedName name="Groupe_CGEA_CONNEX">Compte Rés Euro</definedName>
    <definedName name="Grouping">OFFSET(#REF!,0,0,COUNTA(#REF!),COUNTA(#REF!))</definedName>
    <definedName name="gsg">[146]Interrogation!#REF!</definedName>
    <definedName name="gt">[66]ICICI!#REF!</definedName>
    <definedName name="guess">#REF!</definedName>
    <definedName name="GuideRoundNumber">3</definedName>
    <definedName name="guj1.6.7">[54]secu!#REF!</definedName>
    <definedName name="guj2.6.7">[54]secu!#REF!</definedName>
    <definedName name="guj4.5">#REF!</definedName>
    <definedName name="guj4.5_7">[32]_REF!$A$36</definedName>
    <definedName name="gujkc" hidden="1">{"assets",#N/A,FALSE,"CONS9703";"liab",#N/A,FALSE,"CONS9703";"pl",#N/A,FALSE,"CONS9703"}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VKey">""</definedName>
    <definedName name="gw">#REF!</definedName>
    <definedName name="h">'[104]Op-Smt'!$A$1:$L$88</definedName>
    <definedName name="H_SO" localSheetId="41">#REF!</definedName>
    <definedName name="H_SO" localSheetId="42">#REF!</definedName>
    <definedName name="H_SO">#REF!</definedName>
    <definedName name="haldiainvestment">#REF!</definedName>
    <definedName name="halol">[147]HALOL!$A$10:$D$182</definedName>
    <definedName name="HASIL">#REF!</definedName>
    <definedName name="HCSUM">#REF!</definedName>
    <definedName name="hdfc">'[148]Fin. Proj.'!#REF!</definedName>
    <definedName name="Header">#REF!</definedName>
    <definedName name="Header_Row">ROW(#REF!)</definedName>
    <definedName name="hej">#REF!</definedName>
    <definedName name="Hello">#REF!</definedName>
    <definedName name="help">#REF!</definedName>
    <definedName name="hfi" hidden="1">{#N/A,#N/A,FALSE,"Production 1"}</definedName>
    <definedName name="hgjzfruz" hidden="1">{"page1",#N/A,FALSE,"Feuil1";"page2",#N/A,FALSE,"Feuil1";"page3",#N/A,FALSE,"Feuil1";"page4",#N/A,FALSE,"Feuil1"}</definedName>
    <definedName name="hikl" hidden="1">{#N/A,#N/A,FALSE,"BS9703PET";#N/A,#N/A,FALSE,"BS9703KNE";#N/A,#N/A,FALSE,"BS9703KRP";#N/A,#N/A,FALSE,"BS9703POL"}</definedName>
    <definedName name="HISTO3">[7]param!$E$6:$E$17</definedName>
    <definedName name="hjkd" hidden="1">{"page1",#N/A,FALSE,"Feuil1";"page2",#N/A,FALSE,"Feuil1";"page3",#N/A,FALSE,"Feuil1";"page4",#N/A,FALSE,"Feuil1"}</definedName>
    <definedName name="hjz" hidden="1">{#N/A,#N/A,FALSE,"Production 1"}</definedName>
    <definedName name="hkbjh" hidden="1">{"page1",#N/A,FALSE,"Feuil1";"page2",#N/A,FALSE,"Feuil1";"page3",#N/A,FALSE,"Feuil1";"page4",#N/A,FALSE,"Feuil1"}</definedName>
    <definedName name="hkl" hidden="1">{#N/A,#N/A,FALSE,"Production 1"}</definedName>
    <definedName name="hlhljjk" hidden="1">{#N/A,#N/A,FALSE,"BS9703PET";#N/A,#N/A,FALSE,"BS9703KNE";#N/A,#N/A,FALSE,"BS9703KRP";#N/A,#N/A,FALSE,"BS9703POL"}</definedName>
    <definedName name="ho" hidden="1">{"assets",#N/A,FALSE,"CONS9703";"liab",#N/A,FALSE,"CONS9703";"pl",#N/A,FALSE,"CONS9703"}</definedName>
    <definedName name="hoihug" hidden="1">{#N/A,#N/A,FALSE,"Production 1"}</definedName>
    <definedName name="Holding" localSheetId="41">#REF!,#REF!</definedName>
    <definedName name="Holding" localSheetId="42">#REF!,#REF!</definedName>
    <definedName name="Holding">#REF!,#REF!</definedName>
    <definedName name="Holding_asie" localSheetId="41">#REF!</definedName>
    <definedName name="Holding_asie" localSheetId="42">#REF!</definedName>
    <definedName name="Holding_asie">#REF!</definedName>
    <definedName name="holding1" localSheetId="41">#REF!</definedName>
    <definedName name="holding1" localSheetId="42">#REF!</definedName>
    <definedName name="holding1">#REF!</definedName>
    <definedName name="holidays" localSheetId="41">#REF!</definedName>
    <definedName name="holidays" localSheetId="42">#REF!</definedName>
    <definedName name="holidays">#REF!</definedName>
    <definedName name="HONGRIECGEA" localSheetId="41">#REF!</definedName>
    <definedName name="HONGRIECGEA" localSheetId="42">#REF!</definedName>
    <definedName name="HONGRIECGEA">#REF!</definedName>
    <definedName name="hoő" hidden="1">{"assets",#N/A,FALSE,"CONS9703";"liab",#N/A,FALSE,"CONS9703";"pl",#N/A,FALSE,"CONS9703"}</definedName>
    <definedName name="hop" hidden="1">{"page1",#N/A,FALSE,"Feuil1";"page2",#N/A,FALSE,"Feuil1";"page3",#N/A,FALSE,"Feuil1";"page4",#N/A,FALSE,"Feuil1"}</definedName>
    <definedName name="hours">#REF!</definedName>
    <definedName name="hrs">'[98]Ph II-Key Assumptions'!$C$207</definedName>
    <definedName name="HTML_CodePage" hidden="1">1252</definedName>
    <definedName name="HTML_Control" hidden="1">{"'327012'!$A$2:$L$63"}</definedName>
    <definedName name="HTML_Control_2" hidden="1">{"'Trend_Total'!$A$7:$V$10","'Trend_Total'!$A$1:$V$4"}</definedName>
    <definedName name="html_control1" hidden="1">{"'I-1 and I-2'!$A$1:$G$190"}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FileMac" hidden="1">"Senna:shockwave.com:Statistics:Customer support:SWCS_stats.html"</definedName>
    <definedName name="HTML_Title" hidden="1">""</definedName>
    <definedName name="HTML1" hidden="1">{"'Trend_Total'!$A$7:$V$10","'Trend_Total'!$A$1:$V$4"}</definedName>
    <definedName name="htmlDirectory">[90]Help!$B$11</definedName>
    <definedName name="HtmlLastSaved">[90]Help!$B$8</definedName>
    <definedName name="htmlTemplate">[90]Help!$B$7</definedName>
    <definedName name="HV">[149]Sheet1!$R$2:$R$1689</definedName>
    <definedName name="HY">#REF!</definedName>
    <definedName name="i">[39]DEP_CO!#REF!</definedName>
    <definedName name="í" hidden="1">#REF!</definedName>
    <definedName name="I_Anträge_nach_VS_Q1" localSheetId="41">#REF!</definedName>
    <definedName name="I_Anträge_nach_VS_Q1" localSheetId="42">#REF!</definedName>
    <definedName name="I_Anträge_nach_VS_Q1">#REF!</definedName>
    <definedName name="I_CENTRE" localSheetId="41">#REF!</definedName>
    <definedName name="I_CENTRE" localSheetId="42">#REF!</definedName>
    <definedName name="I_CENTRE">#REF!</definedName>
    <definedName name="I_F_A">#REF!</definedName>
    <definedName name="I_G_A">#REF!</definedName>
    <definedName name="I_M_A">#REF!</definedName>
    <definedName name="I_R_A">#REF!</definedName>
    <definedName name="I_S_A">#REF!</definedName>
    <definedName name="iarea1">[150]Input!$B$10:$V$21,[150]Input!$B$28:$V$28,[150]Input!$B$32:$V$43,[150]Input!$B$57:$V$57,[150]Input!$B$66:$B$67,[150]Input!$B$75:$B$76,[150]Input!$C$66:$V$66,[150]Input!$B$69:$V$71,[150]Input!$C$75:$V$75,[150]Input!$B$78:$V$80,[150]Input!$B$111:$V$111,[150]Input!$C$113:$V$118,[150]Input!$B$113:$B$117,[150]Input!$B$44:$V$51,[150]Input!$B$84:$B$85,[150]Input!$C$84:$V$84,[150]Input!$C$87:$V$89,[150]Input!$B$93:$B$94,[150]Input!$C$93:$V$93</definedName>
    <definedName name="iarea2">[150]Input!$B$159:$D$159,[150]Input!$B$162:$D$162,[150]Input!$E$159:$K$159,[150]Input!$E$162:$K$162</definedName>
    <definedName name="iarea3">[150]Input!$C$96:$V$98,[150]Input!$B$102:$B$103,[150]Input!$C$102:$V$102,[150]Input!$C$105:$V$107,[150]Input!$B$123:$B$124,[150]Input!$C$123:$V$123,[150]Input!$B$132:$V$135,[150]Input!$B$139:$V$142</definedName>
    <definedName name="ICICI">#REF!</definedName>
    <definedName name="icici_cpp_1500">[151]PRJINT!#REF!</definedName>
    <definedName name="icici_mes_2000">[151]PRJINT!#REF!</definedName>
    <definedName name="idc">'[152]Debt Scheduling'!$E$49:$Q$49</definedName>
    <definedName name="IDC_Cal">#REF!</definedName>
    <definedName name="IDC_Cal_2">#REF!</definedName>
    <definedName name="IDC_Calculated">#REF!</definedName>
    <definedName name="IDC_Calculated_Value">'[99]Project-Capex'!$E$123:$AT$123</definedName>
    <definedName name="IDC_Calculated_Value_1">'[99]Project-Capex'!$E$153:$AT$153</definedName>
    <definedName name="IDC_Calculated_Value_2">'[77]Project-Capex'!$G$369:$AV$369</definedName>
    <definedName name="IDC_Diff">#REF!</definedName>
    <definedName name="IDC_Diff_2">#REF!</definedName>
    <definedName name="IDC_Difference">#REF!</definedName>
    <definedName name="IDC_Pas">#REF!</definedName>
    <definedName name="IDC_Pas_2">#REF!</definedName>
    <definedName name="IDC_Paste">#REF!</definedName>
    <definedName name="IDC_Pasted">#REF!</definedName>
    <definedName name="IDC_Pasted_Value">#REF!</definedName>
    <definedName name="IDC_Pasted_Value_1">'[99]Project-Capex'!$E$154:$AT$154</definedName>
    <definedName name="IDC_Pasted_Value_2">'[77]Project-Capex'!$G$370:$AV$370</definedName>
    <definedName name="IDN">#REF!</definedName>
    <definedName name="IDReference" hidden="1">"A1"</definedName>
    <definedName name="IdxDiscount">#REF!</definedName>
    <definedName name="IdxDollar">#REF!</definedName>
    <definedName name="IdxInflation">#REF!</definedName>
    <definedName name="IdxRupeeDep">#REF!</definedName>
    <definedName name="IFN">#REF!</definedName>
    <definedName name="IFRS" localSheetId="41">[6]ND!#REF!</definedName>
    <definedName name="IFRS" localSheetId="42">[6]ND!#REF!</definedName>
    <definedName name="IFRS">[6]ND!#REF!</definedName>
    <definedName name="ii" localSheetId="18" hidden="1">{#N/A,#N/A,FALSE,"RECAP Note Global";#N/A,#N/A,FALSE,"RECAP Note France";#N/A,#N/A,FALSE,"RECAP Note étranger";#N/A,#N/A,FALSE,"RECAP Note Zones"}</definedName>
    <definedName name="ii" localSheetId="12" hidden="1">{#N/A,#N/A,FALSE,"RECAP Note Global";#N/A,#N/A,FALSE,"RECAP Note France";#N/A,#N/A,FALSE,"RECAP Note étranger";#N/A,#N/A,FALSE,"RECAP Note Zones"}</definedName>
    <definedName name="ii" localSheetId="41" hidden="1">{#N/A,#N/A,FALSE,"RECAP Note Global";#N/A,#N/A,FALSE,"RECAP Note France";#N/A,#N/A,FALSE,"RECAP Note étranger";#N/A,#N/A,FALSE,"RECAP Note Zones"}</definedName>
    <definedName name="ii" localSheetId="42" hidden="1">{#N/A,#N/A,FALSE,"RECAP Note Global";#N/A,#N/A,FALSE,"RECAP Note France";#N/A,#N/A,FALSE,"RECAP Note étranger";#N/A,#N/A,FALSE,"RECAP Note Zones"}</definedName>
    <definedName name="ii" localSheetId="17" hidden="1">{#N/A,#N/A,FALSE,"RECAP Note Global";#N/A,#N/A,FALSE,"RECAP Note France";#N/A,#N/A,FALSE,"RECAP Note étranger";#N/A,#N/A,FALSE,"RECAP Note Zones"}</definedName>
    <definedName name="ii" localSheetId="40" hidden="1">{#N/A,#N/A,FALSE,"RECAP Note Global";#N/A,#N/A,FALSE,"RECAP Note France";#N/A,#N/A,FALSE,"RECAP Note étranger";#N/A,#N/A,FALSE,"RECAP Note Zones"}</definedName>
    <definedName name="ii" localSheetId="39" hidden="1">{#N/A,#N/A,FALSE,"RECAP Note Global";#N/A,#N/A,FALSE,"RECAP Note France";#N/A,#N/A,FALSE,"RECAP Note étranger";#N/A,#N/A,FALSE,"RECAP Note Zones"}</definedName>
    <definedName name="ii">#REF!</definedName>
    <definedName name="iiiii" hidden="1">{#N/A,#N/A,FALSE,"Calc";#N/A,#N/A,FALSE,"Sensitivity";#N/A,#N/A,FALSE,"LT Earn.Dil.";#N/A,#N/A,FALSE,"Dil. AVP"}</definedName>
    <definedName name="ik" hidden="1">{#N/A,#N/A,FALSE,"Calc";#N/A,#N/A,FALSE,"Sensitivity";#N/A,#N/A,FALSE,"LT Earn.Dil.";#N/A,#N/A,FALSE,"Dil. AVP"}</definedName>
    <definedName name="ilg" hidden="1">{#N/A,#N/A,FALSE,"Production 1"}</definedName>
    <definedName name="im">#REF!</definedName>
    <definedName name="IMP.Produkt01">[153]Import!$J$57</definedName>
    <definedName name="IMP.Produkt02">[153]Import!$J$58</definedName>
    <definedName name="IMP.Produkt03">[153]Import!$J$59</definedName>
    <definedName name="IMP.Produkt04">[153]Import!$J$60</definedName>
    <definedName name="IMP.Produkt05">[153]Import!$J$61</definedName>
    <definedName name="inc_int">[154]Summary!$E$7</definedName>
    <definedName name="inc_oc">[98]Summary!$E$41</definedName>
    <definedName name="inc_op">[154]Summary!$E$11</definedName>
    <definedName name="inc_pc">[155]Summary!$E$55</definedName>
    <definedName name="inc_rm">[154]Summary!$E$10</definedName>
    <definedName name="Include_Learning">#REF!</definedName>
    <definedName name="INCOME">#REF!</definedName>
    <definedName name="INCOME_TAX">#REF!</definedName>
    <definedName name="INCOME_TAX_COMPUTATION">#REF!</definedName>
    <definedName name="Ind">#REF!</definedName>
    <definedName name="INDCEF_LB_DRY_SUSP__IJ__30_ML">#REF!</definedName>
    <definedName name="INDE" localSheetId="41">#REF!</definedName>
    <definedName name="INDE" localSheetId="42">#REF!</definedName>
    <definedName name="INDE">#REF!</definedName>
    <definedName name="Index">#REF!</definedName>
    <definedName name="IndexColumn">#REF!</definedName>
    <definedName name="indic" hidden="1">40753.6389930556</definedName>
    <definedName name="INDIGENOUS_P_M">#REF!</definedName>
    <definedName name="INEABUSINESSMODEL_REPORT0">'[156]PBZ - DEVISE LOCALE'!$E$4</definedName>
    <definedName name="INEACONTAINER_REPORT0" localSheetId="41">#REF!</definedName>
    <definedName name="INEACONTAINER_REPORT0" localSheetId="42">#REF!</definedName>
    <definedName name="INEACONTAINER_REPORT0">#REF!</definedName>
    <definedName name="INEADIM0ROW_REPORT0" localSheetId="41">#REF!</definedName>
    <definedName name="INEADIM0ROW_REPORT0" localSheetId="42">#REF!</definedName>
    <definedName name="INEADIM0ROW_REPORT0">#REF!</definedName>
    <definedName name="INEADIM0ROW_REPORT1" localSheetId="41">#REF!</definedName>
    <definedName name="INEADIM0ROW_REPORT1" localSheetId="42">#REF!</definedName>
    <definedName name="INEADIM0ROW_REPORT1">#REF!</definedName>
    <definedName name="INEADIM0ROW_REPORT2" localSheetId="41">#REF!</definedName>
    <definedName name="INEADIM0ROW_REPORT2" localSheetId="42">#REF!</definedName>
    <definedName name="INEADIM0ROW_REPORT2">#REF!</definedName>
    <definedName name="INEADIM1_REPORT0">'[156]PBZ - DEVISE LOCALE'!$E$7</definedName>
    <definedName name="INEADIM1_REPORT1" localSheetId="41">#REF!</definedName>
    <definedName name="INEADIM1_REPORT1" localSheetId="42">#REF!</definedName>
    <definedName name="INEADIM1_REPORT1">#REF!</definedName>
    <definedName name="INEADIM1_REPORT2" localSheetId="41">#REF!</definedName>
    <definedName name="INEADIM1_REPORT2" localSheetId="42">#REF!</definedName>
    <definedName name="INEADIM1_REPORT2">#REF!</definedName>
    <definedName name="INEADIM1_REPORT3" localSheetId="41">#REF!</definedName>
    <definedName name="INEADIM1_REPORT3" localSheetId="42">#REF!</definedName>
    <definedName name="INEADIM1_REPORT3">#REF!</definedName>
    <definedName name="INEADIM11_REPORT0">'[156]PBZ - DEVISE LOCALE'!$E$5</definedName>
    <definedName name="INEADIM11_REPORT1" localSheetId="41">#REF!</definedName>
    <definedName name="INEADIM11_REPORT1" localSheetId="42">#REF!</definedName>
    <definedName name="INEADIM11_REPORT1">#REF!</definedName>
    <definedName name="INEADIM11_REPORT2" localSheetId="41">#REF!</definedName>
    <definedName name="INEADIM11_REPORT2" localSheetId="42">#REF!</definedName>
    <definedName name="INEADIM11_REPORT2">#REF!</definedName>
    <definedName name="INEADIM11_REPORT3" localSheetId="41">#REF!</definedName>
    <definedName name="INEADIM11_REPORT3" localSheetId="42">#REF!</definedName>
    <definedName name="INEADIM11_REPORT3">#REF!</definedName>
    <definedName name="INEADIM11LABEL_REPORT0" localSheetId="41">#REF!</definedName>
    <definedName name="INEADIM11LABEL_REPORT0" localSheetId="42">#REF!</definedName>
    <definedName name="INEADIM11LABEL_REPORT0">#REF!</definedName>
    <definedName name="INEADIM12_REPORT0">'[156]PBZ - DEVISE LOCALE'!$E$6</definedName>
    <definedName name="INEADIM12_REPORT1" localSheetId="41">#REF!</definedName>
    <definedName name="INEADIM12_REPORT1" localSheetId="42">#REF!</definedName>
    <definedName name="INEADIM12_REPORT1">#REF!</definedName>
    <definedName name="INEADIM12_REPORT2" localSheetId="41">#REF!</definedName>
    <definedName name="INEADIM12_REPORT2" localSheetId="42">#REF!</definedName>
    <definedName name="INEADIM12_REPORT2">#REF!</definedName>
    <definedName name="INEADIM12_REPORT3" localSheetId="41">#REF!</definedName>
    <definedName name="INEADIM12_REPORT3" localSheetId="42">#REF!</definedName>
    <definedName name="INEADIM12_REPORT3">#REF!</definedName>
    <definedName name="INEADIM12COLUMN_REPORT0" localSheetId="41">[157]ugt!#REF!</definedName>
    <definedName name="INEADIM12COLUMN_REPORT0" localSheetId="42">[157]ugt!#REF!</definedName>
    <definedName name="INEADIM12COLUMN_REPORT0">[157]ugt!#REF!</definedName>
    <definedName name="INEADIM13ROW_REPORT0" localSheetId="41">#REF!</definedName>
    <definedName name="INEADIM13ROW_REPORT0" localSheetId="42">#REF!</definedName>
    <definedName name="INEADIM13ROW_REPORT0">#REF!</definedName>
    <definedName name="INEADIM14ROW_REPORT1" localSheetId="41">#REF!</definedName>
    <definedName name="INEADIM14ROW_REPORT1" localSheetId="42">#REF!</definedName>
    <definedName name="INEADIM14ROW_REPORT1">#REF!</definedName>
    <definedName name="INEADIM14ROW_REPORT2" localSheetId="41">#REF!</definedName>
    <definedName name="INEADIM14ROW_REPORT2" localSheetId="42">#REF!</definedName>
    <definedName name="INEADIM14ROW_REPORT2">#REF!</definedName>
    <definedName name="INEADIM14ROW_REPORT3" localSheetId="41">#REF!</definedName>
    <definedName name="INEADIM14ROW_REPORT3" localSheetId="42">#REF!</definedName>
    <definedName name="INEADIM14ROW_REPORT3">#REF!</definedName>
    <definedName name="INEADIM18_REPORT0">'[156]PBZ - DEVISE LOCALE'!$E$11</definedName>
    <definedName name="INEADIM18_REPORT1" localSheetId="41">#REF!</definedName>
    <definedName name="INEADIM18_REPORT1" localSheetId="42">#REF!</definedName>
    <definedName name="INEADIM18_REPORT1">#REF!</definedName>
    <definedName name="INEADIM18_REPORT2" localSheetId="41">#REF!</definedName>
    <definedName name="INEADIM18_REPORT2" localSheetId="42">#REF!</definedName>
    <definedName name="INEADIM18_REPORT2">#REF!</definedName>
    <definedName name="INEADIM18_REPORT3" localSheetId="41">#REF!</definedName>
    <definedName name="INEADIM18_REPORT3" localSheetId="42">#REF!</definedName>
    <definedName name="INEADIM18_REPORT3">#REF!</definedName>
    <definedName name="INEADIM18LABEL_REPORT0" localSheetId="41">#REF!</definedName>
    <definedName name="INEADIM18LABEL_REPORT0" localSheetId="42">#REF!</definedName>
    <definedName name="INEADIM18LABEL_REPORT0">#REF!</definedName>
    <definedName name="INEADIM1LABEL_REPORT0" localSheetId="41">#REF!</definedName>
    <definedName name="INEADIM1LABEL_REPORT0" localSheetId="42">#REF!</definedName>
    <definedName name="INEADIM1LABEL_REPORT0">#REF!</definedName>
    <definedName name="INEADIM2_REPORT0">'[156]PBZ - DEVISE LOCALE'!$E$8</definedName>
    <definedName name="INEADIM2_REPORT1" localSheetId="41">#REF!</definedName>
    <definedName name="INEADIM2_REPORT1" localSheetId="42">#REF!</definedName>
    <definedName name="INEADIM2_REPORT1">#REF!</definedName>
    <definedName name="INEADIM2_REPORT2" localSheetId="41">#REF!</definedName>
    <definedName name="INEADIM2_REPORT2" localSheetId="42">#REF!</definedName>
    <definedName name="INEADIM2_REPORT2">#REF!</definedName>
    <definedName name="INEADIM2_REPORT3" localSheetId="41">#REF!</definedName>
    <definedName name="INEADIM2_REPORT3" localSheetId="42">#REF!</definedName>
    <definedName name="INEADIM2_REPORT3">#REF!</definedName>
    <definedName name="INEADIM2LABEL_REPORT0" localSheetId="41">#REF!</definedName>
    <definedName name="INEADIM2LABEL_REPORT0" localSheetId="42">#REF!</definedName>
    <definedName name="INEADIM2LABEL_REPORT0">#REF!</definedName>
    <definedName name="INEADIM5_REPORT0">'[156]PBZ - DEVISE LOCALE'!$E$9</definedName>
    <definedName name="INEADIM5_REPORT1" localSheetId="41">#REF!</definedName>
    <definedName name="INEADIM5_REPORT1" localSheetId="42">#REF!</definedName>
    <definedName name="INEADIM5_REPORT1">#REF!</definedName>
    <definedName name="INEADIM5_REPORT2" localSheetId="41">#REF!</definedName>
    <definedName name="INEADIM5_REPORT2" localSheetId="42">#REF!</definedName>
    <definedName name="INEADIM5_REPORT2">#REF!</definedName>
    <definedName name="INEADIM5_REPORT3" localSheetId="41">#REF!</definedName>
    <definedName name="INEADIM5_REPORT3" localSheetId="42">#REF!</definedName>
    <definedName name="INEADIM5_REPORT3">#REF!</definedName>
    <definedName name="INEADIM5LABEL_REPORT0" localSheetId="41">#REF!</definedName>
    <definedName name="INEADIM5LABEL_REPORT0" localSheetId="42">#REF!</definedName>
    <definedName name="INEADIM5LABEL_REPORT0">#REF!</definedName>
    <definedName name="INEADIM6_REPORT0">'[156]PBZ - DEVISE LOCALE'!$E$10</definedName>
    <definedName name="INEADIM6_REPORT1" localSheetId="41">#REF!</definedName>
    <definedName name="INEADIM6_REPORT1" localSheetId="42">#REF!</definedName>
    <definedName name="INEADIM6_REPORT1">#REF!</definedName>
    <definedName name="INEADIM6_REPORT2" localSheetId="41">#REF!</definedName>
    <definedName name="INEADIM6_REPORT2" localSheetId="42">#REF!</definedName>
    <definedName name="INEADIM6_REPORT2">#REF!</definedName>
    <definedName name="INEADIM6_REPORT3" localSheetId="41">#REF!</definedName>
    <definedName name="INEADIM6_REPORT3" localSheetId="42">#REF!</definedName>
    <definedName name="INEADIM6_REPORT3">#REF!</definedName>
    <definedName name="INEADIM6COLUMN_REPORT0" localSheetId="41">#REF!</definedName>
    <definedName name="INEADIM6COLUMN_REPORT0" localSheetId="42">#REF!</definedName>
    <definedName name="INEADIM6COLUMN_REPORT0">#REF!</definedName>
    <definedName name="INEADIM6COLUMN_REPORT2" localSheetId="41">#REF!</definedName>
    <definedName name="INEADIM6COLUMN_REPORT2" localSheetId="42">#REF!</definedName>
    <definedName name="INEADIM6COLUMN_REPORT2">#REF!</definedName>
    <definedName name="INEADIM6LABEL_REPORT0" localSheetId="41">#REF!</definedName>
    <definedName name="INEADIM6LABEL_REPORT0" localSheetId="42">#REF!</definedName>
    <definedName name="INEADIM6LABEL_REPORT0">#REF!</definedName>
    <definedName name="INEADIM9_REPORT0" localSheetId="41">#REF!</definedName>
    <definedName name="INEADIM9_REPORT0" localSheetId="42">#REF!</definedName>
    <definedName name="INEADIM9_REPORT0">#REF!</definedName>
    <definedName name="INEADIM9_REPORT2" localSheetId="41">#REF!</definedName>
    <definedName name="INEADIM9_REPORT2" localSheetId="42">#REF!</definedName>
    <definedName name="INEADIM9_REPORT2">#REF!</definedName>
    <definedName name="INEADIM9COLUMN_REPORT0" localSheetId="41">#REF!</definedName>
    <definedName name="INEADIM9COLUMN_REPORT0" localSheetId="42">#REF!</definedName>
    <definedName name="INEADIM9COLUMN_REPORT0">#REF!</definedName>
    <definedName name="INEADIM9COLUMN_REPORT1" localSheetId="41">#REF!</definedName>
    <definedName name="INEADIM9COLUMN_REPORT1" localSheetId="42">#REF!</definedName>
    <definedName name="INEADIM9COLUMN_REPORT1">#REF!</definedName>
    <definedName name="INEADIM9COLUMN_REPORT2" localSheetId="41">#REF!</definedName>
    <definedName name="INEADIM9COLUMN_REPORT2" localSheetId="42">#REF!</definedName>
    <definedName name="INEADIM9COLUMN_REPORT2">#REF!</definedName>
    <definedName name="INEADIM9COLUMN_REPORT3" localSheetId="41">#REF!</definedName>
    <definedName name="INEADIM9COLUMN_REPORT3" localSheetId="42">#REF!</definedName>
    <definedName name="INEADIM9COLUMN_REPORT3">#REF!</definedName>
    <definedName name="INEAUPLOADCOLUMN_REPORT0" localSheetId="41">#REF!</definedName>
    <definedName name="INEAUPLOADCOLUMN_REPORT0" localSheetId="42">#REF!</definedName>
    <definedName name="INEAUPLOADCOLUMN_REPORT0">#REF!</definedName>
    <definedName name="INEAUPLOADROW_REPORT0" localSheetId="41">#REF!</definedName>
    <definedName name="INEAUPLOADROW_REPORT0" localSheetId="42">#REF!</definedName>
    <definedName name="INEAUPLOADROW_REPORT0">#REF!</definedName>
    <definedName name="inf00">'[30]Input-D'!#REF!</definedName>
    <definedName name="Inflation">#REF!</definedName>
    <definedName name="inflation_I">#REF!</definedName>
    <definedName name="inflationDollar">#REF!</definedName>
    <definedName name="inflationfrance" localSheetId="41">#REF!</definedName>
    <definedName name="inflationfrance" localSheetId="42">#REF!</definedName>
    <definedName name="inflationfrance">#REF!</definedName>
    <definedName name="inflationfrancespe" localSheetId="41">#REF!</definedName>
    <definedName name="inflationfrancespe" localSheetId="42">#REF!</definedName>
    <definedName name="inflationfrancespe">#REF!</definedName>
    <definedName name="inflationnord" localSheetId="41">#REF!</definedName>
    <definedName name="inflationnord" localSheetId="42">#REF!</definedName>
    <definedName name="inflationnord">#REF!</definedName>
    <definedName name="inflationpeco" localSheetId="41">#REF!</definedName>
    <definedName name="inflationpeco" localSheetId="42">#REF!</definedName>
    <definedName name="inflationpeco">#REF!</definedName>
    <definedName name="inflationsud" localSheetId="41">#REF!</definedName>
    <definedName name="inflationsud" localSheetId="42">#REF!</definedName>
    <definedName name="inflationsud">#REF!</definedName>
    <definedName name="inftoggle">'[30]Input-D'!#REF!</definedName>
    <definedName name="INR_Diff_long">#N/A</definedName>
    <definedName name="INR_Diff_Short">#N/A</definedName>
    <definedName name="InsChrg">#REF!</definedName>
    <definedName name="InsChrg_I">#REF!</definedName>
    <definedName name="inst_effort_PLP_Server">#REF!</definedName>
    <definedName name="inst_effort_PLP_Server2">#REF!</definedName>
    <definedName name="inst_effort_SQL_server">#REF!</definedName>
    <definedName name="inst_effort_SQL_server2">#REF!</definedName>
    <definedName name="INSTALL">#REF!</definedName>
    <definedName name="INSTALL___0">#REF!</definedName>
    <definedName name="INSTALL___1">#N/A</definedName>
    <definedName name="InstCap" hidden="1">[60]Input!$K$149:$Y$149,[60]Input!$K$167:$Y$167,[60]Input!$K$185:$Y$185,[60]Input!$K$203:$Y$203,[60]Input!$K$221:$Y$221,[60]Input!$K$239:$Y$239,[60]Input!$K$257:$Y$257,[60]Input!$K$275:$Y$275</definedName>
    <definedName name="INSTI">[158]Jun07!#REF!</definedName>
    <definedName name="Insur_Esc">[159]Input!$H$97</definedName>
    <definedName name="Insurance">[159]Input!$H$96</definedName>
    <definedName name="Int" localSheetId="41">#REF!</definedName>
    <definedName name="Int" localSheetId="42">#REF!</definedName>
    <definedName name="Int">#REF!</definedName>
    <definedName name="int.switch">#REF!</definedName>
    <definedName name="INT_FACTOR">[100]Sensitivity!$K$30</definedName>
    <definedName name="Int_rate">[160]Sensitivity!$E$13</definedName>
    <definedName name="int_schedule">#REF!</definedName>
    <definedName name="Intelligent_Coin_Card">#REF!</definedName>
    <definedName name="Interco">#REF!</definedName>
    <definedName name="Interco_25">#REF!</definedName>
    <definedName name="Interest">#REF!</definedName>
    <definedName name="Interest_Rate" localSheetId="41">#REF!</definedName>
    <definedName name="Interest_Rate" localSheetId="42">#REF!</definedName>
    <definedName name="Interest_Rate">#REF!</definedName>
    <definedName name="InterestCash">#REF!</definedName>
    <definedName name="InterestDebtLong">#REF!</definedName>
    <definedName name="InterestExST">#REF!</definedName>
    <definedName name="InterestOther">#REF!</definedName>
    <definedName name="InterestRevolver">#REF!</definedName>
    <definedName name="InterestTotal">#REF!</definedName>
    <definedName name="InterestTotalPaid">#REF!</definedName>
    <definedName name="InterestTotalRecd">#REF!</definedName>
    <definedName name="Interestwc">'[128]Working capital requirement'!#REF!</definedName>
    <definedName name="interexpeboh">#REF!</definedName>
    <definedName name="internal">#REF!</definedName>
    <definedName name="International" localSheetId="41">#REF!</definedName>
    <definedName name="International" localSheetId="42">#REF!</definedName>
    <definedName name="INTERNATIONAL">#REF!</definedName>
    <definedName name="intexpense">#REF!</definedName>
    <definedName name="intexpensekner">#REF!</definedName>
    <definedName name="intexpol">#REF!</definedName>
    <definedName name="intfclidbi">[161]repaymentsch!$D$5</definedName>
    <definedName name="intidbi">[161]repaymentsch!$D$4</definedName>
    <definedName name="intincomboh">#REF!</definedName>
    <definedName name="intincome">#REF!</definedName>
    <definedName name="intincomekner">#REF!</definedName>
    <definedName name="intincompol">#REF!</definedName>
    <definedName name="intloan">'[162]Cash Flow'!$C$30</definedName>
    <definedName name="intloan2">'[162]Cash Flow'!$D$30</definedName>
    <definedName name="intloan3">'[162]Cash Flow'!$E$30</definedName>
    <definedName name="intloan4">'[162]Cash Flow'!$F$30</definedName>
    <definedName name="intloan5">'[162]Cash Flow'!$G$30</definedName>
    <definedName name="intpm">'[94]p&amp;l'!#REF!</definedName>
    <definedName name="intr">[77]Sensitivity_!$E$9</definedName>
    <definedName name="intschd">[72]Financials!#REF!</definedName>
    <definedName name="Intt_dep">#REF!</definedName>
    <definedName name="intwcexisting">'[163]interest '!#REF!</definedName>
    <definedName name="Inv" hidden="1">[164]Accounts!#REF!</definedName>
    <definedName name="INVD12" localSheetId="41">#REF!</definedName>
    <definedName name="INVD12" localSheetId="42">#REF!</definedName>
    <definedName name="INVD12">#REF!</definedName>
    <definedName name="invDays">#REF!</definedName>
    <definedName name="Inventories">#REF!</definedName>
    <definedName name="Inventories_I">#REF!</definedName>
    <definedName name="Inventory" hidden="1">{"page1",#N/A,FALSE,"Feuil1";"page2",#N/A,FALSE,"Feuil1";"page3",#N/A,FALSE,"Feuil1";"page4",#N/A,FALSE,"Feuil1"}</definedName>
    <definedName name="INVENTORY_OF_CULVERTS">'[49]10 Inventory of Culverts'!#REF!</definedName>
    <definedName name="Invest_antrag_2006" localSheetId="41">#REF!</definedName>
    <definedName name="Invest_antrag_2006" localSheetId="42">#REF!</definedName>
    <definedName name="Invest_antrag_2006">#REF!</definedName>
    <definedName name="investment">'[128]Projected Balance Sheet'!#REF!</definedName>
    <definedName name="IPO">'[116]Input -Output sheet'!$C$45</definedName>
    <definedName name="IPO_YEAR">'[116]Input -Output sheet'!$C$40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"c1666"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1YR_THOM" hidden="1">"c5170"</definedName>
    <definedName name="IQ_EST_FFO_GROWTH_2YR" hidden="1">"c1771"</definedName>
    <definedName name="IQ_EST_FFO_GROWTH_2YR_THOM" hidden="1">"c5171"</definedName>
    <definedName name="IQ_EST_FFO_GROWTH_Q_1YR" hidden="1">"c1772"</definedName>
    <definedName name="IQ_EST_FFO_GROWTH_Q_1YR_THOM" hidden="1">"c5172"</definedName>
    <definedName name="IQ_EST_FFO_SEQ_GROWTH_Q" hidden="1">"c1773"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42388.5937037037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ISION_DATE_" hidden="1">38987.6875462963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ass">#REF!</definedName>
    <definedName name="IRLANDE" localSheetId="41">#REF!</definedName>
    <definedName name="IRLANDE" localSheetId="42">#REF!</definedName>
    <definedName name="IRLANDE">#REF!</definedName>
    <definedName name="ironore">#REF!</definedName>
    <definedName name="IRR">#REF!</definedName>
    <definedName name="IRR_1">[68]SI_FIN!#REF!</definedName>
    <definedName name="IRR_NPV">#REF!</definedName>
    <definedName name="irthdgfh">#REF!</definedName>
    <definedName name="is">#REF!</definedName>
    <definedName name="ISARELCGEA" localSheetId="41">#REF!</definedName>
    <definedName name="ISARELCGEA" localSheetId="42">#REF!</definedName>
    <definedName name="ISARELCGEA">#REF!</definedName>
    <definedName name="ISARELCGEA1" localSheetId="41">#REF!</definedName>
    <definedName name="ISARELCGEA1" localSheetId="42">#REF!</definedName>
    <definedName name="ISARELCGEA1">#REF!</definedName>
    <definedName name="ISCommDiv">#REF!</definedName>
    <definedName name="ISCommDivCashAv">#REF!</definedName>
    <definedName name="ISCommDivPerm">#REF!</definedName>
    <definedName name="ISDepreciation">#REF!</definedName>
    <definedName name="ISDSR">#REF!</definedName>
    <definedName name="ISEBIT">#REF!</definedName>
    <definedName name="ISEBITDA">#REF!</definedName>
    <definedName name="ISEBT">#REF!</definedName>
    <definedName name="ISEBTDepTax">#REF!</definedName>
    <definedName name="ISExtraItems">#REF!</definedName>
    <definedName name="ISfrance" localSheetId="41">#REF!</definedName>
    <definedName name="ISfrance" localSheetId="42">#REF!</definedName>
    <definedName name="ISfrance">#REF!</definedName>
    <definedName name="ISfrancespe" localSheetId="41">#REF!</definedName>
    <definedName name="ISfrancespe" localSheetId="42">#REF!</definedName>
    <definedName name="ISfrancespe">#REF!</definedName>
    <definedName name="ISFxdCost">#REF!</definedName>
    <definedName name="ISGoodwillAmort">#REF!</definedName>
    <definedName name="ISGrossProfit">#REF!</definedName>
    <definedName name="ishqwaisghaigsi">#REF!</definedName>
    <definedName name="Isiml">#REF!</definedName>
    <definedName name="ISIntExpense">#REF!</definedName>
    <definedName name="ISIntIncome">#REF!</definedName>
    <definedName name="ISIntOther">#REF!</definedName>
    <definedName name="ISMinorityInt">#REF!</definedName>
    <definedName name="ISNetIncome">#REF!</definedName>
    <definedName name="ISnord" localSheetId="41">#REF!</definedName>
    <definedName name="ISnord" localSheetId="42">#REF!</definedName>
    <definedName name="ISnord">#REF!</definedName>
    <definedName name="ISOpEx">#REF!</definedName>
    <definedName name="ISpeco" localSheetId="41">#REF!</definedName>
    <definedName name="ISpeco" localSheetId="42">#REF!</definedName>
    <definedName name="ISpeco">#REF!</definedName>
    <definedName name="ISPrefDiv">#REF!</definedName>
    <definedName name="ISPrefDivPayable">#REF!</definedName>
    <definedName name="ISRate97">#REF!</definedName>
    <definedName name="ISRate98">#REF!</definedName>
    <definedName name="ISRetained">#REF!</definedName>
    <definedName name="ISRevenue">#REF!</definedName>
    <definedName name="ISStatRes">#REF!</definedName>
    <definedName name="ISsud" localSheetId="41">#REF!</definedName>
    <definedName name="ISsud" localSheetId="42">#REF!</definedName>
    <definedName name="ISsud">#REF!</definedName>
    <definedName name="Ist_2006" localSheetId="41">#REF!</definedName>
    <definedName name="Ist_2006" localSheetId="42">#REF!</definedName>
    <definedName name="Ist_2006">#REF!</definedName>
    <definedName name="ISTaxes">#REF!</definedName>
    <definedName name="IT">#REF!</definedName>
    <definedName name="IT_1">[68]SI_FIN!#REF!</definedName>
    <definedName name="ithfininboh">#REF!</definedName>
    <definedName name="ituf" hidden="1">{#N/A,#N/A,FALSE,"Production 1"}</definedName>
    <definedName name="iuf" hidden="1">{"page1",#N/A,FALSE,"Feuil1";"page2",#N/A,FALSE,"Feuil1";"page3",#N/A,FALSE,"Feuil1";"page4",#N/A,FALSE,"Feuil1"}</definedName>
    <definedName name="iujjkjl" hidden="1">{#N/A,#N/A,FALSE,"BS9703PET";#N/A,#N/A,FALSE,"BS9703KNE";#N/A,#N/A,FALSE,"BS9703KRP";#N/A,#N/A,FALSE,"BS9703POL"}</definedName>
    <definedName name="iuy">'[71]Input-D'!#REF!</definedName>
    <definedName name="j" localSheetId="41">#REF!</definedName>
    <definedName name="j" localSheetId="42">#REF!</definedName>
    <definedName name="j">[104]Valid!$A$1:$L$40</definedName>
    <definedName name="J_SACO" localSheetId="41">#REF!</definedName>
    <definedName name="J_SACO" localSheetId="42">#REF!</definedName>
    <definedName name="J_SACO">#REF!</definedName>
    <definedName name="j145\">#REF!</definedName>
    <definedName name="já" hidden="1">{"page1",#N/A,FALSE,"Feuil1";"page2",#N/A,FALSE,"Feuil1";"page3",#N/A,FALSE,"Feuil1";"page4",#N/A,FALSE,"Feuil1"}</definedName>
    <definedName name="JABAMAYEE">#REF!</definedName>
    <definedName name="Jan_Bal">#REF!</definedName>
    <definedName name="janak" hidden="1">{"form-D1",#N/A,FALSE,"FORM-D1";"form-D1_amt",#N/A,FALSE,"FORM-D1"}</definedName>
    <definedName name="janak1" hidden="1">{"form-D1",#N/A,FALSE,"FORM-D1";"form-D1_amt",#N/A,FALSE,"FORM-D1"}</definedName>
    <definedName name="janak11">[165]PLAN_FEB97!$A$2</definedName>
    <definedName name="jen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jgzfhkj" hidden="1">{#N/A,#N/A,FALSE,"Production 1"}</definedName>
    <definedName name="jhkgf" hidden="1">{"page1",#N/A,FALSE,"Feuil1";"page2",#N/A,FALSE,"Feuil1";"page3",#N/A,FALSE,"Feuil1";"page4",#N/A,FALSE,"Feuil1"}</definedName>
    <definedName name="jibjké" hidden="1">{"page1",#N/A,FALSE,"Feuil1";"page2",#N/A,FALSE,"Feuil1";"page3",#N/A,FALSE,"Feuil1";"page4",#N/A,FALSE,"Feuil1"}</definedName>
    <definedName name="jihughiu" hidden="1">{"assets",#N/A,FALSE,"CONS9703";"liab",#N/A,FALSE,"CONS9703";"pl",#N/A,FALSE,"CONS9703"}</definedName>
    <definedName name="jikhigu" hidden="1">{"assets",#N/A,FALSE,"CONS9703";"liab",#N/A,FALSE,"CONS9703";"pl",#N/A,FALSE,"CONS9703"}</definedName>
    <definedName name="jjghjx">#REF!</definedName>
    <definedName name="jjkmlé">#REF!</definedName>
    <definedName name="JK" hidden="1">{#N/A,#N/A,FALSE,"MODULE3"}</definedName>
    <definedName name="jkhiugiu" hidden="1">{"page1",#N/A,FALSE,"Feuil1";"page2",#N/A,FALSE,"Feuil1";"page3",#N/A,FALSE,"Feuil1";"page4",#N/A,FALSE,"Feuil1"}</definedName>
    <definedName name="jkljk" hidden="1">{"assets",#N/A,FALSE,"CONS9703";"liab",#N/A,FALSE,"CONS9703";"pl",#N/A,FALSE,"CONS9703"}</definedName>
    <definedName name="jkp" hidden="1">{"page1",#N/A,FALSE,"Feuil1";"page2",#N/A,FALSE,"Feuil1";"page3",#N/A,FALSE,"Feuil1";"page4",#N/A,FALSE,"Feuil1"}</definedName>
    <definedName name="jlhhghj" hidden="1">{#N/A,#N/A,FALSE,"BS9703PET";#N/A,#N/A,FALSE,"BS9703KNE";#N/A,#N/A,FALSE,"BS9703KRP";#N/A,#N/A,FALSE,"BS9703POL"}</definedName>
    <definedName name="jop">#REF!</definedName>
    <definedName name="Jose" hidden="1">{"vi1",#N/A,FALSE,"Financial Statements";"vi2",#N/A,FALSE,"Financial Statements";#N/A,#N/A,FALSE,"DCF"}</definedName>
    <definedName name="Journal_Details">#REF!</definedName>
    <definedName name="JPN">#REF!</definedName>
    <definedName name="JPY" localSheetId="41">#REF!</definedName>
    <definedName name="JPY" localSheetId="42">#REF!</definedName>
    <definedName name="JPY">#REF!</definedName>
    <definedName name="jugfz" hidden="1">{"page1",#N/A,FALSE,"Feuil1";"page2",#N/A,FALSE,"Feuil1";"page3",#N/A,FALSE,"Feuil1";"page4",#N/A,FALSE,"Feuil1"}</definedName>
    <definedName name="jukp">#REF!</definedName>
    <definedName name="Jul_Bal">#REF!</definedName>
    <definedName name="július">#REF!</definedName>
    <definedName name="July_00_Head_Count">#REF!</definedName>
    <definedName name="July_00_Hires">#REF!</definedName>
    <definedName name="July_00_Terms">#REF!</definedName>
    <definedName name="Jun_Bal">#REF!</definedName>
    <definedName name="JuneTerms">#REF!</definedName>
    <definedName name="JV_Case">'[63]Consolidate ShockRave Revenue'!$F$8</definedName>
    <definedName name="jvnl">#REF!</definedName>
    <definedName name="jvv" hidden="1">{"page1",#N/A,FALSE,"Feuil1";"page2",#N/A,FALSE,"Feuil1";"page3",#N/A,FALSE,"Feuil1";"page4",#N/A,FALSE,"Feuil1"}</definedName>
    <definedName name="jzf" hidden="1">{#N/A,#N/A,FALSE,"Production 1"}</definedName>
    <definedName name="k">#REF!</definedName>
    <definedName name="K_ARA" localSheetId="41">#REF!</definedName>
    <definedName name="K_ARA" localSheetId="42">#REF!</definedName>
    <definedName name="K_ARA">#REF!</definedName>
    <definedName name="kar4.5">#REF!</definedName>
    <definedName name="kar4.5_7">[32]_REF!$A$72</definedName>
    <definedName name="kar6.7">[54]secu!#REF!</definedName>
    <definedName name="kboh" hidden="1">{"page1",#N/A,FALSE,"Feuil1";"page2",#N/A,FALSE,"Feuil1";"page3",#N/A,FALSE,"Feuil1";"page4",#N/A,FALSE,"Feuil1"}</definedName>
    <definedName name="kcuf" hidden="1">{"SUMMARY",#N/A,TRUE,"SUMMARY";"compare",#N/A,TRUE,"Vs. Bus Plan";"ratios",#N/A,TRUE,"Ratios";"REVENUE",#N/A,TRUE,"Revenue";"expenses",#N/A,TRUE,"1996 budget";"payroll",#N/A,TRUE,"Payroll"}</definedName>
    <definedName name="ker6.7">[54]secu!#REF!</definedName>
    <definedName name="ker7.8">#REF!</definedName>
    <definedName name="ker7.8_7">[32]_REF!$A$195:$P$236</definedName>
    <definedName name="KGKJ">#REF!</definedName>
    <definedName name="kickback">#REF!</definedName>
    <definedName name="kickback_dcline">#REF!</definedName>
    <definedName name="kickback_dcline2">#REF!</definedName>
    <definedName name="kickback_market_price">#REF!</definedName>
    <definedName name="kickback_market_price2">#REF!</definedName>
    <definedName name="kickback2">#REF!</definedName>
    <definedName name="kil">[54]secu!#REF!</definedName>
    <definedName name="killme_learning">#REF!,#REF!</definedName>
    <definedName name="kilo">#REF!</definedName>
    <definedName name="kjj" hidden="1">{"page1",#N/A,FALSE,"Feuil1";"page2",#N/A,FALSE,"Feuil1";"page3",#N/A,FALSE,"Feuil1";"page4",#N/A,FALSE,"Feuil1"}</definedName>
    <definedName name="KK" hidden="1">{"form-D1",#N/A,FALSE,"FORM-D1";"form-D1_amt",#N/A,FALSE,"FORM-D1"}</definedName>
    <definedName name="KKK" hidden="1">{#N/A,#N/A,FALSE,"MODULE3"}</definedName>
    <definedName name="KKKK" hidden="1">{"ss",#N/A,FALSE,"MODULE3"}</definedName>
    <definedName name="KKKKK" hidden="1">{"ss",#N/A,FALSE,"MODULE3"}</definedName>
    <definedName name="kkl" hidden="1">{"'Customer Support Trends'!$A$1:$AB$13"}</definedName>
    <definedName name="kkp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kl" hidden="1">{#N/A,#N/A,FALSE,"BS9703PET";#N/A,#N/A,FALSE,"BS9703KNE";#N/A,#N/A,FALSE,"BS9703KRP";#N/A,#N/A,FALSE,"BS9703POL"}</definedName>
    <definedName name="klé" hidden="1">{"page1",#N/A,FALSE,"Feuil1";"page2",#N/A,FALSE,"Feuil1";"page3",#N/A,FALSE,"Feuil1";"page4",#N/A,FALSE,"Feuil1"}</definedName>
    <definedName name="kléo" hidden="1">{"assets",#N/A,FALSE,"CONS9703";"liab",#N/A,FALSE,"CONS9703";"pl",#N/A,FALSE,"CONS9703"}</definedName>
    <definedName name="klhuhj" hidden="1">{"page1",#N/A,FALSE,"Feuil1";"page2",#N/A,FALSE,"Feuil1";"page3",#N/A,FALSE,"Feuil1";"page4",#N/A,FALSE,"Feuil1"}</definedName>
    <definedName name="kljbbv" hidden="1">{"assets",#N/A,FALSE,"CONS9703";"liab",#N/A,FALSE,"CONS9703";"pl",#N/A,FALSE,"CONS9703"}</definedName>
    <definedName name="kñlñlñlñ" localSheetId="19" hidden="1">[120]DESBASTE!#REF!</definedName>
    <definedName name="kñlñlñlñ" localSheetId="12" hidden="1">[120]DESBASTE!#REF!</definedName>
    <definedName name="kñlñlñlñ" localSheetId="36" hidden="1">[121]DESBASTE!#REF!</definedName>
    <definedName name="kñlñlñlñ" localSheetId="28" hidden="1">[120]DESBASTE!#REF!</definedName>
    <definedName name="kñlñlñlñ" localSheetId="29" hidden="1">[120]DESBASTE!#REF!</definedName>
    <definedName name="kñlñlñlñ" localSheetId="27" hidden="1">[120]DESBASTE!#REF!</definedName>
    <definedName name="kñlñlñlñ" localSheetId="14" hidden="1">[120]DESBASTE!#REF!</definedName>
    <definedName name="kñlñlñlñ" localSheetId="20" hidden="1">[120]DESBASTE!#REF!</definedName>
    <definedName name="kñlñlñlñ" localSheetId="15" hidden="1">[120]DESBASTE!#REF!</definedName>
    <definedName name="kñlñlñlñ" localSheetId="37" hidden="1">[121]DESBASTE!#REF!</definedName>
    <definedName name="kñlñlñlñ" localSheetId="24" hidden="1">[120]DESBASTE!#REF!</definedName>
    <definedName name="kñlñlñlñ" localSheetId="25" hidden="1">[120]DESBASTE!#REF!</definedName>
    <definedName name="kñlñlñlñ" localSheetId="17" hidden="1">[120]DESBASTE!#REF!</definedName>
    <definedName name="kñlñlñlñ" localSheetId="11" hidden="1">[120]DESBASTE!#REF!</definedName>
    <definedName name="kñlñlñlñ" localSheetId="23" hidden="1">[120]DESBASTE!#REF!</definedName>
    <definedName name="kñlñlñlñ" localSheetId="32" hidden="1">[120]DESBASTE!#REF!</definedName>
    <definedName name="kñlñlñlñ" localSheetId="38" hidden="1">[121]DESBASTE!#REF!</definedName>
    <definedName name="kñlñlñlñ" hidden="1">[120]DESBASTE!#REF!</definedName>
    <definedName name="Korea">[96]Datenbank!$B$75:$M$82</definedName>
    <definedName name="Korea__Basic_Services_Tariffs__1995">#REF!</definedName>
    <definedName name="kpmg10" hidden="1">[17]synthgraph!#REF!</definedName>
    <definedName name="kpmg11" hidden="1">[17]synthgraph!#REF!</definedName>
    <definedName name="kpmg12" hidden="1">#REF!</definedName>
    <definedName name="kpmg13" hidden="1">[17]synthgraph!#REF!</definedName>
    <definedName name="kpmg16" hidden="1">[19]TargIS!#REF!</definedName>
    <definedName name="kpmg6" hidden="1">[17]synthgraph!#REF!</definedName>
    <definedName name="kpmg7" hidden="1">#REF!</definedName>
    <definedName name="kpmg9" hidden="1">#REF!</definedName>
    <definedName name="kpmh8" hidden="1">[17]synthgraph!#REF!</definedName>
    <definedName name="kpol" hidden="1">{"page1",#N/A,FALSE,"Feuil1";"page2",#N/A,FALSE,"Feuil1";"page3",#N/A,FALSE,"Feuil1";"page4",#N/A,FALSE,"Feuil1"}</definedName>
    <definedName name="ktk7.8">#REF!</definedName>
    <definedName name="ktk7.8_7">[32]_REF!$A$107:$P$148</definedName>
    <definedName name="KTS_extensions__000">#REF!</definedName>
    <definedName name="ku">#REF!,#REF!,#REF!,#REF!,#REF!,#REF!,#REF!,#REF!,#REF!</definedName>
    <definedName name="kugughj" hidden="1">{"page1",#N/A,FALSE,"Feuil1";"page2",#N/A,FALSE,"Feuil1";"page3",#N/A,FALSE,"Feuil1";"page4",#N/A,FALSE,"Feuil1"}</definedName>
    <definedName name="KUKULE_GANGA_HYDROPOWER_PROJECT">#REF!,#REF!,#REF!,#REF!,#REF!,#REF!,#REF!,#REF!,#REF!</definedName>
    <definedName name="l">'[166]SA Stores'!#REF!</definedName>
    <definedName name="L___0">#REF!</definedName>
    <definedName name="L___1">#N/A</definedName>
    <definedName name="L_Adjust">[167]Links!$H:$H</definedName>
    <definedName name="L_AJE_Tot">[167]Links!$G:$G</definedName>
    <definedName name="L_CY_Beg">[167]Links!$F:$F</definedName>
    <definedName name="L_CY_End">[167]Links!$J:$J</definedName>
    <definedName name="L_F_A">#REF!</definedName>
    <definedName name="L_G_A">#REF!</definedName>
    <definedName name="L_M_A">#REF!</definedName>
    <definedName name="L_MED" localSheetId="41">#REF!</definedName>
    <definedName name="L_MED" localSheetId="42">#REF!</definedName>
    <definedName name="L_MED">#REF!</definedName>
    <definedName name="L_PY_End">[167]Links!$K:$K</definedName>
    <definedName name="L_R_A">#REF!</definedName>
    <definedName name="L_RJE_Tot">[167]Links!$I:$I</definedName>
    <definedName name="L_S_A">#REF!</definedName>
    <definedName name="LAC">[168]S3workplanqty!$G$5</definedName>
    <definedName name="lacs">[169]S1BOQ!$HS$1</definedName>
    <definedName name="lakh">100000</definedName>
    <definedName name="laksjf">#REF!</definedName>
    <definedName name="land">'[28]form ix'!$B$3:$K$16</definedName>
    <definedName name="LAND___CIVIL_WO">#REF!</definedName>
    <definedName name="landCost">[78]ProjCost!$D$76</definedName>
    <definedName name="LANG">[51]Settings!$A$4</definedName>
    <definedName name="large_PLPc_share">#REF!</definedName>
    <definedName name="large_PLPc_share2">#REF!</definedName>
    <definedName name="last">#REF!</definedName>
    <definedName name="Last_Row">#N/A</definedName>
    <definedName name="Last_Row_2">#N/A</definedName>
    <definedName name="lastdebt">#REF!</definedName>
    <definedName name="lastpref">#REF!</definedName>
    <definedName name="lease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Leased_Data_Lines__000">#REF!</definedName>
    <definedName name="Leased_Line_Subscribers__000">#REF!</definedName>
    <definedName name="lééiou" hidden="1">{#N/A,#N/A,FALSE,"BS9703PET";#N/A,#N/A,FALSE,"BS9703KNE";#N/A,#N/A,FALSE,"BS9703KRP";#N/A,#N/A,FALSE,"BS9703POL"}</definedName>
    <definedName name="Lender">#REF!</definedName>
    <definedName name="level">#REF!</definedName>
    <definedName name="LF_1.4">#REF!</definedName>
    <definedName name="LF_1.4_I">#REF!</definedName>
    <definedName name="LF_10">#REF!</definedName>
    <definedName name="LF_10_I">#REF!</definedName>
    <definedName name="LF_18">#REF!</definedName>
    <definedName name="LF_18_I">#REF!</definedName>
    <definedName name="LF_3">#REF!</definedName>
    <definedName name="LF_3_I">#REF!</definedName>
    <definedName name="lia">'[170]ENCL10-C'!$H$32:$M$39</definedName>
    <definedName name="Liab1">#REF!</definedName>
    <definedName name="LIABILITIES">[171]sheet1!#REF!</definedName>
    <definedName name="Libor">#REF!</definedName>
    <definedName name="LiborRate">#REF!</definedName>
    <definedName name="lifeGoodwill">#REF!</definedName>
    <definedName name="limcount" hidden="1">1</definedName>
    <definedName name="limey" hidden="1">{#N/A,#N/A,FALSE,"Calc";#N/A,#N/A,FALSE,"Sensitivity";#N/A,#N/A,FALSE,"LT Earn.Dil.";#N/A,#N/A,FALSE,"Dil. AVP"}</definedName>
    <definedName name="List_1">'[172]Long-Term Borrowings'!$K$2:$K$3</definedName>
    <definedName name="List_Cat">[173]Options!$C$59:$C$64</definedName>
    <definedName name="List_RevisionES">[174]Feuil1!$F$4:$F$6</definedName>
    <definedName name="liste_DIV_2" localSheetId="41">#REF!</definedName>
    <definedName name="liste_DIV_2" localSheetId="42">#REF!</definedName>
    <definedName name="liste_DIV_2">#REF!</definedName>
    <definedName name="ListOffset" hidden="1">1</definedName>
    <definedName name="ListSheetsMacroButton">#REF!</definedName>
    <definedName name="lk">[175]Input!#REF!</definedName>
    <definedName name="lkajsdl" hidden="1">{0,0,0,0;0,0,0,0;0,0,0,0}</definedName>
    <definedName name="lkjlkj" hidden="1">{"Final",#N/A,FALSE,"Feb-96"}</definedName>
    <definedName name="lklkl" hidden="1">{"consolidated",#N/A,FALSE,"Sheet1";"cms",#N/A,FALSE,"Sheet1";"fse",#N/A,FALSE,"Sheet1"}</definedName>
    <definedName name="lknk" hidden="1">{"assets",#N/A,FALSE,"CONS9703";"liab",#N/A,FALSE,"CONS9703";"pl",#N/A,FALSE,"CONS9703"}</definedName>
    <definedName name="ll" hidden="1">{#N/A,#N/A,FALSE,"MODULE3"}</definedName>
    <definedName name="LLCR">#REF!</definedName>
    <definedName name="LLL" hidden="1">{#N/A,#N/A,FALSE,"ACQ_GRAPHS";#N/A,#N/A,FALSE,"T_1 GRAPHS";#N/A,#N/A,FALSE,"T_2 GRAPHS";#N/A,#N/A,FALSE,"COMB_GRAPHS"}</definedName>
    <definedName name="LLLL">#REF!</definedName>
    <definedName name="LnsAdvncs">#REF!</definedName>
    <definedName name="LnsAdvncs_I">#REF!</definedName>
    <definedName name="lo">#REF!</definedName>
    <definedName name="loan">[162]Input!$B$1</definedName>
    <definedName name="LOAN_1_Original_term_Loan">#REF!</definedName>
    <definedName name="LOAN_2_Overdue_Interest_on_Term_Loan_">#REF!</definedName>
    <definedName name="LOAN_3_OD">#REF!</definedName>
    <definedName name="Loan_Amount" localSheetId="41">#REF!</definedName>
    <definedName name="Loan_Amount" localSheetId="42">#REF!</definedName>
    <definedName name="Loan_Amount">#REF!</definedName>
    <definedName name="LOAN_DRAWAL">#REF!</definedName>
    <definedName name="LOAN_INT_RATE">#REF!</definedName>
    <definedName name="LOAN_SCHEDULE">'[176]Working Capital:assumsion'!$A$3:$H$26</definedName>
    <definedName name="Loan_Start" localSheetId="41">#REF!</definedName>
    <definedName name="Loan_Start" localSheetId="42">#REF!</definedName>
    <definedName name="Loan_Start">#REF!</definedName>
    <definedName name="Loan_Years" localSheetId="41">#REF!</definedName>
    <definedName name="Loan_Years" localSheetId="42">#REF!</definedName>
    <definedName name="Loan_Years">#REF!</definedName>
    <definedName name="loc">#REF!</definedName>
    <definedName name="Location">[177]Location!$A:$B</definedName>
    <definedName name="Location_Annual">#REF!</definedName>
    <definedName name="location1">#REF!</definedName>
    <definedName name="location5">#REF!</definedName>
    <definedName name="location6">#REF!</definedName>
    <definedName name="look">#REF!</definedName>
    <definedName name="lookup">#REF!</definedName>
    <definedName name="Lookup_VP">'[178]Cost Center Lookup Table'!$A$1:$I$256</definedName>
    <definedName name="LookUpRange">#REF!</definedName>
    <definedName name="Loss_WASO_Q">#REF!</definedName>
    <definedName name="Loss_WASO_YTD">#REF!</definedName>
    <definedName name="LPCD">[179]Para!$B$1</definedName>
    <definedName name="lpol" hidden="1">{"page1",#N/A,FALSE,"Feuil1";"page2",#N/A,FALSE,"Feuil1";"page3",#N/A,FALSE,"Feuil1";"page4",#N/A,FALSE,"Feuil1"}</definedName>
    <definedName name="ls02.Selected">#REF!</definedName>
    <definedName name="LstTier">#REF!</definedName>
    <definedName name="LT_tariff">[159]Input!$H$81</definedName>
    <definedName name="LtDebtDmy" hidden="1">[60]Debt!$46:$46,[60]Debt!$92:$92,[60]Debt!$138:$138,[60]Debt!$187:$187,[60]Debt!$231:$231</definedName>
    <definedName name="LTM_Revenue_Multiple">#REF!</definedName>
    <definedName name="lv">[180]Sheet1!$R$2:$R$303</definedName>
    <definedName name="LYN">#REF!</definedName>
    <definedName name="m">#REF!</definedName>
    <definedName name="M_CapitalAvg">[76]ReportsParameters!$B$32</definedName>
    <definedName name="M_CoName">[76]ReportsParameters!$B$29</definedName>
    <definedName name="M_Denomination">[76]ReportsParameters!$B$38</definedName>
    <definedName name="M_FinanseerTitle">[76]ReportsParameters!$B$33</definedName>
    <definedName name="M_Lf">[76]ReportsParameters!$C$19</definedName>
    <definedName name="M_Pf">[76]ReportsParameters!$C$20</definedName>
    <definedName name="M_PlaceofPath" hidden="1">"\\SNYCEQT0100\HOME\LZURLO\DATA\TELMEX\Models\tmx_vdf.xls"</definedName>
    <definedName name="M_PrintFrom">[76]ReportsParameters!$B$11</definedName>
    <definedName name="M_PrintTo">[76]ReportsParameters!$B$12</definedName>
    <definedName name="M_Pt">[76]ReportsParameters!$C$21</definedName>
    <definedName name="M_SEAS" localSheetId="41">#REF!</definedName>
    <definedName name="M_SEAS" localSheetId="42">#REF!</definedName>
    <definedName name="M_SEAS">#REF!</definedName>
    <definedName name="M_SSAdjustments">[76]ReportsParameters!$B$26</definedName>
    <definedName name="MACRO">#REF!</definedName>
    <definedName name="maha" hidden="1">{"ss",#N/A,FALSE,"MODULE3"}</definedName>
    <definedName name="mail_spc_PLPc">#REF!</definedName>
    <definedName name="mail_spc_PLPc2">#REF!</definedName>
    <definedName name="Main_Lines__000">#REF!</definedName>
    <definedName name="Main_Lines__per_100_pop.">#REF!</definedName>
    <definedName name="Main_lines_Sector">#REF!</definedName>
    <definedName name="Main_lines_Sector___0">#N/A</definedName>
    <definedName name="Main_lines_Sector___1">#N/A</definedName>
    <definedName name="maintance_PLP_server">#REF!</definedName>
    <definedName name="maintance_PLP_server2">#REF!</definedName>
    <definedName name="maintance_SQL_Server">#REF!</definedName>
    <definedName name="maintance_SQL_Server2">#REF!</definedName>
    <definedName name="MANPOWER">'[28]FM XIIB'!$C$4:$I$25</definedName>
    <definedName name="MANPOWER_COST">#REF!</definedName>
    <definedName name="MANPOWER1">'[28]FM XIIB'!$C$30:$K$48</definedName>
    <definedName name="MANPOWER2">'[28]FM XIIB'!$C$52:$G$73</definedName>
    <definedName name="Mar_Bal">#REF!</definedName>
    <definedName name="MARGIN_WCAP">#REF!</definedName>
    <definedName name="MARINE">#N/A</definedName>
    <definedName name="MarketCap">#REF!</definedName>
    <definedName name="MarketsToday">[131]LOC!$J$31</definedName>
    <definedName name="MarketsYesterday">[131]LOC!$B$31</definedName>
    <definedName name="MASON">'[48]#REF'!$B$14</definedName>
    <definedName name="Mat.Liab.1">[181]Encl.12!$B$5</definedName>
    <definedName name="MATE">'[48]#REF'!$B$15</definedName>
    <definedName name="materialcost">'[94]p&amp;l'!#REF!</definedName>
    <definedName name="max_number_PLPc_basis_system">#REF!</definedName>
    <definedName name="max_number_PLPc_basis_system2">#REF!</definedName>
    <definedName name="max_numbre_PLPc_per_server">#REF!</definedName>
    <definedName name="max_numbre_PLPc_per_server2">#REF!</definedName>
    <definedName name="MaxDate" localSheetId="41">#REF!</definedName>
    <definedName name="MaxDate" localSheetId="42">#REF!</definedName>
    <definedName name="MaxDate">#REF!</definedName>
    <definedName name="May_00_Headcount">#REF!</definedName>
    <definedName name="May_00_Hires">#REF!</definedName>
    <definedName name="May_00_Terms">#REF!</definedName>
    <definedName name="May_Bal">#REF!</definedName>
    <definedName name="mb_inputLocation" hidden="1">#REF!</definedName>
    <definedName name="MEANSOFFINANCE">#REF!</definedName>
    <definedName name="MEASURE">[182]SUMMARY!#REF!</definedName>
    <definedName name="Mechanical">#REF!</definedName>
    <definedName name="Mehdi" localSheetId="41">Compte Rés 'Execulation Revenue'!Euro</definedName>
    <definedName name="Mehdi" localSheetId="42">Compte Rés 'Execution Cost'!Euro</definedName>
    <definedName name="Mehdi" localSheetId="40">Compte Rés [0]!Euro</definedName>
    <definedName name="Mehdi" localSheetId="39">Compte Rés [0]!Euro</definedName>
    <definedName name="Mehdi" localSheetId="44">Compte Rés [0]!Euro</definedName>
    <definedName name="Mehdi">Compte Rés Euro</definedName>
    <definedName name="mela" hidden="1">{"ss",#N/A,FALSE,"MODULE3"}</definedName>
    <definedName name="méljkj" hidden="1">{"page1",#N/A,FALSE,"Feuil1";"page2",#N/A,FALSE,"Feuil1";"page3",#N/A,FALSE,"Feuil1";"page4",#N/A,FALSE,"Feuil1"}</definedName>
    <definedName name="Mer_tariff">[159]Input!$H$82</definedName>
    <definedName name="MessageBody">[131]Control!$F$6</definedName>
    <definedName name="MessageSubject">[131]Control!$F$9</definedName>
    <definedName name="methodology">#REF!</definedName>
    <definedName name="methodology_name">#REF!</definedName>
    <definedName name="MEthroughput">#REF!</definedName>
    <definedName name="Mexico__Cellular_and_PCS_operators_by_standard__1994_2001">#REF!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#REF!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#REF!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#REF!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#REF!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#REF!</definedName>
    <definedName name="Mexico__Estimated_Vendor_Market_Share_by_Subscriber__YE_1997___0">#N/A</definedName>
    <definedName name="Mexico__Estimated_Vendor_Market_Share_by_Subscriber__YE_1997___1">#N/A</definedName>
    <definedName name="Mexico_Wireless_Equipment_Markets___1994_2001">#REF!</definedName>
    <definedName name="Mexico_Wireless_Equipment_Markets___1994_2001___0">#N/A</definedName>
    <definedName name="Mexico_Wireless_Equipment_Markets___1994_2001___1">#N/A</definedName>
    <definedName name="Mexico_Wireless_Services___1993_2001">#REF!</definedName>
    <definedName name="Mexico_Wireless_Services___1993_2001___0">#N/A</definedName>
    <definedName name="Mexico_Wireless_Services___1993_2001___1">#N/A</definedName>
    <definedName name="Mexico_Wireless_Services___1994_2001">#REF!</definedName>
    <definedName name="Mexico_Wireless_Services___1994_2001___0">#N/A</definedName>
    <definedName name="Mexico_Wireless_Services___1994_2001___1">#N/A</definedName>
    <definedName name="Mezz">#REF!</definedName>
    <definedName name="mgmntfee">#REF!</definedName>
    <definedName name="mgmntfeeboh">#REF!</definedName>
    <definedName name="mgmntfeekner">#REF!</definedName>
    <definedName name="mgmntpol">#REF!</definedName>
    <definedName name="mike" hidden="1">[19]TargBSCF!#REF!</definedName>
    <definedName name="Million">#REF!</definedName>
    <definedName name="Min_Ret_on_Repay">'[116]Input -Output sheet'!$C$33</definedName>
    <definedName name="Min_Retn_on_Conversion">'[116]Input -Output sheet'!$C$32</definedName>
    <definedName name="MinDate" localSheetId="41">#REF!</definedName>
    <definedName name="MinDate" localSheetId="42">#REF!</definedName>
    <definedName name="MinDate">#REF!</definedName>
    <definedName name="MinDSR">#REF!</definedName>
    <definedName name="Minimum_Cash">#REF!</definedName>
    <definedName name="Minimum_return_on_IPO">'[116]Input -Output sheet'!$C$41</definedName>
    <definedName name="minReserve">#REF!</definedName>
    <definedName name="mio">'[98]Ph II-Key Assumptions'!$C$202</definedName>
    <definedName name="misc.">[28]MISC.1d!#REF!</definedName>
    <definedName name="MISC.F.ASSETS">#REF!</definedName>
    <definedName name="misexptech">'[128]profitability statement'!#REF!</definedName>
    <definedName name="Missing_code">#REF!</definedName>
    <definedName name="mixtes" localSheetId="41">#REF!</definedName>
    <definedName name="mixtes" localSheetId="42">#REF!</definedName>
    <definedName name="mixtes">#REF!</definedName>
    <definedName name="mj" hidden="1">{#N/A,#N/A,FALSE,"FY97";#N/A,#N/A,FALSE,"FY98";#N/A,#N/A,FALSE,"FY99";#N/A,#N/A,FALSE,"FY00";#N/A,#N/A,FALSE,"FY01"}</definedName>
    <definedName name="Mkt_Crit">#REF!</definedName>
    <definedName name="mm" hidden="1">{#N/A,#N/A,FALSE,"MODULE3"}</definedName>
    <definedName name="MMM" localSheetId="41">#REF!</definedName>
    <definedName name="MMM" localSheetId="42">#REF!</definedName>
    <definedName name="MMM">#REF!</definedName>
    <definedName name="mmmmm" hidden="1">{#N/A,#N/A,FALSE,"Calc";#N/A,#N/A,FALSE,"Sensitivity";#N/A,#N/A,FALSE,"LT Earn.Dil.";#N/A,#N/A,FALSE,"Dil. AVP"}</definedName>
    <definedName name="Mn">#REF!</definedName>
    <definedName name="mno">#REF!</definedName>
    <definedName name="MOBFRMLA">#REF!</definedName>
    <definedName name="MobiFee">'[52]Input Sheet'!$C$27</definedName>
    <definedName name="MOBILE">#REF!</definedName>
    <definedName name="MOBILE___0">#N/A</definedName>
    <definedName name="MOBILE___1">#N/A</definedName>
    <definedName name="MOBMKT">#REF!</definedName>
    <definedName name="MOBMKT___0">#N/A</definedName>
    <definedName name="MOBMKT___1">#N/A</definedName>
    <definedName name="MOBMKT902000">#REF!</definedName>
    <definedName name="Model">#REF!</definedName>
    <definedName name="Modul1.dialshow">#N/A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i">[54]secu!#REF!</definedName>
    <definedName name="moment_RF">#REF!,#REF!,#REF!,#REF!,#REF!</definedName>
    <definedName name="Monetary_Precision">#REF!</definedName>
    <definedName name="month">#REF!</definedName>
    <definedName name="Months">#REF!</definedName>
    <definedName name="Motiv_Bonus">#REF!</definedName>
    <definedName name="mp">[54]secu!#REF!</definedName>
    <definedName name="mp7.8">#REF!</definedName>
    <definedName name="mp7.8_7">[32]_REF!$A$415:$P$456</definedName>
    <definedName name="MPbackup">[183]S1BOQ!$HS$1</definedName>
    <definedName name="MPthroughput">#REF!</definedName>
    <definedName name="mr">[184]Sensitivity!$E$8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MRRV">[185]DEC99!$N$5:$N$6</definedName>
    <definedName name="msa" localSheetId="8" hidden="1">{"Daily Survey Report",#N/A,FALSE,"Daily"}</definedName>
    <definedName name="msa" localSheetId="6" hidden="1">{"Daily Survey Report",#N/A,FALSE,"Daily"}</definedName>
    <definedName name="msa" localSheetId="5" hidden="1">{"Daily Survey Report",#N/A,FALSE,"Daily"}</definedName>
    <definedName name="msa" hidden="1">{"Daily Survey Report",#N/A,FALSE,"Daily"}</definedName>
    <definedName name="MTC_IA_PL">#REF!</definedName>
    <definedName name="MTC_KB_PL">#REF!</definedName>
    <definedName name="MTC_UC_PL">#REF!</definedName>
    <definedName name="MTHLY">#REF!</definedName>
    <definedName name="Mthroughput">#REF!</definedName>
    <definedName name="mult">#REF!</definedName>
    <definedName name="multiple">[56]RNT!#REF!</definedName>
    <definedName name="MW_Channels__000">#REF!</definedName>
    <definedName name="MyRange">OFFSET(#REF!,0,#REF!,COUNTA(INDIRECT(#REF!)),1)</definedName>
    <definedName name="n" localSheetId="18" hidden="1">{#N/A,#N/A,FALSE,"RECAP Note Global";#N/A,#N/A,FALSE,"RECAP Note France";#N/A,#N/A,FALSE,"RECAP Note étranger";#N/A,#N/A,FALSE,"RECAP Note Zones"}</definedName>
    <definedName name="n" localSheetId="12" hidden="1">{#N/A,#N/A,FALSE,"RECAP Note Global";#N/A,#N/A,FALSE,"RECAP Note France";#N/A,#N/A,FALSE,"RECAP Note étranger";#N/A,#N/A,FALSE,"RECAP Note Zones"}</definedName>
    <definedName name="n" localSheetId="41" hidden="1">{#N/A,#N/A,FALSE,"RECAP Note Global";#N/A,#N/A,FALSE,"RECAP Note France";#N/A,#N/A,FALSE,"RECAP Note étranger";#N/A,#N/A,FALSE,"RECAP Note Zones"}</definedName>
    <definedName name="n" localSheetId="42" hidden="1">{#N/A,#N/A,FALSE,"RECAP Note Global";#N/A,#N/A,FALSE,"RECAP Note France";#N/A,#N/A,FALSE,"RECAP Note étranger";#N/A,#N/A,FALSE,"RECAP Note Zones"}</definedName>
    <definedName name="n" localSheetId="17" hidden="1">{#N/A,#N/A,FALSE,"RECAP Note Global";#N/A,#N/A,FALSE,"RECAP Note France";#N/A,#N/A,FALSE,"RECAP Note étranger";#N/A,#N/A,FALSE,"RECAP Note Zones"}</definedName>
    <definedName name="n" localSheetId="40" hidden="1">{#N/A,#N/A,FALSE,"RECAP Note Global";#N/A,#N/A,FALSE,"RECAP Note France";#N/A,#N/A,FALSE,"RECAP Note étranger";#N/A,#N/A,FALSE,"RECAP Note Zones"}</definedName>
    <definedName name="n" localSheetId="39" hidden="1">{#N/A,#N/A,FALSE,"RECAP Note Global";#N/A,#N/A,FALSE,"RECAP Note France";#N/A,#N/A,FALSE,"RECAP Note étranger";#N/A,#N/A,FALSE,"RECAP Note Zones"}</definedName>
    <definedName name="n">#REF!</definedName>
    <definedName name="n___0">#N/A</definedName>
    <definedName name="n___1">#N/A</definedName>
    <definedName name="N_PôleNI">#REF!</definedName>
    <definedName name="NA">"NA "</definedName>
    <definedName name="NA_avrg_spending">#REF!</definedName>
    <definedName name="NA_installation">#REF!</definedName>
    <definedName name="NA_installlation">#REF!</definedName>
    <definedName name="NA_share">#REF!</definedName>
    <definedName name="NA_share2">#REF!</definedName>
    <definedName name="Name">#REF!</definedName>
    <definedName name="Name3">#REF!</definedName>
    <definedName name="Nate">'[186]BFA ISP'!#REF!</definedName>
    <definedName name="ne6.7">[54]secu!#REF!</definedName>
    <definedName name="ne7.8">#REF!</definedName>
    <definedName name="ne7.8_7">[32]_REF!$A$459:$P$500</definedName>
    <definedName name="net_balance">#REF!</definedName>
    <definedName name="netdebt_target">[46]Inputs!$J$66</definedName>
    <definedName name="NetPPnE">#REF!</definedName>
    <definedName name="New">#REF!</definedName>
    <definedName name="new_tax">'[46]Dilution Inputs'!$J$14</definedName>
    <definedName name="nhg">'[71]Input-D'!#REF!</definedName>
    <definedName name="nhwsf">#REF!</definedName>
    <definedName name="NI">#REF!</definedName>
    <definedName name="Nicaragua__Cellular_Subscribers_by_Standard__1994_2001">#REF!</definedName>
    <definedName name="nirameya">#REF!</definedName>
    <definedName name="Nitin" hidden="1">'[187]Sheet3 (2)'!$A$60:$A$76</definedName>
    <definedName name="Nlle_Zelande" localSheetId="41">#REF!</definedName>
    <definedName name="Nlle_Zelande" localSheetId="42">#REF!</definedName>
    <definedName name="Nlle_Zelande">#REF!</definedName>
    <definedName name="NM">"NM  "</definedName>
    <definedName name="nnnb" hidden="1">{"consolidated",#N/A,FALSE,"Sheet1";"cms",#N/A,FALSE,"Sheet1";"fse",#N/A,FALSE,"Sheet1"}</definedName>
    <definedName name="No_Class">"No Class"</definedName>
    <definedName name="no_days">[188]Assum!$C$3</definedName>
    <definedName name="noidea" hidden="1">{#N/A,#N/A,FALSE,"Calc";#N/A,#N/A,FALSE,"Sensitivity";#N/A,#N/A,FALSE,"LT Earn.Dil.";#N/A,#N/A,FALSE,"Dil. AVP"}</definedName>
    <definedName name="NOK">3.64</definedName>
    <definedName name="NominalGDP">#REF!</definedName>
    <definedName name="NominalGDP___0">#REF!</definedName>
    <definedName name="NominalGDP___1">#N/A</definedName>
    <definedName name="nonop">[65]Capital!$Q$82:$Q$88</definedName>
    <definedName name="nonprodboh">#REF!</definedName>
    <definedName name="nonproddeptreckner">#REF!</definedName>
    <definedName name="nonprodeprec">#REF!</definedName>
    <definedName name="nonprodpol">#REF!</definedName>
    <definedName name="noofinstl">[162]Input!$B$5</definedName>
    <definedName name="NOPAT">#REF!</definedName>
    <definedName name="nopatadj">#REF!</definedName>
    <definedName name="NOPATLink">[76]Nopat_by_Years_Valuation!$B$8</definedName>
    <definedName name="Nord">[59]ROA!#REF!</definedName>
    <definedName name="NorTarrif">#REF!</definedName>
    <definedName name="NorTarrif_I">#REF!</definedName>
    <definedName name="NORVEGE" localSheetId="41">#REF!</definedName>
    <definedName name="NORVEGE" localSheetId="42">#REF!</definedName>
    <definedName name="NORVEGE">#REF!</definedName>
    <definedName name="NoSAF">"2-Closed-No SAF"</definedName>
    <definedName name="NOTE">'[168]IF-FIN'!#REF!</definedName>
    <definedName name="NOTE_1">[68]SI_FIN!#REF!</definedName>
    <definedName name="NOTE_10">#REF!</definedName>
    <definedName name="NOTE_11">#REF!</definedName>
    <definedName name="NOTE_12">#REF!</definedName>
    <definedName name="NOTE_13">#REF!</definedName>
    <definedName name="NOTE_14">#REF!</definedName>
    <definedName name="NOTE_15">#REF!</definedName>
    <definedName name="NOTE_16">#REF!</definedName>
    <definedName name="NOTE_17">#REF!</definedName>
    <definedName name="NOTE_18">#REF!</definedName>
    <definedName name="NOTE_2">[189]SI_FIN!#REF!</definedName>
    <definedName name="NOTE_5">[68]PP_FIN!#REF!</definedName>
    <definedName name="NOTE_6">#REF!</definedName>
    <definedName name="NOTE_7">#REF!</definedName>
    <definedName name="NOTE_8">#REF!</definedName>
    <definedName name="NOTE_9">[68]COMBI_FIN!#REF!</definedName>
    <definedName name="notea">'[190]Baseline Financial Analysis'!#REF!</definedName>
    <definedName name="Noteb">'[191]Baseline Financial Analysis'!#REF!</definedName>
    <definedName name="notes">#REF!</definedName>
    <definedName name="nov" localSheetId="41">#REF!</definedName>
    <definedName name="nov" localSheetId="42">#REF!</definedName>
    <definedName name="nov">#REF!</definedName>
    <definedName name="Nov_Bal">#REF!</definedName>
    <definedName name="novold" localSheetId="41">#REF!</definedName>
    <definedName name="novold" localSheetId="42">#REF!</definedName>
    <definedName name="novold">#REF!</definedName>
    <definedName name="nowboh">#REF!</definedName>
    <definedName name="nowpol">#REF!</definedName>
    <definedName name="nr_price_ext_package">#REF!</definedName>
    <definedName name="nr_price_ext_package2">#REF!</definedName>
    <definedName name="NRW">[179]Para!$B$2</definedName>
    <definedName name="NSL">#REF!</definedName>
    <definedName name="NTM" localSheetId="41">#REF!</definedName>
    <definedName name="NTM" localSheetId="42">#REF!</definedName>
    <definedName name="NTM">#REF!</definedName>
    <definedName name="NUGR" localSheetId="41">#REF!</definedName>
    <definedName name="NUGR" localSheetId="42">#REF!</definedName>
    <definedName name="NUGR">#REF!</definedName>
    <definedName name="Num_Pmt_Per_Year" localSheetId="41">#REF!</definedName>
    <definedName name="Num_Pmt_Per_Year" localSheetId="42">#REF!</definedName>
    <definedName name="Num_Pmt_Per_Year">#REF!</definedName>
    <definedName name="Number_of_Payments" localSheetId="8">MATCH(0.01,End_Bal,-1)+1</definedName>
    <definedName name="Number_of_Payments" localSheetId="41">MATCH(0.01,'Execulation Revenue'!End_Bal,-1)+1</definedName>
    <definedName name="Number_of_Payments" localSheetId="42">MATCH(0.01,'Execution Cost'!End_Bal,-1)+1</definedName>
    <definedName name="Number_of_Payments" localSheetId="6">MATCH(0.01,End_Bal,-1)+1</definedName>
    <definedName name="Number_of_Payments" localSheetId="5">MATCH(0.01,End_Bal,-1)+1</definedName>
    <definedName name="Number_of_Payments">MATCH(0.01,End_Bal,-1)+1</definedName>
    <definedName name="Number_of_Payments_2">MATCH(0.01,End_Bal,-1)+1</definedName>
    <definedName name="NumberofCyls">'[52]Input Sheet'!$C$6</definedName>
    <definedName name="NumberofEngines">'[52]Input Sheet'!$C$5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vsASD">"V2000-03-31"</definedName>
    <definedName name="NvsAutoDrillOk">"VN"</definedName>
    <definedName name="NvsElapsedTime">0.00887291666731471</definedName>
    <definedName name="NvsEndTime">36657.3808431713</definedName>
    <definedName name="NvsInstSpec">"%,FDEPTID,TCURRENT_QTR,NCOO"</definedName>
    <definedName name="NvsLayoutType">"M3"</definedName>
    <definedName name="NvsNplSpec">"%,X,RZF..,CZF.."</definedName>
    <definedName name="NvsPanelEffdt">"V1993-01-01"</definedName>
    <definedName name="NvsPanelSetid">"VMODEL"</definedName>
    <definedName name="NvsParentRef">#REF!</definedName>
    <definedName name="NvsReqBU">"VUSA"</definedName>
    <definedName name="NvsReqBUOnly">"VN"</definedName>
    <definedName name="NvsTransLed">"VN"</definedName>
    <definedName name="NvsTreeASD">"V2000-03-31"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DUCT">"PRODUCT_TBL"</definedName>
    <definedName name="nyomtat">#N/A</definedName>
    <definedName name="Nyomtatási_terület_MÉ">#REF!</definedName>
    <definedName name="o">{"'Customer Support Trends'!$A$1:$AB$13"}</definedName>
    <definedName name="O_D_Matrix">#REF!</definedName>
    <definedName name="O_M_Esc">[159]Input!$H$95</definedName>
    <definedName name="O_Mcost">[159]Input!$H$94</definedName>
    <definedName name="O_SARP">#REF!</definedName>
    <definedName name="OC">[99]Sensitivity!$F$11</definedName>
    <definedName name="OC_Factor">[100]Sensitivity!$K$15</definedName>
    <definedName name="ocase">#REF!</definedName>
    <definedName name="OCConsump">#REF!</definedName>
    <definedName name="OCConsump_I">#REF!</definedName>
    <definedName name="OCCost">#REF!</definedName>
    <definedName name="OCCost_I">#REF!</definedName>
    <definedName name="OCD_Coupon">'[192]Input-output'!$C$30</definedName>
    <definedName name="OCEsc">#REF!</definedName>
    <definedName name="OCEsc_I">#REF!</definedName>
    <definedName name="oct" localSheetId="41">#REF!</definedName>
    <definedName name="oct" localSheetId="42">#REF!</definedName>
    <definedName name="oct">#REF!</definedName>
    <definedName name="Oct_Bal">#REF!</definedName>
    <definedName name="Off_Peak_Percentage">#REF!</definedName>
    <definedName name="Off_Peak_Percentage2">#REF!</definedName>
    <definedName name="OhNo">#REF!</definedName>
    <definedName name="OLA">[13]SalaryData!$EE$10</definedName>
    <definedName name="om_exp">#REF!</definedName>
    <definedName name="om_exp_I">#REF!</definedName>
    <definedName name="ON">#REF!</definedName>
    <definedName name="one">1</definedName>
    <definedName name="ONERESULT">#REF!</definedName>
    <definedName name="ONESOURCE">#REF!</definedName>
    <definedName name="ONYX" localSheetId="41">Compte Rés 'Execulation Revenue'!Euro</definedName>
    <definedName name="ONYX" localSheetId="42">Compte Rés 'Execution Cost'!Euro</definedName>
    <definedName name="ONYX" localSheetId="40">Compte Rés [0]!Euro</definedName>
    <definedName name="ONYX" localSheetId="39">Compte Rés [0]!Euro</definedName>
    <definedName name="ONYX" localSheetId="44">Compte Rés [0]!Euro</definedName>
    <definedName name="ONYX">Compte Rés Euro</definedName>
    <definedName name="ooooo" hidden="1">{#N/A,#N/A,FALSE,"Calc";#N/A,#N/A,FALSE,"Sensitivity";#N/A,#N/A,FALSE,"LT Earn.Dil.";#N/A,#N/A,FALSE,"Dil. AVP"}</definedName>
    <definedName name="OpenReq">#REF!</definedName>
    <definedName name="OPR">#REF!</definedName>
    <definedName name="OPRATIO">#REF!</definedName>
    <definedName name="OR_IR_Ratio">[44]PC_Cost_Ku!$B$11</definedName>
    <definedName name="or6.7">[54]secu!#REF!</definedName>
    <definedName name="ORG___trunc">#REF!</definedName>
    <definedName name="Organization">#REF!</definedName>
    <definedName name="orglist">[193]orglist!$A$1:$G$288</definedName>
    <definedName name="ORGtrunc">#REF!</definedName>
    <definedName name="orlnew" localSheetId="18" hidden="1">{#N/A,#N/A,FALSE,"DEA Report";#N/A,#N/A,FALSE,"Veba Report";#N/A,#N/A,FALSE,"Wintershall Report";#N/A,#N/A,FALSE,"Fina Report"}</definedName>
    <definedName name="orlnew" localSheetId="12" hidden="1">{#N/A,#N/A,FALSE,"DEA Report";#N/A,#N/A,FALSE,"Veba Report";#N/A,#N/A,FALSE,"Wintershall Report";#N/A,#N/A,FALSE,"Fina Report"}</definedName>
    <definedName name="orlnew" localSheetId="41" hidden="1">{#N/A,#N/A,FALSE,"DEA Report";#N/A,#N/A,FALSE,"Veba Report";#N/A,#N/A,FALSE,"Wintershall Report";#N/A,#N/A,FALSE,"Fina Report"}</definedName>
    <definedName name="orlnew" localSheetId="42" hidden="1">{#N/A,#N/A,FALSE,"DEA Report";#N/A,#N/A,FALSE,"Veba Report";#N/A,#N/A,FALSE,"Wintershall Report";#N/A,#N/A,FALSE,"Fina Report"}</definedName>
    <definedName name="orlnew" localSheetId="17" hidden="1">{#N/A,#N/A,FALSE,"DEA Report";#N/A,#N/A,FALSE,"Veba Report";#N/A,#N/A,FALSE,"Wintershall Report";#N/A,#N/A,FALSE,"Fina Report"}</definedName>
    <definedName name="orlnew" localSheetId="40" hidden="1">{#N/A,#N/A,FALSE,"DEA Report";#N/A,#N/A,FALSE,"Veba Report";#N/A,#N/A,FALSE,"Wintershall Report";#N/A,#N/A,FALSE,"Fina Report"}</definedName>
    <definedName name="orlnew" localSheetId="39" hidden="1">{#N/A,#N/A,FALSE,"DEA Report";#N/A,#N/A,FALSE,"Veba Report";#N/A,#N/A,FALSE,"Wintershall Report";#N/A,#N/A,FALSE,"Fina Report"}</definedName>
    <definedName name="orlnew" hidden="1">{#N/A,#N/A,FALSE,"DEA Report";#N/A,#N/A,FALSE,"Veba Report";#N/A,#N/A,FALSE,"Wintershall Report";#N/A,#N/A,FALSE,"Fina Report"}</definedName>
    <definedName name="ors7.8">#REF!</definedName>
    <definedName name="ors7.8_7">[32]_REF!$A$283:$P$324</definedName>
    <definedName name="OT">#REF!</definedName>
    <definedName name="Other">#REF!</definedName>
    <definedName name="otherfohpm">'[94]p&amp;l'!#REF!</definedName>
    <definedName name="otherkopol">#REF!</definedName>
    <definedName name="otheropexboh">#REF!</definedName>
    <definedName name="otheropexkner">#REF!</definedName>
    <definedName name="otheropexp">#REF!</definedName>
    <definedName name="otheropinc">#REF!</definedName>
    <definedName name="otheropincboh">#REF!</definedName>
    <definedName name="otheropinckner">#REF!</definedName>
    <definedName name="otheroppol">#REF!</definedName>
    <definedName name="OTHERS">'[73]BOQ Distribution'!$A$50:$G$51</definedName>
    <definedName name="othfin2pol">#REF!</definedName>
    <definedName name="othfinboh">#REF!</definedName>
    <definedName name="othfinexp">#REF!</definedName>
    <definedName name="othfininc">#REF!</definedName>
    <definedName name="othfinpol">#REF!</definedName>
    <definedName name="Out_June">#REF!</definedName>
    <definedName name="Out_June_HIres">#REF!</definedName>
    <definedName name="Out_June_Terms">#REF!</definedName>
    <definedName name="OUTPUT_1">#REF!</definedName>
    <definedName name="OUTPUT_2">#REF!</definedName>
    <definedName name="Outputs">#REF!</definedName>
    <definedName name="overbooking_factor">#REF!</definedName>
    <definedName name="overbooking_factor2">#REF!</definedName>
    <definedName name="overheads">#REF!</definedName>
    <definedName name="owner">#REF!</definedName>
    <definedName name="p">{#N/A,#N/A,TRUE,"Outlook98";#N/A,#N/A,TRUE,"Reduction Model"}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_Assump">#REF!</definedName>
    <definedName name="p_BS">#REF!</definedName>
    <definedName name="P_C">#REF!</definedName>
    <definedName name="P_CET">#REF!</definedName>
    <definedName name="p_CFS">#REF!</definedName>
    <definedName name="p_IncomeStatement">#REF!</definedName>
    <definedName name="P_M">#REF!</definedName>
    <definedName name="p_Sum">#REF!</definedName>
    <definedName name="P_T">#REF!</definedName>
    <definedName name="P1_">#REF!</definedName>
    <definedName name="pac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Page2">#REF!</definedName>
    <definedName name="paige">#REF!</definedName>
    <definedName name="PAO.DIV">'[81]Rep PAO DIV'!$A$27:$U$82</definedName>
    <definedName name="PAO.GEO">'[81]Rep GEO PAO'!$A$33:$U$88</definedName>
    <definedName name="PAOD12" localSheetId="41">#REF!</definedName>
    <definedName name="PAOD12" localSheetId="42">#REF!</definedName>
    <definedName name="PAOD12">#REF!</definedName>
    <definedName name="PAODiv">'[194]CV Axe Div'!$M$5:$U$66</definedName>
    <definedName name="parse" hidden="1">#REF!</definedName>
    <definedName name="part">#REF!</definedName>
    <definedName name="passes">#REF!</definedName>
    <definedName name="passgd" localSheetId="18" hidden="1">{#N/A,#N/A,FALSE,"RECAP Note Global";#N/A,#N/A,FALSE,"RECAP Note France";#N/A,#N/A,FALSE,"RECAP Note étranger";#N/A,#N/A,FALSE,"RECAP Note Zones"}</definedName>
    <definedName name="passgd" localSheetId="12" hidden="1">{#N/A,#N/A,FALSE,"RECAP Note Global";#N/A,#N/A,FALSE,"RECAP Note France";#N/A,#N/A,FALSE,"RECAP Note étranger";#N/A,#N/A,FALSE,"RECAP Note Zones"}</definedName>
    <definedName name="passgd" localSheetId="41" hidden="1">{#N/A,#N/A,FALSE,"RECAP Note Global";#N/A,#N/A,FALSE,"RECAP Note France";#N/A,#N/A,FALSE,"RECAP Note étranger";#N/A,#N/A,FALSE,"RECAP Note Zones"}</definedName>
    <definedName name="passgd" localSheetId="42" hidden="1">{#N/A,#N/A,FALSE,"RECAP Note Global";#N/A,#N/A,FALSE,"RECAP Note France";#N/A,#N/A,FALSE,"RECAP Note étranger";#N/A,#N/A,FALSE,"RECAP Note Zones"}</definedName>
    <definedName name="passgd" localSheetId="17" hidden="1">{#N/A,#N/A,FALSE,"RECAP Note Global";#N/A,#N/A,FALSE,"RECAP Note France";#N/A,#N/A,FALSE,"RECAP Note étranger";#N/A,#N/A,FALSE,"RECAP Note Zones"}</definedName>
    <definedName name="passgd" localSheetId="40" hidden="1">{#N/A,#N/A,FALSE,"RECAP Note Global";#N/A,#N/A,FALSE,"RECAP Note France";#N/A,#N/A,FALSE,"RECAP Note étranger";#N/A,#N/A,FALSE,"RECAP Note Zones"}</definedName>
    <definedName name="passgd" localSheetId="39" hidden="1">{#N/A,#N/A,FALSE,"RECAP Note Global";#N/A,#N/A,FALSE,"RECAP Note France";#N/A,#N/A,FALSE,"RECAP Note étranger";#N/A,#N/A,FALSE,"RECAP Note Zones"}</definedName>
    <definedName name="passgd" hidden="1">{#N/A,#N/A,FALSE,"RECAP Note Global";#N/A,#N/A,FALSE,"RECAP Note France";#N/A,#N/A,FALSE,"RECAP Note étranger";#N/A,#N/A,FALSE,"RECAP Note Zones"}</definedName>
    <definedName name="pay">#REF!</definedName>
    <definedName name="Pay_Date">#REF!</definedName>
    <definedName name="Pay_Num" localSheetId="41">#REF!</definedName>
    <definedName name="Pay_Num" localSheetId="42">#REF!</definedName>
    <definedName name="Pay_Num">#REF!</definedName>
    <definedName name="payback">#REF!</definedName>
    <definedName name="Payment_Date" localSheetId="8">DATE(YEAR(Loan_Start),MONTH(Loan_Start)+Payment_Number,DAY(Loan_Start))</definedName>
    <definedName name="Payment_Date" localSheetId="41">DATE(YEAR('Execulation Revenue'!Loan_Start),MONTH('Execulation Revenue'!Loan_Start)+Payment_Number,DAY('Execulation Revenue'!Loan_Start))</definedName>
    <definedName name="Payment_Date" localSheetId="42">DATE(YEAR('Execution Cost'!Loan_Start),MONTH('Execution Cost'!Loan_Start)+Payment_Number,DAY('Execution Cost'!Loan_Start))</definedName>
    <definedName name="Payment_Date" localSheetId="40">DATE(YEAR([0]!Loan_Start),MONTH([0]!Loan_Start)+Payment_Number,DAY([0]!Loan_Start))</definedName>
    <definedName name="Payment_Date" localSheetId="39">DATE(YEAR([0]!Loan_Start),MONTH([0]!Loan_Start)+Payment_Number,DAY([0]!Loan_Start))</definedName>
    <definedName name="Payment_Date" localSheetId="6">DATE(YEAR(Loan_Start),MONTH(Loan_Start)+Payment_Number,DAY(Loan_Start))</definedName>
    <definedName name="Payment_Date" localSheetId="5">DATE(YEAR(Loan_Start),MONTH(Loan_Start)+Payment_Number,DAY(Loan_Start))</definedName>
    <definedName name="Payment_Date" localSheetId="44">DATE(YEAR([0]!Loan_Start),MONTH([0]!Loan_Start)+Payment_Number,DAY([0]!Loan_Start))</definedName>
    <definedName name="Payment_Date">DATE(YEAR(Loan_Start),MONTH(Loan_Start)+Payment_Number,DAY(Loan_Start))</definedName>
    <definedName name="Payphones__000">#REF!</definedName>
    <definedName name="PBP">#REF!</definedName>
    <definedName name="PBP_1">[68]SI_FIN!#REF!</definedName>
    <definedName name="PBP_9">[68]COMBI_FIN!#REF!</definedName>
    <definedName name="PBX_Extensions__000">#REF!</definedName>
    <definedName name="PBX_KTS_Trunks__000">#REF!</definedName>
    <definedName name="PC">[99]Sensitivity!$F$10</definedName>
    <definedName name="PC_Factor">[100]Sensitivity!$K$5</definedName>
    <definedName name="PCO">#REF!</definedName>
    <definedName name="pcrit1">#REF!</definedName>
    <definedName name="pcrit2">#REF!</definedName>
    <definedName name="pcrit3">#REF!</definedName>
    <definedName name="pcrit4">#REF!</definedName>
    <definedName name="pcrit5">#REF!</definedName>
    <definedName name="pDiscountRate">#REF!</definedName>
    <definedName name="pDSRCov">#REF!</definedName>
    <definedName name="PE_Ratio">'[116]Input -Output sheet'!$C$48</definedName>
    <definedName name="Peak_Percentage">#REF!</definedName>
    <definedName name="Peak_Percentage2">#REF!</definedName>
    <definedName name="PEfee">[56]Combi!$C$31</definedName>
    <definedName name="Penalty_Status">[160]Assumption_AP!$D$236</definedName>
    <definedName name="Pensions">#REF!</definedName>
    <definedName name="perc_forced_on_net">#REF!</definedName>
    <definedName name="Percent">'[195]Lists&amp;Param'!$B$18:$B$28</definedName>
    <definedName name="percent_cash_switch">#REF!</definedName>
    <definedName name="percent_inc">[196]Assistance!$D$3</definedName>
    <definedName name="period">#REF!</definedName>
    <definedName name="period_25">#REF!</definedName>
    <definedName name="PERIODS">#REF!</definedName>
    <definedName name="PERIODSRET">#REF!</definedName>
    <definedName name="personal_cost_per_day">#REF!</definedName>
    <definedName name="personal_cost_per_day2">#REF!</definedName>
    <definedName name="PEtaken">#REF!</definedName>
    <definedName name="pfTaxHol">#REF!</definedName>
    <definedName name="ph" localSheetId="18" hidden="1">{#N/A,#N/A,FALSE,"Aging Summary";#N/A,#N/A,FALSE,"Ratio Analysis";#N/A,#N/A,FALSE,"Test 120 Day Accts";#N/A,#N/A,FALSE,"Tickmarks"}</definedName>
    <definedName name="ph" localSheetId="12" hidden="1">{#N/A,#N/A,FALSE,"Aging Summary";#N/A,#N/A,FALSE,"Ratio Analysis";#N/A,#N/A,FALSE,"Test 120 Day Accts";#N/A,#N/A,FALSE,"Tickmarks"}</definedName>
    <definedName name="ph" localSheetId="41" hidden="1">{#N/A,#N/A,FALSE,"Aging Summary";#N/A,#N/A,FALSE,"Ratio Analysis";#N/A,#N/A,FALSE,"Test 120 Day Accts";#N/A,#N/A,FALSE,"Tickmarks"}</definedName>
    <definedName name="ph" localSheetId="42" hidden="1">{#N/A,#N/A,FALSE,"Aging Summary";#N/A,#N/A,FALSE,"Ratio Analysis";#N/A,#N/A,FALSE,"Test 120 Day Accts";#N/A,#N/A,FALSE,"Tickmarks"}</definedName>
    <definedName name="ph" localSheetId="17" hidden="1">{#N/A,#N/A,FALSE,"Aging Summary";#N/A,#N/A,FALSE,"Ratio Analysis";#N/A,#N/A,FALSE,"Test 120 Day Accts";#N/A,#N/A,FALSE,"Tickmarks"}</definedName>
    <definedName name="ph" localSheetId="40" hidden="1">{#N/A,#N/A,FALSE,"Aging Summary";#N/A,#N/A,FALSE,"Ratio Analysis";#N/A,#N/A,FALSE,"Test 120 Day Accts";#N/A,#N/A,FALSE,"Tickmarks"}</definedName>
    <definedName name="ph" localSheetId="39" hidden="1">{#N/A,#N/A,FALSE,"Aging Summary";#N/A,#N/A,FALSE,"Ratio Analysis";#N/A,#N/A,FALSE,"Test 120 Day Accts";#N/A,#N/A,FALSE,"Tickmarks"}</definedName>
    <definedName name="ph" hidden="1">{#N/A,#N/A,FALSE,"Aging Summary";#N/A,#N/A,FALSE,"Ratio Analysis";#N/A,#N/A,FALSE,"Test 120 Day Accts";#N/A,#N/A,FALSE,"Tickmarks"}</definedName>
    <definedName name="phase">#REF!</definedName>
    <definedName name="PIK">#REF!</definedName>
    <definedName name="PIKlife">#REF!</definedName>
    <definedName name="Pillar_Rollups">#REF!</definedName>
    <definedName name="pinterest1">'[28]INTRST-XIIC'!$B$3:$G$52</definedName>
    <definedName name="pinterest2">'[28]INTRST-XIIC'!$B$56:$G$106</definedName>
    <definedName name="Pipeline">"6-Pipeline"</definedName>
    <definedName name="piTaxHol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1">[150]Input!$B$159</definedName>
    <definedName name="plan10">[150]Input!$K$159</definedName>
    <definedName name="plan2">[150]Input!$C$159</definedName>
    <definedName name="plan3">[150]Input!$D$159</definedName>
    <definedName name="plan4">[150]Input!$E$159</definedName>
    <definedName name="plan5">[150]Input!$F$159</definedName>
    <definedName name="plan6">[150]Input!$G$159</definedName>
    <definedName name="plan7">[150]Input!$H$159</definedName>
    <definedName name="plan8">[150]Input!$I$159</definedName>
    <definedName name="plan9">[150]Input!$J$159</definedName>
    <definedName name="plant">'[197]Freehold Land '!$A$6:$L$10</definedName>
    <definedName name="Plat_Mark_Dn">[44]PC_Cost_Ku!$B$12</definedName>
    <definedName name="pLength">#REF!</definedName>
    <definedName name="PLN">#REF!</definedName>
    <definedName name="pLoanLifeForeignDebt">#REF!</definedName>
    <definedName name="pLoanLifeLTDebt">#REF!</definedName>
    <definedName name="pLossCarFor">#REF!</definedName>
    <definedName name="ply" hidden="1">'[198]Power &amp; Fuel(new)'!#REF!</definedName>
    <definedName name="plywood" hidden="1">'[198]Power &amp; Fuel(new)'!#REF!</definedName>
    <definedName name="pMorForeignDebt">#REF!</definedName>
    <definedName name="pMorLTDebt">#REF!</definedName>
    <definedName name="Pole">'[199]Carto Eau 2 pôles'!$K$6:$K$8</definedName>
    <definedName name="POLOGNE" localSheetId="41">#REF!</definedName>
    <definedName name="POLOGNE" localSheetId="42">#REF!</definedName>
    <definedName name="POLOGNE">#REF!</definedName>
    <definedName name="Population__000">#REF!</definedName>
    <definedName name="PORTUGAL" localSheetId="41">#REF!</definedName>
    <definedName name="PORTUGAL" localSheetId="42">#REF!</definedName>
    <definedName name="PORTUGAL">#REF!</definedName>
    <definedName name="Possible_Additions">#REF!</definedName>
    <definedName name="power">'[28]UTILITIES-8'!$A$1:$G$37</definedName>
    <definedName name="POWER___FUEL__">#REF!</definedName>
    <definedName name="POWER_10">#REF!</definedName>
    <definedName name="POWER_11">#REF!</definedName>
    <definedName name="POWER_12">#REF!</definedName>
    <definedName name="POWER_13">#REF!</definedName>
    <definedName name="POWER_14">#REF!</definedName>
    <definedName name="POWER_15">#REF!</definedName>
    <definedName name="POWER_16">#REF!</definedName>
    <definedName name="POWER_17">#REF!</definedName>
    <definedName name="POWER_18">#REF!</definedName>
    <definedName name="POWER_5">#REF!</definedName>
    <definedName name="POWER_6">#REF!</definedName>
    <definedName name="POWER_7">#REF!</definedName>
    <definedName name="POWER_8">#REF!</definedName>
    <definedName name="Power_consumption_norms">#REF!</definedName>
    <definedName name="POWERFUEL_COST_">#REF!</definedName>
    <definedName name="powerpm">'[94]p&amp;l'!#REF!</definedName>
    <definedName name="PowGenChrg">#REF!</definedName>
    <definedName name="PowGenChrg_I">#REF!</definedName>
    <definedName name="pp">#REF!</definedName>
    <definedName name="PPP">#REF!</definedName>
    <definedName name="pptt">[150]b!$C$11</definedName>
    <definedName name="PRASAD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PRE_OP_INTEREST">#REF!</definedName>
    <definedName name="Pref_Space">#REF!</definedName>
    <definedName name="prefDivRate">#REF!</definedName>
    <definedName name="PRELIM___PREOP">#REF!</definedName>
    <definedName name="PRELIM_EXPS.">#REF!</definedName>
    <definedName name="PreOp">"$#REF!.$#REF!$#REF!:$#REF!$#REF!"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F">#REF!</definedName>
    <definedName name="Price">#REF!</definedName>
    <definedName name="PRICE___0">#REF!</definedName>
    <definedName name="PRICE___1">#N/A</definedName>
    <definedName name="price_for_numberplan_integration">#REF!</definedName>
    <definedName name="price_for_the_one_time_setup_of_forced_on_net_feature">#REF!</definedName>
    <definedName name="price_per_access_port">#REF!</definedName>
    <definedName name="price_per_access_port2">#REF!</definedName>
    <definedName name="price_target">[46]Inputs!$J$35</definedName>
    <definedName name="pricefortheonetimesetupofforcedonnet2">#REF!</definedName>
    <definedName name="pricen">#REF!</definedName>
    <definedName name="pricens">#REF!</definedName>
    <definedName name="pricesn">#REF!</definedName>
    <definedName name="prin">#REF!</definedName>
    <definedName name="Princ" localSheetId="41">#REF!</definedName>
    <definedName name="Princ" localSheetId="42">#REF!</definedName>
    <definedName name="Princ">#REF!</definedName>
    <definedName name="print">#REF!</definedName>
    <definedName name="PRINT_AR01">#REF!</definedName>
    <definedName name="PRINT_AR02">#REF!</definedName>
    <definedName name="PRINT_AR03">#REF!</definedName>
    <definedName name="_xlnm.Print_Area" localSheetId="41">#REF!</definedName>
    <definedName name="_xlnm.Print_Area" localSheetId="42">#REF!</definedName>
    <definedName name="_xlnm.Print_Area">#REF!</definedName>
    <definedName name="Print_Area_1">#N/A</definedName>
    <definedName name="PRINT_AREA_MI">#REF!</definedName>
    <definedName name="Print_Area_MI_36">#REF!</definedName>
    <definedName name="PRINT_AREA_MI_7">[32]_REF!$A$1:$D$55</definedName>
    <definedName name="Print_Area_Reset" localSheetId="8">OFFSET(Full_Print,0,0,Last_Row)</definedName>
    <definedName name="Print_Area_Reset" localSheetId="41">OFFSET('Execulation Revenue'!Full_Print,0,0,[0]!Last_Row)</definedName>
    <definedName name="Print_Area_Reset" localSheetId="42">OFFSET('Execution Cost'!Full_Print,0,0,[0]!Last_Row)</definedName>
    <definedName name="Print_Area_Reset" localSheetId="6">OFFSET(Full_Print,0,0,Last_Row)</definedName>
    <definedName name="Print_Area_Reset" localSheetId="5">OFFSET(Full_Print,0,0,Last_Row)</definedName>
    <definedName name="Print_Area_Reset">OFFSET(Full_Print,0,0,Last_Row)</definedName>
    <definedName name="Print_Area_Reset_2">OFFSET(Full_Print,0,0,Last_Row_2)</definedName>
    <definedName name="Print_Area1">#REF!</definedName>
    <definedName name="print_head" localSheetId="8">#REF!</definedName>
    <definedName name="print_head">#REF!</definedName>
    <definedName name="_xlnm.Print_Titles">#N/A</definedName>
    <definedName name="Printarea">[4]RUPEE!$A$322:$E$358</definedName>
    <definedName name="PrintManagerQuery">#REF!</definedName>
    <definedName name="PRINTOUT">#REF!</definedName>
    <definedName name="PrintSelectedSheetsMacroButton">#REF!</definedName>
    <definedName name="PRIVATE___0">#N/A</definedName>
    <definedName name="PRIVATE___1">#N/A</definedName>
    <definedName name="PRN_MAJ_QUANTITY">#REF!</definedName>
    <definedName name="prodfrance">#REF!</definedName>
    <definedName name="prodfrancespe" localSheetId="41">#REF!</definedName>
    <definedName name="prodfrancespe" localSheetId="42">#REF!</definedName>
    <definedName name="prodfrancespe">#REF!</definedName>
    <definedName name="prodnord" localSheetId="41">#REF!</definedName>
    <definedName name="prodnord" localSheetId="42">#REF!</definedName>
    <definedName name="prodnord">#REF!</definedName>
    <definedName name="prodpeco" localSheetId="41">#REF!</definedName>
    <definedName name="prodpeco" localSheetId="42">#REF!</definedName>
    <definedName name="prodpeco">#REF!</definedName>
    <definedName name="prodsud" localSheetId="41">#REF!</definedName>
    <definedName name="prodsud" localSheetId="42">#REF!</definedName>
    <definedName name="prodsud">#REF!</definedName>
    <definedName name="produa" hidden="1">{"'Trend_Total'!$A$7:$V$10","'Trend_Total'!$A$1:$V$4"}</definedName>
    <definedName name="Producer">'[200]Market Size per Buildout'!#REF!</definedName>
    <definedName name="product_set" hidden="1">{"'Trend_Total'!$A$7:$V$10","'Trend_Total'!$A$1:$V$4"}</definedName>
    <definedName name="product_set2" hidden="1">{#N/A,#N/A,TRUE,"Outlook98";#N/A,#N/A,TRUE,"Reduction Model"}</definedName>
    <definedName name="production">'[28]FM XI'!$B$2:$N$30</definedName>
    <definedName name="Production_and_Consumption_data_of_2001AF">#REF!</definedName>
    <definedName name="Production_and_Consumption_data_of_2001RM">#REF!</definedName>
    <definedName name="Production_in_M_T__2001">#REF!</definedName>
    <definedName name="profit">#REF!</definedName>
    <definedName name="Profit_and_Loss_account">#REF!</definedName>
    <definedName name="profit_loss">#REF!</definedName>
    <definedName name="profitnloss">#REF!</definedName>
    <definedName name="Prognose_nach_VS_Q1" localSheetId="41">#REF!</definedName>
    <definedName name="Prognose_nach_VS_Q1" localSheetId="42">#REF!</definedName>
    <definedName name="Prognose_nach_VS_Q1">#REF!</definedName>
    <definedName name="proj">#REF!</definedName>
    <definedName name="Proj_Cost">[201]IDC!$D$22</definedName>
    <definedName name="projc">[77]Sensitivity_!$E$6</definedName>
    <definedName name="project">#REF!</definedName>
    <definedName name="Project_COD">[135]IP!$E$61</definedName>
    <definedName name="PROJECTCOST">#REF!</definedName>
    <definedName name="PROJECTED__WORKING_CAPITAL">#REF!</definedName>
    <definedName name="Projected_Annual_Average_Daily_Traffic_Based_on_Vehicle_Registration">#REF!</definedName>
    <definedName name="Projected_most_Probable_Annual_Average_Daily_Traffic_Based_on_Elasticity">#REF!</definedName>
    <definedName name="PROJECTED_RAW_MATERIAL">#REF!</definedName>
    <definedName name="ProjectName" localSheetId="41">{"Client Name or Project Name"}</definedName>
    <definedName name="ProjectName" localSheetId="42">{"Client Name or Project Name"}</definedName>
    <definedName name="ProjectName">{"Client Name or Project Name"}</definedName>
    <definedName name="PROMOTE">#REF!</definedName>
    <definedName name="Prov_liab_Mate">'[202]Exp. Liab.'!#REF!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isions">#REF!</definedName>
    <definedName name="Provisions_I">#REF!</definedName>
    <definedName name="PRP">#REF!</definedName>
    <definedName name="PRVMKT902000">#REF!</definedName>
    <definedName name="PS_target">[46]Inputs!$J$44</definedName>
    <definedName name="pscheme">[28]formx!$B$4:$C$40</definedName>
    <definedName name="PSDN_Ports__000">#REF!</definedName>
    <definedName name="PSDN_Subscribers__000">#REF!</definedName>
    <definedName name="psLibor">#REF!</definedName>
    <definedName name="PSP_Element">#REF!</definedName>
    <definedName name="pStartTaxHol">#REF!</definedName>
    <definedName name="Pthroughput">#REF!</definedName>
    <definedName name="ptt_bill_share">#REF!</definedName>
    <definedName name="ptt_bill_share2">#REF!</definedName>
    <definedName name="PUB_FileID" hidden="1">"L10003363.xls"</definedName>
    <definedName name="PUB_UserID" hidden="1">"MAYERX"</definedName>
    <definedName name="pubform">#REF!</definedName>
    <definedName name="pubform___0">#N/A</definedName>
    <definedName name="pubform___1">#N/A</definedName>
    <definedName name="PUBFRMLA">#REF!</definedName>
    <definedName name="PUBFRMLA___0">#REF!</definedName>
    <definedName name="PUBFRMLA___1">#N/A</definedName>
    <definedName name="PUBLIC">#REF!</definedName>
    <definedName name="PUBLIC___0">#N/A</definedName>
    <definedName name="PUBLIC___1">#N/A</definedName>
    <definedName name="PUBLIC_NETWORK">#REF!</definedName>
    <definedName name="Public_Sheet">#REF!</definedName>
    <definedName name="Public_Telecom_Access_Network">#REF!</definedName>
    <definedName name="PUBMKT">#REF!</definedName>
    <definedName name="PUBMKT___0">#N/A</definedName>
    <definedName name="PUBMKT___1">#N/A</definedName>
    <definedName name="PUBMKT902000">#REF!</definedName>
    <definedName name="PUBPIC">#REF!</definedName>
    <definedName name="PUBPIC___0">#REF!</definedName>
    <definedName name="PUBPIC___1">#N/A</definedName>
    <definedName name="PUBPRICE">#REF!</definedName>
    <definedName name="PUBPRICE___0">#REF!</definedName>
    <definedName name="PUBPRICE___1">#N/A</definedName>
    <definedName name="purchase">[46]Inputs!#REF!</definedName>
    <definedName name="Purchase_Case">'[63]Consolidate ShockRave Revenue'!$F$7</definedName>
    <definedName name="purchase_price">[46]Inputs!$L$23</definedName>
    <definedName name="purchase_price_share">[203]Inputs!$L$16</definedName>
    <definedName name="pv">#REF!</definedName>
    <definedName name="PVTFRMLA">#REF!</definedName>
    <definedName name="PVTFRMLA___0">#REF!</definedName>
    <definedName name="PVTFRMLA___1">#N/A</definedName>
    <definedName name="PVTMKT">#REF!</definedName>
    <definedName name="PVTMKT___0">#N/A</definedName>
    <definedName name="PVTMKT___1">#N/A</definedName>
    <definedName name="PVTPIC">#REF!</definedName>
    <definedName name="PVTPIC___0">#REF!</definedName>
    <definedName name="PVTPIC___1">#N/A</definedName>
    <definedName name="PVTPRICE">#REF!</definedName>
    <definedName name="PVTPRICE___0">#REF!</definedName>
    <definedName name="PVTPRICE___1">#N/A</definedName>
    <definedName name="PWM" localSheetId="41">#REF!</definedName>
    <definedName name="PWM" localSheetId="42">#REF!</definedName>
    <definedName name="PWM">#REF!</definedName>
    <definedName name="pymntfreq">[162]Input!$B$4</definedName>
    <definedName name="q" localSheetId="18" hidden="1">[5]DESBASTE!#REF!</definedName>
    <definedName name="q" localSheetId="32" hidden="1">[5]DESBASTE!#REF!</definedName>
    <definedName name="q">#REF!</definedName>
    <definedName name="Q_7">[32]_REF!#REF!</definedName>
    <definedName name="Q_SOULIER" localSheetId="41">#REF!</definedName>
    <definedName name="Q_SOULIER" localSheetId="42">#REF!</definedName>
    <definedName name="Q_SOULIER">#REF!</definedName>
    <definedName name="Q1GW">#REF!</definedName>
    <definedName name="Q2_Outlook">#REF!</definedName>
    <definedName name="Q2GW">'[204]Monthly (4)'!$A$1:$G$83</definedName>
    <definedName name="Q2OL">#REF!</definedName>
    <definedName name="Q3_FY98_Audit_Balance_Sheet_List">#REF!</definedName>
    <definedName name="Q3GW">'[204]Monthly (4)'!$A$1:$G$83</definedName>
    <definedName name="Q4GW">'[204]Monthly (4)'!$A$1:$G$83</definedName>
    <definedName name="qq">#REF!</definedName>
    <definedName name="qqq" hidden="1">{"vi1",#N/A,FALSE,"Financial Statements";"vi2",#N/A,FALSE,"Financial Statements";#N/A,#N/A,FALSE,"DCF"}</definedName>
    <definedName name="qqqqqqqqq">#REF!</definedName>
    <definedName name="Qtr_Req">'[205]Open Requisitions 05-20-02'!$A$2:$C$68</definedName>
    <definedName name="Quarter">#REF!</definedName>
    <definedName name="Quarter1">'[206]Ctrls per plant'!$L$27</definedName>
    <definedName name="Quote_Date">[131]ForwardData!$A$1</definedName>
    <definedName name="quotegap">#REF!</definedName>
    <definedName name="R_DIVERS" localSheetId="41">#REF!</definedName>
    <definedName name="R_DIVERS" localSheetId="42">#REF!</definedName>
    <definedName name="R_DIVERS">#REF!</definedName>
    <definedName name="R_Factor">#REF!</definedName>
    <definedName name="r_price_basis_system">#REF!</definedName>
    <definedName name="r_price_ext_package">#REF!</definedName>
    <definedName name="r_price_ext_package2">#REF!</definedName>
    <definedName name="r_printfunction">#REF!</definedName>
    <definedName name="RaisePct">#REF!</definedName>
    <definedName name="Range_PFE_Q">#REF!</definedName>
    <definedName name="Range_PFR_Q">#REF!</definedName>
    <definedName name="Range_PI3">#REF!</definedName>
    <definedName name="Range_SI">#REF!</definedName>
    <definedName name="rate">#REF!</definedName>
    <definedName name="RATE14">#REF!</definedName>
    <definedName name="Rate97">#REF!</definedName>
    <definedName name="Rate98">#REF!</definedName>
    <definedName name="RateCash">#REF!</definedName>
    <definedName name="RateDebtForeign">#REF!</definedName>
    <definedName name="RateDebtLong">#REF!</definedName>
    <definedName name="rateinput">#REF!</definedName>
    <definedName name="RatePrime">#REF!</definedName>
    <definedName name="RateRevolver">#REF!</definedName>
    <definedName name="Ratio">#REF!</definedName>
    <definedName name="Ratios">#REF!</definedName>
    <definedName name="ratr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rawm">[77]Sensitivity_!$E$8</definedName>
    <definedName name="RAWMAT">'[125]Data Input'!$B$195:$P$272</definedName>
    <definedName name="Rawmaterials___CosumablesRM2001">#REF!</definedName>
    <definedName name="RBN">#REF!</definedName>
    <definedName name="RBU">#REF!</definedName>
    <definedName name="RD_Crit">#REF!</definedName>
    <definedName name="RD_InputTable">#REF!</definedName>
    <definedName name="RD_OutputTable">#REF!</definedName>
    <definedName name="RDpercent">#REF!</definedName>
    <definedName name="RDswitch">#REF!</definedName>
    <definedName name="RebIns">#REF!</definedName>
    <definedName name="RebIns_I">#REF!</definedName>
    <definedName name="reca" localSheetId="18" hidden="1">{#N/A,#N/A,FALSE,"RECAP Note Global";#N/A,#N/A,FALSE,"RECAP Note France";#N/A,#N/A,FALSE,"RECAP Note étranger";#N/A,#N/A,FALSE,"RECAP Note Zones"}</definedName>
    <definedName name="reca" localSheetId="12" hidden="1">{#N/A,#N/A,FALSE,"RECAP Note Global";#N/A,#N/A,FALSE,"RECAP Note France";#N/A,#N/A,FALSE,"RECAP Note étranger";#N/A,#N/A,FALSE,"RECAP Note Zones"}</definedName>
    <definedName name="reca" localSheetId="41" hidden="1">{#N/A,#N/A,FALSE,"RECAP Note Global";#N/A,#N/A,FALSE,"RECAP Note France";#N/A,#N/A,FALSE,"RECAP Note étranger";#N/A,#N/A,FALSE,"RECAP Note Zones"}</definedName>
    <definedName name="reca" localSheetId="42" hidden="1">{#N/A,#N/A,FALSE,"RECAP Note Global";#N/A,#N/A,FALSE,"RECAP Note France";#N/A,#N/A,FALSE,"RECAP Note étranger";#N/A,#N/A,FALSE,"RECAP Note Zones"}</definedName>
    <definedName name="reca" localSheetId="17" hidden="1">{#N/A,#N/A,FALSE,"RECAP Note Global";#N/A,#N/A,FALSE,"RECAP Note France";#N/A,#N/A,FALSE,"RECAP Note étranger";#N/A,#N/A,FALSE,"RECAP Note Zones"}</definedName>
    <definedName name="reca" localSheetId="40" hidden="1">{#N/A,#N/A,FALSE,"RECAP Note Global";#N/A,#N/A,FALSE,"RECAP Note France";#N/A,#N/A,FALSE,"RECAP Note étranger";#N/A,#N/A,FALSE,"RECAP Note Zones"}</definedName>
    <definedName name="reca" localSheetId="39" hidden="1">{#N/A,#N/A,FALSE,"RECAP Note Global";#N/A,#N/A,FALSE,"RECAP Note France";#N/A,#N/A,FALSE,"RECAP Note étranger";#N/A,#N/A,FALSE,"RECAP Note Zones"}</definedName>
    <definedName name="reca" hidden="1">{#N/A,#N/A,FALSE,"RECAP Note Global";#N/A,#N/A,FALSE,"RECAP Note France";#N/A,#N/A,FALSE,"RECAP Note étranger";#N/A,#N/A,FALSE,"RECAP Note Zones"}</definedName>
    <definedName name="Receipts_Adjustments">#REF!</definedName>
    <definedName name="Receivables">#REF!</definedName>
    <definedName name="Receivables_I">#REF!</definedName>
    <definedName name="_xlnm.Recorder">#REF!</definedName>
    <definedName name="redo" hidden="1">{#N/A,#N/A,FALSE,"ACQ_GRAPHS";#N/A,#N/A,FALSE,"T_1 GRAPHS";#N/A,#N/A,FALSE,"T_2 GRAPHS";#N/A,#N/A,FALSE,"COMB_GRAPHS"}</definedName>
    <definedName name="Reference">#REF!</definedName>
    <definedName name="Region">'[207]all country codes'!$H$1:$I$253</definedName>
    <definedName name="RegisteredUsers" hidden="1">{"'Customer Support Trends'!$A$1:$AB$13"}</definedName>
    <definedName name="RegisteredUsers2" hidden="1">{"'Customer Support Trends'!$A$1:$AB$13"}</definedName>
    <definedName name="RemainYear">#REF!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_Rehabilitation_of_Bridges">'[49]16 Repair and Rehab Bridg'!#REF!</definedName>
    <definedName name="repairspm">'[94]p&amp;l'!#REF!</definedName>
    <definedName name="REPAY">#REF!</definedName>
    <definedName name="Reporting_Month">#REF!</definedName>
    <definedName name="Reporting_Year">#REF!</definedName>
    <definedName name="ReqDSR">#REF!</definedName>
    <definedName name="reqDSRCov">#REF!</definedName>
    <definedName name="Reserves">'[128]Projected Balance Sheet'!#REF!</definedName>
    <definedName name="Residual_difference">#REF!</definedName>
    <definedName name="ResOp06">#REF!</definedName>
    <definedName name="ResOpD12" localSheetId="41">#REF!</definedName>
    <definedName name="ResOpD12" localSheetId="42">#REF!</definedName>
    <definedName name="ResOpD12">#REF!</definedName>
    <definedName name="rest">#REF!</definedName>
    <definedName name="RETDT">#REF!</definedName>
    <definedName name="RetrievalArea">#REF!</definedName>
    <definedName name="RetrieveEBus">#REF!</definedName>
    <definedName name="RetrieveSW">#REF!</definedName>
    <definedName name="RetrieveWeb">#REF!</definedName>
    <definedName name="RETURN">#REF!</definedName>
    <definedName name="return1">nopat1/capital1</definedName>
    <definedName name="RETURNS">#REF!</definedName>
    <definedName name="réunion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evenue_synergy">#REF!</definedName>
    <definedName name="revised">#REF!</definedName>
    <definedName name="Rf">[208]PL!$AA$1</definedName>
    <definedName name="RF_moment">#REF!</definedName>
    <definedName name="RG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RHODIA_ECO">#REF!</definedName>
    <definedName name="RID">#REF!</definedName>
    <definedName name="risk_premium">#REF!</definedName>
    <definedName name="risknature3">'[209]données 2'!$C$2:$C$43</definedName>
    <definedName name="RM" localSheetId="41">#REF!</definedName>
    <definedName name="RM" localSheetId="42">#REF!</definedName>
    <definedName name="RM">[110]Assumptions!$C$113</definedName>
    <definedName name="RM_Factor">[100]Sensitivity!$K$10</definedName>
    <definedName name="rmincrease">[108]Input!$G$5</definedName>
    <definedName name="RMRetrieval_Area">#REF!</definedName>
    <definedName name="rms">#REF!</definedName>
    <definedName name="rmss">#REF!</definedName>
    <definedName name="rmwcc2">[94]WCL!#REF!</definedName>
    <definedName name="Road_Inventory_Survey">#REF!</definedName>
    <definedName name="ROADWORKS">'[73]BOQ Distribution'!$A$5:$G$24</definedName>
    <definedName name="RoE_cou">#REF!</definedName>
    <definedName name="rohit" hidden="1">#REF!</definedName>
    <definedName name="rohit1">#REF!</definedName>
    <definedName name="rohit2" hidden="1">#REF!</definedName>
    <definedName name="rohit3" hidden="1">#REF!</definedName>
    <definedName name="ROI">#REF!</definedName>
    <definedName name="ROI_EPS">#REF!</definedName>
    <definedName name="roiwc">[115]Assumptions!$E$313</definedName>
    <definedName name="ROW">#REF!</definedName>
    <definedName name="rr">NOPAT/capital</definedName>
    <definedName name="rradj">nopatadj/capitaladj</definedName>
    <definedName name="rrrrr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rrrxd" hidden="1">{#N/A,#N/A,FALSE,"BS9703PET";#N/A,#N/A,FALSE,"BS9703KNE";#N/A,#N/A,FALSE,"BS9703KRP";#N/A,#N/A,FALSE,"BS9703POL"}</definedName>
    <definedName name="Rs">#REF!</definedName>
    <definedName name="Rs.">#REF!</definedName>
    <definedName name="Rs._MT">#REF!</definedName>
    <definedName name="rsb">[210]Main!#REF!</definedName>
    <definedName name="rsem" hidden="1">{#N/A,#N/A,FALSE,"1996";#N/A,#N/A,FALSE,"1995";#N/A,#N/A,FALSE,"1994"}</definedName>
    <definedName name="rt" localSheetId="19" hidden="1">[5]DESBASTE!#REF!</definedName>
    <definedName name="rt" localSheetId="12" hidden="1">[5]DESBASTE!#REF!</definedName>
    <definedName name="rt" localSheetId="20" hidden="1">[5]DESBASTE!#REF!</definedName>
    <definedName name="rt" localSheetId="32" hidden="1">[5]DESBASTE!#REF!</definedName>
    <definedName name="rt" hidden="1">{"page1",#N/A,FALSE,"Feuil1";"page2",#N/A,FALSE,"Feuil1";"page3",#N/A,FALSE,"Feuil1";"page4",#N/A,FALSE,"Feuil1"}</definedName>
    <definedName name="RTT">#REF!</definedName>
    <definedName name="rtz" hidden="1">{#N/A,#N/A,FALSE,"Production 1"}</definedName>
    <definedName name="rupee">[115]Assumptions!$Q$2</definedName>
    <definedName name="rural">#REF!</definedName>
    <definedName name="rusf" hidden="1">{"assets",#N/A,FALSE,"CONS9703";"liab",#N/A,FALSE,"CONS9703";"pl",#N/A,FALSE,"CONS9703"}</definedName>
    <definedName name="rzuszt">#REF!</definedName>
    <definedName name="s">'[104]Ast-Smt'!$A$1:$K$74</definedName>
    <definedName name="S_Adjust_Data">[167]Lead!$I$1:$I$402</definedName>
    <definedName name="S_AJE_Tot_Data">[167]Lead!$H$1:$H$402</definedName>
    <definedName name="S_BE" localSheetId="41">#REF!</definedName>
    <definedName name="S_BE" localSheetId="42">#REF!</definedName>
    <definedName name="S_BE">#REF!</definedName>
    <definedName name="S_CY_Beg_Data">[167]Lead!$F$1:$F$402</definedName>
    <definedName name="S_CY_End_Data">[167]Lead!$K$1:$K$402</definedName>
    <definedName name="S_F_A">#REF!</definedName>
    <definedName name="S_G_A">#REF!</definedName>
    <definedName name="S_PY_End_Data">[167]Lead!$M$1:$M$402</definedName>
    <definedName name="S_R_A">#REF!</definedName>
    <definedName name="S_RJE_Tot_Data">[167]Lead!$J$1:$J$402</definedName>
    <definedName name="S_S_A">#REF!</definedName>
    <definedName name="s15.">#REF!</definedName>
    <definedName name="sadfds" hidden="1">{"'Trend_Total'!$A$7:$V$10","'Trend_Total'!$A$1:$V$4"}</definedName>
    <definedName name="SafetyParts">'[52]Input Sheet'!$C$23</definedName>
    <definedName name="SAG" hidden="1">#REF!</definedName>
    <definedName name="sagar">#REF!</definedName>
    <definedName name="sajid">#REF!</definedName>
    <definedName name="SALE2010">[28]MISC.1d!#REF!</definedName>
    <definedName name="SALES">#REF!</definedName>
    <definedName name="Sales_Base">[132]Sensitivity!$F$10</definedName>
    <definedName name="Sales_Crit">#REF!</definedName>
    <definedName name="SalesCons">#REF!</definedName>
    <definedName name="SalesCons_I">#REF!</definedName>
    <definedName name="SalesNorm">#REF!</definedName>
    <definedName name="SalesNorm_I">#REF!</definedName>
    <definedName name="SaleUnit" hidden="1">[60]Input!$K$156:$Y$156,[60]Input!$K$174:$Y$174,[60]Input!$K$192:$Y$192,[60]Input!$K$210:$Y$210,[60]Input!$K$228:$Y$228,[60]Input!$K$246:$Y$246,[60]Input!$K$264:$Y$264,[60]Input!$K$282:$Y$282</definedName>
    <definedName name="SaleValue" hidden="1">[60]Input!$K$159:$Y$159,[60]Input!$K$177:$Y$177,[60]Input!$K$195:$Y$195,[60]Input!$K$213:$Y$213,[60]Input!$K$231:$Y$231,[60]Input!$K$249:$Y$249,[60]Input!$K$267:$Y$267,[60]Input!$K$285:$Y$285</definedName>
    <definedName name="Sals_OT_Allows">#REF!</definedName>
    <definedName name="sample" hidden="1">{"'Customer Support Trends'!$A$1:$AB$13"}</definedName>
    <definedName name="SAND">'[48]#REF'!#REF!</definedName>
    <definedName name="sanja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APBEXdnldView" hidden="1">"45PHKTJZ0ZZLKMEDQ3ICULVEB"</definedName>
    <definedName name="SAPBEXrevision" hidden="1">2</definedName>
    <definedName name="SAPBEXsysID" hidden="1">"BWP"</definedName>
    <definedName name="SAPBEXwbID" hidden="1">"3V01ICVFXKICWRZJYOSNW3BBT"</definedName>
    <definedName name="SARPALLEMAGNE">#REF!</definedName>
    <definedName name="SARPCANADA" localSheetId="41">#REF!</definedName>
    <definedName name="SARPCANADA" localSheetId="42">#REF!</definedName>
    <definedName name="SARPCANADA">#REF!</definedName>
    <definedName name="SARPCARAIBES" localSheetId="41">#REF!</definedName>
    <definedName name="SARPCARAIBES" localSheetId="42">#REF!</definedName>
    <definedName name="SARPCARAIBES">#REF!</definedName>
    <definedName name="SARPI_hors_CET" localSheetId="41">#REF!</definedName>
    <definedName name="SARPI_hors_CET" localSheetId="42">#REF!</definedName>
    <definedName name="SARPI_hors_CET">#REF!</definedName>
    <definedName name="SARPIHONGRIE" localSheetId="41">#REF!</definedName>
    <definedName name="SARPIHONGRIE" localSheetId="42">#REF!</definedName>
    <definedName name="SARPIHONGRIE">#REF!</definedName>
    <definedName name="SARPIISRAEL" localSheetId="41">#REF!</definedName>
    <definedName name="SARPIISRAEL" localSheetId="42">#REF!</definedName>
    <definedName name="SARPIISRAEL">#REF!</definedName>
    <definedName name="SARPISUISSE" localSheetId="41">#REF!</definedName>
    <definedName name="SARPISUISSE" localSheetId="42">#REF!</definedName>
    <definedName name="SARPISUISSE">#REF!</definedName>
    <definedName name="SAT">#REF!</definedName>
    <definedName name="save_file">#N/A</definedName>
    <definedName name="sazby">#REF!</definedName>
    <definedName name="SBI">#REF!</definedName>
    <definedName name="Scen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cenName">#REF!</definedName>
    <definedName name="Sched_Pay" localSheetId="41">#REF!</definedName>
    <definedName name="Sched_Pay" localSheetId="42">#REF!</definedName>
    <definedName name="Sched_Pay">#REF!</definedName>
    <definedName name="schedule">#REF!</definedName>
    <definedName name="Scheduled_Extra_Payments" localSheetId="41">#REF!</definedName>
    <definedName name="Scheduled_Extra_Payments" localSheetId="42">#REF!</definedName>
    <definedName name="Scheduled_Extra_Payments">#REF!</definedName>
    <definedName name="Scheduled_Interest_Rate" localSheetId="41">#REF!</definedName>
    <definedName name="Scheduled_Interest_Rate" localSheetId="42">#REF!</definedName>
    <definedName name="Scheduled_Interest_Rate">#REF!</definedName>
    <definedName name="Scheduled_Monthly_Payment" localSheetId="41">#REF!</definedName>
    <definedName name="Scheduled_Monthly_Payment" localSheetId="42">#REF!</definedName>
    <definedName name="Scheduled_Monthly_Payment">#REF!</definedName>
    <definedName name="Schedules_BS">#REF!</definedName>
    <definedName name="Schedules_PL">#REF!</definedName>
    <definedName name="scheme">[28]formx!$B$4:$D$44</definedName>
    <definedName name="SCN">#REF!</definedName>
    <definedName name="Scott">'[211]Significant Assumptions'!$G$8:$G$9</definedName>
    <definedName name="sd">#REF!</definedName>
    <definedName name="sdf">[212]PL!$AA$1</definedName>
    <definedName name="SDFHG" hidden="1">{"Agg Output",#N/A,FALSE,"Operational Drivers Output";"NW Output",#N/A,FALSE,"Operational Drivers Output";"South Output",#N/A,FALSE,"Operational Drivers Output";"Central Output",#N/A,FALSE,"Operational Drivers Output"}</definedName>
    <definedName name="sdfsd">'[71]Input-D'!#REF!</definedName>
    <definedName name="sdhdhfdfhh" hidden="1">{#N/A,#N/A,FALSE,"Balance Sheet";#N/A,#N/A,FALSE,"Income Statement";#N/A,#N/A,FALSE,"Changes in Financial Position"}</definedName>
    <definedName name="SDJCBSDHJ">'[191]Baseline Financial Analysis'!#REF!</definedName>
    <definedName name="SDP">#N/A</definedName>
    <definedName name="se" hidden="1">{"page1",#N/A,FALSE,"Feuil1";"page2",#N/A,FALSE,"Feuil1";"page3",#N/A,FALSE,"Feuil1";"page4",#N/A,FALSE,"Feuil1"}</definedName>
    <definedName name="SEASONAL_CORRECTION_FACTOR">'[49]12 BBD Tests'!#REF!</definedName>
    <definedName name="Second">[139]Int.!#REF!,[139]Int.!#REF!,[139]Int.!#REF!,[139]Int.!#REF!</definedName>
    <definedName name="secretarial" localSheetId="41">#REF!</definedName>
    <definedName name="secretarial" localSheetId="42">#REF!</definedName>
    <definedName name="secretarial">#REF!</definedName>
    <definedName name="SEDIBEX" localSheetId="41">#REF!</definedName>
    <definedName name="SEDIBEX" localSheetId="42">#REF!</definedName>
    <definedName name="SEDIBEX">#REF!</definedName>
    <definedName name="SEK" localSheetId="41">#REF!</definedName>
    <definedName name="SEK" localSheetId="42">#REF!</definedName>
    <definedName name="SEK">#REF!</definedName>
    <definedName name="selectie">#REF!</definedName>
    <definedName name="SELECTION">#REF!</definedName>
    <definedName name="SelectMonth">#N/A</definedName>
    <definedName name="SELECTOR">#REF!</definedName>
    <definedName name="sellinboh">#REF!</definedName>
    <definedName name="selling">#REF!</definedName>
    <definedName name="sellingkner">#REF!</definedName>
    <definedName name="sellingpol">#REF!</definedName>
    <definedName name="SELLINGPRICE">#REF!</definedName>
    <definedName name="sellinpm">'[94]p&amp;l'!#REF!</definedName>
    <definedName name="sellp">[77]Sensitivity_!$E$7</definedName>
    <definedName name="SEN96IB_Page">#REF!</definedName>
    <definedName name="SEN96IB_Page___0">#REF!</definedName>
    <definedName name="SEN96IB_Page___1">#N/A</definedName>
    <definedName name="sencount" hidden="1">1</definedName>
    <definedName name="senderEmailAddr">[90]Help!$B$5</definedName>
    <definedName name="senderName">[90]Help!$B$4</definedName>
    <definedName name="Sens_Esc">[160]Sensitivity!$E$12</definedName>
    <definedName name="Sens_PLF">[160]Sensitivity!$E$11</definedName>
    <definedName name="sensi1">#REF!</definedName>
    <definedName name="sep">'[57]Sep 03'!$A$131:$H$471</definedName>
    <definedName name="Sep_Bal">#REF!</definedName>
    <definedName name="sept">[7]param!#REF!</definedName>
    <definedName name="ServerRetrieval_Area">#REF!</definedName>
    <definedName name="SERVIC">#REF!</definedName>
    <definedName name="SERVIC___0">#N/A</definedName>
    <definedName name="SERVIC___1">#N/A</definedName>
    <definedName name="SFD">#REF!</definedName>
    <definedName name="sfg" hidden="1">{"page1",#N/A,FALSE,"Feuil1";"page2",#N/A,FALSE,"Feuil1";"page3",#N/A,FALSE,"Feuil1";"page4",#N/A,FALSE,"Feuil1"}</definedName>
    <definedName name="sfgjs" hidden="1">{"page1",#N/A,FALSE,"Feuil1";"page2",#N/A,FALSE,"Feuil1";"page3",#N/A,FALSE,"Feuil1";"page4",#N/A,FALSE,"Feuil1"}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fsf" hidden="1">{#N/A,#N/A,FALSE,"Calc";#N/A,#N/A,FALSE,"Sensitivity";#N/A,#N/A,FALSE,"LT Earn.Dil.";#N/A,#N/A,FALSE,"Dil. AVP"}</definedName>
    <definedName name="SFV">#REF!</definedName>
    <definedName name="sga">#REF!</definedName>
    <definedName name="sgd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">#REF!</definedName>
    <definedName name="SH.RD">#REF!</definedName>
    <definedName name="SH.RD.W">#REF!</definedName>
    <definedName name="SH.VD">#REF!</definedName>
    <definedName name="SH.VD.W">#REF!</definedName>
    <definedName name="SH.W">#REF!</definedName>
    <definedName name="SH.WH">#REF!</definedName>
    <definedName name="SH.WH.W">#REF!</definedName>
    <definedName name="SH.YD">#REF!</definedName>
    <definedName name="SH.YD.W">#REF!</definedName>
    <definedName name="SHARE_CAPITAL">#REF!</definedName>
    <definedName name="share_creep">#REF!</definedName>
    <definedName name="Shares">#REF!</definedName>
    <definedName name="sheet2">[213]Sheet1!$E$1:$S$1</definedName>
    <definedName name="SHEET3">[180]Sheet1!$L$2:$L$303</definedName>
    <definedName name="shirt98">'[30]Input-D'!#REF!</definedName>
    <definedName name="Shirtcut">#REF!</definedName>
    <definedName name="singapour" localSheetId="41">#REF!</definedName>
    <definedName name="singapour" localSheetId="42">#REF!</definedName>
    <definedName name="singapour">#REF!</definedName>
    <definedName name="sjgrhäg" localSheetId="41">Compte Rés 'Execulation Revenue'!Euro</definedName>
    <definedName name="sjgrhäg" localSheetId="42">Compte Rés 'Execution Cost'!Euro</definedName>
    <definedName name="sjgrhäg" localSheetId="40">Compte Rés [0]!Euro</definedName>
    <definedName name="sjgrhäg" localSheetId="39">Compte Rés [0]!Euro</definedName>
    <definedName name="sjgrhäg" localSheetId="44">Compte Rés [0]!Euro</definedName>
    <definedName name="sjgrhäg">Compte Rés Euro</definedName>
    <definedName name="sjhsl" hidden="1">{"form-D1",#N/A,FALSE,"FORM-D1";"form-D1_amt",#N/A,FALSE,"FORM-D1"}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ullRate">[214]DataSheet!$BV$36</definedName>
    <definedName name="SL">#REF!</definedName>
    <definedName name="SlagRate">[89]DataSheet!$BX$36</definedName>
    <definedName name="SLOVAQUIE">#REF!</definedName>
    <definedName name="sme_installation">#REF!</definedName>
    <definedName name="sme_share">#REF!</definedName>
    <definedName name="sme_share2">#REF!</definedName>
    <definedName name="SML">#REF!</definedName>
    <definedName name="SMSInvestment">'[215]SMS ph-1'!$A$1:$I$22</definedName>
    <definedName name="SN" hidden="1">{#N/A,#N/A,FALSE,"MODULE3"}</definedName>
    <definedName name="Soil___Material_Investigations">'[49]15 Soil &amp; Material Investigatn'!#REF!</definedName>
    <definedName name="solver_adj" hidden="1">#REF!</definedName>
    <definedName name="solver_lin" hidden="1">0</definedName>
    <definedName name="solver_num" hidden="1">0</definedName>
    <definedName name="solver_opt" hidden="1">[216]Sheet1!$E$17</definedName>
    <definedName name="solver_typ" hidden="1">3</definedName>
    <definedName name="solver_val" hidden="1">0.6</definedName>
    <definedName name="Sonata" localSheetId="8">OFFSET(Full_Print,0,0,Last_Row)</definedName>
    <definedName name="Sonata" localSheetId="6">OFFSET(Full_Print,0,0,Last_Row)</definedName>
    <definedName name="Sonata" localSheetId="5">OFFSET(Full_Print,0,0,Last_Row)</definedName>
    <definedName name="Sonata">OFFSET(Full_Print,0,0,Last_Row)</definedName>
    <definedName name="SOULIERALLEMAGNE" localSheetId="41">#REF!</definedName>
    <definedName name="SOULIERALLEMAGNE" localSheetId="42">#REF!</definedName>
    <definedName name="SOULIERALLEMAGNE">#REF!</definedName>
    <definedName name="SP">[99]Sensitivity!$F$12</definedName>
    <definedName name="SP_Base">[132]Sensitivity!$F$8</definedName>
    <definedName name="SP_Factor">[100]Sensitivity!$K$20</definedName>
    <definedName name="sponsor">#REF!</definedName>
    <definedName name="sprm1">#N/A</definedName>
    <definedName name="sprm2">#N/A</definedName>
    <definedName name="SPSet">"current"</definedName>
    <definedName name="SPWS_WBID">"366F8B5A-01E4-443E-9C45-1B71E605383A"</definedName>
    <definedName name="ss">#REF!</definedName>
    <definedName name="SSC_IDC_Cal">#REF!</definedName>
    <definedName name="SSC_IDC_Diff">#REF!</definedName>
    <definedName name="SSC_IDC_Paste">#REF!</definedName>
    <definedName name="SSC_UPF_Cal">#REF!</definedName>
    <definedName name="SSC_UPF_Diff">#REF!</definedName>
    <definedName name="SSC_UPF_Paste">#REF!</definedName>
    <definedName name="sshhet2" hidden="1">{#N/A,#N/A,FALSE,"MODULE3"}</definedName>
    <definedName name="SSS" hidden="1">{#N/A,#N/A,FALSE,"MODULE3"}</definedName>
    <definedName name="SSSS" hidden="1">{#N/A,#N/A,FALSE,"MODULE3"}</definedName>
    <definedName name="sssss" hidden="1">[217]Main!#REF!</definedName>
    <definedName name="st_op">[218]Schedule!$D$45</definedName>
    <definedName name="Statements">#REF!</definedName>
    <definedName name="Statements_25">#REF!</definedName>
    <definedName name="StDebtDmy" hidden="1">[60]Debt!$57:$57,[60]Debt!$103:$103,[60]Debt!$149:$149,[60]Debt!$197:$197,[60]Debt!$242:$242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#REF!</definedName>
    <definedName name="step2">#REF!</definedName>
    <definedName name="Stock_31.10.2010" hidden="1">#REF!</definedName>
    <definedName name="stock_range">[219]Lookup!$A$5:$C$32</definedName>
    <definedName name="stopfy">[218]Schedule!$D$46</definedName>
    <definedName name="stub">#REF!</definedName>
    <definedName name="stuffing" localSheetId="41">#REF!</definedName>
    <definedName name="stuffing" localSheetId="42">#REF!</definedName>
    <definedName name="stuffing">#REF!</definedName>
    <definedName name="su">#REF!</definedName>
    <definedName name="Subscribers_Per_Port">#REF!</definedName>
    <definedName name="Subscribers_Per_Port2">#REF!</definedName>
    <definedName name="Sud">[82]PAO!$B$19:$B$24</definedName>
    <definedName name="SudEst">[82]PAO!$B$27:$B$36</definedName>
    <definedName name="SUEDE" localSheetId="41">#REF!</definedName>
    <definedName name="SUEDE" localSheetId="42">#REF!</definedName>
    <definedName name="SUEDE">#REF!</definedName>
    <definedName name="sugar">'[220]debt schedule'!#REF!</definedName>
    <definedName name="SUISSECGEA" localSheetId="41">#REF!</definedName>
    <definedName name="SUISSECGEA" localSheetId="42">#REF!</definedName>
    <definedName name="SUISSECGEA">#REF!</definedName>
    <definedName name="SUMMARY">#REF!</definedName>
    <definedName name="Suppliers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sur">#REF!</definedName>
    <definedName name="Sweep">#REF!</definedName>
    <definedName name="SwEndDate" localSheetId="41">#REF!</definedName>
    <definedName name="SwEndDate" localSheetId="42">#REF!</definedName>
    <definedName name="SwEndDate">#REF!</definedName>
    <definedName name="SwEndDay" localSheetId="41">#REF!</definedName>
    <definedName name="SwEndDay" localSheetId="42">#REF!</definedName>
    <definedName name="SwEndDay">#REF!</definedName>
    <definedName name="SwEndMonth" localSheetId="41">#REF!</definedName>
    <definedName name="SwEndMonth" localSheetId="42">#REF!</definedName>
    <definedName name="SwEndMonth">#REF!</definedName>
    <definedName name="SwEndYear" localSheetId="41">#REF!</definedName>
    <definedName name="SwEndYear" localSheetId="42">#REF!</definedName>
    <definedName name="SwEndYear">#REF!</definedName>
    <definedName name="swerdf">'[71]Input-D'!#REF!</definedName>
    <definedName name="Switching_Capacity__000">#REF!</definedName>
    <definedName name="SwStartDate" localSheetId="41">#REF!</definedName>
    <definedName name="SwStartDate" localSheetId="42">#REF!</definedName>
    <definedName name="SwStartDate">#REF!</definedName>
    <definedName name="SwStartDay" localSheetId="41">#REF!</definedName>
    <definedName name="SwStartDay" localSheetId="42">#REF!</definedName>
    <definedName name="SwStartDay">#REF!</definedName>
    <definedName name="SwStartMonth" localSheetId="41">#REF!</definedName>
    <definedName name="SwStartMonth" localSheetId="42">#REF!</definedName>
    <definedName name="SwStartMonth">#REF!</definedName>
    <definedName name="SwStartYear" localSheetId="41">#REF!</definedName>
    <definedName name="SwStartYear" localSheetId="42">#REF!</definedName>
    <definedName name="SwStartYear">#REF!</definedName>
    <definedName name="SymbolRng">#REF!</definedName>
    <definedName name="SymbolRng___0">#REF!</definedName>
    <definedName name="SymbolRng___1">#N/A</definedName>
    <definedName name="syntoggle">#REF!</definedName>
    <definedName name="szerkeszt">#N/A</definedName>
    <definedName name="SZW">IF('[6]WATER-DATA'!$AA1="G",'[6]WATER-DATA'!$S1,MAX(0,OFFSET('[6]INDEX-TOTAL'!$E$4,'[6]WATER-DATA'!$R1-1,'[6]WATER-DATA'!A$3-'[6]WATER-DATA'!$R$8)/OFFSET('[6]INDEX-TOTAL'!$E$4,'[6]WATER-DATA'!$R1-1,'[6]WATER-DATA'!$T1-'[6]WATER-DATA'!$R$8)*'[6]WATER-DATA'!$S1*('[6]WATER-DATA'!$AA1-('[6]WATER-DATA'!A$3-'[6]WATER-DATA'!$T1+1))/'[6]WATER-DATA'!$AA1))</definedName>
    <definedName name="t" localSheetId="41">[146]Interrogation!#REF!</definedName>
    <definedName name="t" localSheetId="42">[146]Interrogation!#REF!</definedName>
    <definedName name="t">{#N/A,#N/A,TRUE,"Outlook98";#N/A,#N/A,TRUE,"Reduction Model"}</definedName>
    <definedName name="T___0">#REF!</definedName>
    <definedName name="T___1">#N/A</definedName>
    <definedName name="t_convert">[46]Converts!$I$5:$N$8</definedName>
    <definedName name="T_Hessemans" localSheetId="41">#REF!</definedName>
    <definedName name="T_Hessemans" localSheetId="42">#REF!</definedName>
    <definedName name="T_Hessemans">#REF!</definedName>
    <definedName name="T_M">#REF!</definedName>
    <definedName name="T_opt">[46]Options!$H$4:$J$28</definedName>
    <definedName name="T_T">#REF!</definedName>
    <definedName name="T16EE">[221]Summary!$P$1</definedName>
    <definedName name="T16NE">[221]Summary!$S$1</definedName>
    <definedName name="T16SE">[221]Summary!$V$1</definedName>
    <definedName name="T16TE">[221]Summary!$Y$1</definedName>
    <definedName name="T17EE">[221]Summary!$Q$1</definedName>
    <definedName name="T17NE">[221]Summary!$T$1</definedName>
    <definedName name="T17SE">[221]Summary!$W$1</definedName>
    <definedName name="T17TE">[221]Summary!$Z$1</definedName>
    <definedName name="T18EE">[221]Summary!$R$1</definedName>
    <definedName name="T18NE">[221]Summary!$U$1</definedName>
    <definedName name="T18SE">[221]Summary!$X$1</definedName>
    <definedName name="T18TE">[221]Summary!$AA$1</definedName>
    <definedName name="t6uh" hidden="1">{#N/A,#N/A,FALSE,"BS9703PET";#N/A,#N/A,FALSE,"BS9703KNE";#N/A,#N/A,FALSE,"BS9703KRP";#N/A,#N/A,FALSE,"BS9703POL"}</definedName>
    <definedName name="TA" hidden="1">{#N/A,#N/A,TRUE,"Financials";#N/A,#N/A,TRUE,"Operating Statistics";#N/A,#N/A,TRUE,"Capex &amp; Depreciation";#N/A,#N/A,TRUE,"Debt"}</definedName>
    <definedName name="TAB" localSheetId="8">#REF!</definedName>
    <definedName name="TAB">#REF!</definedName>
    <definedName name="TAB_10">#REF!</definedName>
    <definedName name="TAB_11">#REF!</definedName>
    <definedName name="TAB_12">#REF!</definedName>
    <definedName name="TAB_13">#REF!</definedName>
    <definedName name="TAB_14">#REF!</definedName>
    <definedName name="TAB_15">#REF!</definedName>
    <definedName name="TAB_16">#REF!</definedName>
    <definedName name="TAB_17">#REF!</definedName>
    <definedName name="TAB_18">#REF!</definedName>
    <definedName name="TAB_5">#REF!</definedName>
    <definedName name="TAB_6">#REF!</definedName>
    <definedName name="TAB_7">#REF!</definedName>
    <definedName name="TAB_8">#REF!</definedName>
    <definedName name="TAB2A">#REF!</definedName>
    <definedName name="tab2b2c">#REF!</definedName>
    <definedName name="tab2d2e">#REF!</definedName>
    <definedName name="tabl" localSheetId="41">#REF!,#REF!,#REF!</definedName>
    <definedName name="tabl" localSheetId="42">#REF!,#REF!,#REF!</definedName>
    <definedName name="tabl">#REF!,#REF!,#REF!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ble_1_1">[222]MarketData!$A$14:$G$41</definedName>
    <definedName name="Table_1_2">[222]MarketData!$A$43:$G$70</definedName>
    <definedName name="Table_1_3">[222]MarketData!$A$72:$G$87</definedName>
    <definedName name="Table_1_4">[222]MarketData!$A$89:$G$114</definedName>
    <definedName name="Table_1_5">[222]MarketData!$A$116:$G$127</definedName>
    <definedName name="Table_1_6">[222]MarketData!$A$129:$G$142</definedName>
    <definedName name="Table_1_7">[222]MarketData!$A$144:$G$168</definedName>
    <definedName name="Table_2_1">[222]Definitions!$A$11:$F$15</definedName>
    <definedName name="table1" localSheetId="41">[146]Interrogation!#REF!</definedName>
    <definedName name="table1" localSheetId="42">[146]Interrogation!#REF!</definedName>
    <definedName name="table1">[146]Interrogation!#REF!</definedName>
    <definedName name="table2" localSheetId="41">[146]Interrogation!#REF!</definedName>
    <definedName name="table2" localSheetId="42">[146]Interrogation!#REF!</definedName>
    <definedName name="table2">#REF!</definedName>
    <definedName name="TABLE2_GOOD">#REF!</definedName>
    <definedName name="table2_ok">#REF!</definedName>
    <definedName name="table3" localSheetId="41">#REF!</definedName>
    <definedName name="table3" localSheetId="42">#REF!</definedName>
    <definedName name="table3">#REF!</definedName>
    <definedName name="table4" localSheetId="41">#REF!</definedName>
    <definedName name="table4" localSheetId="42">#REF!</definedName>
    <definedName name="table4">#REF!</definedName>
    <definedName name="table5" localSheetId="41">#REF!</definedName>
    <definedName name="table5" localSheetId="42">#REF!</definedName>
    <definedName name="table5">#REF!</definedName>
    <definedName name="table6" localSheetId="41">#REF!</definedName>
    <definedName name="table6" localSheetId="42">#REF!</definedName>
    <definedName name="table6">#REF!</definedName>
    <definedName name="tabled" localSheetId="41">#REF!</definedName>
    <definedName name="tabled" localSheetId="42">#REF!</definedName>
    <definedName name="tabled">#REF!</definedName>
    <definedName name="tablee" localSheetId="41">#REF!</definedName>
    <definedName name="tablee" localSheetId="42">#REF!</definedName>
    <definedName name="tablee">#REF!</definedName>
    <definedName name="tablef" localSheetId="41">#REF!</definedName>
    <definedName name="tablef" localSheetId="42">#REF!</definedName>
    <definedName name="tablef">#REF!</definedName>
    <definedName name="tableg" localSheetId="41">#REF!</definedName>
    <definedName name="tableg" localSheetId="42">#REF!</definedName>
    <definedName name="tableg">#REF!</definedName>
    <definedName name="tableh" localSheetId="41">#REF!</definedName>
    <definedName name="tableh" localSheetId="42">#REF!</definedName>
    <definedName name="tableh">#REF!</definedName>
    <definedName name="tablei" localSheetId="41">#REF!</definedName>
    <definedName name="tablei" localSheetId="42">#REF!</definedName>
    <definedName name="tablei">#REF!</definedName>
    <definedName name="tablej" localSheetId="41">#REF!</definedName>
    <definedName name="tablej" localSheetId="42">#REF!</definedName>
    <definedName name="tablej">#REF!</definedName>
    <definedName name="tablek" localSheetId="41">[146]Interrogation!#REF!</definedName>
    <definedName name="tablek" localSheetId="42">[146]Interrogation!#REF!</definedName>
    <definedName name="tablek">[146]Interrogation!#REF!</definedName>
    <definedName name="tablel" localSheetId="41">#REF!</definedName>
    <definedName name="tablel" localSheetId="42">#REF!</definedName>
    <definedName name="tablel">#REF!</definedName>
    <definedName name="tablelll" localSheetId="41">#REF!</definedName>
    <definedName name="tablelll" localSheetId="42">#REF!</definedName>
    <definedName name="tablelll">#REF!</definedName>
    <definedName name="tablem" localSheetId="41">#REF!</definedName>
    <definedName name="tablem" localSheetId="42">#REF!</definedName>
    <definedName name="tablem">#REF!</definedName>
    <definedName name="TableName">"Dummy"</definedName>
    <definedName name="tablep" localSheetId="41">#REF!</definedName>
    <definedName name="tablep" localSheetId="42">#REF!</definedName>
    <definedName name="tablep">#REF!</definedName>
    <definedName name="tablev" localSheetId="41">#REF!</definedName>
    <definedName name="tablev" localSheetId="42">#REF!</definedName>
    <definedName name="tablev">#REF!</definedName>
    <definedName name="tablew" localSheetId="41">#REF!</definedName>
    <definedName name="tablew" localSheetId="42">#REF!</definedName>
    <definedName name="tablew">#REF!</definedName>
    <definedName name="TAHO" localSheetId="41">#REF!</definedName>
    <definedName name="TAHO" localSheetId="42">#REF!</definedName>
    <definedName name="TAHO">#REF!</definedName>
    <definedName name="Taiwan">[96]Datenbank!$B$17:$M$64</definedName>
    <definedName name="Taiwan___Mobile_Communications_Services_Market__1993_2000">#REF!</definedName>
    <definedName name="Taiwan__Mobile_Network_Market__1993_2000">#REF!</definedName>
    <definedName name="tarfye">#REF!</definedName>
    <definedName name="target">[46]Inputs!$F$14</definedName>
    <definedName name="target1">[223]Inputs!$F$14</definedName>
    <definedName name="target12">[223]Inputs!$F$11</definedName>
    <definedName name="tariff">#REF!</definedName>
    <definedName name="tariff_I">#REF!</definedName>
    <definedName name="tariff_scenario">#REF!</definedName>
    <definedName name="tariff_scenario_I">#REF!</definedName>
    <definedName name="Tariffs">#REF!</definedName>
    <definedName name="Tariffs___0">#N/A</definedName>
    <definedName name="Tariffs___1">#N/A</definedName>
    <definedName name="tatat" localSheetId="41">#REF!</definedName>
    <definedName name="tatat" localSheetId="42">#REF!</definedName>
    <definedName name="tatat">#REF!</definedName>
    <definedName name="tauxcroissance" localSheetId="41">#REF!</definedName>
    <definedName name="tauxcroissance" localSheetId="42">#REF!</definedName>
    <definedName name="tauxcroissance">#REF!</definedName>
    <definedName name="TAX">[46]Inputs!$L$14</definedName>
    <definedName name="Tax_Rate">'[224]TJC - Total'!$N$172</definedName>
    <definedName name="TaxAmtHol">#REF!</definedName>
    <definedName name="taxboh">#REF!</definedName>
    <definedName name="taxCapAp">#REF!</definedName>
    <definedName name="taxCorpIDFC">#REF!</definedName>
    <definedName name="taxdep">#REF!</definedName>
    <definedName name="TaxDepreciation">#REF!</definedName>
    <definedName name="taxes">[225]wwww!$C$59:$C$62</definedName>
    <definedName name="taxestable">[65]wwww!$E$67:$P$70</definedName>
    <definedName name="taxkner">#REF!</definedName>
    <definedName name="taxPaidThisYear">#REF!</definedName>
    <definedName name="taxpol">#REF!</definedName>
    <definedName name="taxRate">#REF!</definedName>
    <definedName name="TaxrateR">[226]Tax!$B$14</definedName>
    <definedName name="taxratess">[227]Tax!$B$14</definedName>
    <definedName name="taxratesssss">[227]Tax!$B$14</definedName>
    <definedName name="TaxTV">10%</definedName>
    <definedName name="TaxXL">5%</definedName>
    <definedName name="TB" hidden="1">{#N/A,#N/A,FALSE,"One Pager";#N/A,#N/A,FALSE,"Technical"}</definedName>
    <definedName name="tb_1">"'file:///D:/backup%20as%20on%202-Nov/Admin%20documts/Rajani%202010-11/3%20rd%20quarter%20workings%2010-11/Suresh/31-3-8(lahari).xls'#$''.$A$1:$C$265"</definedName>
    <definedName name="TB_Data">OFFSET(#REF!,0,0,COUNTA(#REF!),COUNTA(#REF!))</definedName>
    <definedName name="TBM_No.">#REF!</definedName>
    <definedName name="tcase">#REF!</definedName>
    <definedName name="TCHEQUIE" localSheetId="41">#REF!</definedName>
    <definedName name="TCHEQUIE" localSheetId="42">#REF!</definedName>
    <definedName name="TCHEQUIE">#REF!</definedName>
    <definedName name="tdep">#REF!</definedName>
    <definedName name="TE">#REF!</definedName>
    <definedName name="tech">#REF!</definedName>
    <definedName name="Telephone_Sets__000">#REF!</definedName>
    <definedName name="Telex_Lines___000">#REF!</definedName>
    <definedName name="Telex_Subscribers__000">#REF!</definedName>
    <definedName name="temp">#REF!</definedName>
    <definedName name="temp1">#REF!</definedName>
    <definedName name="Temps">#REF!</definedName>
    <definedName name="Term">'[12]01.11.2004'!$D$37</definedName>
    <definedName name="term_cf">#REF!</definedName>
    <definedName name="term_eq">#REF!</definedName>
    <definedName name="terms">#REF!</definedName>
    <definedName name="tes" hidden="1">#REF!</definedName>
    <definedName name="TEST" localSheetId="41">#REF!</definedName>
    <definedName name="TEST" localSheetId="42">#REF!</definedName>
    <definedName name="Test">#REF!</definedName>
    <definedName name="TEST0" localSheetId="41">#REF!</definedName>
    <definedName name="TEST0" localSheetId="42">#REF!</definedName>
    <definedName name="TEST0">#REF!</definedName>
    <definedName name="TEST1">#REF!</definedName>
    <definedName name="TEST2">#REF!</definedName>
    <definedName name="TEST28" localSheetId="18" hidden="1">{#N/A,#N/A,FALSE,"Aging Summary";#N/A,#N/A,FALSE,"Ratio Analysis";#N/A,#N/A,FALSE,"Test 120 Day Accts";#N/A,#N/A,FALSE,"Tickmarks"}</definedName>
    <definedName name="TEST28" localSheetId="12" hidden="1">{#N/A,#N/A,FALSE,"Aging Summary";#N/A,#N/A,FALSE,"Ratio Analysis";#N/A,#N/A,FALSE,"Test 120 Day Accts";#N/A,#N/A,FALSE,"Tickmarks"}</definedName>
    <definedName name="TEST28" localSheetId="41" hidden="1">{#N/A,#N/A,FALSE,"Aging Summary";#N/A,#N/A,FALSE,"Ratio Analysis";#N/A,#N/A,FALSE,"Test 120 Day Accts";#N/A,#N/A,FALSE,"Tickmarks"}</definedName>
    <definedName name="TEST28" localSheetId="42" hidden="1">{#N/A,#N/A,FALSE,"Aging Summary";#N/A,#N/A,FALSE,"Ratio Analysis";#N/A,#N/A,FALSE,"Test 120 Day Accts";#N/A,#N/A,FALSE,"Tickmarks"}</definedName>
    <definedName name="TEST28" localSheetId="17" hidden="1">{#N/A,#N/A,FALSE,"Aging Summary";#N/A,#N/A,FALSE,"Ratio Analysis";#N/A,#N/A,FALSE,"Test 120 Day Accts";#N/A,#N/A,FALSE,"Tickmarks"}</definedName>
    <definedName name="TEST28" localSheetId="40" hidden="1">{#N/A,#N/A,FALSE,"Aging Summary";#N/A,#N/A,FALSE,"Ratio Analysis";#N/A,#N/A,FALSE,"Test 120 Day Accts";#N/A,#N/A,FALSE,"Tickmarks"}</definedName>
    <definedName name="TEST28" localSheetId="39" hidden="1">{#N/A,#N/A,FALSE,"Aging Summary";#N/A,#N/A,FALSE,"Ratio Analysis";#N/A,#N/A,FALSE,"Test 120 Day Accts";#N/A,#N/A,FALSE,"Tickmarks"}</definedName>
    <definedName name="TEST28" hidden="1">{#N/A,#N/A,FALSE,"Aging Summary";#N/A,#N/A,FALSE,"Ratio Analysis";#N/A,#N/A,FALSE,"Test 120 Day Accts";#N/A,#N/A,FALSE,"Tickmarks"}</definedName>
    <definedName name="TEST3">#REF!</definedName>
    <definedName name="TEST4">#REF!</definedName>
    <definedName name="TEST5">#REF!</definedName>
    <definedName name="TESTHKEY">#REF!</definedName>
    <definedName name="testing_effort_PLP_Server">#REF!</definedName>
    <definedName name="testing_effort_PLP_Server2">#REF!</definedName>
    <definedName name="testing_effort_SQL_Server">#REF!</definedName>
    <definedName name="testing_effort_SQL_Server2">#REF!</definedName>
    <definedName name="TESTKEYS" localSheetId="41">#REF!</definedName>
    <definedName name="TESTKEYS" localSheetId="42">#REF!</definedName>
    <definedName name="TESTKEYS">#REF!</definedName>
    <definedName name="TESTVKEY" localSheetId="41">#REF!</definedName>
    <definedName name="TESTVKEY" localSheetId="42">#REF!</definedName>
    <definedName name="TESTVKEY">#REF!</definedName>
    <definedName name="tete" hidden="1">{#N/A,#N/A,FALSE,"Calc";#N/A,#N/A,FALSE,"Sensitivity";#N/A,#N/A,FALSE,"LT Earn.Dil.";#N/A,#N/A,FALSE,"Dil. AVP"}</definedName>
    <definedName name="tetety" localSheetId="41">#REF!</definedName>
    <definedName name="tetety" localSheetId="42">#REF!</definedName>
    <definedName name="tetety">#REF!</definedName>
    <definedName name="TextRefCopy3">'[228]Section conclusion'!#REF!</definedName>
    <definedName name="TextRefCopyRangeCount" hidden="1">3</definedName>
    <definedName name="TG_Margin_HAAC">[44]PC_Cost_Ku!$B$8</definedName>
    <definedName name="tgh">#REF!</definedName>
    <definedName name="tgws">#REF!</definedName>
    <definedName name="tgy">'[71]Input-D'!#REF!</definedName>
    <definedName name="tgyhuj">'[71]Input-D'!#REF!</definedName>
    <definedName name="thousand">1000</definedName>
    <definedName name="Threshold">#REF!</definedName>
    <definedName name="throughput">#REF!</definedName>
    <definedName name="thth" hidden="1">{#N/A,#N/A,FALSE,"Calc";#N/A,#N/A,FALSE,"Sensitivity";#N/A,#N/A,FALSE,"LT Earn.Dil.";#N/A,#N/A,FALSE,"Dil. AVP"}</definedName>
    <definedName name="TI">#REF!</definedName>
    <definedName name="tic">#REF!</definedName>
    <definedName name="Ticker">""</definedName>
    <definedName name="timeHorizon">#REF!</definedName>
    <definedName name="TITLE">[46]Inputs!$F$8</definedName>
    <definedName name="Title1">'[229]Process List'!#REF!</definedName>
    <definedName name="titles">#REF!</definedName>
    <definedName name="tl">'[134]Sensitivity '!$C$11</definedName>
    <definedName name="TL_9">[68]COMBI_FIN!#REF!</definedName>
    <definedName name="TLA">#REF!</definedName>
    <definedName name="TLB">#REF!</definedName>
    <definedName name="TLC">#REF!</definedName>
    <definedName name="TLD">#REF!</definedName>
    <definedName name="TLE">#REF!</definedName>
    <definedName name="TLE_10">#REF!</definedName>
    <definedName name="TLE_11">#REF!</definedName>
    <definedName name="TLE_12">#REF!</definedName>
    <definedName name="TLE_13">#REF!</definedName>
    <definedName name="TLE_14">#REF!</definedName>
    <definedName name="TLE_15">#REF!</definedName>
    <definedName name="TLE_16">#REF!</definedName>
    <definedName name="TLE_17">#REF!</definedName>
    <definedName name="TLE_18">#REF!</definedName>
    <definedName name="TLE_5">#REF!</definedName>
    <definedName name="TLE_6">#REF!</definedName>
    <definedName name="TLE_7">#REF!</definedName>
    <definedName name="TLE_8">#REF!</definedName>
    <definedName name="tlidb">#REF!</definedName>
    <definedName name="tlidb_7">[230]Financials!#REF!</definedName>
    <definedName name="tlidb_8">[230]Financials!#REF!</definedName>
    <definedName name="tlsb1">#REF!</definedName>
    <definedName name="tlsb1_7">[230]Financials!#REF!</definedName>
    <definedName name="tlsb1_8">[230]Financials!#REF!</definedName>
    <definedName name="tlsb2">#REF!</definedName>
    <definedName name="tlsb2_7">[230]Financials!#REF!</definedName>
    <definedName name="tlsb2_8">[230]Financials!#REF!</definedName>
    <definedName name="TMaj_cou">#REF!</definedName>
    <definedName name="TO">[231]Tax!$C$25</definedName>
    <definedName name="TodaysDay" localSheetId="41">#REF!</definedName>
    <definedName name="TodaysDay" localSheetId="42">#REF!</definedName>
    <definedName name="TodaysDay">#REF!</definedName>
    <definedName name="top">#REF!</definedName>
    <definedName name="top_commcos">#REF!</definedName>
    <definedName name="TOR_STEEL">'[48]#REF'!#REF!</definedName>
    <definedName name="TOs">[227]Tax!$C$25</definedName>
    <definedName name="TOss">[227]Tax!$C$25</definedName>
    <definedName name="tot_asset">#REF!</definedName>
    <definedName name="tot_lia">#REF!</definedName>
    <definedName name="total">#REF!</definedName>
    <definedName name="TOTAL___0">#N/A</definedName>
    <definedName name="TOTAL___1">#N/A</definedName>
    <definedName name="TOTAL_DAYS">#REF!</definedName>
    <definedName name="Total_Interest" localSheetId="41">#REF!</definedName>
    <definedName name="Total_Interest" localSheetId="42">#REF!</definedName>
    <definedName name="Total_Interest">#REF!</definedName>
    <definedName name="Total_Pay" localSheetId="41">#REF!</definedName>
    <definedName name="Total_Pay" localSheetId="42">#REF!</definedName>
    <definedName name="Total_Pay">#REF!</definedName>
    <definedName name="Total_Payment" localSheetId="8">Scheduled_Payment+Extra_Payment</definedName>
    <definedName name="Total_Payment" localSheetId="41">Scheduled_Payment+Extra_Payment</definedName>
    <definedName name="Total_Payment" localSheetId="42">Scheduled_Payment+Extra_Payment</definedName>
    <definedName name="Total_Payment" localSheetId="40">Scheduled_Payment+Extra_Payment</definedName>
    <definedName name="Total_Payment" localSheetId="39">Scheduled_Payment+Extra_Payment</definedName>
    <definedName name="Total_Payment" localSheetId="6">Scheduled_Payment+Extra_Payment</definedName>
    <definedName name="Total_Payment" localSheetId="5">Scheduled_Payment+Extra_Payment</definedName>
    <definedName name="Total_Payment" localSheetId="44">Scheduled_Payment+Extra_Payment</definedName>
    <definedName name="Total_Payment">Scheduled_Payment+Extra_Payment</definedName>
    <definedName name="Total_Payment_2">Scheduled_Payment+Extra_Payment</definedName>
    <definedName name="TOTAL_SALARY" localSheetId="8">#REF!</definedName>
    <definedName name="TOTAL_SALARY">#REF!</definedName>
    <definedName name="Total_sociétés">#REF!</definedName>
    <definedName name="TotalCapEx">#REF!</definedName>
    <definedName name="TOTMKT">#REF!</definedName>
    <definedName name="TOTMKT___0">#REF!</definedName>
    <definedName name="TOTMKT___1">#N/A</definedName>
    <definedName name="TOTPIC">#REF!</definedName>
    <definedName name="TOTPIC___0">#REF!</definedName>
    <definedName name="TOTPIC___1">#N/A</definedName>
    <definedName name="tp">#REF!</definedName>
    <definedName name="tr">[184]Sensitivity!$E$10</definedName>
    <definedName name="training">#REF!</definedName>
    <definedName name="Trans">[92]Combined!$P$33</definedName>
    <definedName name="TransGas">#REF!</definedName>
    <definedName name="TransGas_I">#REF!</definedName>
    <definedName name="Translation">#N/A</definedName>
    <definedName name="Translation.SelectMonth">#N/A</definedName>
    <definedName name="Translation.Translation">#N/A</definedName>
    <definedName name="Transmission_Circuits__000">#REF!</definedName>
    <definedName name="TRAutoMajor">#REF!</definedName>
    <definedName name="TRAutoMaximum">#REF!</definedName>
    <definedName name="TRAutoMinimum">#REF!</definedName>
    <definedName name="TRAutoMinor">#REF!</definedName>
    <definedName name="travaut" localSheetId="41">#REF!,#REF!</definedName>
    <definedName name="travaut" localSheetId="42">#REF!,#REF!</definedName>
    <definedName name="travaut">#REF!,#REF!</definedName>
    <definedName name="trave">[137]Sheet1!#REF!</definedName>
    <definedName name="TRChartExists">#REF!</definedName>
    <definedName name="trig1">#REF!</definedName>
    <definedName name="trig2">#REF!</definedName>
    <definedName name="trig3">#REF!</definedName>
    <definedName name="trig4">#REF!</definedName>
    <definedName name="trig5">#REF!</definedName>
    <definedName name="TRIP">'[48]#REF'!$D$74</definedName>
    <definedName name="TRlMaxDate">#REF!</definedName>
    <definedName name="TRlMinDate">#REF!</definedName>
    <definedName name="TRMajor">#REF!</definedName>
    <definedName name="TRMaximum">#REF!</definedName>
    <definedName name="TRMinimum">#REF!</definedName>
    <definedName name="TRMinor">#REF!</definedName>
    <definedName name="TRnChartRow">#REF!</definedName>
    <definedName name="TRnMajorUnit">#REF!</definedName>
    <definedName name="trou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RsDataFormat">#REF!</definedName>
    <definedName name="TRsglMinorUnit">#REF!</definedName>
    <definedName name="TRSort">#REF!</definedName>
    <definedName name="TRTimeScale">#REF!</definedName>
    <definedName name="Trunk_Switching_Capacity__000">#REF!</definedName>
    <definedName name="Trunk_Transmission_Network">#REF!</definedName>
    <definedName name="TrYear">#REF!</definedName>
    <definedName name="ttcase">#REF!</definedName>
    <definedName name="tukd" hidden="1">{#N/A,#N/A,FALSE,"Production 1"}</definedName>
    <definedName name="TUNISIECGEA" localSheetId="41">#REF!</definedName>
    <definedName name="TUNISIECGEA" localSheetId="42">#REF!</definedName>
    <definedName name="TUNISIECGEA">#REF!</definedName>
    <definedName name="TV">#REF!</definedName>
    <definedName name="tw" hidden="1">{"page1",#N/A,FALSE,"Feuil1";"page2",#N/A,FALSE,"Feuil1";"page3",#N/A,FALSE,"Feuil1";"page4",#N/A,FALSE,"Feuil1"}</definedName>
    <definedName name="Type">'[52]Input Sheet'!$C$7</definedName>
    <definedName name="tyu">#REF!</definedName>
    <definedName name="tyujhg">'[71]Input-D'!#REF!</definedName>
    <definedName name="tzijc" hidden="1">{"page1",#N/A,FALSE,"Feuil1";"page2",#N/A,FALSE,"Feuil1";"page3",#N/A,FALSE,"Feuil1";"page4",#N/A,FALSE,"Feuil1"}</definedName>
    <definedName name="tzrsr" hidden="1">{#N/A,#N/A,FALSE,"BS9703PET";#N/A,#N/A,FALSE,"BS9703KNE";#N/A,#N/A,FALSE,"BS9703KRP";#N/A,#N/A,FALSE,"BS9703POL"}</definedName>
    <definedName name="tzu" hidden="1">{#N/A,#N/A,FALSE,"BS9703PET";#N/A,#N/A,FALSE,"BS9703KNE";#N/A,#N/A,FALSE,"BS9703KRP";#N/A,#N/A,FALSE,"BS9703POL"}</definedName>
    <definedName name="tzud">#REF!</definedName>
    <definedName name="tzuikd" hidden="1">{"assets",#N/A,FALSE,"CONS9703";"liab",#N/A,FALSE,"CONS9703";"pl",#N/A,FALSE,"CONS9703"}</definedName>
    <definedName name="tzzid" hidden="1">{#N/A,#N/A,FALSE,"Production 1"}</definedName>
    <definedName name="u" localSheetId="8">DATE(YEAR(Loan_Start),MONTH(Loan_Start)+Payment_Number,DAY(Loan_Start))</definedName>
    <definedName name="u" localSheetId="6">DATE(YEAR(Loan_Start),MONTH(Loan_Start)+Payment_Number,DAY(Loan_Start))</definedName>
    <definedName name="u" localSheetId="5">DATE(YEAR(Loan_Start),MONTH(Loan_Start)+Payment_Number,DAY(Loan_Start))</definedName>
    <definedName name="u">DATE(YEAR(Loan_Start),MONTH(Loan_Start)+Payment_Number,DAY(Loan_Start))</definedName>
    <definedName name="U_ANGI" localSheetId="41">#REF!</definedName>
    <definedName name="U_ANGI" localSheetId="42">#REF!</definedName>
    <definedName name="U_ANGI">#REF!</definedName>
    <definedName name="Überschrift">[96]Datenbank!$3:$3</definedName>
    <definedName name="uboh" hidden="1">{"assets",#N/A,FALSE,"CONS9703";"liab",#N/A,FALSE,"CONS9703";"pl",#N/A,FALSE,"CONS9703"}</definedName>
    <definedName name="UFCF">#REF!</definedName>
    <definedName name="uggc" hidden="1">{#N/A,#N/A,FALSE,"BS9703PET";#N/A,#N/A,FALSE,"BS9703KNE";#N/A,#N/A,FALSE,"BS9703KRP";#N/A,#N/A,FALSE,"BS9703POL"}</definedName>
    <definedName name="ugilgk" hidden="1">{"page1",#N/A,FALSE,"Feuil1";"page2",#N/A,FALSE,"Feuil1";"page3",#N/A,FALSE,"Feuil1";"page4",#N/A,FALSE,"Feuil1"}</definedName>
    <definedName name="UGT">[232]Menu!$L$1:$L$19</definedName>
    <definedName name="uhlkk" hidden="1">{"assets",#N/A,FALSE,"CONS9703";"liab",#N/A,FALSE,"CONS9703";"pl",#N/A,FALSE,"CONS9703"}</definedName>
    <definedName name="uifc" hidden="1">{"page1",#N/A,FALSE,"Feuil1";"page2",#N/A,FALSE,"Feuil1";"page3",#N/A,FALSE,"Feuil1";"page4",#N/A,FALSE,"Feuil1"}</definedName>
    <definedName name="uji">#REF!</definedName>
    <definedName name="uk" hidden="1">{#N/A,#N/A,FALSE,"Production 1"}</definedName>
    <definedName name="ukkjghk" hidden="1">{"page1",#N/A,FALSE,"Feuil1";"page2",#N/A,FALSE,"Feuil1";"page3",#N/A,FALSE,"Feuil1";"page4",#N/A,FALSE,"Feuil1"}</definedName>
    <definedName name="uljkj" hidden="1">{"assets",#N/A,FALSE,"CONS9703";"liab",#N/A,FALSE,"CONS9703";"pl",#N/A,FALSE,"CONS9703"}</definedName>
    <definedName name="unit">[233]Input!$D$385</definedName>
    <definedName name="Unit_ws_VOICE">#REF!</definedName>
    <definedName name="units">[92]Combined!$F$50</definedName>
    <definedName name="unnamed" localSheetId="8">#REF!</definedName>
    <definedName name="unnamed">#REF!</definedName>
    <definedName name="Unpaid_P_I">'[234]Input-output'!$N$9</definedName>
    <definedName name="up6.7">[54]secu!#REF!</definedName>
    <definedName name="UPF_C">'[99]Project-Cost'!$D$393</definedName>
    <definedName name="UPF_C_1">'[99]Project-Cost'!$D$399</definedName>
    <definedName name="UPF_C_2">'[77]Project-Cost'!$D$443</definedName>
    <definedName name="UPF_Cal">#REF!</definedName>
    <definedName name="UPF_Cal_2">#REF!</definedName>
    <definedName name="UPF_D">#REF!</definedName>
    <definedName name="UPF_Diff">#REF!</definedName>
    <definedName name="UPF_Diff_2">#REF!</definedName>
    <definedName name="UPF_P">'[99]Project-Cost'!$D$394</definedName>
    <definedName name="UPF_P_1">'[99]Project-Cost'!$D$400</definedName>
    <definedName name="UPF_P_2">'[77]Project-Cost'!$D$444</definedName>
    <definedName name="UPF_Pas_2">#REF!</definedName>
    <definedName name="UPF_Paste">#REF!</definedName>
    <definedName name="UPFP">'[99]Project-Cost'!#REF!</definedName>
    <definedName name="upfront">[235]Input!$A$1</definedName>
    <definedName name="upol" hidden="1">{"assets",#N/A,FALSE,"CONS9703";"liab",#N/A,FALSE,"CONS9703";"pl",#N/A,FALSE,"CONS9703"}</definedName>
    <definedName name="Upside">"5-Upside"</definedName>
    <definedName name="urban">#REF!</definedName>
    <definedName name="US">#REF!</definedName>
    <definedName name="USA" localSheetId="41">#REF!</definedName>
    <definedName name="USA" localSheetId="42">#REF!</definedName>
    <definedName name="USA">#REF!</definedName>
    <definedName name="USACGEA" localSheetId="41">#REF!</definedName>
    <definedName name="USACGEA" localSheetId="42">#REF!</definedName>
    <definedName name="USACGEA">#REF!</definedName>
    <definedName name="usage_hrs_per_month">#REF!</definedName>
    <definedName name="usage_hrs_per_month2">#REF!</definedName>
    <definedName name="USD" localSheetId="41">#REF!</definedName>
    <definedName name="USD" localSheetId="42">#REF!</definedName>
    <definedName name="usd">[236]Input!$H$242</definedName>
    <definedName name="USDT401" localSheetId="41">#REF!</definedName>
    <definedName name="USDT401" localSheetId="42">#REF!</definedName>
    <definedName name="USDT401">#REF!</definedName>
    <definedName name="USDT42001" localSheetId="41">#REF!</definedName>
    <definedName name="USDT42001" localSheetId="42">#REF!</definedName>
    <definedName name="USDT42001">#REF!</definedName>
    <definedName name="user">#REF!</definedName>
    <definedName name="util">[152]Sensitivity!$F$15</definedName>
    <definedName name="UtilCap" hidden="1">[60]Input!$K$153:$Y$153,[60]Input!$K$171:$Y$171,[60]Input!$K$189:$Y$189,[60]Input!$K$207:$Y$207,[60]Input!$K$225:$Y$225,[60]Input!$K$243:$Y$243,[60]Input!$K$261:$Y$261,[60]Input!$K$279:$Y$279</definedName>
    <definedName name="UTILITY" hidden="1">[237]plbs!#REF!</definedName>
    <definedName name="Utilization">#REF!</definedName>
    <definedName name="UtilProd" hidden="1">[60]Input!$K$152:$Y$152,[60]Input!$K$170:$Y$170,[60]Input!$K$188:$Y$188,[60]Input!$K$206:$Y$206,[60]Input!$K$224:$Y$224,[60]Input!$K$242:$Y$242,[60]Input!$K$260:$Y$260,[60]Input!$K$278:$Y$278</definedName>
    <definedName name="utkjd" hidden="1">{"page1",#N/A,FALSE,"Feuil1";"page2",#N/A,FALSE,"Feuil1";"page3",#N/A,FALSE,"Feuil1";"page4",#N/A,FALSE,"Feuil1"}</definedName>
    <definedName name="uzkfj">#REF!</definedName>
    <definedName name="uzuitzt" hidden="1">{#N/A,#N/A,FALSE,"Production 1"}</definedName>
    <definedName name="v">#REF!</definedName>
    <definedName name="V_C">#REF!</definedName>
    <definedName name="V_DOMTOM" localSheetId="41">#REF!</definedName>
    <definedName name="V_DOMTOM" localSheetId="42">#REF!</definedName>
    <definedName name="V_DOMTOM">#REF!</definedName>
    <definedName name="V_F">#REF!</definedName>
    <definedName name="V_F_A">#REF!</definedName>
    <definedName name="V_G_A">#REF!</definedName>
    <definedName name="V_M">#REF!</definedName>
    <definedName name="V_M_A">#REF!</definedName>
    <definedName name="V_R_A">#REF!</definedName>
    <definedName name="V_S_A">#REF!</definedName>
    <definedName name="V_T">#REF!</definedName>
    <definedName name="val" hidden="1">{#N/A,#N/A,FALSE,"Valuation Assumptions";#N/A,#N/A,FALSE,"Summary";#N/A,#N/A,FALSE,"DCF";#N/A,#N/A,FALSE,"Valuation";#N/A,#N/A,FALSE,"WACC";#N/A,#N/A,FALSE,"UBVH";#N/A,#N/A,FALSE,"Free Cash Flow"}</definedName>
    <definedName name="validationr1">[65]Validation!$C$27:$O$27,[65]Validation!$D$22:$O$22,[65]Validation!$C$17:$O$17,[65]Validation!$D$10:$O$10</definedName>
    <definedName name="valuationdate">#REF!</definedName>
    <definedName name="Valuationmetric">'[116]Input -Output sheet'!$C$46</definedName>
    <definedName name="value" localSheetId="41">#REF!</definedName>
    <definedName name="value" localSheetId="42">#REF!</definedName>
    <definedName name="Value">NA()</definedName>
    <definedName name="values">'[238]Determination of Threshold'!$B$3,'[238]Determination of Threshold'!$B$4,'[238]Determination of Threshold'!$B$15</definedName>
    <definedName name="Values_Entered" localSheetId="8">IF(Loan_Amount*Interest_Rate*Loan_Years*Loan_Start&gt;0,1,0)</definedName>
    <definedName name="Values_Entered" localSheetId="41">IF('Execulation Revenue'!Loan_Amount*'Execulation Revenue'!Interest_Rate*'Execulation Revenue'!Loan_Years*'Execulation Revenue'!Loan_Start&gt;0,1,0)</definedName>
    <definedName name="Values_Entered" localSheetId="42">IF('Execution Cost'!Loan_Amount*'Execution Cost'!Interest_Rate*'Execution Cost'!Loan_Years*'Execution Cost'!Loan_Start&gt;0,1,0)</definedName>
    <definedName name="Values_Entered" localSheetId="6">IF(Loan_Amount*Interest_Rate*Loan_Years*Loan_Start&gt;0,1,0)</definedName>
    <definedName name="Values_Entered" localSheetId="5">IF(Loan_Amount*Interest_Rate*Loan_Years*Loan_Start&gt;0,1,0)</definedName>
    <definedName name="Values_Entered">IF(Loan_Amount*Interest_Rate*Loan_Years*Loan_Start&gt;0,1,0)</definedName>
    <definedName name="Values_Entered_2">IF(Loan_Amount*Interest_Rate*Loan_Years*Loan_Start&gt;0,1,0)</definedName>
    <definedName name="ValuesBSA">[239]BS!$B$2:$O$3,[239]BS!$B$7:$O$13,[239]BS!$C$16:$O$17,[239]BS!$B$20:$O$20,[239]BS!$B$35:$O$37,[239]BS!$B$55:$O$55</definedName>
    <definedName name="ValuesChecks">'[239]Checks &amp; Inputs'!$C$16:$O$17,'[239]Checks &amp; Inputs'!$B$2</definedName>
    <definedName name="vappdenim1target">#REF!</definedName>
    <definedName name="VAPPGreytarget">#REF!</definedName>
    <definedName name="Var">#REF!</definedName>
    <definedName name="Var." localSheetId="19" hidden="1">[5]DESBASTE!#REF!</definedName>
    <definedName name="Var." localSheetId="18" hidden="1">[5]DESBASTE!#REF!</definedName>
    <definedName name="Var." localSheetId="12" hidden="1">[5]DESBASTE!#REF!</definedName>
    <definedName name="Var." localSheetId="36" hidden="1">[5]DESBASTE!#REF!</definedName>
    <definedName name="Var." localSheetId="28" hidden="1">[5]DESBASTE!#REF!</definedName>
    <definedName name="Var." localSheetId="27" hidden="1">[5]DESBASTE!#REF!</definedName>
    <definedName name="Var." localSheetId="14" hidden="1">[5]DESBASTE!#REF!</definedName>
    <definedName name="Var." localSheetId="20" hidden="1">[5]DESBASTE!#REF!</definedName>
    <definedName name="Var." localSheetId="15" hidden="1">[5]DESBASTE!#REF!</definedName>
    <definedName name="Var." localSheetId="37" hidden="1">[5]DESBASTE!#REF!</definedName>
    <definedName name="Var." localSheetId="24" hidden="1">[5]DESBASTE!#REF!</definedName>
    <definedName name="Var." localSheetId="25" hidden="1">[5]DESBASTE!#REF!</definedName>
    <definedName name="Var." localSheetId="17" hidden="1">[5]DESBASTE!#REF!</definedName>
    <definedName name="Var." localSheetId="11" hidden="1">[5]DESBASTE!#REF!</definedName>
    <definedName name="Var." localSheetId="23" hidden="1">[5]DESBASTE!#REF!</definedName>
    <definedName name="Var." localSheetId="32" hidden="1">[5]DESBASTE!#REF!</definedName>
    <definedName name="Var." localSheetId="38" hidden="1">[5]DESBASTE!#REF!</definedName>
    <definedName name="Var." hidden="1">[5]DESBASTE!#REF!</definedName>
    <definedName name="VarCost_Base">[132]Sensitivity!$F$11</definedName>
    <definedName name="varioustaxes">[240]wwww!$C$59:$C$62</definedName>
    <definedName name="vc">'[134]Sensitivity '!$C$13</definedName>
    <definedName name="VectorAssetsSales">#REF!</definedName>
    <definedName name="VectorCapEx">#REF!</definedName>
    <definedName name="VectorEquityInterests">#REF!</definedName>
    <definedName name="VectorExtraItems">#REF!</definedName>
    <definedName name="VectorFxdCost">#REF!</definedName>
    <definedName name="VectorMinorityInt">#REF!</definedName>
    <definedName name="VectorOpEx">#REF!</definedName>
    <definedName name="VectorOtherAssets">#REF!</definedName>
    <definedName name="VectorOtherCurAssets">#REF!</definedName>
    <definedName name="VectorOtherCurLiabs">#REF!</definedName>
    <definedName name="VectorOtherExpenses">#REF!</definedName>
    <definedName name="VectorOtherInterest">#REF!</definedName>
    <definedName name="VectorOtherInvestments">#REF!</definedName>
    <definedName name="VectorOtherLtLiabs">#REF!</definedName>
    <definedName name="VectorRevenue">#REF!</definedName>
    <definedName name="vége">#N/A</definedName>
    <definedName name="Vendor">#REF!</definedName>
    <definedName name="vfr">#REF!</definedName>
    <definedName name="vfrtgb">'[71]Input-D'!#REF!</definedName>
    <definedName name="vg" hidden="1">{#N/A,#N/A,FALSE,"One Pager";#N/A,#N/A,FALSE,"Technical"}</definedName>
    <definedName name="vishnu" hidden="1">{#N/A,#N/A,FALSE,"One Pager";#N/A,#N/A,FALSE,"Technical"}</definedName>
    <definedName name="visits" hidden="1">{"'Customer Support Trends'!$A$1:$AB$13"}</definedName>
    <definedName name="vistis2" hidden="1">{"'Customer Support Trends'!$A$1:$AB$13"}</definedName>
    <definedName name="VIVENDI" localSheetId="41">#REF!</definedName>
    <definedName name="VIVENDI" localSheetId="42">#REF!</definedName>
    <definedName name="VIVENDI">#REF!</definedName>
    <definedName name="VIVENDI__EMP._OBLIGATAIRE" localSheetId="41">#REF!</definedName>
    <definedName name="VIVENDI__EMP._OBLIGATAIRE" localSheetId="42">#REF!</definedName>
    <definedName name="VIVENDI__EMP._OBLIGATAIRE">#REF!</definedName>
    <definedName name="VIVENDI_EQUILIBRAGE" localSheetId="41">#REF!</definedName>
    <definedName name="VIVENDI_EQUILIBRAGE" localSheetId="42">#REF!</definedName>
    <definedName name="VIVENDI_EQUILIBRAGE">#REF!</definedName>
    <definedName name="VIVENDI_UK" localSheetId="41">#REF!</definedName>
    <definedName name="VIVENDI_UK" localSheetId="42">#REF!</definedName>
    <definedName name="VIVENDI_UK">#REF!</definedName>
    <definedName name="VIVENDI_WATER" localSheetId="41">#REF!</definedName>
    <definedName name="VIVENDI_WATER" localSheetId="42">#REF!</definedName>
    <definedName name="VIVENDI_WATER">#REF!</definedName>
    <definedName name="vk" hidden="1">{#N/A,#N/A,FALSE,"One Pager";#N/A,#N/A,FALSE,"Technical"}</definedName>
    <definedName name="vn" localSheetId="18" hidden="1">{#N/A,#N/A,FALSE,"RECAP Note Global";#N/A,#N/A,FALSE,"RECAP Note France";#N/A,#N/A,FALSE,"RECAP Note étranger";#N/A,#N/A,FALSE,"RECAP Note Zones"}</definedName>
    <definedName name="vn" localSheetId="12" hidden="1">{#N/A,#N/A,FALSE,"RECAP Note Global";#N/A,#N/A,FALSE,"RECAP Note France";#N/A,#N/A,FALSE,"RECAP Note étranger";#N/A,#N/A,FALSE,"RECAP Note Zones"}</definedName>
    <definedName name="vn" localSheetId="41" hidden="1">{#N/A,#N/A,FALSE,"RECAP Note Global";#N/A,#N/A,FALSE,"RECAP Note France";#N/A,#N/A,FALSE,"RECAP Note étranger";#N/A,#N/A,FALSE,"RECAP Note Zones"}</definedName>
    <definedName name="vn" localSheetId="42" hidden="1">{#N/A,#N/A,FALSE,"RECAP Note Global";#N/A,#N/A,FALSE,"RECAP Note France";#N/A,#N/A,FALSE,"RECAP Note étranger";#N/A,#N/A,FALSE,"RECAP Note Zones"}</definedName>
    <definedName name="vn" localSheetId="17" hidden="1">{#N/A,#N/A,FALSE,"RECAP Note Global";#N/A,#N/A,FALSE,"RECAP Note France";#N/A,#N/A,FALSE,"RECAP Note étranger";#N/A,#N/A,FALSE,"RECAP Note Zones"}</definedName>
    <definedName name="vn" localSheetId="40" hidden="1">{#N/A,#N/A,FALSE,"RECAP Note Global";#N/A,#N/A,FALSE,"RECAP Note France";#N/A,#N/A,FALSE,"RECAP Note étranger";#N/A,#N/A,FALSE,"RECAP Note Zones"}</definedName>
    <definedName name="vn" localSheetId="39" hidden="1">{#N/A,#N/A,FALSE,"RECAP Note Global";#N/A,#N/A,FALSE,"RECAP Note France";#N/A,#N/A,FALSE,"RECAP Note étranger";#N/A,#N/A,FALSE,"RECAP Note Zones"}</definedName>
    <definedName name="vn" hidden="1">{#N/A,#N/A,FALSE,"RECAP Note Global";#N/A,#N/A,FALSE,"RECAP Note France";#N/A,#N/A,FALSE,"RECAP Note étranger";#N/A,#N/A,FALSE,"RECAP Note Zones"}</definedName>
    <definedName name="VNAO">#REF!</definedName>
    <definedName name="vo" hidden="1">{"consolidated",#N/A,FALSE,"Sheet1";"cms",#N/A,FALSE,"Sheet1";"fse",#N/A,FALSE,"Sheet1"}</definedName>
    <definedName name="VP_CCLookup1">'[205]Cost Center Lookup Table'!$A$2:$D$257</definedName>
    <definedName name="vrr" localSheetId="41">#REF!</definedName>
    <definedName name="vrr" localSheetId="42">#REF!</definedName>
    <definedName name="vrr">#REF!</definedName>
    <definedName name="VSATS">#REF!</definedName>
    <definedName name="vsr" localSheetId="41">#REF!</definedName>
    <definedName name="vsr" localSheetId="42">#REF!</definedName>
    <definedName name="vsr">#REF!</definedName>
    <definedName name="vss" localSheetId="41">#REF!</definedName>
    <definedName name="vss" localSheetId="42">#REF!</definedName>
    <definedName name="vss">#REF!</definedName>
    <definedName name="vv" localSheetId="41">'[156]PBZ - DEVISE LOCALE'!#REF!</definedName>
    <definedName name="vv" localSheetId="42">'[156]PBZ - DEVISE LOCALE'!#REF!</definedName>
    <definedName name="vv">'[156]PBZ - DEVISE LOCALE'!#REF!</definedName>
    <definedName name="vve" localSheetId="41">#REF!</definedName>
    <definedName name="vve" localSheetId="42">#REF!</definedName>
    <definedName name="vve">#REF!</definedName>
    <definedName name="vvv" localSheetId="41">'[156]PBZ - DEVISE LOCALE'!#REF!</definedName>
    <definedName name="vvv" localSheetId="42">'[156]PBZ - DEVISE LOCALE'!#REF!</definedName>
    <definedName name="vvv">'[156]PBZ - DEVISE LOCALE'!#REF!</definedName>
    <definedName name="W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>[39]DEP_CO!#REF!</definedName>
    <definedName name="w1_w2">'[1]#REF'!#REF!</definedName>
    <definedName name="w4t" hidden="1">{"assets",#N/A,FALSE,"CONS9703";"liab",#N/A,FALSE,"CONS9703";"pl",#N/A,FALSE,"CONS9703"}</definedName>
    <definedName name="wa" hidden="1">{"assets",#N/A,FALSE,"CONS9703";"liab",#N/A,FALSE,"CONS9703";"pl",#N/A,FALSE,"CONS9703"}</definedName>
    <definedName name="wacc_acquiror">[86]Factset!$D$50</definedName>
    <definedName name="waf" hidden="1">{#N/A,#N/A,FALSE,"Production 1"}</definedName>
    <definedName name="was.cf." hidden="1">{"page1",#N/A,FALSE,"Feuil1";"page2",#N/A,FALSE,"Feuil1";"page3",#N/A,FALSE,"Feuil1";"page4",#N/A,FALSE,"Feuil1"}</definedName>
    <definedName name="wasboh" hidden="1">{"page1",#N/A,FALSE,"Feuil1";"page2",#N/A,FALSE,"Feuil1";"page3",#N/A,FALSE,"Feuil1";"page4",#N/A,FALSE,"Feuil1"}</definedName>
    <definedName name="waspol" hidden="1">{"page1",#N/A,FALSE,"Feuil1";"page2",#N/A,FALSE,"Feuil1";"page3",#N/A,FALSE,"Feuil1";"page4",#N/A,FALSE,"Feuil1"}</definedName>
    <definedName name="Wassereinsparung2001">#REF!</definedName>
    <definedName name="wb4.5">#REF!</definedName>
    <definedName name="wb4.5_7">[32]_REF!$A$1</definedName>
    <definedName name="wb6.7">[54]secu!#REF!</definedName>
    <definedName name="wb7.8">#REF!</definedName>
    <definedName name="wb7.8_7">[32]_REF!$A$327:$P$368</definedName>
    <definedName name="WC">#REF!</definedName>
    <definedName name="WC_Margin">[110]Assumptions!$C$114</definedName>
    <definedName name="WC_project">#N/A</definedName>
    <definedName name="WCAccrued">#REF!</definedName>
    <definedName name="wcDaysPerYear">#REF!</definedName>
    <definedName name="WCDiff">#N/A</definedName>
    <definedName name="wcint">#REF!</definedName>
    <definedName name="WCInventory">#REF!</definedName>
    <definedName name="WCPayable">#REF!</definedName>
    <definedName name="wcproject_2">#N/A</definedName>
    <definedName name="WCReceivable">#REF!</definedName>
    <definedName name="WCTotal">#REF!</definedName>
    <definedName name="WdrDSR">#REF!</definedName>
    <definedName name="WE" hidden="1">{#N/A,#N/A,FALSE,"MODULE3"}</definedName>
    <definedName name="web_spc_PLPc">#REF!</definedName>
    <definedName name="web_spc_PLPc2">#REF!</definedName>
    <definedName name="WEEKLY_TRAFFIC_SUMMARY" localSheetId="8">#REF!</definedName>
    <definedName name="WEEKLY_TRAFFIC_SUMMARY">#REF!</definedName>
    <definedName name="wer">'[71]Input-D'!#REF!</definedName>
    <definedName name="wersja_jezyk">#REF!</definedName>
    <definedName name="whatsthis" hidden="1">{#N/A,#N/A,TRUE,"Outlook98";#N/A,#N/A,TRUE,"Reduction Model"}</definedName>
    <definedName name="whatthehell" hidden="1">{"'Trend_Total'!$A$7:$V$10","'Trend_Total'!$A$1:$V$4"}</definedName>
    <definedName name="Wheeling">#REF!</definedName>
    <definedName name="Wheeling_I">#REF!</definedName>
    <definedName name="where">#REF!</definedName>
    <definedName name="whereboh">#REF!</definedName>
    <definedName name="wherekft">#REF!</definedName>
    <definedName name="wherekner">#REF!</definedName>
    <definedName name="wherepol">#REF!</definedName>
    <definedName name="WHRB">'[52]Input Sheet'!$C$13</definedName>
    <definedName name="wip" hidden="1">[241]Main!#REF!</definedName>
    <definedName name="wipwcc2">[94]WCL!#REF!</definedName>
    <definedName name="Wireless">#REF!</definedName>
    <definedName name="WKSHT">#REF!</definedName>
    <definedName name="WKSHT___0">#REF!</definedName>
    <definedName name="WKSHT___1">#N/A</definedName>
    <definedName name="WLSSPIC">#REF!</definedName>
    <definedName name="wnnnnboh" hidden="1">{#N/A,#N/A,FALSE,"Production 1"}</definedName>
    <definedName name="working">#REF!</definedName>
    <definedName name="WORKING_DAYS">#REF!</definedName>
    <definedName name="wppw">#REF!</definedName>
    <definedName name="wra" hidden="1">{"page1",#N/A,FALSE,"Feuil1";"page2",#N/A,FALSE,"Feuil1";"page3",#N/A,FALSE,"Feuil1";"page4",#N/A,FALSE,"Feuil1"}</definedName>
    <definedName name="wrd" hidden="1">{#N/A,#N/A,FALSE,"INPUTS";#N/A,#N/A,FALSE,"PROFORMA BSHEET";#N/A,#N/A,FALSE,"COMBINED";#N/A,#N/A,FALSE,"HIGH YIELD";#N/A,#N/A,FALSE,"COMB_GRAPHS"}</definedName>
    <definedName name="wrn" hidden="1">{#N/A,#N/A,FALSE,"DCF Summary";#N/A,#N/A,FALSE,"Casema";#N/A,#N/A,FALSE,"Casema NoTel";#N/A,#N/A,FALSE,"UK";#N/A,#N/A,FALSE,"RCF";#N/A,#N/A,FALSE,"Intercable CZ";#N/A,#N/A,FALSE,"Interkabel P"}</definedName>
    <definedName name="wrn.1." hidden="1">{#N/A,#N/A,FALSE,"Calc";#N/A,#N/A,FALSE,"Sensitivity";#N/A,#N/A,FALSE,"LT Earn.Dil.";#N/A,#N/A,FALSE,"Dil. AVP"}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Accounts." hidden="1">{"turnover",#N/A,FALSE;"profits",#N/A,FALSE;"cash",#N/A,FALSE}</definedName>
    <definedName name="wrn.adj95." hidden="1">{"adj95mult",#N/A,FALSE,"COMPCO";"adj95est",#N/A,FALSE,"COMPCO"}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41" hidden="1">{#N/A,#N/A,FALSE,"Aging Summary";#N/A,#N/A,FALSE,"Ratio Analysis";#N/A,#N/A,FALSE,"Test 120 Day Accts";#N/A,#N/A,FALSE,"Tickmarks"}</definedName>
    <definedName name="wrn.Aging._.and._.Trend._.Analysis." localSheetId="42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40" hidden="1">{#N/A,#N/A,FALSE,"Aging Summary";#N/A,#N/A,FALSE,"Ratio Analysis";#N/A,#N/A,FALSE,"Test 120 Day Accts";#N/A,#N/A,FALSE,"Tickmarks"}</definedName>
    <definedName name="wrn.Aging._.and._.Trend._.Analysis." localSheetId="3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DataPages." hidden="1">{#N/A,#N/A,FALSE,"Balance Sheet";#N/A,#N/A,FALSE,"Income Statement";#N/A,#N/A,FALSE,"Changes in Financial Position"}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ack._.Page." hidden="1">{"Back Page",#N/A,FALSE,"Front and Back"}</definedName>
    <definedName name="wrn.Basic." hidden="1">{#N/A,#N/A,FALSE,"Project Financing S &amp; U ";#N/A,#N/A,FALSE,"Project S&amp;U";#N/A,#N/A,FALSE,"Project Costs";#N/A,#N/A,FALSE,"Project Draw Schedule";#N/A,#N/A,FALSE,"Private Funding Req.";#N/A,#N/A,FALSE,"Private Funding, City";#N/A,#N/A,FALSE,"Private Equity";#N/A,#N/A,FALSE,"Private Const. Fund";#N/A,#N/A,FALSE,"Fin. Assump.";#N/A,#N/A,FALSE,"Project Financing DSS";#N/A,#N/A,FALSE,"Project Financing Cap. Int.";#N/A,#N/A,FALSE,"PIT Financing"}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ook." hidden="1">{"EVA",#N/A,FALSE,"SMT2";#N/A,#N/A,FALSE,"Summary";#N/A,#N/A,FALSE,"Graphs";#N/A,#N/A,FALSE,"4 Panel"}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udget." hidden="1">{"form-D1",#N/A,FALSE,"FORM-D1";"form-D1_amt",#N/A,FALSE,"FORM-D1"}</definedName>
    <definedName name="wrn.Cash._.Flow." hidden="1">{#N/A,#N/A,FALSE,"Layout Cash Flow"}</definedName>
    <definedName name="wrn.cf." hidden="1">{"page1",#N/A,FALSE,"Feuil1";"page2",#N/A,FALSE,"Feuil1";"page3",#N/A,FALSE,"Feuil1";"page4",#N/A,FALSE,"Feuil1"}</definedName>
    <definedName name="wrn.COMBINED." hidden="1">{#N/A,#N/A,FALSE,"INPUTS";#N/A,#N/A,FALSE,"PROFORMA BSHEET";#N/A,#N/A,FALSE,"COMBINED";#N/A,#N/A,FALSE,"HIGH YIELD";#N/A,#N/A,FALSE,"COMB_GRAPHS"}</definedName>
    <definedName name="wrn.COMPCO." hidden="1">{"Page1",#N/A,FALSE,"CompCo";"Page2",#N/A,FALSE,"CompCo"}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Daily._.Survey._.Report." localSheetId="8" hidden="1">{"Daily Survey Report",#N/A,FALSE,"Daily"}</definedName>
    <definedName name="wrn.Daily._.Survey._.Report." localSheetId="6" hidden="1">{"Daily Survey Report",#N/A,FALSE,"Daily"}</definedName>
    <definedName name="wrn.Daily._.Survey._.Report." localSheetId="5" hidden="1">{"Daily Survey Report",#N/A,FALSE,"Daily"}</definedName>
    <definedName name="wrn.Daily._.Survey._.Report." hidden="1">{"Daily Survey Report",#N/A,FALSE,"Daily"}</definedName>
    <definedName name="wrn.DCF." hidden="1">{"DCF1",#N/A,FALSE,"SIERRA DCF";"MATRIX1",#N/A,FALSE,"SIERRA DCF"}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hidden="1">{"P and L Detail Page 1",#N/A,FALSE,"Data";"P and L Detail Page 2",#N/A,FALSE,"Data"}</definedName>
    <definedName name="wrn.document." hidden="1">{"consolidated",#N/A,FALSE,"Sheet1";"cms",#N/A,FALSE,"Sheet1";"fse",#N/A,FALSE,"Sheet1"}</definedName>
    <definedName name="wrn.Draft." hidden="1">{"Draft",#N/A,FALSE,"Feb-96"}</definedName>
    <definedName name="wrn.DRB._.CLAIMS._.FOR._.BILL._.A3._.SIZE.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wrn.DRB._.CLAIMS._.FOR._.BILL._.A4._.SIZE.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wrn.Economic._.Value._.Added._.Analysis." hidden="1">{"EVA",#N/A,FALSE,"EVA";"WACC",#N/A,FALSE,"WACC"}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hidden="1">{"FCB_ALL",#N/A,FALSE,"FCB"}</definedName>
    <definedName name="wrn.fcb2" hidden="1">{"FCB_ALL",#N/A,FALSE,"FCB"}</definedName>
    <definedName name="wrn.Final." hidden="1">{"Final",#N/A,FALSE,"Feb-96"}</definedName>
    <definedName name="wrn.Financial._.Output." hidden="1">{"P and L",#N/A,FALSE,"Financial Output";"Cashflow",#N/A,FALSE,"Financial Output";"Balance Sheet",#N/A,FALSE,"Financial Output"}</definedName>
    <definedName name="wrn.Finanzbedarfsrechnung." hidden="1">{#N/A,#N/A,FALSE,"Finanzbedarfsrechnung"}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Record." hidden="1">{"Five Year Record",#N/A,FALSE,"Front and Back"}</definedName>
    <definedName name="wrn.Front._.Page." hidden="1">{"Front Page",#N/A,FALSE,"Front and Back"}</definedName>
    <definedName name="wrn.FS." hidden="1">{"assets",#N/A,FALSE,"CONS9703";"liab",#N/A,FALSE,"CONS9703";"pl",#N/A,FALSE,"CONS9703"}</definedName>
    <definedName name="wrn.full.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wrn.Full._.Financials." hidden="1">{#N/A,#N/A,TRUE,"Financials";#N/A,#N/A,TRUE,"Operating Statistics";#N/A,#N/A,TRUE,"Capex &amp; Depreciation";#N/A,#N/A,TRUE,"Debt"}</definedName>
    <definedName name="wrn.Full._.Model." hidden="1">{#N/A,#N/A,TRUE,"Cover Sheet ";#N/A,#N/A,TRUE,"INPUTS";#N/A,#N/A,TRUE,"OUTPUTS"}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fin.1" hidden="1">{#N/A,#N/A,TRUE,"Financials";#N/A,#N/A,TRUE,"Operating Statistics";#N/A,#N/A,TRUE,"Capex &amp; Depreciation";#N/A,#N/A,TRUE,"Debt"}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hidden="1">{"Geographic P1",#N/A,FALSE,"Division &amp; Geog"}</definedName>
    <definedName name="wrn.GRAPHS." hidden="1">{#N/A,#N/A,FALSE,"ACQ_GRAPHS";#N/A,#N/A,FALSE,"T_1 GRAPHS";#N/A,#N/A,FALSE,"T_2 GRAPHS";#N/A,#N/A,FALSE,"COMB_GRAPHS"}</definedName>
    <definedName name="wrn.GuV." hidden="1">{#N/A,#N/A,FALSE,"Layout GuV"}</definedName>
    <definedName name="wrn.income._.statement." hidden="1">{"income statement",#N/A,FALSE,"ATLAS-A"}</definedName>
    <definedName name="wrn.item1." hidden="1">{#N/A,#N/A,FALSE,"Wadhal";#N/A,#N/A,FALSE,"Manglad U-S";#N/A,#N/A,FALSE,"Manglad D-S";#N/A,#N/A,FALSE,"Ratanpur U-S";#N/A,#N/A,FALSE,"Ratanpur D-S";#N/A,#N/A,FALSE,"VI Face"}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n." hidden="1">{#N/A,#N/A,FALSE,"Production 1"}</definedName>
    <definedName name="wrn.ntfinance." hidden="1">{"Rate",#N/A,TRUE,"SUMMARY";"Ratios",#N/A,TRUE,"Ratios";"BUDGETREVENUE",#N/A,TRUE,"Revenue";"TOTALS",#N/A,TRUE,"DETAIL"}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{"vi1",#N/A,FALSE,"Financial Statements";"vi2",#N/A,FALSE,"Financial Statements";#N/A,#N/A,FALSE,"DCF"}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intout.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rn.PRINTREP." hidden="1">{"PRINTREP",#N/A,FALSE,"Sheet1"}</definedName>
    <definedName name="wrn.PrintShort.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o._.Forma." hidden="1">{#N/A,#N/A,FALSE,"Cover Pro Forma";#N/A,#N/A,FALSE,"Table of cont.";#N/A,#N/A,FALSE,"Summary Page - Assump.";#N/A,#N/A,FALSE,"Summary Page - Results";#N/A,#N/A,FALSE,"Cash Flow";#N/A,#N/A,FALSE,"Income Statement";#N/A,#N/A,FALSE,"Depreciation";#N/A,#N/A,FALSE,"Ballpark CashFlow";#N/A,#N/A,FALSE,"COI";#N/A,#N/A,FALSE,"COI (2)";#N/A,#N/A,FALSE,"Team Cashflow";#N/A,#N/A,FALSE,"Park Mixed Use Cash Flow ";#N/A,#N/A,FALSE,"Ballpark Seating";#N/A,#N/A,FALSE,"Ticket Revenue Detail";#N/A,#N/A,FALSE,"Conc., Nov., Park Detail";#N/A,#N/A,FALSE,"Suites, Clubs";#N/A,#N/A,FALSE,"Naming";#N/A,#N/A,FALSE,"Player Compensation";#N/A,#N/A,FALSE,"Operating Expenses";#N/A,#N/A,FALSE,"Parking Detail"}</definedName>
    <definedName name="wrn.RECAP." localSheetId="18" hidden="1">{#N/A,#N/A,FALSE,"RECAP Note Global";#N/A,#N/A,FALSE,"RECAP Note France";#N/A,#N/A,FALSE,"RECAP Note étranger";#N/A,#N/A,FALSE,"RECAP Note Zones"}</definedName>
    <definedName name="wrn.RECAP." localSheetId="12" hidden="1">{#N/A,#N/A,FALSE,"RECAP Note Global";#N/A,#N/A,FALSE,"RECAP Note France";#N/A,#N/A,FALSE,"RECAP Note étranger";#N/A,#N/A,FALSE,"RECAP Note Zones"}</definedName>
    <definedName name="wrn.RECAP." localSheetId="41" hidden="1">{#N/A,#N/A,FALSE,"RECAP Note Global";#N/A,#N/A,FALSE,"RECAP Note France";#N/A,#N/A,FALSE,"RECAP Note étranger";#N/A,#N/A,FALSE,"RECAP Note Zones"}</definedName>
    <definedName name="wrn.RECAP." localSheetId="42" hidden="1">{#N/A,#N/A,FALSE,"RECAP Note Global";#N/A,#N/A,FALSE,"RECAP Note France";#N/A,#N/A,FALSE,"RECAP Note étranger";#N/A,#N/A,FALSE,"RECAP Note Zones"}</definedName>
    <definedName name="wrn.RECAP." localSheetId="17" hidden="1">{#N/A,#N/A,FALSE,"RECAP Note Global";#N/A,#N/A,FALSE,"RECAP Note France";#N/A,#N/A,FALSE,"RECAP Note étranger";#N/A,#N/A,FALSE,"RECAP Note Zones"}</definedName>
    <definedName name="wrn.RECAP." localSheetId="40" hidden="1">{#N/A,#N/A,FALSE,"RECAP Note Global";#N/A,#N/A,FALSE,"RECAP Note France";#N/A,#N/A,FALSE,"RECAP Note étranger";#N/A,#N/A,FALSE,"RECAP Note Zones"}</definedName>
    <definedName name="wrn.RECAP." localSheetId="39" hidden="1">{#N/A,#N/A,FALSE,"RECAP Note Global";#N/A,#N/A,FALSE,"RECAP Note France";#N/A,#N/A,FALSE,"RECAP Note étranger";#N/A,#N/A,FALSE,"RECAP Note Zones"}</definedName>
    <definedName name="wrn.RECAP." hidden="1">{#N/A,#N/A,FALSE,"RECAP Note Global";#N/A,#N/A,FALSE,"RECAP Note France";#N/A,#N/A,FALSE,"RECAP Note étranger";#N/A,#N/A,FALSE,"RECAP Note Zones"}</definedName>
    <definedName name="wrn.Refining._.Margin._.Faxes." localSheetId="18" hidden="1">{#N/A,#N/A,FALSE,"DEA Report";#N/A,#N/A,FALSE,"Veba Report";#N/A,#N/A,FALSE,"Wintershall Report";#N/A,#N/A,FALSE,"Fina Report"}</definedName>
    <definedName name="wrn.Refining._.Margin._.Faxes." localSheetId="12" hidden="1">{#N/A,#N/A,FALSE,"DEA Report";#N/A,#N/A,FALSE,"Veba Report";#N/A,#N/A,FALSE,"Wintershall Report";#N/A,#N/A,FALSE,"Fina Report"}</definedName>
    <definedName name="wrn.Refining._.Margin._.Faxes." localSheetId="41" hidden="1">{#N/A,#N/A,FALSE,"DEA Report";#N/A,#N/A,FALSE,"Veba Report";#N/A,#N/A,FALSE,"Wintershall Report";#N/A,#N/A,FALSE,"Fina Report"}</definedName>
    <definedName name="wrn.Refining._.Margin._.Faxes." localSheetId="42" hidden="1">{#N/A,#N/A,FALSE,"DEA Report";#N/A,#N/A,FALSE,"Veba Report";#N/A,#N/A,FALSE,"Wintershall Report";#N/A,#N/A,FALSE,"Fina Report"}</definedName>
    <definedName name="wrn.Refining._.Margin._.Faxes." localSheetId="17" hidden="1">{#N/A,#N/A,FALSE,"DEA Report";#N/A,#N/A,FALSE,"Veba Report";#N/A,#N/A,FALSE,"Wintershall Report";#N/A,#N/A,FALSE,"Fina Report"}</definedName>
    <definedName name="wrn.Refining._.Margin._.Faxes." localSheetId="40" hidden="1">{#N/A,#N/A,FALSE,"DEA Report";#N/A,#N/A,FALSE,"Veba Report";#N/A,#N/A,FALSE,"Wintershall Report";#N/A,#N/A,FALSE,"Fina Report"}</definedName>
    <definedName name="wrn.Refining._.Margin._.Faxes." localSheetId="39" hidden="1">{#N/A,#N/A,FALSE,"DEA Report";#N/A,#N/A,FALSE,"Veba Report";#N/A,#N/A,FALSE,"Wintershall Report";#N/A,#N/A,FALSE,"Fina Report"}</definedName>
    <definedName name="wrn.Refining._.Margin._.Faxes." hidden="1">{#N/A,#N/A,FALSE,"DEA Report";#N/A,#N/A,FALSE,"Veba Report";#N/A,#N/A,FALSE,"Wintershall Report";#N/A,#N/A,FALSE,"Fina Report"}</definedName>
    <definedName name="wrn.Report._.2." hidden="1">{#N/A,#N/A,TRUE,"Pivots-Employee";#N/A,"Scenerio2",TRUE,"Assumptions Summary"}</definedName>
    <definedName name="wrn.Report1." hidden="1">{#N/A,#N/A,FALSE,"IS";#N/A,#N/A,FALSE,"BS";#N/A,#N/A,FALSE,"CF";#N/A,#N/A,FALSE,"CE";#N/A,#N/A,FALSE,"Depr";#N/A,#N/A,FALSE,"APAL"}</definedName>
    <definedName name="wrn.Reporting.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sales." hidden="1">{"sales",#N/A,FALSE,"Sales";"sales existing",#N/A,FALSE,"Sales";"sales rd1",#N/A,FALSE,"Sales";"sales rd2",#N/A,FALSE,"Sales"}</definedName>
    <definedName name="wrn.ss." hidden="1">{#N/A,#N/A,FALSE,"MODULE3"}</definedName>
    <definedName name="wrn.ss1." hidden="1">{"ss",#N/A,FALSE,"MODULE3"}</definedName>
    <definedName name="wrn.STAND_ALONE_BOTH." hidden="1">{"FCB_ALL",#N/A,FALSE,"FCB";"GREY_ALL",#N/A,FALSE,"GREY"}</definedName>
    <definedName name="wrn.subbs." hidden="1">{#N/A,#N/A,FALSE,"BS9703PET";#N/A,#N/A,FALSE,"BS9703KNE";#N/A,#N/A,FALSE,"BS9703KRP";#N/A,#N/A,FALSE,"BS9703POL"}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test." hidden="1">{#N/A,#N/A,TRUE,"Outlook98";#N/A,#N/A,TRUE,"Reduction Model"}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yphoon." hidden="1">{"Agg Output",#N/A,FALSE,"Operational Drivers Output";"NW Output",#N/A,FALSE,"Operational Drivers Output";"South Output",#N/A,FALSE,"Operational Drivers Output";"Central Output",#N/A,FALSE,"Operational Drivers Output"}</definedName>
    <definedName name="wrn.upstairs." hidden="1">{"histincome",#N/A,FALSE,"hyfins";"closing balance",#N/A,FALSE,"hyfins"}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xrates." hidden="1">{#N/A,#N/A,FALSE,"1996";#N/A,#N/A,FALSE,"1995";#N/A,#N/A,FALSE,"1994"}</definedName>
    <definedName name="wrn2pol" hidden="1">{"page1",#N/A,FALSE,"Feuil1";"page2",#N/A,FALSE,"Feuil1";"page3",#N/A,FALSE,"Feuil1";"page4",#N/A,FALSE,"Feuil1"}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pol" hidden="1">{"assets",#N/A,FALSE,"CONS9703";"liab",#N/A,FALSE,"CONS9703";"pl",#N/A,FALSE,"CONS9703"}</definedName>
    <definedName name="wrn4pol" hidden="1">{#N/A,#N/A,FALSE,"Production 1"}</definedName>
    <definedName name="wrn5pol" hidden="1">{#N/A,#N/A,FALSE,"BS9703PET";#N/A,#N/A,FALSE,"BS9703KNE";#N/A,#N/A,FALSE,"BS9703KRP";#N/A,#N/A,FALSE,"BS9703POL"}</definedName>
    <definedName name="wrnboh" hidden="1">{"page1",#N/A,FALSE,"Feuil1";"page2",#N/A,FALSE,"Feuil1";"page3",#N/A,FALSE,"Feuil1";"page4",#N/A,FALSE,"Feuil1"}</definedName>
    <definedName name="wrnboh1" hidden="1">{"assets",#N/A,FALSE,"CONS9703";"liab",#N/A,FALSE,"CONS9703";"pl",#N/A,FALSE,"CONS9703"}</definedName>
    <definedName name="wrnfy97" hidden="1">{#N/A,#N/A,FALSE,"FY97";#N/A,#N/A,FALSE,"FY98";#N/A,#N/A,FALSE,"FY99";#N/A,#N/A,FALSE,"FY00";#N/A,#N/A,FALSE,"FY01"}</definedName>
    <definedName name="wrnsubbboh" hidden="1">{#N/A,#N/A,FALSE,"BS9703PET";#N/A,#N/A,FALSE,"BS9703KNE";#N/A,#N/A,FALSE,"BS9703KRP";#N/A,#N/A,FALSE,"BS9703POL"}</definedName>
    <definedName name="wrzw" hidden="1">{#N/A,#N/A,FALSE,"BS9703PET";#N/A,#N/A,FALSE,"BS9703KNE";#N/A,#N/A,FALSE,"BS9703KRP";#N/A,#N/A,FALSE,"BS9703POL"}</definedName>
    <definedName name="wspw">#REF!</definedName>
    <definedName name="wt" hidden="1">{#N/A,#N/A,FALSE,"FY97";#N/A,#N/A,FALSE,"FY98";#N/A,#N/A,FALSE,"FY99";#N/A,#N/A,FALSE,"FY00";#N/A,#N/A,FALSE,"FY01"}</definedName>
    <definedName name="WTP">#REF!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">#REF!</definedName>
    <definedName name="www">#REF!</definedName>
    <definedName name="wwwwww">#REF!</definedName>
    <definedName name="x" localSheetId="18" hidden="1">{#N/A,#N/A,FALSE,"Aging Summary";#N/A,#N/A,FALSE,"Ratio Analysis";#N/A,#N/A,FALSE,"Test 120 Day Accts";#N/A,#N/A,FALSE,"Tickmarks"}</definedName>
    <definedName name="x" localSheetId="12" hidden="1">{#N/A,#N/A,FALSE,"Aging Summary";#N/A,#N/A,FALSE,"Ratio Analysis";#N/A,#N/A,FALSE,"Test 120 Day Accts";#N/A,#N/A,FALSE,"Tickmarks"}</definedName>
    <definedName name="x" localSheetId="41" hidden="1">{#N/A,#N/A,FALSE,"Aging Summary";#N/A,#N/A,FALSE,"Ratio Analysis";#N/A,#N/A,FALSE,"Test 120 Day Accts";#N/A,#N/A,FALSE,"Tickmarks"}</definedName>
    <definedName name="x" localSheetId="42" hidden="1">{#N/A,#N/A,FALSE,"Aging Summary";#N/A,#N/A,FALSE,"Ratio Analysis";#N/A,#N/A,FALSE,"Test 120 Day Accts";#N/A,#N/A,FALSE,"Tickmarks"}</definedName>
    <definedName name="x" localSheetId="17" hidden="1">{#N/A,#N/A,FALSE,"Aging Summary";#N/A,#N/A,FALSE,"Ratio Analysis";#N/A,#N/A,FALSE,"Test 120 Day Accts";#N/A,#N/A,FALSE,"Tickmarks"}</definedName>
    <definedName name="x" localSheetId="40" hidden="1">{#N/A,#N/A,FALSE,"Aging Summary";#N/A,#N/A,FALSE,"Ratio Analysis";#N/A,#N/A,FALSE,"Test 120 Day Accts";#N/A,#N/A,FALSE,"Tickmarks"}</definedName>
    <definedName name="x" localSheetId="39" hidden="1">{#N/A,#N/A,FALSE,"Aging Summary";#N/A,#N/A,FALSE,"Ratio Analysis";#N/A,#N/A,FALSE,"Test 120 Day Accts";#N/A,#N/A,FALSE,"Tickmarks"}</definedName>
    <definedName name="x">[39]DEP_CO!#REF!</definedName>
    <definedName name="x___0">#N/A</definedName>
    <definedName name="x___1">#N/A</definedName>
    <definedName name="XAxis">#REF!</definedName>
    <definedName name="xc">[242]Company!$J$16</definedName>
    <definedName name="xchart1" hidden="1">#REF!</definedName>
    <definedName name="xchart2" hidden="1">#REF!</definedName>
    <definedName name="xchart3" hidden="1">#REF!</definedName>
    <definedName name="xchart4" hidden="1">#REF!</definedName>
    <definedName name="xchart5" hidden="1">#REF!</definedName>
    <definedName name="xde">#REF!</definedName>
    <definedName name="XFDG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xrate">[243]Inputs!$L$22</definedName>
    <definedName name="xrate_switch">#REF!</definedName>
    <definedName name="XRefColumnsCount" hidden="1">14</definedName>
    <definedName name="XRefCopyRangeCount" hidden="1">25</definedName>
    <definedName name="XRefPaste23" hidden="1">[228]lead!#REF!</definedName>
    <definedName name="XRefPaste23Row" hidden="1">'[228]Section conclusion'!#REF!</definedName>
    <definedName name="XRefPasteRangeCount" hidden="1">23</definedName>
    <definedName name="XWW">#N/A</definedName>
    <definedName name="xx">'[156]PBZ - DEVISE LOCALE'!#REF!</definedName>
    <definedName name="xxx" localSheetId="18" hidden="1">{#N/A,#N/A,FALSE,"RECAP Note Global";#N/A,#N/A,FALSE,"RECAP Note France";#N/A,#N/A,FALSE,"RECAP Note étranger";#N/A,#N/A,FALSE,"RECAP Note Zones"}</definedName>
    <definedName name="xxx" localSheetId="12" hidden="1">{#N/A,#N/A,FALSE,"RECAP Note Global";#N/A,#N/A,FALSE,"RECAP Note France";#N/A,#N/A,FALSE,"RECAP Note étranger";#N/A,#N/A,FALSE,"RECAP Note Zones"}</definedName>
    <definedName name="xxx" localSheetId="41" hidden="1">{#N/A,#N/A,FALSE,"RECAP Note Global";#N/A,#N/A,FALSE,"RECAP Note France";#N/A,#N/A,FALSE,"RECAP Note étranger";#N/A,#N/A,FALSE,"RECAP Note Zones"}</definedName>
    <definedName name="xxx" localSheetId="42" hidden="1">{#N/A,#N/A,FALSE,"RECAP Note Global";#N/A,#N/A,FALSE,"RECAP Note France";#N/A,#N/A,FALSE,"RECAP Note étranger";#N/A,#N/A,FALSE,"RECAP Note Zones"}</definedName>
    <definedName name="xxx" localSheetId="17" hidden="1">{#N/A,#N/A,FALSE,"RECAP Note Global";#N/A,#N/A,FALSE,"RECAP Note France";#N/A,#N/A,FALSE,"RECAP Note étranger";#N/A,#N/A,FALSE,"RECAP Note Zones"}</definedName>
    <definedName name="xxx" localSheetId="40" hidden="1">{#N/A,#N/A,FALSE,"RECAP Note Global";#N/A,#N/A,FALSE,"RECAP Note France";#N/A,#N/A,FALSE,"RECAP Note étranger";#N/A,#N/A,FALSE,"RECAP Note Zones"}</definedName>
    <definedName name="xxx" localSheetId="39" hidden="1">{#N/A,#N/A,FALSE,"RECAP Note Global";#N/A,#N/A,FALSE,"RECAP Note France";#N/A,#N/A,FALSE,"RECAP Note étranger";#N/A,#N/A,FALSE,"RECAP Note Zones"}</definedName>
    <definedName name="xxx">[244]Sheet1!#REF!</definedName>
    <definedName name="xxx1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xx" hidden="1">{#N/A,#N/A,FALSE,"Calc";#N/A,#N/A,FALSE,"Sensitivity";#N/A,#N/A,FALSE,"LT Earn.Dil.";#N/A,#N/A,FALSE,"Dil. AVP"}</definedName>
    <definedName name="xxxxxxxxxxx">#REF!</definedName>
    <definedName name="xyz">#REF!</definedName>
    <definedName name="y" hidden="1">{"'Customer Support Trends'!$A$1:$AB$13"}</definedName>
    <definedName name="YAxis">#REF!</definedName>
    <definedName name="ycvb" hidden="1">{#N/A,#N/A,FALSE,"Production 1"}</definedName>
    <definedName name="year">#REF!</definedName>
    <definedName name="YearEnd">#REF!</definedName>
    <definedName name="Years">[76]Data!$2:$2</definedName>
    <definedName name="YearStart1">#REF!</definedName>
    <definedName name="YearStart2">#REF!</definedName>
    <definedName name="YearStart3">#REF!</definedName>
    <definedName name="YearStart4">#REF!</definedName>
    <definedName name="YearStart5">#REF!</definedName>
    <definedName name="YearStart6">#REF!</definedName>
    <definedName name="YearStart7">#REF!</definedName>
    <definedName name="YearType">[76]Data!$1:$1</definedName>
    <definedName name="yes1">[150]Input!$B$162</definedName>
    <definedName name="yes10">[150]Input!$K$162</definedName>
    <definedName name="yes2">[150]Input!$C$162</definedName>
    <definedName name="yes3">[150]Input!$D$162</definedName>
    <definedName name="yes4">[150]Input!$E$162</definedName>
    <definedName name="yes5">[150]Input!$F$162</definedName>
    <definedName name="yes6">[150]Input!$G$162</definedName>
    <definedName name="yes7">[150]Input!$H$162</definedName>
    <definedName name="yes8">[150]Input!$I$162</definedName>
    <definedName name="yes9">[150]Input!$J$162</definedName>
    <definedName name="YesNo">'[195]Lists&amp;Param'!$B$14:$B$15</definedName>
    <definedName name="yForeignDebt">#REF!</definedName>
    <definedName name="yhn" hidden="1">{#N/A,#N/A,FALSE,"Model";#N/A,#N/A,FALSE,"Division"}</definedName>
    <definedName name="yhu">#REF!</definedName>
    <definedName name="yLTDebt">#REF!</definedName>
    <definedName name="YTD">#REF!</definedName>
    <definedName name="ytytyt" hidden="1">{"mgmt forecast",#N/A,FALSE,"Mgmt Forecast";"dcf table",#N/A,FALSE,"Mgmt Forecast";"sensitivity",#N/A,FALSE,"Mgmt Forecast";"table inputs",#N/A,FALSE,"Mgmt Forecast";"calculations",#N/A,FALSE,"Mgmt Forecast"}</definedName>
    <definedName name="yuj">#REF!</definedName>
    <definedName name="yxxx" hidden="1">{"page1",#N/A,FALSE,"Feuil1";"page2",#N/A,FALSE,"Feuil1";"page3",#N/A,FALSE,"Feuil1";"page4",#N/A,FALSE,"Feuil1"}</definedName>
    <definedName name="yy" hidden="1">{"consolidated",#N/A,FALSE,"Sheet1";"cms",#N/A,FALSE,"Sheet1";"fse",#N/A,FALSE,"Sheet1"}</definedName>
    <definedName name="z" hidden="1">{"'Customer Support Trends'!$A$1:$AB$13"}</definedName>
    <definedName name="Z_0F549953_F146_487D_A764_2CAF5660D0E8_.wvu.Rows" hidden="1">#REF!,#REF!</definedName>
    <definedName name="Z_F427A64C_FE10_44C0_967F_4CBEA5B447DC_.wvu.Cols" hidden="1">[245]March!$D$1:$G$65536,[245]March!#REF!,[245]March!$AX$1:$AX$65536,[245]March!$AZ$1:$BC$65536,[245]March!$BA$1:$BA$65536,[245]March!$AV$1:$AV$65536,[245]March!$BF$1:$BF$65536,[245]March!$BJ$1:$BJ$65536</definedName>
    <definedName name="Z_FBC186E6_458F_491F_B373_517B3CE2AAE4_.wvu.Cols" localSheetId="35" hidden="1">Automation!#REF!</definedName>
    <definedName name="Z_FBC186E6_458F_491F_B373_517B3CE2AAE4_.wvu.Cols" localSheetId="33" hidden="1">'CF Working'!#REF!</definedName>
    <definedName name="Z_FBC186E6_458F_491F_B373_517B3CE2AAE4_.wvu.Cols" localSheetId="36" hidden="1">'Existing UGRs'!#REF!</definedName>
    <definedName name="Z_FBC186E6_458F_491F_B373_517B3CE2AAE4_.wvu.Cols" localSheetId="37" hidden="1">'New UGRs'!#REF!</definedName>
    <definedName name="Z_FBC186E6_458F_491F_B373_517B3CE2AAE4_.wvu.Cols" localSheetId="32" hidden="1">'Work CF'!#REF!</definedName>
    <definedName name="Z_FBC186E6_458F_491F_B373_517B3CE2AAE4_.wvu.Cols" localSheetId="31" hidden="1">'Work Schedule'!#REF!</definedName>
    <definedName name="Z_FBC186E6_458F_491F_B373_517B3CE2AAE4_.wvu.Cols" localSheetId="34" hidden="1">'Works Working'!#REF!</definedName>
    <definedName name="Z_FBC186E6_458F_491F_B373_517B3CE2AAE4_.wvu.Cols" localSheetId="38" hidden="1">WTP!#REF!</definedName>
    <definedName name="Z_FBC186E6_458F_491F_B373_517B3CE2AAE4_.wvu.FilterData" localSheetId="35" hidden="1">Automation!$A$1:$M$5</definedName>
    <definedName name="Z_FBC186E6_458F_491F_B373_517B3CE2AAE4_.wvu.FilterData" localSheetId="36" hidden="1">'Existing UGRs'!$A$1:$M$13</definedName>
    <definedName name="Z_FBC186E6_458F_491F_B373_517B3CE2AAE4_.wvu.FilterData" localSheetId="37" hidden="1">'New UGRs'!$A$1:$N$12</definedName>
    <definedName name="Z_FBC186E6_458F_491F_B373_517B3CE2AAE4_.wvu.FilterData" localSheetId="32" hidden="1">'Work CF'!$A$1:$K$38</definedName>
    <definedName name="Z_FBC186E6_458F_491F_B373_517B3CE2AAE4_.wvu.FilterData" localSheetId="31" hidden="1">'Work Schedule'!$A$1:$K$38</definedName>
    <definedName name="Z_FBC186E6_458F_491F_B373_517B3CE2AAE4_.wvu.FilterData" localSheetId="38" hidden="1">WTP!$A$1:$M$7</definedName>
    <definedName name="za" hidden="1">{#N/A,#N/A,FALSE,"Model";#N/A,#N/A,FALSE,"Division"}</definedName>
    <definedName name="zaCQW" hidden="1">{"turnover",#N/A,FALSE;"profits",#N/A,FALSE;"cash",#N/A,FALSE}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ero">0</definedName>
    <definedName name="zgcttt" hidden="1">{"assets",#N/A,FALSE,"CONS9703";"liab",#N/A,FALSE,"CONS9703";"pl",#N/A,FALSE,"CONS9703"}</definedName>
    <definedName name="zgjc" hidden="1">{#N/A,#N/A,FALSE,"BS9703PET";#N/A,#N/A,FALSE,"BS9703KNE";#N/A,#N/A,FALSE,"BS9703KRP";#N/A,#N/A,FALSE,"BS9703POL"}</definedName>
    <definedName name="zidduz" hidden="1">{"page1",#N/A,FALSE,"Feuil1";"page2",#N/A,FALSE,"Feuil1";"page3",#N/A,FALSE,"Feuil1";"page4",#N/A,FALSE,"Feuil1"}</definedName>
    <definedName name="zj" hidden="1">{"assets",#N/A,FALSE,"CONS9703";"liab",#N/A,FALSE,"CONS9703";"pl",#N/A,FALSE,"CONS9703"}</definedName>
    <definedName name="Zone_d_impression_EFNcarat" localSheetId="41">#REF!,#REF!,#REF!</definedName>
    <definedName name="Zone_d_impression_EFNcarat" localSheetId="42">#REF!,#REF!,#REF!</definedName>
    <definedName name="Zone_d_impression_EFNcarat">#REF!,#REF!,#REF!</definedName>
    <definedName name="Zone_d_impression_EFNretraite" localSheetId="41">#REF!,#REF!,#REF!</definedName>
    <definedName name="Zone_d_impression_EFNretraite" localSheetId="42">#REF!,#REF!,#REF!</definedName>
    <definedName name="Zone_d_impression_EFNretraite">#REF!,#REF!,#REF!</definedName>
    <definedName name="Zone_d_impression_RetraitEFN" localSheetId="41">#REF!,#REF!,#REF!</definedName>
    <definedName name="Zone_d_impression_RetraitEFN" localSheetId="42">#REF!,#REF!,#REF!</definedName>
    <definedName name="Zone_d_impression_RetraitEFN">#REF!,#REF!,#REF!</definedName>
    <definedName name="Zoning_Scheme">#REF!</definedName>
    <definedName name="ztrus" hidden="1">{#N/A,#N/A,FALSE,"Production 1"}</definedName>
    <definedName name="zuifdh" hidden="1">{"assets",#N/A,FALSE,"CONS9703";"liab",#N/A,FALSE,"CONS9703";"pl",#N/A,FALSE,"CONS9703"}</definedName>
    <definedName name="zuk" hidden="1">{"page1",#N/A,FALSE,"Feuil1";"page2",#N/A,FALSE,"Feuil1";"page3",#N/A,FALSE,"Feuil1";"page4",#N/A,FALSE,"Feuil1"}</definedName>
    <definedName name="zuoddu" hidden="1">{"page1",#N/A,FALSE,"Feuil1";"page2",#N/A,FALSE,"Feuil1";"page3",#N/A,FALSE,"Feuil1";"page4",#N/A,FALSE,"Feuil1"}</definedName>
    <definedName name="zuss">#REF!</definedName>
    <definedName name="zz">[246]PRJINT!#REF!</definedName>
    <definedName name="zzz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zzzzzz">[54]secu!#REF!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46" l="1"/>
  <c r="C11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AU12" i="45"/>
  <c r="AV12" i="45"/>
  <c r="AW12" i="45"/>
  <c r="AX12" i="45"/>
  <c r="AY12" i="45"/>
  <c r="AT12" i="45"/>
  <c r="C26" i="75" l="1"/>
  <c r="P45" i="75"/>
  <c r="P43" i="75"/>
  <c r="P44" i="75"/>
  <c r="AU12" i="53" l="1"/>
  <c r="AV12" i="53" s="1"/>
  <c r="R67" i="46"/>
  <c r="S67" i="46"/>
  <c r="T67" i="46"/>
  <c r="U67" i="46"/>
  <c r="V67" i="46"/>
  <c r="P64" i="46"/>
  <c r="C33" i="75"/>
  <c r="F54" i="75" l="1"/>
  <c r="F48" i="75"/>
  <c r="F46" i="75"/>
  <c r="F76" i="75"/>
  <c r="F64" i="75"/>
  <c r="F55" i="75"/>
  <c r="F75" i="75"/>
  <c r="F65" i="75"/>
  <c r="F66" i="75" s="1"/>
  <c r="F56" i="75" l="1"/>
  <c r="F57" i="75" s="1"/>
  <c r="F58" i="75" l="1"/>
  <c r="F47" i="75" s="1"/>
  <c r="F45" i="75"/>
  <c r="F49" i="75" s="1"/>
  <c r="M46" i="75" s="1"/>
  <c r="M47" i="75" s="1"/>
  <c r="C32" i="75" l="1"/>
  <c r="E23" i="75"/>
  <c r="F23" i="75" s="1"/>
  <c r="G23" i="75" s="1"/>
  <c r="H23" i="75" s="1"/>
  <c r="D23" i="75"/>
  <c r="C23" i="75"/>
  <c r="C24" i="75" l="1"/>
  <c r="H24" i="75"/>
  <c r="G19" i="75"/>
  <c r="H19" i="75" s="1"/>
  <c r="F19" i="75"/>
  <c r="D19" i="75"/>
  <c r="C19" i="75"/>
  <c r="G24" i="75" l="1"/>
  <c r="F24" i="75"/>
  <c r="E24" i="75"/>
  <c r="D24" i="75"/>
  <c r="F8" i="75"/>
  <c r="G8" i="75" s="1"/>
  <c r="E8" i="75"/>
  <c r="E5" i="75"/>
  <c r="F5" i="75" s="1"/>
  <c r="G5" i="75" s="1"/>
  <c r="H5" i="75" s="1"/>
  <c r="D5" i="75"/>
  <c r="E6" i="75"/>
  <c r="F6" i="75" s="1"/>
  <c r="G6" i="75" s="1"/>
  <c r="H6" i="75" s="1"/>
  <c r="C6" i="75"/>
  <c r="D6" i="75" s="1"/>
  <c r="O29" i="74" l="1"/>
  <c r="D29" i="74"/>
  <c r="E29" i="74" s="1"/>
  <c r="F29" i="74" s="1"/>
  <c r="G29" i="74" s="1"/>
  <c r="H29" i="74" s="1"/>
  <c r="I29" i="74" s="1"/>
  <c r="J29" i="74" s="1"/>
  <c r="K29" i="74" s="1"/>
  <c r="L29" i="74" s="1"/>
  <c r="M29" i="74" s="1"/>
  <c r="N29" i="74" s="1"/>
  <c r="P29" i="74"/>
  <c r="P4" i="74"/>
  <c r="P3" i="74"/>
  <c r="P14" i="74" s="1"/>
  <c r="P31" i="74"/>
  <c r="O31" i="74"/>
  <c r="N31" i="74"/>
  <c r="M31" i="74"/>
  <c r="L31" i="74"/>
  <c r="K31" i="74"/>
  <c r="J31" i="74"/>
  <c r="I31" i="74"/>
  <c r="H31" i="74"/>
  <c r="G31" i="74"/>
  <c r="F31" i="74"/>
  <c r="E31" i="74"/>
  <c r="D31" i="74"/>
  <c r="C31" i="74"/>
  <c r="B31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B28" i="74"/>
  <c r="E2" i="74"/>
  <c r="C2" i="74"/>
  <c r="B13" i="74"/>
  <c r="B22" i="74" s="1"/>
  <c r="S23" i="74"/>
  <c r="BA16" i="52"/>
  <c r="BB16" i="52" s="1"/>
  <c r="BC16" i="52" s="1"/>
  <c r="BD16" i="52" s="1"/>
  <c r="BE16" i="52" s="1"/>
  <c r="BF16" i="52" s="1"/>
  <c r="BG16" i="52" s="1"/>
  <c r="BH16" i="52" s="1"/>
  <c r="BI16" i="52" s="1"/>
  <c r="BJ16" i="52" s="1"/>
  <c r="AZ16" i="52"/>
  <c r="BA13" i="52"/>
  <c r="BB13" i="52" s="1"/>
  <c r="BC13" i="52" s="1"/>
  <c r="BD13" i="52" s="1"/>
  <c r="BE13" i="52" s="1"/>
  <c r="BF13" i="52" s="1"/>
  <c r="BG13" i="52" s="1"/>
  <c r="BH13" i="52" s="1"/>
  <c r="BI13" i="52" s="1"/>
  <c r="BJ13" i="52" s="1"/>
  <c r="AZ13" i="52"/>
  <c r="C14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C15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C16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C17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C18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C19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B19" i="74"/>
  <c r="B18" i="74"/>
  <c r="B17" i="74"/>
  <c r="B16" i="74"/>
  <c r="B15" i="74"/>
  <c r="B14" i="74"/>
  <c r="D2" i="74"/>
  <c r="P9" i="74"/>
  <c r="N9" i="74"/>
  <c r="L9" i="74"/>
  <c r="J9" i="74"/>
  <c r="H9" i="74"/>
  <c r="F9" i="74"/>
  <c r="D9" i="74"/>
  <c r="B9" i="74"/>
  <c r="O9" i="74"/>
  <c r="M9" i="74"/>
  <c r="K9" i="74"/>
  <c r="I9" i="74"/>
  <c r="G9" i="74"/>
  <c r="E9" i="74"/>
  <c r="C9" i="74"/>
  <c r="CY16" i="54"/>
  <c r="CX16" i="54"/>
  <c r="CW16" i="54"/>
  <c r="CV16" i="54"/>
  <c r="CU16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F16" i="54"/>
  <c r="CE16" i="54"/>
  <c r="CD16" i="54"/>
  <c r="CC16" i="54"/>
  <c r="CB16" i="54"/>
  <c r="CA16" i="54"/>
  <c r="BZ16" i="54"/>
  <c r="BY16" i="54"/>
  <c r="BX16" i="54"/>
  <c r="BW16" i="54"/>
  <c r="BV16" i="54"/>
  <c r="BU16" i="54"/>
  <c r="BT16" i="54"/>
  <c r="BS16" i="54"/>
  <c r="BR16" i="54"/>
  <c r="BQ16" i="54"/>
  <c r="BP16" i="54"/>
  <c r="BO16" i="54"/>
  <c r="BN16" i="54"/>
  <c r="BM16" i="54"/>
  <c r="BL16" i="54"/>
  <c r="BK16" i="54"/>
  <c r="BJ16" i="54"/>
  <c r="BI16" i="54"/>
  <c r="BH16" i="54"/>
  <c r="BG16" i="54"/>
  <c r="BF16" i="54"/>
  <c r="BE16" i="54"/>
  <c r="BD16" i="54"/>
  <c r="BC16" i="54"/>
  <c r="BB16" i="54"/>
  <c r="C13" i="4"/>
  <c r="C28" i="13"/>
  <c r="C27" i="13"/>
  <c r="G16" i="13"/>
  <c r="H16" i="13" s="1"/>
  <c r="I16" i="13" s="1"/>
  <c r="F15" i="13"/>
  <c r="G15" i="13" s="1"/>
  <c r="H15" i="13" s="1"/>
  <c r="I15" i="13" s="1"/>
  <c r="E15" i="13"/>
  <c r="F13" i="13"/>
  <c r="G13" i="13" s="1"/>
  <c r="H13" i="13" s="1"/>
  <c r="I13" i="13" s="1"/>
  <c r="E13" i="13"/>
  <c r="L14" i="46"/>
  <c r="R17" i="46"/>
  <c r="R9" i="46"/>
  <c r="L5" i="46"/>
  <c r="L7" i="46"/>
  <c r="L8" i="46"/>
  <c r="E17" i="4"/>
  <c r="D7" i="13"/>
  <c r="G42" i="5"/>
  <c r="C38" i="5"/>
  <c r="C37" i="5"/>
  <c r="C36" i="5"/>
  <c r="G36" i="5" s="1"/>
  <c r="C35" i="5"/>
  <c r="C34" i="5"/>
  <c r="C32" i="5"/>
  <c r="G32" i="5" s="1"/>
  <c r="C29" i="5"/>
  <c r="G29" i="5" s="1"/>
  <c r="B29" i="5"/>
  <c r="C30" i="5"/>
  <c r="C25" i="5"/>
  <c r="G25" i="5" s="1"/>
  <c r="C24" i="5"/>
  <c r="G24" i="5" s="1"/>
  <c r="C23" i="5"/>
  <c r="C22" i="5"/>
  <c r="C20" i="5"/>
  <c r="C17" i="5"/>
  <c r="C16" i="5"/>
  <c r="C15" i="5"/>
  <c r="B16" i="5"/>
  <c r="B15" i="5"/>
  <c r="B14" i="5"/>
  <c r="C12" i="5"/>
  <c r="G43" i="11"/>
  <c r="F43" i="11"/>
  <c r="F45" i="11"/>
  <c r="G45" i="11"/>
  <c r="F39" i="11"/>
  <c r="G39" i="11"/>
  <c r="F36" i="11"/>
  <c r="G36" i="11"/>
  <c r="G31" i="11"/>
  <c r="F31" i="11"/>
  <c r="G18" i="11"/>
  <c r="F18" i="11"/>
  <c r="G10" i="11"/>
  <c r="F10" i="11"/>
  <c r="C8" i="11"/>
  <c r="F16" i="10"/>
  <c r="G16" i="10"/>
  <c r="F10" i="10"/>
  <c r="E10" i="10"/>
  <c r="E19" i="10" s="1"/>
  <c r="D10" i="10"/>
  <c r="C10" i="10"/>
  <c r="C11" i="10" s="1"/>
  <c r="G10" i="10"/>
  <c r="C8" i="10"/>
  <c r="C5" i="5"/>
  <c r="C5" i="6"/>
  <c r="C5" i="4"/>
  <c r="R15" i="73"/>
  <c r="R15" i="72" s="1"/>
  <c r="Q15" i="73"/>
  <c r="P15" i="73"/>
  <c r="P15" i="72" s="1"/>
  <c r="O15" i="73"/>
  <c r="O15" i="72" s="1"/>
  <c r="N15" i="73"/>
  <c r="N15" i="72" s="1"/>
  <c r="M15" i="73"/>
  <c r="L15" i="73"/>
  <c r="K15" i="73"/>
  <c r="R14" i="73"/>
  <c r="Q14" i="73"/>
  <c r="P14" i="73"/>
  <c r="P14" i="72" s="1"/>
  <c r="O14" i="73"/>
  <c r="O14" i="72" s="1"/>
  <c r="N14" i="73"/>
  <c r="N14" i="72" s="1"/>
  <c r="M14" i="73"/>
  <c r="M14" i="72" s="1"/>
  <c r="L14" i="73"/>
  <c r="L14" i="72" s="1"/>
  <c r="K14" i="73"/>
  <c r="J14" i="73"/>
  <c r="R13" i="73"/>
  <c r="Q13" i="73"/>
  <c r="Q13" i="72" s="1"/>
  <c r="P13" i="73"/>
  <c r="P13" i="72" s="1"/>
  <c r="O13" i="73"/>
  <c r="O13" i="72" s="1"/>
  <c r="N13" i="73"/>
  <c r="N13" i="72" s="1"/>
  <c r="M13" i="73"/>
  <c r="L13" i="73"/>
  <c r="L13" i="72" s="1"/>
  <c r="E11" i="73"/>
  <c r="Y8" i="73"/>
  <c r="R7" i="73"/>
  <c r="R16" i="73" s="1"/>
  <c r="R16" i="72" s="1"/>
  <c r="Q7" i="73"/>
  <c r="P7" i="73"/>
  <c r="P16" i="73" s="1"/>
  <c r="P16" i="72" s="1"/>
  <c r="O7" i="73"/>
  <c r="O16" i="73" s="1"/>
  <c r="O16" i="72" s="1"/>
  <c r="N7" i="73"/>
  <c r="N16" i="73" s="1"/>
  <c r="N16" i="72" s="1"/>
  <c r="M7" i="73"/>
  <c r="L7" i="73"/>
  <c r="L16" i="73" s="1"/>
  <c r="L16" i="72" s="1"/>
  <c r="K7" i="73"/>
  <c r="K16" i="73" s="1"/>
  <c r="K16" i="72" s="1"/>
  <c r="J7" i="73"/>
  <c r="J16" i="73" s="1"/>
  <c r="J16" i="72" s="1"/>
  <c r="I7" i="73"/>
  <c r="R6" i="73"/>
  <c r="R6" i="72" s="1"/>
  <c r="Q6" i="73"/>
  <c r="Q6" i="72" s="1"/>
  <c r="P6" i="73"/>
  <c r="O6" i="73"/>
  <c r="O6" i="72" s="1"/>
  <c r="N6" i="73"/>
  <c r="M6" i="73"/>
  <c r="L6" i="73"/>
  <c r="K6" i="73"/>
  <c r="K6" i="72" s="1"/>
  <c r="R5" i="73"/>
  <c r="P5" i="72" s="1"/>
  <c r="Q5" i="73"/>
  <c r="P5" i="73"/>
  <c r="O5" i="73"/>
  <c r="M5" i="72" s="1"/>
  <c r="N5" i="73"/>
  <c r="M5" i="73"/>
  <c r="L5" i="73"/>
  <c r="K5" i="73"/>
  <c r="K5" i="72" s="1"/>
  <c r="J5" i="73"/>
  <c r="R4" i="73"/>
  <c r="R4" i="72" s="1"/>
  <c r="Q4" i="73"/>
  <c r="P4" i="73"/>
  <c r="P4" i="72" s="1"/>
  <c r="O4" i="73"/>
  <c r="O4" i="72" s="1"/>
  <c r="N4" i="73"/>
  <c r="N4" i="72" s="1"/>
  <c r="M4" i="73"/>
  <c r="M4" i="72" s="1"/>
  <c r="L4" i="73"/>
  <c r="L4" i="72" s="1"/>
  <c r="K4" i="73"/>
  <c r="K4" i="72" s="1"/>
  <c r="O2" i="73"/>
  <c r="B17" i="72"/>
  <c r="S16" i="72"/>
  <c r="S15" i="72"/>
  <c r="Q15" i="72"/>
  <c r="M15" i="72"/>
  <c r="L15" i="72"/>
  <c r="K15" i="72"/>
  <c r="S14" i="72"/>
  <c r="R14" i="72"/>
  <c r="Q14" i="72"/>
  <c r="K14" i="72"/>
  <c r="J14" i="72"/>
  <c r="S13" i="72"/>
  <c r="R13" i="72"/>
  <c r="M13" i="72"/>
  <c r="S12" i="72"/>
  <c r="R12" i="72"/>
  <c r="C12" i="72"/>
  <c r="C17" i="72" s="1"/>
  <c r="Q40" i="47" s="1"/>
  <c r="S7" i="72"/>
  <c r="N7" i="72"/>
  <c r="L7" i="72"/>
  <c r="S6" i="72"/>
  <c r="S5" i="72"/>
  <c r="Q5" i="72"/>
  <c r="N5" i="72"/>
  <c r="S4" i="72"/>
  <c r="Q4" i="72"/>
  <c r="S3" i="72"/>
  <c r="R3" i="72"/>
  <c r="Q3" i="72"/>
  <c r="B3" i="72"/>
  <c r="S2" i="72"/>
  <c r="O2" i="72"/>
  <c r="AJ18" i="71"/>
  <c r="AI18" i="71"/>
  <c r="AH18" i="71"/>
  <c r="AG18" i="71"/>
  <c r="AF18" i="71"/>
  <c r="AE18" i="71"/>
  <c r="AD18" i="71"/>
  <c r="AC18" i="71"/>
  <c r="AB18" i="71"/>
  <c r="AA18" i="71"/>
  <c r="Z18" i="71"/>
  <c r="Y18" i="71"/>
  <c r="X18" i="71"/>
  <c r="W18" i="71"/>
  <c r="V18" i="71"/>
  <c r="F18" i="71"/>
  <c r="AJ17" i="71"/>
  <c r="AI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V17" i="71"/>
  <c r="F17" i="71"/>
  <c r="AJ16" i="71"/>
  <c r="AI16" i="71"/>
  <c r="AH16" i="71"/>
  <c r="AG16" i="71"/>
  <c r="AF16" i="71"/>
  <c r="AE16" i="71"/>
  <c r="AD16" i="71"/>
  <c r="AC16" i="71"/>
  <c r="AB16" i="71"/>
  <c r="AA16" i="71"/>
  <c r="Z16" i="71"/>
  <c r="Y16" i="71"/>
  <c r="X16" i="71"/>
  <c r="W16" i="71"/>
  <c r="V16" i="71"/>
  <c r="F16" i="71"/>
  <c r="AJ15" i="71"/>
  <c r="AI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F15" i="71"/>
  <c r="AJ14" i="71"/>
  <c r="AI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F14" i="71"/>
  <c r="AJ13" i="71"/>
  <c r="AI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F13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F12" i="71"/>
  <c r="AJ11" i="71"/>
  <c r="AI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F11" i="71"/>
  <c r="AJ10" i="71"/>
  <c r="AI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F10" i="71"/>
  <c r="AJ9" i="71"/>
  <c r="AI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F9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F8" i="71"/>
  <c r="AJ7" i="71"/>
  <c r="AI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F7" i="71"/>
  <c r="AJ6" i="71"/>
  <c r="AI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F6" i="71"/>
  <c r="AJ5" i="71"/>
  <c r="AI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V5" i="71"/>
  <c r="F5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V4" i="71"/>
  <c r="F4" i="71"/>
  <c r="AJ3" i="71"/>
  <c r="AI3" i="71"/>
  <c r="AH3" i="71"/>
  <c r="AG3" i="71"/>
  <c r="AF3" i="71"/>
  <c r="AE3" i="71"/>
  <c r="AD3" i="71"/>
  <c r="AC3" i="71"/>
  <c r="AB3" i="71"/>
  <c r="AA3" i="71"/>
  <c r="Z3" i="71"/>
  <c r="Y3" i="71"/>
  <c r="X3" i="71"/>
  <c r="W3" i="71"/>
  <c r="V3" i="71"/>
  <c r="F3" i="71"/>
  <c r="AJ2" i="71"/>
  <c r="R2" i="73" s="1"/>
  <c r="R2" i="72" s="1"/>
  <c r="AI2" i="71"/>
  <c r="Q2" i="73" s="1"/>
  <c r="AH2" i="71"/>
  <c r="P2" i="73" s="1"/>
  <c r="AG2" i="71"/>
  <c r="AF2" i="71"/>
  <c r="N2" i="73" s="1"/>
  <c r="N2" i="72" s="1"/>
  <c r="AE2" i="71"/>
  <c r="M2" i="73" s="1"/>
  <c r="AD2" i="71"/>
  <c r="L2" i="73" s="1"/>
  <c r="AC2" i="71"/>
  <c r="K2" i="73" s="1"/>
  <c r="AB2" i="71"/>
  <c r="J2" i="73" s="1"/>
  <c r="J2" i="72" s="1"/>
  <c r="AA2" i="71"/>
  <c r="I2" i="73" s="1"/>
  <c r="Z2" i="71"/>
  <c r="H2" i="73" s="1"/>
  <c r="Y2" i="71"/>
  <c r="G2" i="73" s="1"/>
  <c r="X2" i="71"/>
  <c r="F2" i="73" s="1"/>
  <c r="F2" i="72" s="1"/>
  <c r="W2" i="71"/>
  <c r="E2" i="73" s="1"/>
  <c r="V2" i="71"/>
  <c r="D2" i="73" s="1"/>
  <c r="F2" i="71"/>
  <c r="AJ19" i="70"/>
  <c r="AI19" i="70"/>
  <c r="AH19" i="70"/>
  <c r="AG19" i="70"/>
  <c r="AF19" i="70"/>
  <c r="AE19" i="70"/>
  <c r="AD19" i="70"/>
  <c r="AC19" i="70"/>
  <c r="AB19" i="70"/>
  <c r="AA19" i="70"/>
  <c r="Z19" i="70"/>
  <c r="Y19" i="70"/>
  <c r="X19" i="70"/>
  <c r="W19" i="70"/>
  <c r="V19" i="70"/>
  <c r="F19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V18" i="70"/>
  <c r="F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F17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V16" i="70"/>
  <c r="F16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V15" i="70"/>
  <c r="F15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F14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F13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F12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F11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F10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F9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F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F7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F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F5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V4" i="70"/>
  <c r="F4" i="70"/>
  <c r="AJ3" i="70"/>
  <c r="AI3" i="70"/>
  <c r="AH3" i="70"/>
  <c r="AG3" i="70"/>
  <c r="AF3" i="70"/>
  <c r="AE3" i="70"/>
  <c r="AD3" i="70"/>
  <c r="AC3" i="70"/>
  <c r="AB3" i="70"/>
  <c r="AA3" i="70"/>
  <c r="Z3" i="70"/>
  <c r="Y3" i="70"/>
  <c r="X3" i="70"/>
  <c r="W3" i="70"/>
  <c r="V3" i="70"/>
  <c r="F3" i="70"/>
  <c r="AJ2" i="70"/>
  <c r="R11" i="73" s="1"/>
  <c r="AI2" i="70"/>
  <c r="Q11" i="73" s="1"/>
  <c r="AH2" i="70"/>
  <c r="P11" i="73" s="1"/>
  <c r="Q11" i="72" s="1"/>
  <c r="AG2" i="70"/>
  <c r="O11" i="73" s="1"/>
  <c r="AF2" i="70"/>
  <c r="N11" i="73" s="1"/>
  <c r="AE2" i="70"/>
  <c r="M11" i="73" s="1"/>
  <c r="AD2" i="70"/>
  <c r="L11" i="73" s="1"/>
  <c r="M11" i="72" s="1"/>
  <c r="AC2" i="70"/>
  <c r="K11" i="73" s="1"/>
  <c r="AB2" i="70"/>
  <c r="J11" i="73" s="1"/>
  <c r="AA2" i="70"/>
  <c r="I11" i="73" s="1"/>
  <c r="J11" i="72" s="1"/>
  <c r="Z2" i="70"/>
  <c r="H11" i="73" s="1"/>
  <c r="I11" i="72" s="1"/>
  <c r="Y2" i="70"/>
  <c r="G11" i="73" s="1"/>
  <c r="X2" i="70"/>
  <c r="F11" i="73" s="1"/>
  <c r="W2" i="70"/>
  <c r="V2" i="70"/>
  <c r="D11" i="73" s="1"/>
  <c r="E11" i="72" s="1"/>
  <c r="F2" i="70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V14" i="69"/>
  <c r="U14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V13" i="69"/>
  <c r="U13" i="69"/>
  <c r="F13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V12" i="69"/>
  <c r="U12" i="69"/>
  <c r="F12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V11" i="69"/>
  <c r="U11" i="69"/>
  <c r="F11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V10" i="69"/>
  <c r="U10" i="69"/>
  <c r="F10" i="69"/>
  <c r="AH9" i="69"/>
  <c r="AG9" i="69"/>
  <c r="AF9" i="69"/>
  <c r="AE9" i="69"/>
  <c r="AD9" i="69"/>
  <c r="AC9" i="69"/>
  <c r="AB9" i="69"/>
  <c r="AA9" i="69"/>
  <c r="Z9" i="69"/>
  <c r="X9" i="69"/>
  <c r="W9" i="69"/>
  <c r="V9" i="69"/>
  <c r="M9" i="69"/>
  <c r="K9" i="69"/>
  <c r="Y9" i="69" s="1"/>
  <c r="I9" i="69"/>
  <c r="G9" i="69"/>
  <c r="U9" i="69" s="1"/>
  <c r="F9" i="69"/>
  <c r="AH8" i="69"/>
  <c r="AG8" i="69"/>
  <c r="AF8" i="69"/>
  <c r="AE8" i="69"/>
  <c r="AD8" i="69"/>
  <c r="AC8" i="69"/>
  <c r="AB8" i="69"/>
  <c r="AA8" i="69"/>
  <c r="Z8" i="69"/>
  <c r="Y8" i="69"/>
  <c r="X8" i="69"/>
  <c r="W8" i="69"/>
  <c r="V8" i="69"/>
  <c r="U8" i="69"/>
  <c r="I8" i="69"/>
  <c r="F8" i="69"/>
  <c r="AH7" i="69"/>
  <c r="AG7" i="69"/>
  <c r="AF7" i="69"/>
  <c r="AE7" i="69"/>
  <c r="AD7" i="69"/>
  <c r="AC7" i="69"/>
  <c r="AB7" i="69"/>
  <c r="AA7" i="69"/>
  <c r="Z7" i="69"/>
  <c r="Y7" i="69"/>
  <c r="X7" i="69"/>
  <c r="W7" i="69"/>
  <c r="V7" i="69"/>
  <c r="U7" i="69"/>
  <c r="F7" i="69"/>
  <c r="AH6" i="69"/>
  <c r="AG6" i="69"/>
  <c r="Q3" i="73" s="1"/>
  <c r="O3" i="72" s="1"/>
  <c r="AF6" i="69"/>
  <c r="AE6" i="69"/>
  <c r="AD6" i="69"/>
  <c r="AC6" i="69"/>
  <c r="AB6" i="69"/>
  <c r="AA6" i="69"/>
  <c r="Z6" i="69"/>
  <c r="Y6" i="69"/>
  <c r="X6" i="69"/>
  <c r="W6" i="69"/>
  <c r="V6" i="69"/>
  <c r="U6" i="69"/>
  <c r="F6" i="69"/>
  <c r="AH5" i="69"/>
  <c r="AG5" i="69"/>
  <c r="AF5" i="69"/>
  <c r="AE5" i="69"/>
  <c r="AD5" i="69"/>
  <c r="AC5" i="69"/>
  <c r="AB5" i="69"/>
  <c r="AA5" i="69"/>
  <c r="Z5" i="69"/>
  <c r="Y5" i="69"/>
  <c r="X5" i="69"/>
  <c r="W5" i="69"/>
  <c r="V5" i="69"/>
  <c r="U5" i="69"/>
  <c r="F5" i="69"/>
  <c r="AH4" i="69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M4" i="69"/>
  <c r="F4" i="69"/>
  <c r="AH3" i="69"/>
  <c r="AG3" i="69"/>
  <c r="AF3" i="69"/>
  <c r="AE3" i="69"/>
  <c r="AD3" i="69"/>
  <c r="AC3" i="69"/>
  <c r="AB3" i="69"/>
  <c r="AA3" i="69"/>
  <c r="Z3" i="69"/>
  <c r="Y3" i="69"/>
  <c r="X3" i="69"/>
  <c r="W3" i="69"/>
  <c r="V3" i="69"/>
  <c r="U3" i="69"/>
  <c r="F3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F2" i="69"/>
  <c r="AH9" i="68"/>
  <c r="AG9" i="68"/>
  <c r="AF9" i="68"/>
  <c r="AE9" i="68"/>
  <c r="AD9" i="68"/>
  <c r="AC9" i="68"/>
  <c r="AB9" i="68"/>
  <c r="Z9" i="68"/>
  <c r="Y9" i="68"/>
  <c r="X9" i="68"/>
  <c r="V9" i="68"/>
  <c r="M9" i="68"/>
  <c r="AA9" i="68" s="1"/>
  <c r="K9" i="68"/>
  <c r="I9" i="68"/>
  <c r="W9" i="68" s="1"/>
  <c r="G9" i="68"/>
  <c r="U9" i="68" s="1"/>
  <c r="F9" i="68"/>
  <c r="AH8" i="68"/>
  <c r="AG8" i="68"/>
  <c r="AF8" i="68"/>
  <c r="AE8" i="68"/>
  <c r="AD8" i="68"/>
  <c r="AC8" i="68"/>
  <c r="AB8" i="68"/>
  <c r="AA8" i="68"/>
  <c r="Z8" i="68"/>
  <c r="Y8" i="68"/>
  <c r="X8" i="68"/>
  <c r="V8" i="68"/>
  <c r="U8" i="68"/>
  <c r="I8" i="68"/>
  <c r="W8" i="68" s="1"/>
  <c r="F8" i="68"/>
  <c r="AH7" i="68"/>
  <c r="AG7" i="68"/>
  <c r="AF7" i="68"/>
  <c r="AE7" i="68"/>
  <c r="AD7" i="68"/>
  <c r="AC7" i="68"/>
  <c r="AB7" i="68"/>
  <c r="AA7" i="68"/>
  <c r="Z7" i="68"/>
  <c r="Y7" i="68"/>
  <c r="W7" i="68"/>
  <c r="V7" i="68"/>
  <c r="U7" i="68"/>
  <c r="J7" i="68"/>
  <c r="X7" i="68" s="1"/>
  <c r="F7" i="68"/>
  <c r="AH6" i="68"/>
  <c r="AG6" i="68"/>
  <c r="AF6" i="68"/>
  <c r="AE6" i="68"/>
  <c r="AD6" i="68"/>
  <c r="AC6" i="68"/>
  <c r="AB6" i="68"/>
  <c r="AA6" i="68"/>
  <c r="Z6" i="68"/>
  <c r="Y6" i="68"/>
  <c r="W6" i="68"/>
  <c r="U6" i="68"/>
  <c r="J6" i="68"/>
  <c r="X6" i="68" s="1"/>
  <c r="H6" i="68"/>
  <c r="V6" i="68" s="1"/>
  <c r="F6" i="68"/>
  <c r="AH5" i="68"/>
  <c r="AG5" i="68"/>
  <c r="AF5" i="68"/>
  <c r="AE5" i="68"/>
  <c r="AD5" i="68"/>
  <c r="AC5" i="68"/>
  <c r="AB5" i="68"/>
  <c r="AA5" i="68"/>
  <c r="Z5" i="68"/>
  <c r="Y5" i="68"/>
  <c r="X5" i="68"/>
  <c r="V5" i="68"/>
  <c r="U5" i="68"/>
  <c r="I5" i="68"/>
  <c r="W5" i="68" s="1"/>
  <c r="G12" i="73" s="1"/>
  <c r="F12" i="72" s="1"/>
  <c r="F5" i="68"/>
  <c r="AH4" i="68"/>
  <c r="AG4" i="68"/>
  <c r="AF4" i="68"/>
  <c r="AE4" i="68"/>
  <c r="AD4" i="68"/>
  <c r="AC4" i="68"/>
  <c r="AB4" i="68"/>
  <c r="Z4" i="68"/>
  <c r="Y4" i="68"/>
  <c r="X4" i="68"/>
  <c r="W4" i="68"/>
  <c r="V4" i="68"/>
  <c r="U4" i="68"/>
  <c r="M4" i="68"/>
  <c r="AA4" i="68" s="1"/>
  <c r="F4" i="68"/>
  <c r="AH3" i="68"/>
  <c r="AG3" i="68"/>
  <c r="AF3" i="68"/>
  <c r="AE3" i="68"/>
  <c r="AD3" i="68"/>
  <c r="AC3" i="68"/>
  <c r="AB3" i="68"/>
  <c r="AA3" i="68"/>
  <c r="Z3" i="68"/>
  <c r="Y3" i="68"/>
  <c r="X3" i="68"/>
  <c r="W3" i="68"/>
  <c r="V3" i="68"/>
  <c r="U3" i="68"/>
  <c r="F3" i="68"/>
  <c r="AH2" i="68"/>
  <c r="AG2" i="68"/>
  <c r="AF2" i="68"/>
  <c r="P12" i="73" s="1"/>
  <c r="O12" i="72" s="1"/>
  <c r="AE2" i="68"/>
  <c r="O12" i="73" s="1"/>
  <c r="N12" i="72" s="1"/>
  <c r="AD2" i="68"/>
  <c r="AC2" i="68"/>
  <c r="AB2" i="68"/>
  <c r="L12" i="73" s="1"/>
  <c r="K12" i="72" s="1"/>
  <c r="AA2" i="68"/>
  <c r="K12" i="73" s="1"/>
  <c r="J12" i="72" s="1"/>
  <c r="Z2" i="68"/>
  <c r="Y2" i="68"/>
  <c r="X2" i="68"/>
  <c r="W2" i="68"/>
  <c r="V2" i="68"/>
  <c r="U2" i="68"/>
  <c r="F2" i="68"/>
  <c r="N17" i="67"/>
  <c r="I4" i="73" s="1"/>
  <c r="I4" i="72" s="1"/>
  <c r="K17" i="67"/>
  <c r="F4" i="73" s="1"/>
  <c r="F4" i="72" s="1"/>
  <c r="P16" i="67"/>
  <c r="O16" i="67"/>
  <c r="N16" i="67"/>
  <c r="M16" i="67"/>
  <c r="L16" i="67"/>
  <c r="J16" i="67"/>
  <c r="I16" i="67"/>
  <c r="F16" i="67"/>
  <c r="P15" i="67"/>
  <c r="O15" i="67"/>
  <c r="N15" i="67"/>
  <c r="M15" i="67"/>
  <c r="L15" i="67"/>
  <c r="J15" i="67"/>
  <c r="I15" i="67"/>
  <c r="H15" i="67"/>
  <c r="F15" i="67"/>
  <c r="E15" i="67"/>
  <c r="P14" i="67"/>
  <c r="O14" i="67"/>
  <c r="N14" i="67"/>
  <c r="M14" i="67"/>
  <c r="L14" i="67"/>
  <c r="J14" i="67"/>
  <c r="I14" i="67"/>
  <c r="H14" i="67"/>
  <c r="E14" i="67"/>
  <c r="F14" i="67" s="1"/>
  <c r="P13" i="67"/>
  <c r="O13" i="67"/>
  <c r="N13" i="67"/>
  <c r="M13" i="67"/>
  <c r="L13" i="67"/>
  <c r="J13" i="67"/>
  <c r="I13" i="67"/>
  <c r="H13" i="67"/>
  <c r="F13" i="67"/>
  <c r="P12" i="67"/>
  <c r="O12" i="67"/>
  <c r="N12" i="67"/>
  <c r="M12" i="67"/>
  <c r="L12" i="67"/>
  <c r="J12" i="67"/>
  <c r="I12" i="67"/>
  <c r="H12" i="67"/>
  <c r="F12" i="67"/>
  <c r="P11" i="67"/>
  <c r="P17" i="67" s="1"/>
  <c r="J4" i="73" s="1"/>
  <c r="J4" i="72" s="1"/>
  <c r="O11" i="67"/>
  <c r="O17" i="67" s="1"/>
  <c r="N11" i="67"/>
  <c r="M11" i="67"/>
  <c r="M17" i="67" s="1"/>
  <c r="H4" i="73" s="1"/>
  <c r="H4" i="72" s="1"/>
  <c r="L11" i="67"/>
  <c r="L17" i="67" s="1"/>
  <c r="G4" i="73" s="1"/>
  <c r="G4" i="72" s="1"/>
  <c r="J11" i="67"/>
  <c r="J17" i="67" s="1"/>
  <c r="E4" i="73" s="1"/>
  <c r="E4" i="72" s="1"/>
  <c r="I11" i="67"/>
  <c r="H11" i="67"/>
  <c r="F11" i="67"/>
  <c r="F17" i="67" s="1"/>
  <c r="P10" i="67"/>
  <c r="O10" i="67"/>
  <c r="N10" i="67"/>
  <c r="M10" i="67"/>
  <c r="L10" i="67"/>
  <c r="K10" i="67"/>
  <c r="J10" i="67"/>
  <c r="I10" i="67"/>
  <c r="H10" i="67"/>
  <c r="P8" i="67"/>
  <c r="K13" i="73" s="1"/>
  <c r="K13" i="72" s="1"/>
  <c r="O8" i="67"/>
  <c r="J13" i="73" s="1"/>
  <c r="J13" i="72" s="1"/>
  <c r="N8" i="67"/>
  <c r="I13" i="73" s="1"/>
  <c r="I13" i="72" s="1"/>
  <c r="M8" i="67"/>
  <c r="H13" i="73" s="1"/>
  <c r="H13" i="72" s="1"/>
  <c r="L8" i="67"/>
  <c r="G13" i="73" s="1"/>
  <c r="G13" i="72" s="1"/>
  <c r="K8" i="67"/>
  <c r="F13" i="73" s="1"/>
  <c r="F13" i="72" s="1"/>
  <c r="J8" i="67"/>
  <c r="E13" i="73" s="1"/>
  <c r="E13" i="72" s="1"/>
  <c r="I8" i="67"/>
  <c r="D13" i="73" s="1"/>
  <c r="D13" i="72" s="1"/>
  <c r="H7" i="67"/>
  <c r="H8" i="67" s="1"/>
  <c r="F7" i="67"/>
  <c r="F6" i="67"/>
  <c r="F5" i="67"/>
  <c r="F4" i="67"/>
  <c r="F3" i="67"/>
  <c r="F2" i="67"/>
  <c r="F8" i="67" s="1"/>
  <c r="F18" i="67" s="1"/>
  <c r="F28" i="66"/>
  <c r="G27" i="66"/>
  <c r="O26" i="66"/>
  <c r="N26" i="66"/>
  <c r="L26" i="66"/>
  <c r="K26" i="66"/>
  <c r="J26" i="66"/>
  <c r="I26" i="66"/>
  <c r="C26" i="66"/>
  <c r="O25" i="66"/>
  <c r="N25" i="66"/>
  <c r="M25" i="66"/>
  <c r="K25" i="66"/>
  <c r="J25" i="66"/>
  <c r="I25" i="66"/>
  <c r="C25" i="66"/>
  <c r="I24" i="66"/>
  <c r="C24" i="66"/>
  <c r="P23" i="66"/>
  <c r="O23" i="66"/>
  <c r="N23" i="66"/>
  <c r="M23" i="66"/>
  <c r="L23" i="66"/>
  <c r="K23" i="66"/>
  <c r="J23" i="66"/>
  <c r="I23" i="66"/>
  <c r="C23" i="66"/>
  <c r="O22" i="66"/>
  <c r="N22" i="66"/>
  <c r="L22" i="66"/>
  <c r="K22" i="66"/>
  <c r="J22" i="66"/>
  <c r="I22" i="66"/>
  <c r="C22" i="66"/>
  <c r="O21" i="66"/>
  <c r="N21" i="66"/>
  <c r="L21" i="66"/>
  <c r="K21" i="66"/>
  <c r="J21" i="66"/>
  <c r="I21" i="66"/>
  <c r="C21" i="66"/>
  <c r="P20" i="66"/>
  <c r="N20" i="66"/>
  <c r="M20" i="66"/>
  <c r="L20" i="66"/>
  <c r="K20" i="66"/>
  <c r="J20" i="66"/>
  <c r="I20" i="66"/>
  <c r="C20" i="66"/>
  <c r="P19" i="66"/>
  <c r="O19" i="66"/>
  <c r="N19" i="66"/>
  <c r="M19" i="66"/>
  <c r="L19" i="66"/>
  <c r="K19" i="66"/>
  <c r="J19" i="66"/>
  <c r="I19" i="66"/>
  <c r="C19" i="66"/>
  <c r="I18" i="66"/>
  <c r="C18" i="66"/>
  <c r="P17" i="66"/>
  <c r="O17" i="66"/>
  <c r="N17" i="66"/>
  <c r="M17" i="66"/>
  <c r="L17" i="66"/>
  <c r="K17" i="66"/>
  <c r="J17" i="66"/>
  <c r="I17" i="66"/>
  <c r="C17" i="66"/>
  <c r="O16" i="66"/>
  <c r="N16" i="66"/>
  <c r="M16" i="66"/>
  <c r="K16" i="66"/>
  <c r="K27" i="66" s="1"/>
  <c r="E6" i="73" s="1"/>
  <c r="C6" i="72" s="1"/>
  <c r="J16" i="66"/>
  <c r="I16" i="66"/>
  <c r="C16" i="66"/>
  <c r="P15" i="66"/>
  <c r="O15" i="66"/>
  <c r="N15" i="66"/>
  <c r="M15" i="66"/>
  <c r="L15" i="66"/>
  <c r="K15" i="66"/>
  <c r="J15" i="66"/>
  <c r="I15" i="66"/>
  <c r="N13" i="66"/>
  <c r="H15" i="73" s="1"/>
  <c r="H15" i="72" s="1"/>
  <c r="J13" i="66"/>
  <c r="D15" i="73" s="1"/>
  <c r="D15" i="72" s="1"/>
  <c r="I13" i="66"/>
  <c r="P12" i="66"/>
  <c r="P26" i="66" s="1"/>
  <c r="M12" i="66"/>
  <c r="M26" i="66" s="1"/>
  <c r="G12" i="66"/>
  <c r="P11" i="66"/>
  <c r="P25" i="66" s="1"/>
  <c r="L11" i="66"/>
  <c r="L25" i="66" s="1"/>
  <c r="G11" i="66"/>
  <c r="P10" i="66"/>
  <c r="M10" i="66"/>
  <c r="F10" i="66"/>
  <c r="G10" i="66" s="1"/>
  <c r="G9" i="66"/>
  <c r="P8" i="66"/>
  <c r="P22" i="66" s="1"/>
  <c r="M8" i="66"/>
  <c r="M22" i="66" s="1"/>
  <c r="G8" i="66"/>
  <c r="P7" i="66"/>
  <c r="P21" i="66" s="1"/>
  <c r="M7" i="66"/>
  <c r="G7" i="66"/>
  <c r="O6" i="66"/>
  <c r="L6" i="66"/>
  <c r="G6" i="66"/>
  <c r="G5" i="66"/>
  <c r="K4" i="66"/>
  <c r="K13" i="66" s="1"/>
  <c r="E15" i="73" s="1"/>
  <c r="E15" i="72" s="1"/>
  <c r="G4" i="66"/>
  <c r="F4" i="66"/>
  <c r="G3" i="66"/>
  <c r="P2" i="66"/>
  <c r="L2" i="66"/>
  <c r="L16" i="66" s="1"/>
  <c r="L27" i="66" s="1"/>
  <c r="F6" i="73" s="1"/>
  <c r="G2" i="66"/>
  <c r="N28" i="65"/>
  <c r="M28" i="65"/>
  <c r="K28" i="65"/>
  <c r="J28" i="65"/>
  <c r="I28" i="65"/>
  <c r="H28" i="65"/>
  <c r="F28" i="65"/>
  <c r="N27" i="65"/>
  <c r="M27" i="65"/>
  <c r="L27" i="65"/>
  <c r="J27" i="65"/>
  <c r="I27" i="65"/>
  <c r="H27" i="65"/>
  <c r="F27" i="65"/>
  <c r="N26" i="65"/>
  <c r="M26" i="65"/>
  <c r="L26" i="65"/>
  <c r="J26" i="65"/>
  <c r="I26" i="65"/>
  <c r="H26" i="65"/>
  <c r="F26" i="65"/>
  <c r="N25" i="65"/>
  <c r="M25" i="65"/>
  <c r="L25" i="65"/>
  <c r="K25" i="65"/>
  <c r="J25" i="65"/>
  <c r="I25" i="65"/>
  <c r="H25" i="65"/>
  <c r="F25" i="65"/>
  <c r="N24" i="65"/>
  <c r="M24" i="65"/>
  <c r="K24" i="65"/>
  <c r="J24" i="65"/>
  <c r="I24" i="65"/>
  <c r="H24" i="65"/>
  <c r="F24" i="65"/>
  <c r="N23" i="65"/>
  <c r="M23" i="65"/>
  <c r="L23" i="65"/>
  <c r="K23" i="65"/>
  <c r="J23" i="65"/>
  <c r="I23" i="65"/>
  <c r="H23" i="65"/>
  <c r="F23" i="65"/>
  <c r="N22" i="65"/>
  <c r="M22" i="65"/>
  <c r="L22" i="65"/>
  <c r="K22" i="65"/>
  <c r="J22" i="65"/>
  <c r="I22" i="65"/>
  <c r="H22" i="65"/>
  <c r="F22" i="65"/>
  <c r="N21" i="65"/>
  <c r="M21" i="65"/>
  <c r="L21" i="65"/>
  <c r="K21" i="65"/>
  <c r="J21" i="65"/>
  <c r="I21" i="65"/>
  <c r="H21" i="65"/>
  <c r="F21" i="65"/>
  <c r="N20" i="65"/>
  <c r="M20" i="65"/>
  <c r="L20" i="65"/>
  <c r="K20" i="65"/>
  <c r="J20" i="65"/>
  <c r="I20" i="65"/>
  <c r="H20" i="65"/>
  <c r="F20" i="65"/>
  <c r="N19" i="65"/>
  <c r="M19" i="65"/>
  <c r="L19" i="65"/>
  <c r="K19" i="65"/>
  <c r="J19" i="65"/>
  <c r="I19" i="65"/>
  <c r="H19" i="65"/>
  <c r="F19" i="65"/>
  <c r="N18" i="65"/>
  <c r="M18" i="65"/>
  <c r="L18" i="65"/>
  <c r="K18" i="65"/>
  <c r="J18" i="65"/>
  <c r="I18" i="65"/>
  <c r="H18" i="65"/>
  <c r="F18" i="65"/>
  <c r="N17" i="65"/>
  <c r="N29" i="65" s="1"/>
  <c r="I5" i="73" s="1"/>
  <c r="M17" i="65"/>
  <c r="M29" i="65" s="1"/>
  <c r="H5" i="73" s="1"/>
  <c r="L17" i="65"/>
  <c r="K17" i="65"/>
  <c r="J17" i="65"/>
  <c r="J29" i="65" s="1"/>
  <c r="E5" i="73" s="1"/>
  <c r="C5" i="72" s="1"/>
  <c r="I17" i="65"/>
  <c r="I29" i="65" s="1"/>
  <c r="D5" i="73" s="1"/>
  <c r="B5" i="72" s="1"/>
  <c r="H17" i="65"/>
  <c r="H29" i="65" s="1"/>
  <c r="F17" i="65"/>
  <c r="F29" i="65" s="1"/>
  <c r="N14" i="65"/>
  <c r="I14" i="73" s="1"/>
  <c r="I14" i="72" s="1"/>
  <c r="M14" i="65"/>
  <c r="H14" i="73" s="1"/>
  <c r="H14" i="72" s="1"/>
  <c r="J14" i="65"/>
  <c r="E14" i="73" s="1"/>
  <c r="E14" i="72" s="1"/>
  <c r="I14" i="65"/>
  <c r="D14" i="73" s="1"/>
  <c r="D14" i="72" s="1"/>
  <c r="H14" i="65"/>
  <c r="N13" i="65"/>
  <c r="L13" i="65"/>
  <c r="L28" i="65" s="1"/>
  <c r="F13" i="65"/>
  <c r="N12" i="65"/>
  <c r="K12" i="65"/>
  <c r="K27" i="65" s="1"/>
  <c r="F12" i="65"/>
  <c r="N11" i="65"/>
  <c r="K11" i="65"/>
  <c r="K26" i="65" s="1"/>
  <c r="F11" i="65"/>
  <c r="N10" i="65"/>
  <c r="F10" i="65"/>
  <c r="N9" i="65"/>
  <c r="L9" i="65"/>
  <c r="F9" i="65"/>
  <c r="F8" i="65"/>
  <c r="F7" i="65"/>
  <c r="F6" i="65"/>
  <c r="F5" i="65"/>
  <c r="F4" i="65"/>
  <c r="F3" i="65"/>
  <c r="F2" i="65"/>
  <c r="F14" i="65" s="1"/>
  <c r="F13" i="64"/>
  <c r="L12" i="64"/>
  <c r="K12" i="64"/>
  <c r="J12" i="64"/>
  <c r="I12" i="64"/>
  <c r="H12" i="64"/>
  <c r="F12" i="64"/>
  <c r="M11" i="64"/>
  <c r="L11" i="64"/>
  <c r="K11" i="64"/>
  <c r="J11" i="64"/>
  <c r="I11" i="64"/>
  <c r="H11" i="64"/>
  <c r="F11" i="64"/>
  <c r="M10" i="64"/>
  <c r="L10" i="64"/>
  <c r="K10" i="64"/>
  <c r="J10" i="64"/>
  <c r="I10" i="64"/>
  <c r="H10" i="64"/>
  <c r="F10" i="64"/>
  <c r="M9" i="64"/>
  <c r="M13" i="64" s="1"/>
  <c r="L9" i="64"/>
  <c r="L13" i="64" s="1"/>
  <c r="K9" i="64"/>
  <c r="K13" i="64" s="1"/>
  <c r="J9" i="64"/>
  <c r="J13" i="64" s="1"/>
  <c r="I9" i="64"/>
  <c r="I13" i="64" s="1"/>
  <c r="H9" i="64"/>
  <c r="H13" i="64" s="1"/>
  <c r="F9" i="64"/>
  <c r="M8" i="64"/>
  <c r="L8" i="64"/>
  <c r="K8" i="64"/>
  <c r="J8" i="64"/>
  <c r="I8" i="64"/>
  <c r="H8" i="64"/>
  <c r="L6" i="64"/>
  <c r="G7" i="73" s="1"/>
  <c r="K6" i="64"/>
  <c r="F7" i="73" s="1"/>
  <c r="J6" i="64"/>
  <c r="E7" i="73" s="1"/>
  <c r="I6" i="64"/>
  <c r="D7" i="73" s="1"/>
  <c r="H6" i="64"/>
  <c r="F6" i="64"/>
  <c r="M5" i="64"/>
  <c r="M12" i="64" s="1"/>
  <c r="K80" i="63"/>
  <c r="J80" i="63"/>
  <c r="I80" i="63"/>
  <c r="H80" i="63"/>
  <c r="G80" i="63"/>
  <c r="F80" i="63"/>
  <c r="E80" i="63"/>
  <c r="D80" i="63"/>
  <c r="C80" i="63"/>
  <c r="B80" i="63"/>
  <c r="L79" i="63"/>
  <c r="L78" i="63"/>
  <c r="L80" i="63" s="1"/>
  <c r="L77" i="63"/>
  <c r="H77" i="63"/>
  <c r="K75" i="63"/>
  <c r="J75" i="63"/>
  <c r="I75" i="63"/>
  <c r="H75" i="63"/>
  <c r="G75" i="63"/>
  <c r="F75" i="63"/>
  <c r="E75" i="63"/>
  <c r="D75" i="63"/>
  <c r="C75" i="63"/>
  <c r="B75" i="63"/>
  <c r="L74" i="63"/>
  <c r="L73" i="63"/>
  <c r="L75" i="63" s="1"/>
  <c r="K69" i="63"/>
  <c r="J69" i="63"/>
  <c r="I69" i="63"/>
  <c r="H69" i="63"/>
  <c r="G69" i="63"/>
  <c r="F69" i="63"/>
  <c r="E69" i="63"/>
  <c r="D69" i="63"/>
  <c r="C69" i="63"/>
  <c r="B69" i="63"/>
  <c r="L68" i="63"/>
  <c r="A68" i="63"/>
  <c r="L67" i="63"/>
  <c r="A67" i="63"/>
  <c r="L66" i="63"/>
  <c r="A66" i="63"/>
  <c r="L65" i="63"/>
  <c r="A65" i="63"/>
  <c r="L64" i="63"/>
  <c r="A64" i="63"/>
  <c r="L63" i="63"/>
  <c r="A63" i="63"/>
  <c r="L62" i="63"/>
  <c r="A62" i="63"/>
  <c r="L61" i="63"/>
  <c r="A61" i="63"/>
  <c r="L60" i="63"/>
  <c r="A60" i="63"/>
  <c r="L59" i="63"/>
  <c r="A59" i="63"/>
  <c r="L58" i="63"/>
  <c r="A58" i="63"/>
  <c r="L57" i="63"/>
  <c r="A57" i="63"/>
  <c r="L56" i="63"/>
  <c r="A56" i="63"/>
  <c r="L55" i="63"/>
  <c r="A55" i="63"/>
  <c r="L54" i="63"/>
  <c r="A54" i="63"/>
  <c r="L53" i="63"/>
  <c r="A53" i="63"/>
  <c r="L52" i="63"/>
  <c r="A52" i="63"/>
  <c r="L51" i="63"/>
  <c r="A51" i="63"/>
  <c r="L50" i="63"/>
  <c r="L69" i="63" s="1"/>
  <c r="A50" i="63"/>
  <c r="G49" i="63"/>
  <c r="G72" i="63" s="1"/>
  <c r="G77" i="63" s="1"/>
  <c r="C49" i="63"/>
  <c r="C72" i="63" s="1"/>
  <c r="C77" i="63" s="1"/>
  <c r="K47" i="63"/>
  <c r="J47" i="63"/>
  <c r="G47" i="63"/>
  <c r="F47" i="63"/>
  <c r="F9" i="60" s="1"/>
  <c r="G9" i="61" s="1"/>
  <c r="E47" i="63"/>
  <c r="D47" i="63"/>
  <c r="C47" i="63"/>
  <c r="B47" i="63"/>
  <c r="B9" i="60" s="1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K26" i="63"/>
  <c r="K49" i="63" s="1"/>
  <c r="K72" i="63" s="1"/>
  <c r="K77" i="63" s="1"/>
  <c r="G26" i="63"/>
  <c r="C26" i="63"/>
  <c r="K23" i="63"/>
  <c r="J23" i="63"/>
  <c r="J19" i="60" s="1"/>
  <c r="K19" i="61" s="1"/>
  <c r="I23" i="63"/>
  <c r="H23" i="63"/>
  <c r="G23" i="63"/>
  <c r="F23" i="63"/>
  <c r="F19" i="60" s="1"/>
  <c r="G19" i="61" s="1"/>
  <c r="E23" i="63"/>
  <c r="D23" i="63"/>
  <c r="C23" i="63"/>
  <c r="B23" i="63"/>
  <c r="L22" i="63"/>
  <c r="L21" i="63"/>
  <c r="L23" i="63" s="1"/>
  <c r="K20" i="63"/>
  <c r="G20" i="63"/>
  <c r="K18" i="63"/>
  <c r="J18" i="63"/>
  <c r="I18" i="63"/>
  <c r="H18" i="63"/>
  <c r="G18" i="63"/>
  <c r="F18" i="63"/>
  <c r="E18" i="63"/>
  <c r="D18" i="63"/>
  <c r="C18" i="63"/>
  <c r="B18" i="63"/>
  <c r="L17" i="63"/>
  <c r="L16" i="63"/>
  <c r="L15" i="63"/>
  <c r="L18" i="63" s="1"/>
  <c r="L14" i="63"/>
  <c r="L20" i="63" s="1"/>
  <c r="H14" i="63"/>
  <c r="H20" i="63" s="1"/>
  <c r="D14" i="63"/>
  <c r="D20" i="63" s="1"/>
  <c r="K11" i="63"/>
  <c r="J11" i="63"/>
  <c r="I11" i="63"/>
  <c r="H11" i="63"/>
  <c r="G11" i="63"/>
  <c r="F11" i="63"/>
  <c r="E11" i="63"/>
  <c r="D11" i="63"/>
  <c r="C11" i="63"/>
  <c r="B11" i="63"/>
  <c r="L10" i="63"/>
  <c r="L9" i="63"/>
  <c r="L11" i="63" s="1"/>
  <c r="L8" i="63"/>
  <c r="L26" i="63" s="1"/>
  <c r="L49" i="63" s="1"/>
  <c r="K8" i="63"/>
  <c r="K14" i="63" s="1"/>
  <c r="J8" i="63"/>
  <c r="J26" i="63" s="1"/>
  <c r="J49" i="63" s="1"/>
  <c r="J72" i="63" s="1"/>
  <c r="J77" i="63" s="1"/>
  <c r="I8" i="63"/>
  <c r="I26" i="63" s="1"/>
  <c r="I49" i="63" s="1"/>
  <c r="I72" i="63" s="1"/>
  <c r="I77" i="63" s="1"/>
  <c r="H8" i="63"/>
  <c r="H26" i="63" s="1"/>
  <c r="H49" i="63" s="1"/>
  <c r="H72" i="63" s="1"/>
  <c r="G8" i="63"/>
  <c r="G14" i="63" s="1"/>
  <c r="F8" i="63"/>
  <c r="F26" i="63" s="1"/>
  <c r="F49" i="63" s="1"/>
  <c r="F72" i="63" s="1"/>
  <c r="F77" i="63" s="1"/>
  <c r="E8" i="63"/>
  <c r="E26" i="63" s="1"/>
  <c r="E49" i="63" s="1"/>
  <c r="E72" i="63" s="1"/>
  <c r="E77" i="63" s="1"/>
  <c r="D8" i="63"/>
  <c r="D26" i="63" s="1"/>
  <c r="D49" i="63" s="1"/>
  <c r="D72" i="63" s="1"/>
  <c r="D77" i="63" s="1"/>
  <c r="C8" i="63"/>
  <c r="C14" i="63" s="1"/>
  <c r="C20" i="63" s="1"/>
  <c r="B8" i="63"/>
  <c r="B26" i="63" s="1"/>
  <c r="B49" i="63" s="1"/>
  <c r="B72" i="63" s="1"/>
  <c r="B77" i="63" s="1"/>
  <c r="K6" i="63"/>
  <c r="J6" i="63"/>
  <c r="I6" i="63"/>
  <c r="H6" i="63"/>
  <c r="G6" i="63"/>
  <c r="F6" i="63"/>
  <c r="E6" i="63"/>
  <c r="D6" i="63"/>
  <c r="C6" i="63"/>
  <c r="B6" i="63"/>
  <c r="L5" i="63"/>
  <c r="L4" i="63"/>
  <c r="L3" i="63"/>
  <c r="L6" i="63" s="1"/>
  <c r="D1" i="63"/>
  <c r="E1" i="63" s="1"/>
  <c r="C1" i="63"/>
  <c r="D80" i="62"/>
  <c r="C80" i="62"/>
  <c r="B80" i="62"/>
  <c r="K79" i="62"/>
  <c r="J79" i="62"/>
  <c r="J80" i="62" s="1"/>
  <c r="I79" i="62"/>
  <c r="H79" i="62"/>
  <c r="G79" i="62"/>
  <c r="F79" i="62"/>
  <c r="E79" i="62"/>
  <c r="K78" i="62"/>
  <c r="K80" i="62" s="1"/>
  <c r="J78" i="62"/>
  <c r="I78" i="62"/>
  <c r="I80" i="62" s="1"/>
  <c r="H78" i="62"/>
  <c r="H80" i="62" s="1"/>
  <c r="G78" i="62"/>
  <c r="G80" i="62" s="1"/>
  <c r="F78" i="62"/>
  <c r="E78" i="62"/>
  <c r="E80" i="62" s="1"/>
  <c r="L77" i="62"/>
  <c r="K75" i="62"/>
  <c r="D75" i="62"/>
  <c r="C75" i="62"/>
  <c r="K74" i="62"/>
  <c r="J74" i="62"/>
  <c r="J75" i="62" s="1"/>
  <c r="I74" i="62"/>
  <c r="H74" i="62"/>
  <c r="G74" i="62"/>
  <c r="G75" i="62" s="1"/>
  <c r="F74" i="62"/>
  <c r="F75" i="62" s="1"/>
  <c r="E74" i="62"/>
  <c r="B74" i="62"/>
  <c r="K73" i="62"/>
  <c r="J73" i="62"/>
  <c r="I73" i="62"/>
  <c r="I75" i="62" s="1"/>
  <c r="H73" i="62"/>
  <c r="H75" i="62" s="1"/>
  <c r="G73" i="62"/>
  <c r="F73" i="62"/>
  <c r="E73" i="62"/>
  <c r="E75" i="62" s="1"/>
  <c r="B73" i="62"/>
  <c r="B75" i="62" s="1"/>
  <c r="B10" i="61" s="1"/>
  <c r="D72" i="62"/>
  <c r="D77" i="62" s="1"/>
  <c r="D69" i="62"/>
  <c r="D20" i="61" s="1"/>
  <c r="C69" i="62"/>
  <c r="K68" i="62"/>
  <c r="J68" i="62"/>
  <c r="I68" i="62"/>
  <c r="H68" i="62"/>
  <c r="G68" i="62"/>
  <c r="F68" i="62"/>
  <c r="E68" i="62"/>
  <c r="D68" i="62"/>
  <c r="B68" i="62"/>
  <c r="L68" i="62" s="1"/>
  <c r="M68" i="62" s="1"/>
  <c r="K67" i="62"/>
  <c r="J67" i="62"/>
  <c r="I67" i="62"/>
  <c r="H67" i="62"/>
  <c r="G67" i="62"/>
  <c r="F67" i="62"/>
  <c r="B67" i="62"/>
  <c r="K66" i="62"/>
  <c r="J66" i="62"/>
  <c r="I66" i="62"/>
  <c r="H66" i="62"/>
  <c r="G66" i="62"/>
  <c r="F66" i="62"/>
  <c r="E66" i="62"/>
  <c r="B66" i="62"/>
  <c r="L66" i="62" s="1"/>
  <c r="M66" i="62" s="1"/>
  <c r="K65" i="62"/>
  <c r="J65" i="62"/>
  <c r="I65" i="62"/>
  <c r="H65" i="62"/>
  <c r="G65" i="62"/>
  <c r="F65" i="62"/>
  <c r="B65" i="62"/>
  <c r="L65" i="62" s="1"/>
  <c r="M65" i="62" s="1"/>
  <c r="K64" i="62"/>
  <c r="J64" i="62"/>
  <c r="I64" i="62"/>
  <c r="H64" i="62"/>
  <c r="G64" i="62"/>
  <c r="F64" i="62"/>
  <c r="E64" i="62"/>
  <c r="B64" i="62"/>
  <c r="L64" i="62" s="1"/>
  <c r="M64" i="62" s="1"/>
  <c r="K63" i="62"/>
  <c r="J63" i="62"/>
  <c r="I63" i="62"/>
  <c r="H63" i="62"/>
  <c r="G63" i="62"/>
  <c r="F63" i="62"/>
  <c r="B63" i="62"/>
  <c r="L63" i="62" s="1"/>
  <c r="M63" i="62" s="1"/>
  <c r="K62" i="62"/>
  <c r="J62" i="62"/>
  <c r="I62" i="62"/>
  <c r="H62" i="62"/>
  <c r="G62" i="62"/>
  <c r="F62" i="62"/>
  <c r="E62" i="62"/>
  <c r="D62" i="62"/>
  <c r="B62" i="62"/>
  <c r="K61" i="62"/>
  <c r="J61" i="62"/>
  <c r="I61" i="62"/>
  <c r="H61" i="62"/>
  <c r="L61" i="62" s="1"/>
  <c r="M61" i="62" s="1"/>
  <c r="G61" i="62"/>
  <c r="F61" i="62"/>
  <c r="B61" i="62"/>
  <c r="M60" i="62"/>
  <c r="K60" i="62"/>
  <c r="J60" i="62"/>
  <c r="I60" i="62"/>
  <c r="H60" i="62"/>
  <c r="G60" i="62"/>
  <c r="F60" i="62"/>
  <c r="B60" i="62"/>
  <c r="L60" i="62" s="1"/>
  <c r="K59" i="62"/>
  <c r="J59" i="62"/>
  <c r="I59" i="62"/>
  <c r="H59" i="62"/>
  <c r="G59" i="62"/>
  <c r="F59" i="62"/>
  <c r="B59" i="62"/>
  <c r="K58" i="62"/>
  <c r="J58" i="62"/>
  <c r="I58" i="62"/>
  <c r="H58" i="62"/>
  <c r="G58" i="62"/>
  <c r="L58" i="62" s="1"/>
  <c r="M58" i="62" s="1"/>
  <c r="F58" i="62"/>
  <c r="B58" i="62"/>
  <c r="K57" i="62"/>
  <c r="J57" i="62"/>
  <c r="I57" i="62"/>
  <c r="H57" i="62"/>
  <c r="L57" i="62" s="1"/>
  <c r="M57" i="62" s="1"/>
  <c r="G57" i="62"/>
  <c r="F57" i="62"/>
  <c r="B57" i="62"/>
  <c r="K56" i="62"/>
  <c r="J56" i="62"/>
  <c r="I56" i="62"/>
  <c r="H56" i="62"/>
  <c r="G56" i="62"/>
  <c r="F56" i="62"/>
  <c r="E56" i="62"/>
  <c r="B56" i="62"/>
  <c r="L56" i="62" s="1"/>
  <c r="M56" i="62" s="1"/>
  <c r="K55" i="62"/>
  <c r="J55" i="62"/>
  <c r="I55" i="62"/>
  <c r="H55" i="62"/>
  <c r="G55" i="62"/>
  <c r="F55" i="62"/>
  <c r="E55" i="62"/>
  <c r="D55" i="62"/>
  <c r="B55" i="62"/>
  <c r="L55" i="62" s="1"/>
  <c r="M55" i="62" s="1"/>
  <c r="K54" i="62"/>
  <c r="J54" i="62"/>
  <c r="I54" i="62"/>
  <c r="H54" i="62"/>
  <c r="G54" i="62"/>
  <c r="F54" i="62"/>
  <c r="B54" i="62"/>
  <c r="K53" i="62"/>
  <c r="J53" i="62"/>
  <c r="I53" i="62"/>
  <c r="H53" i="62"/>
  <c r="H69" i="62" s="1"/>
  <c r="H20" i="61" s="1"/>
  <c r="G53" i="62"/>
  <c r="F53" i="62"/>
  <c r="E53" i="62"/>
  <c r="D53" i="62"/>
  <c r="B53" i="62"/>
  <c r="L53" i="62" s="1"/>
  <c r="M53" i="62" s="1"/>
  <c r="K52" i="62"/>
  <c r="J52" i="62"/>
  <c r="I52" i="62"/>
  <c r="H52" i="62"/>
  <c r="G52" i="62"/>
  <c r="G69" i="62" s="1"/>
  <c r="G20" i="61" s="1"/>
  <c r="F52" i="62"/>
  <c r="E52" i="62"/>
  <c r="D52" i="62"/>
  <c r="B52" i="62"/>
  <c r="L52" i="62" s="1"/>
  <c r="M52" i="62" s="1"/>
  <c r="K51" i="62"/>
  <c r="J51" i="62"/>
  <c r="I51" i="62"/>
  <c r="H51" i="62"/>
  <c r="G51" i="62"/>
  <c r="F51" i="62"/>
  <c r="B51" i="62"/>
  <c r="K50" i="62"/>
  <c r="J50" i="62"/>
  <c r="I50" i="62"/>
  <c r="I69" i="62" s="1"/>
  <c r="I20" i="61" s="1"/>
  <c r="H50" i="62"/>
  <c r="G50" i="62"/>
  <c r="F50" i="62"/>
  <c r="B50" i="62"/>
  <c r="B69" i="62" s="1"/>
  <c r="B20" i="61" s="1"/>
  <c r="C47" i="62"/>
  <c r="K46" i="62"/>
  <c r="H46" i="62"/>
  <c r="G46" i="62"/>
  <c r="F46" i="62"/>
  <c r="F39" i="61" s="1"/>
  <c r="E46" i="62"/>
  <c r="D46" i="62"/>
  <c r="B46" i="62"/>
  <c r="K45" i="62"/>
  <c r="J45" i="62"/>
  <c r="I45" i="62"/>
  <c r="H45" i="62"/>
  <c r="G45" i="62"/>
  <c r="F45" i="62"/>
  <c r="E45" i="62"/>
  <c r="B45" i="62"/>
  <c r="L45" i="62" s="1"/>
  <c r="M45" i="62" s="1"/>
  <c r="K44" i="62"/>
  <c r="J44" i="62"/>
  <c r="I44" i="62"/>
  <c r="H44" i="62"/>
  <c r="G44" i="62"/>
  <c r="F44" i="62"/>
  <c r="E44" i="62"/>
  <c r="B44" i="62"/>
  <c r="L44" i="62" s="1"/>
  <c r="M44" i="62" s="1"/>
  <c r="K43" i="62"/>
  <c r="J43" i="62"/>
  <c r="I43" i="62"/>
  <c r="H43" i="62"/>
  <c r="G43" i="62"/>
  <c r="F43" i="62"/>
  <c r="E43" i="62"/>
  <c r="B43" i="62"/>
  <c r="K42" i="62"/>
  <c r="J42" i="62"/>
  <c r="I42" i="62"/>
  <c r="H42" i="62"/>
  <c r="G42" i="62"/>
  <c r="F42" i="62"/>
  <c r="E42" i="62"/>
  <c r="D42" i="62"/>
  <c r="B42" i="62"/>
  <c r="M41" i="62"/>
  <c r="K41" i="62"/>
  <c r="J41" i="62"/>
  <c r="I41" i="62"/>
  <c r="H41" i="62"/>
  <c r="G41" i="62"/>
  <c r="F41" i="62"/>
  <c r="B41" i="62"/>
  <c r="L41" i="62" s="1"/>
  <c r="K40" i="62"/>
  <c r="J40" i="62"/>
  <c r="I40" i="62"/>
  <c r="H40" i="62"/>
  <c r="G40" i="62"/>
  <c r="F40" i="62"/>
  <c r="E40" i="62"/>
  <c r="D40" i="62"/>
  <c r="B40" i="62"/>
  <c r="L40" i="62" s="1"/>
  <c r="M40" i="62" s="1"/>
  <c r="K39" i="62"/>
  <c r="J39" i="62"/>
  <c r="I39" i="62"/>
  <c r="H39" i="62"/>
  <c r="G39" i="62"/>
  <c r="F39" i="62"/>
  <c r="B39" i="62"/>
  <c r="L39" i="62" s="1"/>
  <c r="M39" i="62" s="1"/>
  <c r="K38" i="62"/>
  <c r="J38" i="62"/>
  <c r="I38" i="62"/>
  <c r="H38" i="62"/>
  <c r="G38" i="62"/>
  <c r="F38" i="62"/>
  <c r="E38" i="62"/>
  <c r="D38" i="62"/>
  <c r="B38" i="62"/>
  <c r="L38" i="62" s="1"/>
  <c r="M38" i="62" s="1"/>
  <c r="K37" i="62"/>
  <c r="J37" i="62"/>
  <c r="I37" i="62"/>
  <c r="H37" i="62"/>
  <c r="G37" i="62"/>
  <c r="F37" i="62"/>
  <c r="B37" i="62"/>
  <c r="L37" i="62" s="1"/>
  <c r="M37" i="62" s="1"/>
  <c r="K36" i="62"/>
  <c r="J36" i="62"/>
  <c r="I36" i="62"/>
  <c r="H36" i="62"/>
  <c r="G36" i="62"/>
  <c r="F36" i="62"/>
  <c r="B36" i="62"/>
  <c r="L36" i="62" s="1"/>
  <c r="M36" i="62" s="1"/>
  <c r="K35" i="62"/>
  <c r="J35" i="62"/>
  <c r="I35" i="62"/>
  <c r="H35" i="62"/>
  <c r="L35" i="62" s="1"/>
  <c r="M35" i="62" s="1"/>
  <c r="G35" i="62"/>
  <c r="F35" i="62"/>
  <c r="B35" i="62"/>
  <c r="K34" i="62"/>
  <c r="J34" i="62"/>
  <c r="I34" i="62"/>
  <c r="H34" i="62"/>
  <c r="G34" i="62"/>
  <c r="F34" i="62"/>
  <c r="E34" i="62"/>
  <c r="D34" i="62"/>
  <c r="L34" i="62" s="1"/>
  <c r="M34" i="62" s="1"/>
  <c r="B34" i="62"/>
  <c r="K33" i="62"/>
  <c r="J33" i="62"/>
  <c r="I33" i="62"/>
  <c r="H33" i="62"/>
  <c r="G33" i="62"/>
  <c r="L33" i="62" s="1"/>
  <c r="M33" i="62" s="1"/>
  <c r="F33" i="62"/>
  <c r="B33" i="62"/>
  <c r="K32" i="62"/>
  <c r="J32" i="62"/>
  <c r="I32" i="62"/>
  <c r="H32" i="62"/>
  <c r="G32" i="62"/>
  <c r="F32" i="62"/>
  <c r="E32" i="62"/>
  <c r="B32" i="62"/>
  <c r="K31" i="62"/>
  <c r="J31" i="62"/>
  <c r="I31" i="62"/>
  <c r="H31" i="62"/>
  <c r="G31" i="62"/>
  <c r="F31" i="62"/>
  <c r="E31" i="62"/>
  <c r="D31" i="62"/>
  <c r="B31" i="62"/>
  <c r="K30" i="62"/>
  <c r="J30" i="62"/>
  <c r="I30" i="62"/>
  <c r="H30" i="62"/>
  <c r="G30" i="62"/>
  <c r="F30" i="62"/>
  <c r="B30" i="62"/>
  <c r="K29" i="62"/>
  <c r="J29" i="62"/>
  <c r="I29" i="62"/>
  <c r="H29" i="62"/>
  <c r="G29" i="62"/>
  <c r="F29" i="62"/>
  <c r="E29" i="62"/>
  <c r="B29" i="62"/>
  <c r="K28" i="62"/>
  <c r="J28" i="62"/>
  <c r="I28" i="62"/>
  <c r="H28" i="62"/>
  <c r="G28" i="62"/>
  <c r="F28" i="62"/>
  <c r="E28" i="62"/>
  <c r="D28" i="62"/>
  <c r="D47" i="62" s="1"/>
  <c r="B28" i="62"/>
  <c r="K27" i="62"/>
  <c r="J27" i="62"/>
  <c r="I27" i="62"/>
  <c r="H27" i="62"/>
  <c r="G27" i="62"/>
  <c r="F27" i="62"/>
  <c r="E27" i="62"/>
  <c r="B27" i="62"/>
  <c r="L27" i="62" s="1"/>
  <c r="K23" i="62"/>
  <c r="D23" i="62"/>
  <c r="C23" i="62"/>
  <c r="K22" i="62"/>
  <c r="J22" i="62"/>
  <c r="I22" i="62"/>
  <c r="H22" i="62"/>
  <c r="H23" i="62" s="1"/>
  <c r="G22" i="62"/>
  <c r="G23" i="62" s="1"/>
  <c r="F22" i="62"/>
  <c r="E22" i="62"/>
  <c r="E23" i="62" s="1"/>
  <c r="B22" i="62"/>
  <c r="L22" i="62" s="1"/>
  <c r="M22" i="62" s="1"/>
  <c r="K21" i="62"/>
  <c r="J21" i="62"/>
  <c r="J23" i="62" s="1"/>
  <c r="I21" i="62"/>
  <c r="I23" i="62" s="1"/>
  <c r="H21" i="62"/>
  <c r="G21" i="62"/>
  <c r="F21" i="62"/>
  <c r="F23" i="62" s="1"/>
  <c r="B21" i="62"/>
  <c r="I18" i="62"/>
  <c r="E18" i="62"/>
  <c r="D18" i="62"/>
  <c r="C18" i="62"/>
  <c r="K17" i="62"/>
  <c r="J17" i="62"/>
  <c r="I17" i="62"/>
  <c r="H17" i="62"/>
  <c r="G17" i="62"/>
  <c r="F17" i="62"/>
  <c r="E17" i="62"/>
  <c r="D17" i="62"/>
  <c r="L17" i="62" s="1"/>
  <c r="M17" i="62" s="1"/>
  <c r="B17" i="62"/>
  <c r="K16" i="62"/>
  <c r="J16" i="62"/>
  <c r="I16" i="62"/>
  <c r="H16" i="62"/>
  <c r="H18" i="62" s="1"/>
  <c r="G16" i="62"/>
  <c r="F16" i="62"/>
  <c r="E16" i="62"/>
  <c r="D16" i="62"/>
  <c r="L16" i="62" s="1"/>
  <c r="M16" i="62" s="1"/>
  <c r="B16" i="62"/>
  <c r="K15" i="62"/>
  <c r="K18" i="62" s="1"/>
  <c r="J15" i="62"/>
  <c r="J18" i="62" s="1"/>
  <c r="I15" i="62"/>
  <c r="H15" i="62"/>
  <c r="G15" i="62"/>
  <c r="G18" i="62" s="1"/>
  <c r="F15" i="62"/>
  <c r="F18" i="62" s="1"/>
  <c r="E15" i="62"/>
  <c r="D15" i="62"/>
  <c r="B15" i="62"/>
  <c r="I14" i="62"/>
  <c r="I20" i="62" s="1"/>
  <c r="D14" i="62"/>
  <c r="D20" i="62" s="1"/>
  <c r="D11" i="62"/>
  <c r="D18" i="61" s="1"/>
  <c r="C11" i="62"/>
  <c r="C18" i="61" s="1"/>
  <c r="K10" i="62"/>
  <c r="K11" i="62" s="1"/>
  <c r="K18" i="61" s="1"/>
  <c r="J10" i="62"/>
  <c r="I10" i="62"/>
  <c r="H10" i="62"/>
  <c r="H11" i="62" s="1"/>
  <c r="H18" i="61" s="1"/>
  <c r="G10" i="62"/>
  <c r="G11" i="62" s="1"/>
  <c r="G18" i="61" s="1"/>
  <c r="G29" i="61" s="1"/>
  <c r="F10" i="62"/>
  <c r="E10" i="62"/>
  <c r="E11" i="62" s="1"/>
  <c r="B10" i="62"/>
  <c r="L10" i="62" s="1"/>
  <c r="M10" i="62" s="1"/>
  <c r="K9" i="62"/>
  <c r="J9" i="62"/>
  <c r="J11" i="62" s="1"/>
  <c r="I9" i="62"/>
  <c r="I11" i="62" s="1"/>
  <c r="H9" i="62"/>
  <c r="G9" i="62"/>
  <c r="F9" i="62"/>
  <c r="F11" i="62" s="1"/>
  <c r="B9" i="62"/>
  <c r="J8" i="62"/>
  <c r="I8" i="62"/>
  <c r="I26" i="62" s="1"/>
  <c r="I49" i="62" s="1"/>
  <c r="I72" i="62" s="1"/>
  <c r="I77" i="62" s="1"/>
  <c r="F8" i="62"/>
  <c r="E8" i="62"/>
  <c r="E26" i="62" s="1"/>
  <c r="E49" i="62" s="1"/>
  <c r="E72" i="62" s="1"/>
  <c r="E77" i="62" s="1"/>
  <c r="B8" i="62"/>
  <c r="E6" i="62"/>
  <c r="E7" i="61" s="1"/>
  <c r="E29" i="61" s="1"/>
  <c r="D6" i="62"/>
  <c r="D7" i="61" s="1"/>
  <c r="D29" i="61" s="1"/>
  <c r="C6" i="62"/>
  <c r="K5" i="62"/>
  <c r="J5" i="62"/>
  <c r="I5" i="62"/>
  <c r="H5" i="62"/>
  <c r="G5" i="62"/>
  <c r="F5" i="62"/>
  <c r="E5" i="62"/>
  <c r="D5" i="62"/>
  <c r="L5" i="62" s="1"/>
  <c r="M5" i="62" s="1"/>
  <c r="B5" i="62"/>
  <c r="K4" i="62"/>
  <c r="K6" i="62" s="1"/>
  <c r="K7" i="61" s="1"/>
  <c r="J4" i="62"/>
  <c r="I4" i="62"/>
  <c r="H4" i="62"/>
  <c r="G4" i="62"/>
  <c r="G6" i="62" s="1"/>
  <c r="G7" i="61" s="1"/>
  <c r="F4" i="62"/>
  <c r="E4" i="62"/>
  <c r="B4" i="62"/>
  <c r="L4" i="62" s="1"/>
  <c r="M4" i="62" s="1"/>
  <c r="K3" i="62"/>
  <c r="J3" i="62"/>
  <c r="J6" i="62" s="1"/>
  <c r="I3" i="62"/>
  <c r="I6" i="62" s="1"/>
  <c r="H3" i="62"/>
  <c r="G3" i="62"/>
  <c r="F3" i="62"/>
  <c r="F6" i="62" s="1"/>
  <c r="F7" i="61" s="1"/>
  <c r="F29" i="61" s="1"/>
  <c r="E3" i="62"/>
  <c r="D3" i="62"/>
  <c r="B3" i="62"/>
  <c r="B6" i="62" s="1"/>
  <c r="L2" i="62"/>
  <c r="L8" i="62" s="1"/>
  <c r="L26" i="62" s="1"/>
  <c r="L49" i="62" s="1"/>
  <c r="K2" i="62"/>
  <c r="K8" i="62" s="1"/>
  <c r="J2" i="62"/>
  <c r="I2" i="62"/>
  <c r="H2" i="62"/>
  <c r="H8" i="62" s="1"/>
  <c r="H14" i="62" s="1"/>
  <c r="H20" i="62" s="1"/>
  <c r="G2" i="62"/>
  <c r="G8" i="62" s="1"/>
  <c r="F2" i="62"/>
  <c r="E2" i="62"/>
  <c r="D2" i="62"/>
  <c r="D8" i="62" s="1"/>
  <c r="D26" i="62" s="1"/>
  <c r="D49" i="62" s="1"/>
  <c r="C2" i="62"/>
  <c r="C8" i="62" s="1"/>
  <c r="B2" i="62"/>
  <c r="K39" i="61"/>
  <c r="G39" i="61"/>
  <c r="D39" i="61"/>
  <c r="C39" i="61"/>
  <c r="B39" i="61"/>
  <c r="C36" i="61"/>
  <c r="C32" i="61"/>
  <c r="B32" i="61"/>
  <c r="C31" i="61"/>
  <c r="C30" i="61"/>
  <c r="K29" i="61"/>
  <c r="C29" i="61"/>
  <c r="J28" i="61"/>
  <c r="I28" i="61"/>
  <c r="E28" i="61"/>
  <c r="C28" i="61"/>
  <c r="G27" i="61"/>
  <c r="C27" i="61"/>
  <c r="C26" i="61"/>
  <c r="B26" i="61"/>
  <c r="H25" i="61"/>
  <c r="D25" i="61"/>
  <c r="C25" i="61"/>
  <c r="I24" i="61"/>
  <c r="F24" i="61"/>
  <c r="C22" i="61"/>
  <c r="J21" i="61"/>
  <c r="E21" i="61"/>
  <c r="B21" i="61"/>
  <c r="C20" i="61"/>
  <c r="I19" i="61"/>
  <c r="J18" i="61"/>
  <c r="I18" i="61"/>
  <c r="F18" i="61"/>
  <c r="E18" i="61"/>
  <c r="K17" i="61"/>
  <c r="J17" i="61"/>
  <c r="I17" i="61"/>
  <c r="H17" i="61"/>
  <c r="G17" i="61"/>
  <c r="F17" i="61"/>
  <c r="E17" i="61"/>
  <c r="D17" i="61"/>
  <c r="B17" i="61"/>
  <c r="K16" i="61"/>
  <c r="J16" i="61"/>
  <c r="I16" i="61"/>
  <c r="H16" i="61"/>
  <c r="G16" i="61"/>
  <c r="F16" i="61"/>
  <c r="E16" i="61"/>
  <c r="D16" i="61"/>
  <c r="D22" i="61" s="1"/>
  <c r="D36" i="61" s="1"/>
  <c r="B16" i="61"/>
  <c r="K15" i="61"/>
  <c r="J15" i="61"/>
  <c r="J26" i="61" s="1"/>
  <c r="I15" i="61"/>
  <c r="H15" i="61"/>
  <c r="G15" i="61"/>
  <c r="F15" i="61"/>
  <c r="F26" i="61" s="1"/>
  <c r="E15" i="61"/>
  <c r="D15" i="61"/>
  <c r="B15" i="61"/>
  <c r="K14" i="61"/>
  <c r="K25" i="61" s="1"/>
  <c r="J14" i="61"/>
  <c r="I14" i="61"/>
  <c r="H14" i="61"/>
  <c r="G14" i="61"/>
  <c r="F14" i="61"/>
  <c r="E14" i="61"/>
  <c r="D14" i="61"/>
  <c r="B14" i="61"/>
  <c r="K13" i="61"/>
  <c r="K24" i="61" s="1"/>
  <c r="H13" i="61"/>
  <c r="H24" i="61" s="1"/>
  <c r="D13" i="61"/>
  <c r="D24" i="61" s="1"/>
  <c r="H10" i="61"/>
  <c r="H9" i="61"/>
  <c r="I8" i="61"/>
  <c r="J7" i="61"/>
  <c r="J29" i="61" s="1"/>
  <c r="I7" i="61"/>
  <c r="C7" i="61"/>
  <c r="C11" i="61" s="1"/>
  <c r="C35" i="61" s="1"/>
  <c r="K6" i="61"/>
  <c r="J6" i="61"/>
  <c r="I6" i="61"/>
  <c r="H6" i="61"/>
  <c r="H28" i="61" s="1"/>
  <c r="G6" i="61"/>
  <c r="F6" i="61"/>
  <c r="F28" i="61" s="1"/>
  <c r="E6" i="61"/>
  <c r="D6" i="61"/>
  <c r="D28" i="61" s="1"/>
  <c r="B6" i="61"/>
  <c r="K5" i="61"/>
  <c r="K27" i="61" s="1"/>
  <c r="J5" i="61"/>
  <c r="J27" i="61" s="1"/>
  <c r="I5" i="61"/>
  <c r="I27" i="61" s="1"/>
  <c r="H5" i="61"/>
  <c r="G5" i="61"/>
  <c r="F5" i="61"/>
  <c r="F27" i="61" s="1"/>
  <c r="E5" i="61"/>
  <c r="E27" i="61" s="1"/>
  <c r="D5" i="61"/>
  <c r="B5" i="61"/>
  <c r="B27" i="61" s="1"/>
  <c r="K4" i="61"/>
  <c r="K26" i="61" s="1"/>
  <c r="J4" i="61"/>
  <c r="I4" i="61"/>
  <c r="H4" i="61"/>
  <c r="H26" i="61" s="1"/>
  <c r="G4" i="61"/>
  <c r="G26" i="61" s="1"/>
  <c r="F4" i="61"/>
  <c r="E4" i="61"/>
  <c r="D4" i="61"/>
  <c r="D26" i="61" s="1"/>
  <c r="B4" i="61"/>
  <c r="K3" i="61"/>
  <c r="J3" i="61"/>
  <c r="I3" i="61"/>
  <c r="I25" i="61" s="1"/>
  <c r="H3" i="61"/>
  <c r="G3" i="61"/>
  <c r="F3" i="61"/>
  <c r="E3" i="61"/>
  <c r="E25" i="61" s="1"/>
  <c r="D3" i="61"/>
  <c r="B3" i="61"/>
  <c r="B25" i="61" s="1"/>
  <c r="K2" i="61"/>
  <c r="J2" i="61"/>
  <c r="J13" i="61" s="1"/>
  <c r="J24" i="61" s="1"/>
  <c r="I2" i="61"/>
  <c r="I13" i="61" s="1"/>
  <c r="H2" i="61"/>
  <c r="G2" i="61"/>
  <c r="G13" i="61" s="1"/>
  <c r="G24" i="61" s="1"/>
  <c r="F2" i="61"/>
  <c r="F13" i="61" s="1"/>
  <c r="E2" i="61"/>
  <c r="E13" i="61" s="1"/>
  <c r="E24" i="61" s="1"/>
  <c r="D2" i="61"/>
  <c r="C2" i="61"/>
  <c r="C13" i="61" s="1"/>
  <c r="C24" i="61" s="1"/>
  <c r="B2" i="61"/>
  <c r="B13" i="61" s="1"/>
  <c r="B24" i="61" s="1"/>
  <c r="K39" i="60"/>
  <c r="J39" i="60"/>
  <c r="G39" i="60"/>
  <c r="F39" i="60"/>
  <c r="E39" i="60"/>
  <c r="D39" i="60"/>
  <c r="C39" i="60"/>
  <c r="B39" i="60"/>
  <c r="E32" i="60"/>
  <c r="D30" i="60"/>
  <c r="B30" i="60"/>
  <c r="F29" i="60"/>
  <c r="B29" i="60"/>
  <c r="K28" i="60"/>
  <c r="J28" i="60"/>
  <c r="I28" i="60"/>
  <c r="H28" i="60"/>
  <c r="G28" i="60"/>
  <c r="F28" i="60"/>
  <c r="E28" i="60"/>
  <c r="D28" i="60"/>
  <c r="C28" i="60"/>
  <c r="B28" i="60"/>
  <c r="K27" i="60"/>
  <c r="J27" i="60"/>
  <c r="I27" i="60"/>
  <c r="H27" i="60"/>
  <c r="G27" i="60"/>
  <c r="F27" i="60"/>
  <c r="E27" i="60"/>
  <c r="D27" i="60"/>
  <c r="C27" i="60"/>
  <c r="B27" i="60"/>
  <c r="K26" i="60"/>
  <c r="J26" i="60"/>
  <c r="I26" i="60"/>
  <c r="H26" i="60"/>
  <c r="G26" i="60"/>
  <c r="F26" i="60"/>
  <c r="E26" i="60"/>
  <c r="D26" i="60"/>
  <c r="C26" i="60"/>
  <c r="B26" i="60"/>
  <c r="K25" i="60"/>
  <c r="J25" i="60"/>
  <c r="I25" i="60"/>
  <c r="H25" i="60"/>
  <c r="G25" i="60"/>
  <c r="F25" i="60"/>
  <c r="E25" i="60"/>
  <c r="D25" i="60"/>
  <c r="C25" i="60"/>
  <c r="B25" i="60"/>
  <c r="I24" i="60"/>
  <c r="E24" i="60"/>
  <c r="I22" i="60"/>
  <c r="I36" i="60" s="1"/>
  <c r="F22" i="60"/>
  <c r="F36" i="60" s="1"/>
  <c r="K21" i="60"/>
  <c r="K32" i="60" s="1"/>
  <c r="J21" i="60"/>
  <c r="K21" i="61" s="1"/>
  <c r="I21" i="60"/>
  <c r="H21" i="60"/>
  <c r="I21" i="61" s="1"/>
  <c r="I32" i="61" s="1"/>
  <c r="G21" i="60"/>
  <c r="F21" i="60"/>
  <c r="G21" i="61" s="1"/>
  <c r="E21" i="60"/>
  <c r="F21" i="61" s="1"/>
  <c r="D21" i="60"/>
  <c r="C21" i="60"/>
  <c r="D21" i="61" s="1"/>
  <c r="B21" i="60"/>
  <c r="K20" i="60"/>
  <c r="J20" i="60"/>
  <c r="J31" i="60" s="1"/>
  <c r="I20" i="60"/>
  <c r="H20" i="60"/>
  <c r="G20" i="60"/>
  <c r="F20" i="60"/>
  <c r="F31" i="60" s="1"/>
  <c r="E20" i="60"/>
  <c r="E31" i="60" s="1"/>
  <c r="D20" i="60"/>
  <c r="C20" i="60"/>
  <c r="B20" i="60"/>
  <c r="B22" i="60" s="1"/>
  <c r="B36" i="60" s="1"/>
  <c r="K19" i="60"/>
  <c r="K30" i="60" s="1"/>
  <c r="I19" i="60"/>
  <c r="J19" i="61" s="1"/>
  <c r="H19" i="60"/>
  <c r="G19" i="60"/>
  <c r="H19" i="61" s="1"/>
  <c r="E19" i="60"/>
  <c r="F19" i="61" s="1"/>
  <c r="D19" i="60"/>
  <c r="E19" i="61" s="1"/>
  <c r="C19" i="60"/>
  <c r="D19" i="61" s="1"/>
  <c r="K18" i="60"/>
  <c r="J18" i="60"/>
  <c r="I18" i="60"/>
  <c r="H18" i="60"/>
  <c r="G18" i="60"/>
  <c r="F18" i="60"/>
  <c r="E18" i="60"/>
  <c r="E29" i="60" s="1"/>
  <c r="D18" i="60"/>
  <c r="C18" i="60"/>
  <c r="J13" i="60"/>
  <c r="J24" i="60" s="1"/>
  <c r="I13" i="60"/>
  <c r="F13" i="60"/>
  <c r="F24" i="60" s="1"/>
  <c r="E13" i="60"/>
  <c r="B13" i="60"/>
  <c r="B24" i="60" s="1"/>
  <c r="D11" i="60"/>
  <c r="D35" i="60" s="1"/>
  <c r="K10" i="60"/>
  <c r="J10" i="60"/>
  <c r="I10" i="60"/>
  <c r="H10" i="60"/>
  <c r="I10" i="61" s="1"/>
  <c r="G10" i="60"/>
  <c r="F10" i="60"/>
  <c r="F32" i="60" s="1"/>
  <c r="E10" i="60"/>
  <c r="F10" i="61" s="1"/>
  <c r="F32" i="61" s="1"/>
  <c r="D10" i="60"/>
  <c r="E10" i="61" s="1"/>
  <c r="C10" i="60"/>
  <c r="D10" i="61" s="1"/>
  <c r="B10" i="60"/>
  <c r="B32" i="60" s="1"/>
  <c r="K9" i="60"/>
  <c r="K31" i="60" s="1"/>
  <c r="J9" i="60"/>
  <c r="K9" i="61" s="1"/>
  <c r="G9" i="60"/>
  <c r="G31" i="60" s="1"/>
  <c r="E9" i="60"/>
  <c r="F9" i="61" s="1"/>
  <c r="D9" i="60"/>
  <c r="C9" i="60"/>
  <c r="K8" i="60"/>
  <c r="J8" i="60"/>
  <c r="I8" i="60"/>
  <c r="J8" i="61" s="1"/>
  <c r="J30" i="61" s="1"/>
  <c r="H8" i="60"/>
  <c r="H30" i="60" s="1"/>
  <c r="G8" i="60"/>
  <c r="H8" i="61" s="1"/>
  <c r="F8" i="60"/>
  <c r="E8" i="60"/>
  <c r="F8" i="61" s="1"/>
  <c r="F30" i="61" s="1"/>
  <c r="D8" i="60"/>
  <c r="E8" i="61" s="1"/>
  <c r="E30" i="61" s="1"/>
  <c r="C8" i="60"/>
  <c r="D8" i="61" s="1"/>
  <c r="K7" i="60"/>
  <c r="J7" i="60"/>
  <c r="J29" i="60" s="1"/>
  <c r="I7" i="60"/>
  <c r="H7" i="60"/>
  <c r="G7" i="60"/>
  <c r="F7" i="60"/>
  <c r="E7" i="60"/>
  <c r="D7" i="60"/>
  <c r="C7" i="60"/>
  <c r="K2" i="60"/>
  <c r="K13" i="60" s="1"/>
  <c r="K24" i="60" s="1"/>
  <c r="J2" i="60"/>
  <c r="I2" i="60"/>
  <c r="H2" i="60"/>
  <c r="H13" i="60" s="1"/>
  <c r="H24" i="60" s="1"/>
  <c r="G2" i="60"/>
  <c r="G13" i="60" s="1"/>
  <c r="G24" i="60" s="1"/>
  <c r="F2" i="60"/>
  <c r="E2" i="60"/>
  <c r="D2" i="60"/>
  <c r="D13" i="60" s="1"/>
  <c r="D24" i="60" s="1"/>
  <c r="C2" i="60"/>
  <c r="C13" i="60" s="1"/>
  <c r="C24" i="60" s="1"/>
  <c r="CY86" i="59"/>
  <c r="CX86" i="59"/>
  <c r="CW86" i="59"/>
  <c r="CV86" i="59"/>
  <c r="CU86" i="59"/>
  <c r="CT86" i="59"/>
  <c r="CS86" i="59"/>
  <c r="CR86" i="59"/>
  <c r="CQ86" i="59"/>
  <c r="CP86" i="59"/>
  <c r="CO86" i="59"/>
  <c r="CN86" i="59"/>
  <c r="CM86" i="59"/>
  <c r="CL86" i="59"/>
  <c r="CK86" i="59"/>
  <c r="CJ86" i="59"/>
  <c r="CI86" i="59"/>
  <c r="CH86" i="59"/>
  <c r="CG86" i="59"/>
  <c r="CF86" i="59"/>
  <c r="CE86" i="59"/>
  <c r="CD86" i="59"/>
  <c r="CC86" i="59"/>
  <c r="CB86" i="59"/>
  <c r="CA86" i="59"/>
  <c r="BZ86" i="59"/>
  <c r="BY86" i="59"/>
  <c r="BX86" i="59"/>
  <c r="BW86" i="59"/>
  <c r="BV86" i="59"/>
  <c r="BU86" i="59"/>
  <c r="BT86" i="59"/>
  <c r="BS86" i="59"/>
  <c r="BR86" i="59"/>
  <c r="BQ86" i="59"/>
  <c r="BP86" i="59"/>
  <c r="BO86" i="59"/>
  <c r="BN86" i="59"/>
  <c r="BM86" i="59"/>
  <c r="BL86" i="59"/>
  <c r="BK86" i="59"/>
  <c r="BJ86" i="59"/>
  <c r="BI86" i="59"/>
  <c r="BH86" i="59"/>
  <c r="BG86" i="59"/>
  <c r="BF86" i="59"/>
  <c r="BE86" i="59"/>
  <c r="BD86" i="59"/>
  <c r="BC86" i="59"/>
  <c r="BB86" i="59"/>
  <c r="BA86" i="59"/>
  <c r="AZ86" i="59"/>
  <c r="AY86" i="59"/>
  <c r="AX86" i="59"/>
  <c r="AW86" i="59"/>
  <c r="AV86" i="59"/>
  <c r="AU86" i="59"/>
  <c r="AT86" i="59"/>
  <c r="AS86" i="59"/>
  <c r="AR86" i="59"/>
  <c r="AQ86" i="59"/>
  <c r="AP86" i="59"/>
  <c r="AO86" i="59"/>
  <c r="AN86" i="59"/>
  <c r="AM86" i="59"/>
  <c r="AL86" i="59"/>
  <c r="AK86" i="59"/>
  <c r="AJ86" i="59"/>
  <c r="AI86" i="59"/>
  <c r="AH86" i="59"/>
  <c r="AG86" i="59"/>
  <c r="AF86" i="59"/>
  <c r="AE86" i="59"/>
  <c r="AD86" i="59"/>
  <c r="AC86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M85" i="59"/>
  <c r="L85" i="59"/>
  <c r="K85" i="59"/>
  <c r="J85" i="59"/>
  <c r="I85" i="59"/>
  <c r="H85" i="59"/>
  <c r="G85" i="59"/>
  <c r="F85" i="59"/>
  <c r="E85" i="59"/>
  <c r="AK84" i="59"/>
  <c r="AJ84" i="59"/>
  <c r="AI84" i="59"/>
  <c r="AH84" i="59"/>
  <c r="AG84" i="59"/>
  <c r="AF84" i="59"/>
  <c r="AE84" i="59"/>
  <c r="AD84" i="59"/>
  <c r="AC84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Y83" i="59"/>
  <c r="CX83" i="59"/>
  <c r="CW83" i="59"/>
  <c r="CV83" i="59"/>
  <c r="CU83" i="59"/>
  <c r="CT83" i="59"/>
  <c r="CS83" i="59"/>
  <c r="CR83" i="59"/>
  <c r="CQ83" i="59"/>
  <c r="CP83" i="59"/>
  <c r="CO83" i="59"/>
  <c r="CN83" i="59"/>
  <c r="CM83" i="59"/>
  <c r="CL83" i="59"/>
  <c r="CK83" i="59"/>
  <c r="CJ83" i="59"/>
  <c r="CI83" i="59"/>
  <c r="CH83" i="59"/>
  <c r="CG83" i="59"/>
  <c r="CF83" i="59"/>
  <c r="CE83" i="59"/>
  <c r="CD83" i="59"/>
  <c r="CC83" i="59"/>
  <c r="CB83" i="59"/>
  <c r="CA83" i="59"/>
  <c r="BZ83" i="59"/>
  <c r="BY83" i="59"/>
  <c r="BX83" i="59"/>
  <c r="BW83" i="59"/>
  <c r="BV83" i="59"/>
  <c r="BU83" i="59"/>
  <c r="BT83" i="59"/>
  <c r="BS83" i="59"/>
  <c r="BR83" i="59"/>
  <c r="BQ83" i="59"/>
  <c r="BP83" i="59"/>
  <c r="BO83" i="59"/>
  <c r="BN83" i="59"/>
  <c r="BM83" i="59"/>
  <c r="BL83" i="59"/>
  <c r="BK83" i="59"/>
  <c r="BJ83" i="59"/>
  <c r="BI83" i="59"/>
  <c r="BH83" i="59"/>
  <c r="BG83" i="59"/>
  <c r="BF83" i="59"/>
  <c r="BE83" i="59"/>
  <c r="BD83" i="59"/>
  <c r="BC83" i="59"/>
  <c r="BB83" i="59"/>
  <c r="BA83" i="59"/>
  <c r="AZ83" i="59"/>
  <c r="AY83" i="59"/>
  <c r="AX83" i="59"/>
  <c r="AW83" i="59"/>
  <c r="AV83" i="59"/>
  <c r="AU83" i="59"/>
  <c r="AT83" i="59"/>
  <c r="AS83" i="59"/>
  <c r="AR83" i="59"/>
  <c r="AQ83" i="59"/>
  <c r="AP83" i="59"/>
  <c r="AO83" i="59"/>
  <c r="AN83" i="59"/>
  <c r="AM83" i="59"/>
  <c r="AL83" i="59"/>
  <c r="AK83" i="59"/>
  <c r="AJ83" i="59"/>
  <c r="AI83" i="59"/>
  <c r="AH83" i="59"/>
  <c r="AG83" i="59"/>
  <c r="AF83" i="59"/>
  <c r="AE83" i="59"/>
  <c r="AD83" i="59"/>
  <c r="AC83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E82" i="59"/>
  <c r="M81" i="59"/>
  <c r="L81" i="59"/>
  <c r="K81" i="59"/>
  <c r="J81" i="59"/>
  <c r="I81" i="59"/>
  <c r="H81" i="59"/>
  <c r="G81" i="59"/>
  <c r="F81" i="59"/>
  <c r="E81" i="59"/>
  <c r="D81" i="59"/>
  <c r="AB80" i="59"/>
  <c r="AA80" i="59"/>
  <c r="Z80" i="59"/>
  <c r="E78" i="59"/>
  <c r="D78" i="59"/>
  <c r="CY77" i="59"/>
  <c r="CX77" i="59"/>
  <c r="CW77" i="59"/>
  <c r="CV77" i="59"/>
  <c r="CU77" i="59"/>
  <c r="CT77" i="59"/>
  <c r="CS77" i="59"/>
  <c r="CR77" i="59"/>
  <c r="CQ77" i="59"/>
  <c r="CP77" i="59"/>
  <c r="CO77" i="59"/>
  <c r="CN77" i="59"/>
  <c r="CM77" i="59"/>
  <c r="CL77" i="59"/>
  <c r="CK77" i="59"/>
  <c r="CJ77" i="59"/>
  <c r="CI77" i="59"/>
  <c r="CH77" i="59"/>
  <c r="CG77" i="59"/>
  <c r="CF77" i="59"/>
  <c r="CE77" i="59"/>
  <c r="CD77" i="59"/>
  <c r="CC77" i="59"/>
  <c r="CB77" i="59"/>
  <c r="CA77" i="59"/>
  <c r="BZ77" i="59"/>
  <c r="BY77" i="59"/>
  <c r="BX77" i="59"/>
  <c r="BW77" i="59"/>
  <c r="BV77" i="59"/>
  <c r="BU77" i="59"/>
  <c r="BT77" i="59"/>
  <c r="BS77" i="59"/>
  <c r="BR77" i="59"/>
  <c r="BQ77" i="59"/>
  <c r="BP77" i="59"/>
  <c r="BO77" i="59"/>
  <c r="BN77" i="59"/>
  <c r="BM77" i="59"/>
  <c r="BL77" i="59"/>
  <c r="BK77" i="59"/>
  <c r="BJ77" i="59"/>
  <c r="BI77" i="59"/>
  <c r="BH77" i="59"/>
  <c r="BG77" i="59"/>
  <c r="BF77" i="59"/>
  <c r="BE77" i="59"/>
  <c r="BD77" i="59"/>
  <c r="BC77" i="59"/>
  <c r="BB77" i="59"/>
  <c r="BA77" i="59"/>
  <c r="AZ77" i="59"/>
  <c r="AY77" i="59"/>
  <c r="AX77" i="59"/>
  <c r="AW77" i="59"/>
  <c r="AV77" i="59"/>
  <c r="AU77" i="59"/>
  <c r="AT77" i="59"/>
  <c r="AS77" i="59"/>
  <c r="AR77" i="59"/>
  <c r="AQ77" i="59"/>
  <c r="AP77" i="59"/>
  <c r="AO77" i="59"/>
  <c r="AN77" i="59"/>
  <c r="AM77" i="59"/>
  <c r="AL77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E77" i="59"/>
  <c r="D77" i="59"/>
  <c r="CY74" i="59"/>
  <c r="CX74" i="59"/>
  <c r="CW74" i="59"/>
  <c r="CV74" i="59"/>
  <c r="CU74" i="59"/>
  <c r="CT74" i="59"/>
  <c r="CS74" i="59"/>
  <c r="CR74" i="59"/>
  <c r="CQ74" i="59"/>
  <c r="CP74" i="59"/>
  <c r="CO74" i="59"/>
  <c r="CN74" i="59"/>
  <c r="CM74" i="59"/>
  <c r="CL74" i="59"/>
  <c r="CK74" i="59"/>
  <c r="CJ74" i="59"/>
  <c r="CI74" i="59"/>
  <c r="CH74" i="59"/>
  <c r="CG74" i="59"/>
  <c r="CF74" i="59"/>
  <c r="CE74" i="59"/>
  <c r="CD74" i="59"/>
  <c r="CC74" i="59"/>
  <c r="CB74" i="59"/>
  <c r="CA74" i="59"/>
  <c r="BZ74" i="59"/>
  <c r="BY74" i="59"/>
  <c r="BX74" i="59"/>
  <c r="BW74" i="59"/>
  <c r="BV74" i="59"/>
  <c r="BU74" i="59"/>
  <c r="BT74" i="59"/>
  <c r="BS74" i="59"/>
  <c r="BR74" i="59"/>
  <c r="BQ74" i="59"/>
  <c r="BP74" i="59"/>
  <c r="BO74" i="59"/>
  <c r="BN74" i="59"/>
  <c r="BM74" i="59"/>
  <c r="BL74" i="59"/>
  <c r="BK74" i="59"/>
  <c r="BJ74" i="59"/>
  <c r="BI74" i="59"/>
  <c r="BH74" i="59"/>
  <c r="BG74" i="59"/>
  <c r="BF74" i="59"/>
  <c r="BE74" i="59"/>
  <c r="BD74" i="59"/>
  <c r="BC74" i="59"/>
  <c r="BB74" i="59"/>
  <c r="BA74" i="59"/>
  <c r="AZ74" i="59"/>
  <c r="AY74" i="59"/>
  <c r="AX74" i="59"/>
  <c r="AW74" i="59"/>
  <c r="AV74" i="59"/>
  <c r="AU74" i="59"/>
  <c r="AT74" i="59"/>
  <c r="AS74" i="59"/>
  <c r="AR74" i="59"/>
  <c r="AQ74" i="59"/>
  <c r="AP74" i="59"/>
  <c r="AO74" i="59"/>
  <c r="AN74" i="59"/>
  <c r="AM74" i="59"/>
  <c r="AL74" i="59"/>
  <c r="AK74" i="59"/>
  <c r="AJ74" i="59"/>
  <c r="AI74" i="59"/>
  <c r="AH74" i="59"/>
  <c r="AG74" i="59"/>
  <c r="AF74" i="59"/>
  <c r="AE74" i="59"/>
  <c r="AD74" i="59"/>
  <c r="AC74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CY42" i="58"/>
  <c r="CX42" i="58"/>
  <c r="CW42" i="58"/>
  <c r="CV42" i="58"/>
  <c r="CU42" i="58"/>
  <c r="CT42" i="58"/>
  <c r="CS42" i="58"/>
  <c r="CR42" i="58"/>
  <c r="CQ42" i="58"/>
  <c r="CP42" i="58"/>
  <c r="CO42" i="58"/>
  <c r="CN42" i="58"/>
  <c r="CM42" i="58"/>
  <c r="CL42" i="58"/>
  <c r="CK42" i="58"/>
  <c r="CJ42" i="58"/>
  <c r="CI42" i="58"/>
  <c r="CH42" i="58"/>
  <c r="CG42" i="58"/>
  <c r="CF42" i="58"/>
  <c r="CE42" i="58"/>
  <c r="CD42" i="58"/>
  <c r="CC42" i="58"/>
  <c r="CB42" i="58"/>
  <c r="CA42" i="58"/>
  <c r="BZ42" i="58"/>
  <c r="BY42" i="58"/>
  <c r="BX42" i="58"/>
  <c r="BW42" i="58"/>
  <c r="BV42" i="58"/>
  <c r="BU42" i="58"/>
  <c r="BT42" i="58"/>
  <c r="BS42" i="58"/>
  <c r="BR42" i="58"/>
  <c r="BQ42" i="58"/>
  <c r="BP42" i="58"/>
  <c r="BO42" i="58"/>
  <c r="BN42" i="58"/>
  <c r="BM42" i="58"/>
  <c r="BL42" i="58"/>
  <c r="BK42" i="58"/>
  <c r="BJ42" i="58"/>
  <c r="BI42" i="58"/>
  <c r="BH42" i="58"/>
  <c r="BG42" i="58"/>
  <c r="BF42" i="58"/>
  <c r="BE42" i="58"/>
  <c r="BD42" i="58"/>
  <c r="BC42" i="58"/>
  <c r="BB42" i="58"/>
  <c r="BA42" i="58"/>
  <c r="AZ42" i="58"/>
  <c r="AY42" i="58"/>
  <c r="AX42" i="58"/>
  <c r="AW42" i="58"/>
  <c r="AV42" i="58"/>
  <c r="AU42" i="58"/>
  <c r="AT42" i="58"/>
  <c r="AS42" i="58"/>
  <c r="AR42" i="58"/>
  <c r="AQ42" i="58"/>
  <c r="AP42" i="58"/>
  <c r="AO42" i="58"/>
  <c r="AN42" i="58"/>
  <c r="AM42" i="58"/>
  <c r="AL42" i="58"/>
  <c r="AK42" i="58"/>
  <c r="AJ42" i="58"/>
  <c r="AI42" i="58"/>
  <c r="AH42" i="58"/>
  <c r="AG42" i="58"/>
  <c r="AF42" i="58"/>
  <c r="AE42" i="58"/>
  <c r="AD42" i="58"/>
  <c r="AC42" i="58"/>
  <c r="AB42" i="58"/>
  <c r="AA42" i="58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C42" i="58"/>
  <c r="B42" i="58"/>
  <c r="CY41" i="57"/>
  <c r="CX41" i="57"/>
  <c r="CW41" i="57"/>
  <c r="CU41" i="57"/>
  <c r="CT41" i="57"/>
  <c r="CS41" i="57"/>
  <c r="CR41" i="57"/>
  <c r="CQ41" i="57"/>
  <c r="CP41" i="57"/>
  <c r="CO41" i="57"/>
  <c r="CN41" i="57"/>
  <c r="CM41" i="57"/>
  <c r="CL41" i="57"/>
  <c r="CK41" i="57"/>
  <c r="CI41" i="57"/>
  <c r="CH41" i="57"/>
  <c r="CG41" i="57"/>
  <c r="CF41" i="57"/>
  <c r="CE41" i="57"/>
  <c r="CD41" i="57"/>
  <c r="CC41" i="57"/>
  <c r="CB41" i="57"/>
  <c r="CA41" i="57"/>
  <c r="BZ41" i="57"/>
  <c r="BY41" i="57"/>
  <c r="BW41" i="57"/>
  <c r="BV41" i="57"/>
  <c r="BU41" i="57"/>
  <c r="BT41" i="57"/>
  <c r="BS41" i="57"/>
  <c r="BR41" i="57"/>
  <c r="BQ41" i="57"/>
  <c r="BP41" i="57"/>
  <c r="BO41" i="57"/>
  <c r="BN41" i="57"/>
  <c r="BM41" i="57"/>
  <c r="BK41" i="57"/>
  <c r="BJ41" i="57"/>
  <c r="BI41" i="57"/>
  <c r="BH41" i="57"/>
  <c r="BG41" i="57"/>
  <c r="BF41" i="57"/>
  <c r="BE41" i="57"/>
  <c r="BD41" i="57"/>
  <c r="BC41" i="57"/>
  <c r="BB41" i="57"/>
  <c r="BA41" i="57"/>
  <c r="AY41" i="57"/>
  <c r="AX41" i="57"/>
  <c r="AW41" i="57"/>
  <c r="AV41" i="57"/>
  <c r="AU41" i="57"/>
  <c r="AT41" i="57"/>
  <c r="AS41" i="57"/>
  <c r="AR41" i="57"/>
  <c r="AQ41" i="57"/>
  <c r="AP41" i="57"/>
  <c r="AO41" i="57"/>
  <c r="AM41" i="57"/>
  <c r="AL41" i="57"/>
  <c r="AK41" i="57"/>
  <c r="AJ41" i="57"/>
  <c r="AI41" i="57"/>
  <c r="AH41" i="57"/>
  <c r="AG41" i="57"/>
  <c r="AF41" i="57"/>
  <c r="AE41" i="57"/>
  <c r="AD41" i="57"/>
  <c r="AC41" i="57"/>
  <c r="AA41" i="57"/>
  <c r="Z41" i="57"/>
  <c r="Y41" i="57"/>
  <c r="X41" i="57"/>
  <c r="W41" i="57"/>
  <c r="V41" i="57"/>
  <c r="U41" i="57"/>
  <c r="T41" i="57"/>
  <c r="S41" i="57"/>
  <c r="R41" i="57"/>
  <c r="Q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B39" i="57"/>
  <c r="P39" i="57"/>
  <c r="P41" i="57" s="1"/>
  <c r="BM35" i="57"/>
  <c r="CY33" i="57"/>
  <c r="CX33" i="57"/>
  <c r="CW33" i="57"/>
  <c r="CV33" i="57"/>
  <c r="CU33" i="57"/>
  <c r="CT33" i="57"/>
  <c r="CS33" i="57"/>
  <c r="CR33" i="57"/>
  <c r="CQ33" i="57"/>
  <c r="CP33" i="57"/>
  <c r="CO33" i="57"/>
  <c r="CN33" i="57"/>
  <c r="CM33" i="57"/>
  <c r="CL33" i="57"/>
  <c r="CK33" i="57"/>
  <c r="CJ33" i="57"/>
  <c r="CI33" i="57"/>
  <c r="CH33" i="57"/>
  <c r="CG33" i="57"/>
  <c r="CF33" i="57"/>
  <c r="CE33" i="57"/>
  <c r="CD33" i="57"/>
  <c r="CC33" i="57"/>
  <c r="CB33" i="57"/>
  <c r="CA33" i="57"/>
  <c r="BZ33" i="57"/>
  <c r="BY33" i="57"/>
  <c r="BX33" i="57"/>
  <c r="BW33" i="57"/>
  <c r="BV33" i="57"/>
  <c r="BU33" i="57"/>
  <c r="BT33" i="57"/>
  <c r="BS33" i="57"/>
  <c r="BR33" i="57"/>
  <c r="BQ33" i="57"/>
  <c r="BP33" i="57"/>
  <c r="BO33" i="57"/>
  <c r="BN33" i="57"/>
  <c r="BM33" i="57"/>
  <c r="BL33" i="57"/>
  <c r="BK33" i="57"/>
  <c r="BJ33" i="57"/>
  <c r="BI33" i="57"/>
  <c r="BH33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CO26" i="57"/>
  <c r="CO35" i="57" s="1"/>
  <c r="CK26" i="57"/>
  <c r="CK35" i="57" s="1"/>
  <c r="BY26" i="57"/>
  <c r="BY35" i="57" s="1"/>
  <c r="BU26" i="57"/>
  <c r="BU35" i="57" s="1"/>
  <c r="BI26" i="57"/>
  <c r="BI35" i="57" s="1"/>
  <c r="BE26" i="57"/>
  <c r="BE35" i="57" s="1"/>
  <c r="AS26" i="57"/>
  <c r="AS35" i="57" s="1"/>
  <c r="AO26" i="57"/>
  <c r="AO35" i="57" s="1"/>
  <c r="AC26" i="57"/>
  <c r="AC35" i="57" s="1"/>
  <c r="Y26" i="57"/>
  <c r="Y35" i="57" s="1"/>
  <c r="M26" i="57"/>
  <c r="M35" i="57" s="1"/>
  <c r="I26" i="57"/>
  <c r="I35" i="57" s="1"/>
  <c r="CY24" i="57"/>
  <c r="CX24" i="57"/>
  <c r="CW24" i="57"/>
  <c r="CV24" i="57"/>
  <c r="CU24" i="57"/>
  <c r="CT24" i="57"/>
  <c r="CS24" i="57"/>
  <c r="CR24" i="57"/>
  <c r="CQ24" i="57"/>
  <c r="CP24" i="57"/>
  <c r="CO24" i="57"/>
  <c r="CN24" i="57"/>
  <c r="CM24" i="57"/>
  <c r="CL24" i="57"/>
  <c r="CK24" i="57"/>
  <c r="CJ24" i="57"/>
  <c r="CI24" i="57"/>
  <c r="CH24" i="57"/>
  <c r="CG24" i="57"/>
  <c r="CF24" i="57"/>
  <c r="CE24" i="57"/>
  <c r="CD24" i="57"/>
  <c r="CC24" i="57"/>
  <c r="CB24" i="57"/>
  <c r="CA24" i="57"/>
  <c r="BZ24" i="57"/>
  <c r="BY24" i="57"/>
  <c r="BX24" i="57"/>
  <c r="BW24" i="57"/>
  <c r="BV24" i="57"/>
  <c r="BU24" i="57"/>
  <c r="BT24" i="57"/>
  <c r="BS24" i="57"/>
  <c r="BR24" i="57"/>
  <c r="BQ24" i="57"/>
  <c r="BP24" i="57"/>
  <c r="BO24" i="57"/>
  <c r="BN24" i="57"/>
  <c r="BM24" i="57"/>
  <c r="BL24" i="57"/>
  <c r="BK24" i="57"/>
  <c r="BJ24" i="57"/>
  <c r="BI24" i="57"/>
  <c r="BH24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CW16" i="57"/>
  <c r="CO16" i="57"/>
  <c r="CG16" i="57"/>
  <c r="BY16" i="57"/>
  <c r="BQ16" i="57"/>
  <c r="BI16" i="57"/>
  <c r="BA16" i="57"/>
  <c r="AS16" i="57"/>
  <c r="AK16" i="57"/>
  <c r="AC16" i="57"/>
  <c r="U16" i="57"/>
  <c r="M16" i="57"/>
  <c r="E16" i="57"/>
  <c r="CY14" i="57"/>
  <c r="CX14" i="57"/>
  <c r="CX4" i="55" s="1"/>
  <c r="CW14" i="57"/>
  <c r="CV14" i="57"/>
  <c r="CU14" i="57"/>
  <c r="CT14" i="57"/>
  <c r="CT4" i="55" s="1"/>
  <c r="CS14" i="57"/>
  <c r="CR14" i="57"/>
  <c r="CQ14" i="57"/>
  <c r="CP14" i="57"/>
  <c r="CP4" i="55" s="1"/>
  <c r="CO14" i="57"/>
  <c r="CN14" i="57"/>
  <c r="CM14" i="57"/>
  <c r="CL14" i="57"/>
  <c r="CL4" i="55" s="1"/>
  <c r="CK14" i="57"/>
  <c r="CJ14" i="57"/>
  <c r="CI14" i="57"/>
  <c r="CH14" i="57"/>
  <c r="CH4" i="55" s="1"/>
  <c r="CG14" i="57"/>
  <c r="CF14" i="57"/>
  <c r="CE14" i="57"/>
  <c r="CD14" i="57"/>
  <c r="CD4" i="55" s="1"/>
  <c r="CC14" i="57"/>
  <c r="CB14" i="57"/>
  <c r="CA14" i="57"/>
  <c r="BZ14" i="57"/>
  <c r="BZ4" i="55" s="1"/>
  <c r="BY14" i="57"/>
  <c r="BX14" i="57"/>
  <c r="BW14" i="57"/>
  <c r="BV14" i="57"/>
  <c r="BV4" i="55" s="1"/>
  <c r="BU14" i="57"/>
  <c r="BT14" i="57"/>
  <c r="BS14" i="57"/>
  <c r="BR14" i="57"/>
  <c r="BR4" i="55" s="1"/>
  <c r="BQ14" i="57"/>
  <c r="BP14" i="57"/>
  <c r="BO14" i="57"/>
  <c r="BN14" i="57"/>
  <c r="BN4" i="55" s="1"/>
  <c r="BM14" i="57"/>
  <c r="BL14" i="57"/>
  <c r="BK14" i="57"/>
  <c r="BJ14" i="57"/>
  <c r="BJ4" i="55" s="1"/>
  <c r="BI14" i="57"/>
  <c r="BH14" i="57"/>
  <c r="BG14" i="57"/>
  <c r="BF14" i="57"/>
  <c r="BF4" i="55" s="1"/>
  <c r="BE14" i="57"/>
  <c r="BD14" i="57"/>
  <c r="BC14" i="57"/>
  <c r="BB14" i="57"/>
  <c r="BB4" i="55" s="1"/>
  <c r="BA14" i="57"/>
  <c r="AZ14" i="57"/>
  <c r="AY14" i="57"/>
  <c r="AX14" i="57"/>
  <c r="AX4" i="55" s="1"/>
  <c r="AW14" i="57"/>
  <c r="AV14" i="57"/>
  <c r="AU14" i="57"/>
  <c r="AT14" i="57"/>
  <c r="AT4" i="55" s="1"/>
  <c r="AS14" i="57"/>
  <c r="AR14" i="57"/>
  <c r="AQ14" i="57"/>
  <c r="AP14" i="57"/>
  <c r="AP4" i="55" s="1"/>
  <c r="AO14" i="57"/>
  <c r="AN14" i="57"/>
  <c r="AM14" i="57"/>
  <c r="AL14" i="57"/>
  <c r="AL4" i="55" s="1"/>
  <c r="AK14" i="57"/>
  <c r="AJ14" i="57"/>
  <c r="AI14" i="57"/>
  <c r="AH14" i="57"/>
  <c r="AH4" i="55" s="1"/>
  <c r="AG14" i="57"/>
  <c r="AF14" i="57"/>
  <c r="AE14" i="57"/>
  <c r="AD14" i="57"/>
  <c r="AD4" i="55" s="1"/>
  <c r="AC14" i="57"/>
  <c r="AB14" i="57"/>
  <c r="AA14" i="57"/>
  <c r="Z14" i="57"/>
  <c r="Z4" i="55" s="1"/>
  <c r="Y14" i="57"/>
  <c r="X14" i="57"/>
  <c r="W14" i="57"/>
  <c r="V14" i="57"/>
  <c r="V4" i="55" s="1"/>
  <c r="U14" i="57"/>
  <c r="T14" i="57"/>
  <c r="S14" i="57"/>
  <c r="R14" i="57"/>
  <c r="R4" i="55" s="1"/>
  <c r="Q14" i="57"/>
  <c r="P14" i="57"/>
  <c r="O14" i="57"/>
  <c r="N14" i="57"/>
  <c r="N4" i="55" s="1"/>
  <c r="M14" i="57"/>
  <c r="L14" i="57"/>
  <c r="K14" i="57"/>
  <c r="J14" i="57"/>
  <c r="J4" i="55" s="1"/>
  <c r="I14" i="57"/>
  <c r="H14" i="57"/>
  <c r="G14" i="57"/>
  <c r="F14" i="57"/>
  <c r="F4" i="55" s="1"/>
  <c r="E14" i="57"/>
  <c r="D14" i="57"/>
  <c r="C14" i="57"/>
  <c r="B14" i="57"/>
  <c r="B4" i="55" s="1"/>
  <c r="CY2" i="57"/>
  <c r="CY26" i="57" s="1"/>
  <c r="CY35" i="57" s="1"/>
  <c r="CX2" i="57"/>
  <c r="CX26" i="57" s="1"/>
  <c r="CX35" i="57" s="1"/>
  <c r="CW2" i="57"/>
  <c r="CW26" i="57" s="1"/>
  <c r="CW35" i="57" s="1"/>
  <c r="CV2" i="57"/>
  <c r="CU2" i="57"/>
  <c r="CU26" i="57" s="1"/>
  <c r="CU35" i="57" s="1"/>
  <c r="CT2" i="57"/>
  <c r="CT26" i="57" s="1"/>
  <c r="CT35" i="57" s="1"/>
  <c r="CS2" i="57"/>
  <c r="CS26" i="57" s="1"/>
  <c r="CS35" i="57" s="1"/>
  <c r="CR2" i="57"/>
  <c r="CR26" i="57" s="1"/>
  <c r="CR35" i="57" s="1"/>
  <c r="CQ2" i="57"/>
  <c r="CQ26" i="57" s="1"/>
  <c r="CQ35" i="57" s="1"/>
  <c r="CP2" i="57"/>
  <c r="CP26" i="57" s="1"/>
  <c r="CP35" i="57" s="1"/>
  <c r="CO2" i="57"/>
  <c r="CN2" i="57"/>
  <c r="CM2" i="57"/>
  <c r="CM26" i="57" s="1"/>
  <c r="CM35" i="57" s="1"/>
  <c r="CL2" i="57"/>
  <c r="CL26" i="57" s="1"/>
  <c r="CL35" i="57" s="1"/>
  <c r="CK2" i="57"/>
  <c r="CK16" i="57" s="1"/>
  <c r="CJ2" i="57"/>
  <c r="CJ26" i="57" s="1"/>
  <c r="CJ35" i="57" s="1"/>
  <c r="CI2" i="57"/>
  <c r="CI26" i="57" s="1"/>
  <c r="CI35" i="57" s="1"/>
  <c r="CH2" i="57"/>
  <c r="CH26" i="57" s="1"/>
  <c r="CH35" i="57" s="1"/>
  <c r="CG2" i="57"/>
  <c r="CG26" i="57" s="1"/>
  <c r="CG35" i="57" s="1"/>
  <c r="CF2" i="57"/>
  <c r="CE2" i="57"/>
  <c r="CE26" i="57" s="1"/>
  <c r="CE35" i="57" s="1"/>
  <c r="CD2" i="57"/>
  <c r="CD26" i="57" s="1"/>
  <c r="CD35" i="57" s="1"/>
  <c r="CC2" i="57"/>
  <c r="CC26" i="57" s="1"/>
  <c r="CC35" i="57" s="1"/>
  <c r="CB2" i="57"/>
  <c r="CB26" i="57" s="1"/>
  <c r="CB35" i="57" s="1"/>
  <c r="CA2" i="57"/>
  <c r="CA26" i="57" s="1"/>
  <c r="CA35" i="57" s="1"/>
  <c r="BZ2" i="57"/>
  <c r="BZ26" i="57" s="1"/>
  <c r="BZ35" i="57" s="1"/>
  <c r="BY2" i="57"/>
  <c r="BX2" i="57"/>
  <c r="BW2" i="57"/>
  <c r="BW26" i="57" s="1"/>
  <c r="BW35" i="57" s="1"/>
  <c r="BV2" i="57"/>
  <c r="BV26" i="57" s="1"/>
  <c r="BV35" i="57" s="1"/>
  <c r="BU2" i="57"/>
  <c r="BU16" i="57" s="1"/>
  <c r="BT2" i="57"/>
  <c r="BT26" i="57" s="1"/>
  <c r="BT35" i="57" s="1"/>
  <c r="BS2" i="57"/>
  <c r="BS26" i="57" s="1"/>
  <c r="BS35" i="57" s="1"/>
  <c r="BR2" i="57"/>
  <c r="BR26" i="57" s="1"/>
  <c r="BR35" i="57" s="1"/>
  <c r="BQ2" i="57"/>
  <c r="BQ26" i="57" s="1"/>
  <c r="BQ35" i="57" s="1"/>
  <c r="BP2" i="57"/>
  <c r="BO2" i="57"/>
  <c r="BO26" i="57" s="1"/>
  <c r="BO35" i="57" s="1"/>
  <c r="BN2" i="57"/>
  <c r="BN26" i="57" s="1"/>
  <c r="BN35" i="57" s="1"/>
  <c r="BM2" i="57"/>
  <c r="BM26" i="57" s="1"/>
  <c r="BL2" i="57"/>
  <c r="BL26" i="57" s="1"/>
  <c r="BL35" i="57" s="1"/>
  <c r="BK2" i="57"/>
  <c r="BK26" i="57" s="1"/>
  <c r="BK35" i="57" s="1"/>
  <c r="BJ2" i="57"/>
  <c r="BJ26" i="57" s="1"/>
  <c r="BJ35" i="57" s="1"/>
  <c r="BI2" i="57"/>
  <c r="BH2" i="57"/>
  <c r="BG2" i="57"/>
  <c r="BG26" i="57" s="1"/>
  <c r="BG35" i="57" s="1"/>
  <c r="BF2" i="57"/>
  <c r="BF26" i="57" s="1"/>
  <c r="BF35" i="57" s="1"/>
  <c r="BE2" i="57"/>
  <c r="BE16" i="57" s="1"/>
  <c r="BD2" i="57"/>
  <c r="BD26" i="57" s="1"/>
  <c r="BD35" i="57" s="1"/>
  <c r="BC2" i="57"/>
  <c r="BC26" i="57" s="1"/>
  <c r="BC35" i="57" s="1"/>
  <c r="BB2" i="57"/>
  <c r="BB26" i="57" s="1"/>
  <c r="BB35" i="57" s="1"/>
  <c r="BA2" i="57"/>
  <c r="BA26" i="57" s="1"/>
  <c r="BA35" i="57" s="1"/>
  <c r="AZ2" i="57"/>
  <c r="AY2" i="57"/>
  <c r="AY26" i="57" s="1"/>
  <c r="AY35" i="57" s="1"/>
  <c r="AX2" i="57"/>
  <c r="AX26" i="57" s="1"/>
  <c r="AX35" i="57" s="1"/>
  <c r="AW2" i="57"/>
  <c r="AW26" i="57" s="1"/>
  <c r="AW35" i="57" s="1"/>
  <c r="AV2" i="57"/>
  <c r="AV26" i="57" s="1"/>
  <c r="AV35" i="57" s="1"/>
  <c r="AU2" i="57"/>
  <c r="AU26" i="57" s="1"/>
  <c r="AU35" i="57" s="1"/>
  <c r="AT2" i="57"/>
  <c r="AT26" i="57" s="1"/>
  <c r="AT35" i="57" s="1"/>
  <c r="AS2" i="57"/>
  <c r="AR2" i="57"/>
  <c r="AQ2" i="57"/>
  <c r="AQ26" i="57" s="1"/>
  <c r="AQ35" i="57" s="1"/>
  <c r="AP2" i="57"/>
  <c r="AP26" i="57" s="1"/>
  <c r="AP35" i="57" s="1"/>
  <c r="AO2" i="57"/>
  <c r="AO16" i="57" s="1"/>
  <c r="AN2" i="57"/>
  <c r="AN26" i="57" s="1"/>
  <c r="AN35" i="57" s="1"/>
  <c r="AM2" i="57"/>
  <c r="AM26" i="57" s="1"/>
  <c r="AM35" i="57" s="1"/>
  <c r="AL2" i="57"/>
  <c r="AL26" i="57" s="1"/>
  <c r="AL35" i="57" s="1"/>
  <c r="AK2" i="57"/>
  <c r="AK26" i="57" s="1"/>
  <c r="AK35" i="57" s="1"/>
  <c r="AJ2" i="57"/>
  <c r="AI2" i="57"/>
  <c r="AI26" i="57" s="1"/>
  <c r="AI35" i="57" s="1"/>
  <c r="AH2" i="57"/>
  <c r="AH26" i="57" s="1"/>
  <c r="AH35" i="57" s="1"/>
  <c r="AG2" i="57"/>
  <c r="AG26" i="57" s="1"/>
  <c r="AG35" i="57" s="1"/>
  <c r="AF2" i="57"/>
  <c r="AF26" i="57" s="1"/>
  <c r="AF35" i="57" s="1"/>
  <c r="AE2" i="57"/>
  <c r="AE26" i="57" s="1"/>
  <c r="AE35" i="57" s="1"/>
  <c r="AD2" i="57"/>
  <c r="AD26" i="57" s="1"/>
  <c r="AD35" i="57" s="1"/>
  <c r="AC2" i="57"/>
  <c r="AB2" i="57"/>
  <c r="AA2" i="57"/>
  <c r="AA26" i="57" s="1"/>
  <c r="AA35" i="57" s="1"/>
  <c r="Z2" i="57"/>
  <c r="Z26" i="57" s="1"/>
  <c r="Z35" i="57" s="1"/>
  <c r="Y2" i="57"/>
  <c r="Y16" i="57" s="1"/>
  <c r="X2" i="57"/>
  <c r="X26" i="57" s="1"/>
  <c r="X35" i="57" s="1"/>
  <c r="W2" i="57"/>
  <c r="W26" i="57" s="1"/>
  <c r="W35" i="57" s="1"/>
  <c r="V2" i="57"/>
  <c r="V26" i="57" s="1"/>
  <c r="V35" i="57" s="1"/>
  <c r="U2" i="57"/>
  <c r="U26" i="57" s="1"/>
  <c r="U35" i="57" s="1"/>
  <c r="T2" i="57"/>
  <c r="S2" i="57"/>
  <c r="S26" i="57" s="1"/>
  <c r="S35" i="57" s="1"/>
  <c r="R2" i="57"/>
  <c r="R26" i="57" s="1"/>
  <c r="R35" i="57" s="1"/>
  <c r="Q2" i="57"/>
  <c r="Q26" i="57" s="1"/>
  <c r="Q35" i="57" s="1"/>
  <c r="P2" i="57"/>
  <c r="P26" i="57" s="1"/>
  <c r="P35" i="57" s="1"/>
  <c r="O2" i="57"/>
  <c r="O26" i="57" s="1"/>
  <c r="O35" i="57" s="1"/>
  <c r="N2" i="57"/>
  <c r="N26" i="57" s="1"/>
  <c r="N35" i="57" s="1"/>
  <c r="M2" i="57"/>
  <c r="L2" i="57"/>
  <c r="K2" i="57"/>
  <c r="K26" i="57" s="1"/>
  <c r="K35" i="57" s="1"/>
  <c r="J2" i="57"/>
  <c r="J26" i="57" s="1"/>
  <c r="J35" i="57" s="1"/>
  <c r="I2" i="57"/>
  <c r="I16" i="57" s="1"/>
  <c r="H2" i="57"/>
  <c r="H26" i="57" s="1"/>
  <c r="H35" i="57" s="1"/>
  <c r="G2" i="57"/>
  <c r="G26" i="57" s="1"/>
  <c r="G35" i="57" s="1"/>
  <c r="F2" i="57"/>
  <c r="F26" i="57" s="1"/>
  <c r="F35" i="57" s="1"/>
  <c r="E2" i="57"/>
  <c r="E26" i="57" s="1"/>
  <c r="E35" i="57" s="1"/>
  <c r="D2" i="57"/>
  <c r="C2" i="57"/>
  <c r="C26" i="57" s="1"/>
  <c r="C35" i="57" s="1"/>
  <c r="B2" i="57"/>
  <c r="B26" i="57" s="1"/>
  <c r="B35" i="57" s="1"/>
  <c r="CS36" i="56"/>
  <c r="CP5" i="55" s="1"/>
  <c r="CH36" i="56"/>
  <c r="CE5" i="55" s="1"/>
  <c r="BR36" i="56"/>
  <c r="BB36" i="56"/>
  <c r="AL36" i="56"/>
  <c r="V36" i="56"/>
  <c r="S5" i="55" s="1"/>
  <c r="S7" i="55" s="1"/>
  <c r="F36" i="56"/>
  <c r="DB35" i="56"/>
  <c r="DA35" i="56"/>
  <c r="CZ35" i="56"/>
  <c r="CY35" i="56"/>
  <c r="CX35" i="56"/>
  <c r="CW35" i="56"/>
  <c r="CV35" i="56"/>
  <c r="CU35" i="56"/>
  <c r="CT35" i="56"/>
  <c r="CS35" i="56"/>
  <c r="CR35" i="56"/>
  <c r="CQ35" i="56"/>
  <c r="CP35" i="56"/>
  <c r="CO35" i="56"/>
  <c r="CN35" i="56"/>
  <c r="CM35" i="56"/>
  <c r="CL35" i="56"/>
  <c r="CK35" i="56"/>
  <c r="CJ35" i="56"/>
  <c r="CI35" i="56"/>
  <c r="CH35" i="56"/>
  <c r="CG35" i="56"/>
  <c r="CF35" i="56"/>
  <c r="CE35" i="56"/>
  <c r="CD35" i="56"/>
  <c r="CC35" i="56"/>
  <c r="CB35" i="56"/>
  <c r="CA35" i="56"/>
  <c r="BZ35" i="56"/>
  <c r="BY35" i="56"/>
  <c r="BX35" i="56"/>
  <c r="BW35" i="56"/>
  <c r="BV35" i="56"/>
  <c r="BU35" i="56"/>
  <c r="BT35" i="56"/>
  <c r="BS35" i="56"/>
  <c r="BR35" i="56"/>
  <c r="BQ35" i="56"/>
  <c r="BP35" i="56"/>
  <c r="BO35" i="56"/>
  <c r="BN35" i="56"/>
  <c r="BM35" i="56"/>
  <c r="BL35" i="56"/>
  <c r="BK35" i="56"/>
  <c r="BJ35" i="56"/>
  <c r="BI35" i="56"/>
  <c r="BH35" i="56"/>
  <c r="BG35" i="56"/>
  <c r="BF35" i="56"/>
  <c r="BE35" i="56"/>
  <c r="BD35" i="56"/>
  <c r="BC35" i="56"/>
  <c r="BB35" i="56"/>
  <c r="BA35" i="56"/>
  <c r="AZ35" i="56"/>
  <c r="AY35" i="56"/>
  <c r="AX35" i="56"/>
  <c r="AW35" i="56"/>
  <c r="AV35" i="56"/>
  <c r="AU35" i="56"/>
  <c r="AT35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A35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B33" i="56"/>
  <c r="DA33" i="56"/>
  <c r="CZ33" i="56"/>
  <c r="CY33" i="56"/>
  <c r="CX33" i="56"/>
  <c r="CW33" i="56"/>
  <c r="CV33" i="56"/>
  <c r="CU33" i="56"/>
  <c r="CT33" i="56"/>
  <c r="CS33" i="56"/>
  <c r="CR33" i="56"/>
  <c r="CQ33" i="56"/>
  <c r="CP33" i="56"/>
  <c r="CO33" i="56"/>
  <c r="CN33" i="56"/>
  <c r="CM33" i="56"/>
  <c r="CL33" i="56"/>
  <c r="CK33" i="56"/>
  <c r="CJ33" i="56"/>
  <c r="CI33" i="56"/>
  <c r="CH33" i="56"/>
  <c r="CG33" i="56"/>
  <c r="CF33" i="56"/>
  <c r="CE33" i="56"/>
  <c r="CD33" i="56"/>
  <c r="CC33" i="56"/>
  <c r="CB33" i="56"/>
  <c r="CA33" i="56"/>
  <c r="BZ33" i="56"/>
  <c r="BZ36" i="56" s="1"/>
  <c r="BY33" i="56"/>
  <c r="BX33" i="56"/>
  <c r="BW33" i="56"/>
  <c r="BV33" i="56"/>
  <c r="BU33" i="56"/>
  <c r="BT33" i="56"/>
  <c r="BS33" i="56"/>
  <c r="BR33" i="56"/>
  <c r="BQ33" i="56"/>
  <c r="BP33" i="56"/>
  <c r="BO33" i="56"/>
  <c r="BN33" i="56"/>
  <c r="BM33" i="56"/>
  <c r="BL33" i="56"/>
  <c r="BK33" i="56"/>
  <c r="BJ33" i="56"/>
  <c r="BJ36" i="56" s="1"/>
  <c r="BI33" i="56"/>
  <c r="BH33" i="56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T36" i="56" s="1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D36" i="56" s="1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N36" i="56" s="1"/>
  <c r="M33" i="56"/>
  <c r="L33" i="56"/>
  <c r="K33" i="56"/>
  <c r="J33" i="56"/>
  <c r="I33" i="56"/>
  <c r="H33" i="56"/>
  <c r="G33" i="56"/>
  <c r="F33" i="56"/>
  <c r="E33" i="56"/>
  <c r="DB32" i="56"/>
  <c r="DA32" i="56"/>
  <c r="DA36" i="56" s="1"/>
  <c r="CX5" i="55" s="1"/>
  <c r="CZ32" i="56"/>
  <c r="CY32" i="56"/>
  <c r="CX32" i="56"/>
  <c r="CW32" i="56"/>
  <c r="CV32" i="56"/>
  <c r="CU32" i="56"/>
  <c r="CT32" i="56"/>
  <c r="CS32" i="56"/>
  <c r="CR32" i="56"/>
  <c r="CQ32" i="56"/>
  <c r="CP32" i="56"/>
  <c r="CO32" i="56"/>
  <c r="CN32" i="56"/>
  <c r="CM32" i="56"/>
  <c r="CL32" i="56"/>
  <c r="CK32" i="56"/>
  <c r="CJ32" i="56"/>
  <c r="CI32" i="56"/>
  <c r="CH32" i="56"/>
  <c r="CG32" i="56"/>
  <c r="CF32" i="56"/>
  <c r="CE32" i="56"/>
  <c r="CD32" i="56"/>
  <c r="CC32" i="56"/>
  <c r="CB32" i="56"/>
  <c r="CA32" i="56"/>
  <c r="BZ32" i="56"/>
  <c r="BY32" i="56"/>
  <c r="BX32" i="56"/>
  <c r="BW32" i="56"/>
  <c r="BV32" i="56"/>
  <c r="BU32" i="56"/>
  <c r="BT32" i="56"/>
  <c r="BS32" i="56"/>
  <c r="BR32" i="56"/>
  <c r="BQ32" i="56"/>
  <c r="BP32" i="56"/>
  <c r="BO32" i="56"/>
  <c r="BN32" i="56"/>
  <c r="BM32" i="56"/>
  <c r="BL32" i="56"/>
  <c r="BK32" i="56"/>
  <c r="BJ32" i="56"/>
  <c r="BI32" i="56"/>
  <c r="BH32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B31" i="56"/>
  <c r="DA31" i="56"/>
  <c r="CZ31" i="56"/>
  <c r="CY31" i="56"/>
  <c r="CX31" i="56"/>
  <c r="CW31" i="56"/>
  <c r="CV31" i="56"/>
  <c r="CU31" i="56"/>
  <c r="CT31" i="56"/>
  <c r="CS31" i="56"/>
  <c r="CR31" i="56"/>
  <c r="CQ31" i="56"/>
  <c r="CP31" i="56"/>
  <c r="CO31" i="56"/>
  <c r="CN31" i="56"/>
  <c r="CM31" i="56"/>
  <c r="CL31" i="56"/>
  <c r="CK31" i="56"/>
  <c r="CJ31" i="56"/>
  <c r="CI31" i="56"/>
  <c r="CH31" i="56"/>
  <c r="CG31" i="56"/>
  <c r="CF31" i="56"/>
  <c r="CE31" i="56"/>
  <c r="CD31" i="56"/>
  <c r="CC31" i="56"/>
  <c r="CB31" i="56"/>
  <c r="CA31" i="56"/>
  <c r="BZ31" i="56"/>
  <c r="BY31" i="56"/>
  <c r="BX31" i="56"/>
  <c r="BW31" i="56"/>
  <c r="BV31" i="56"/>
  <c r="BU31" i="56"/>
  <c r="BT31" i="56"/>
  <c r="BS31" i="56"/>
  <c r="BR31" i="56"/>
  <c r="BQ31" i="56"/>
  <c r="BP31" i="56"/>
  <c r="BO31" i="56"/>
  <c r="BN31" i="56"/>
  <c r="BM31" i="56"/>
  <c r="BL31" i="56"/>
  <c r="BK31" i="56"/>
  <c r="BJ31" i="56"/>
  <c r="BI31" i="56"/>
  <c r="BH31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A31" i="56"/>
  <c r="DB30" i="56"/>
  <c r="DA30" i="56"/>
  <c r="CZ30" i="56"/>
  <c r="CY30" i="56"/>
  <c r="CX30" i="56"/>
  <c r="CW30" i="56"/>
  <c r="CV30" i="56"/>
  <c r="CU30" i="56"/>
  <c r="CT30" i="56"/>
  <c r="CS30" i="56"/>
  <c r="CR30" i="56"/>
  <c r="CQ30" i="56"/>
  <c r="CP30" i="56"/>
  <c r="CO30" i="56"/>
  <c r="CN30" i="56"/>
  <c r="CM30" i="56"/>
  <c r="CL30" i="56"/>
  <c r="CK30" i="56"/>
  <c r="CJ30" i="56"/>
  <c r="CI30" i="56"/>
  <c r="CH30" i="56"/>
  <c r="CG30" i="56"/>
  <c r="CF30" i="56"/>
  <c r="CE30" i="56"/>
  <c r="CD30" i="56"/>
  <c r="CC30" i="56"/>
  <c r="CB30" i="56"/>
  <c r="CA30" i="56"/>
  <c r="BZ30" i="56"/>
  <c r="BY30" i="56"/>
  <c r="BX30" i="56"/>
  <c r="BW30" i="56"/>
  <c r="BV30" i="56"/>
  <c r="BU30" i="56"/>
  <c r="BT30" i="56"/>
  <c r="BS30" i="56"/>
  <c r="BR30" i="56"/>
  <c r="BQ30" i="56"/>
  <c r="BP30" i="56"/>
  <c r="BO30" i="56"/>
  <c r="BN30" i="56"/>
  <c r="BM30" i="56"/>
  <c r="BL30" i="56"/>
  <c r="BK30" i="56"/>
  <c r="BJ30" i="56"/>
  <c r="BI30" i="56"/>
  <c r="BH30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B29" i="56"/>
  <c r="DA29" i="56"/>
  <c r="CZ29" i="56"/>
  <c r="CY29" i="56"/>
  <c r="CX29" i="56"/>
  <c r="CW29" i="56"/>
  <c r="CW36" i="56" s="1"/>
  <c r="CT5" i="55" s="1"/>
  <c r="CV29" i="56"/>
  <c r="CU29" i="56"/>
  <c r="CT29" i="56"/>
  <c r="CS29" i="56"/>
  <c r="CR29" i="56"/>
  <c r="CQ29" i="56"/>
  <c r="CP29" i="56"/>
  <c r="CO29" i="56"/>
  <c r="CO36" i="56" s="1"/>
  <c r="CL5" i="55" s="1"/>
  <c r="CN29" i="56"/>
  <c r="CM29" i="56"/>
  <c r="CL29" i="56"/>
  <c r="CL36" i="56" s="1"/>
  <c r="CI5" i="55" s="1"/>
  <c r="CK29" i="56"/>
  <c r="CK36" i="56" s="1"/>
  <c r="CH5" i="55" s="1"/>
  <c r="CJ29" i="56"/>
  <c r="CI29" i="56"/>
  <c r="CH29" i="56"/>
  <c r="CG29" i="56"/>
  <c r="CG36" i="56" s="1"/>
  <c r="CD5" i="55" s="1"/>
  <c r="CF29" i="56"/>
  <c r="CE29" i="56"/>
  <c r="CD29" i="56"/>
  <c r="CD36" i="56" s="1"/>
  <c r="CA5" i="55" s="1"/>
  <c r="CC29" i="56"/>
  <c r="CC36" i="56" s="1"/>
  <c r="BZ5" i="55" s="1"/>
  <c r="CB29" i="56"/>
  <c r="CA29" i="56"/>
  <c r="BZ29" i="56"/>
  <c r="BY29" i="56"/>
  <c r="BY36" i="56" s="1"/>
  <c r="BV5" i="55" s="1"/>
  <c r="BX29" i="56"/>
  <c r="BW29" i="56"/>
  <c r="BV29" i="56"/>
  <c r="BV36" i="56" s="1"/>
  <c r="BS5" i="55" s="1"/>
  <c r="BU29" i="56"/>
  <c r="BU36" i="56" s="1"/>
  <c r="BR5" i="55" s="1"/>
  <c r="BT29" i="56"/>
  <c r="BS29" i="56"/>
  <c r="BR29" i="56"/>
  <c r="BQ29" i="56"/>
  <c r="BQ36" i="56" s="1"/>
  <c r="BN5" i="55" s="1"/>
  <c r="BP29" i="56"/>
  <c r="BO29" i="56"/>
  <c r="BN29" i="56"/>
  <c r="BN36" i="56" s="1"/>
  <c r="BK5" i="55" s="1"/>
  <c r="BM29" i="56"/>
  <c r="BM36" i="56" s="1"/>
  <c r="BJ5" i="55" s="1"/>
  <c r="BL29" i="56"/>
  <c r="BK29" i="56"/>
  <c r="BJ29" i="56"/>
  <c r="BI29" i="56"/>
  <c r="BI36" i="56" s="1"/>
  <c r="BF5" i="55" s="1"/>
  <c r="BH29" i="56"/>
  <c r="BG29" i="56"/>
  <c r="BF29" i="56"/>
  <c r="BF36" i="56" s="1"/>
  <c r="BC5" i="55" s="1"/>
  <c r="BE29" i="56"/>
  <c r="BE36" i="56" s="1"/>
  <c r="BB5" i="55" s="1"/>
  <c r="BD29" i="56"/>
  <c r="BC29" i="56"/>
  <c r="BB29" i="56"/>
  <c r="BA29" i="56"/>
  <c r="BA36" i="56" s="1"/>
  <c r="AX5" i="55" s="1"/>
  <c r="AZ29" i="56"/>
  <c r="AY29" i="56"/>
  <c r="AX29" i="56"/>
  <c r="AX36" i="56" s="1"/>
  <c r="AU5" i="55" s="1"/>
  <c r="AW29" i="56"/>
  <c r="AW36" i="56" s="1"/>
  <c r="AT5" i="55" s="1"/>
  <c r="AV29" i="56"/>
  <c r="AU29" i="56"/>
  <c r="AT29" i="56"/>
  <c r="AS29" i="56"/>
  <c r="AS36" i="56" s="1"/>
  <c r="AP5" i="55" s="1"/>
  <c r="AR29" i="56"/>
  <c r="AQ29" i="56"/>
  <c r="AP29" i="56"/>
  <c r="AP36" i="56" s="1"/>
  <c r="AM5" i="55" s="1"/>
  <c r="AO29" i="56"/>
  <c r="AO36" i="56" s="1"/>
  <c r="AL5" i="55" s="1"/>
  <c r="AN29" i="56"/>
  <c r="AM29" i="56"/>
  <c r="AL29" i="56"/>
  <c r="AK29" i="56"/>
  <c r="AK36" i="56" s="1"/>
  <c r="AH5" i="55" s="1"/>
  <c r="AJ29" i="56"/>
  <c r="AI29" i="56"/>
  <c r="AH29" i="56"/>
  <c r="AH36" i="56" s="1"/>
  <c r="AE5" i="55" s="1"/>
  <c r="AG29" i="56"/>
  <c r="AG36" i="56" s="1"/>
  <c r="AD5" i="55" s="1"/>
  <c r="AF29" i="56"/>
  <c r="AE29" i="56"/>
  <c r="AD29" i="56"/>
  <c r="AC29" i="56"/>
  <c r="AC36" i="56" s="1"/>
  <c r="Z5" i="55" s="1"/>
  <c r="AB29" i="56"/>
  <c r="AA29" i="56"/>
  <c r="Z29" i="56"/>
  <c r="Z36" i="56" s="1"/>
  <c r="W5" i="55" s="1"/>
  <c r="Y29" i="56"/>
  <c r="Y36" i="56" s="1"/>
  <c r="V5" i="55" s="1"/>
  <c r="X29" i="56"/>
  <c r="W29" i="56"/>
  <c r="V29" i="56"/>
  <c r="U29" i="56"/>
  <c r="U36" i="56" s="1"/>
  <c r="R5" i="55" s="1"/>
  <c r="T29" i="56"/>
  <c r="S29" i="56"/>
  <c r="R29" i="56"/>
  <c r="R36" i="56" s="1"/>
  <c r="O5" i="55" s="1"/>
  <c r="Q29" i="56"/>
  <c r="Q36" i="56" s="1"/>
  <c r="N5" i="55" s="1"/>
  <c r="P29" i="56"/>
  <c r="O29" i="56"/>
  <c r="N29" i="56"/>
  <c r="M29" i="56"/>
  <c r="M36" i="56" s="1"/>
  <c r="J5" i="55" s="1"/>
  <c r="L29" i="56"/>
  <c r="K29" i="56"/>
  <c r="J29" i="56"/>
  <c r="J36" i="56" s="1"/>
  <c r="G5" i="55" s="1"/>
  <c r="I29" i="56"/>
  <c r="I36" i="56" s="1"/>
  <c r="F5" i="55" s="1"/>
  <c r="H29" i="56"/>
  <c r="G29" i="56"/>
  <c r="F29" i="56"/>
  <c r="E29" i="56"/>
  <c r="E36" i="56" s="1"/>
  <c r="B5" i="55" s="1"/>
  <c r="A27" i="56"/>
  <c r="A26" i="56"/>
  <c r="A34" i="56" s="1"/>
  <c r="A25" i="56"/>
  <c r="A33" i="56" s="1"/>
  <c r="A24" i="56"/>
  <c r="A23" i="56"/>
  <c r="A22" i="56"/>
  <c r="A32" i="56" s="1"/>
  <c r="A21" i="56"/>
  <c r="A20" i="56"/>
  <c r="A30" i="56" s="1"/>
  <c r="A19" i="56"/>
  <c r="A29" i="56" s="1"/>
  <c r="DB2" i="56"/>
  <c r="DA2" i="56"/>
  <c r="CZ2" i="56"/>
  <c r="CY2" i="56"/>
  <c r="CX2" i="56"/>
  <c r="CW2" i="56"/>
  <c r="CV2" i="56"/>
  <c r="CU2" i="56"/>
  <c r="CT2" i="56"/>
  <c r="CS2" i="56"/>
  <c r="CR2" i="56"/>
  <c r="CQ2" i="56"/>
  <c r="CP2" i="56"/>
  <c r="CO2" i="56"/>
  <c r="CN2" i="56"/>
  <c r="CM2" i="56"/>
  <c r="CL2" i="56"/>
  <c r="CK2" i="56"/>
  <c r="CJ2" i="56"/>
  <c r="CI2" i="56"/>
  <c r="CH2" i="56"/>
  <c r="CG2" i="56"/>
  <c r="CF2" i="56"/>
  <c r="CE2" i="56"/>
  <c r="CD2" i="56"/>
  <c r="CC2" i="56"/>
  <c r="CB2" i="56"/>
  <c r="CA2" i="56"/>
  <c r="BZ2" i="56"/>
  <c r="BY2" i="56"/>
  <c r="BX2" i="56"/>
  <c r="BW2" i="56"/>
  <c r="BV2" i="56"/>
  <c r="BU2" i="56"/>
  <c r="BT2" i="56"/>
  <c r="BS2" i="56"/>
  <c r="BR2" i="56"/>
  <c r="BQ2" i="56"/>
  <c r="BP2" i="56"/>
  <c r="BO2" i="56"/>
  <c r="BN2" i="56"/>
  <c r="BM2" i="56"/>
  <c r="BL2" i="56"/>
  <c r="BK2" i="56"/>
  <c r="BJ2" i="56"/>
  <c r="BI2" i="56"/>
  <c r="BH2" i="56"/>
  <c r="BG2" i="56"/>
  <c r="BF2" i="56"/>
  <c r="BE2" i="56"/>
  <c r="BD2" i="56"/>
  <c r="BC2" i="56"/>
  <c r="BB2" i="56"/>
  <c r="BA2" i="56"/>
  <c r="AZ2" i="56"/>
  <c r="AY2" i="56"/>
  <c r="AX2" i="56"/>
  <c r="AW2" i="56"/>
  <c r="AV2" i="56"/>
  <c r="AU2" i="56"/>
  <c r="AT2" i="56"/>
  <c r="AS2" i="56"/>
  <c r="AR2" i="56"/>
  <c r="AQ2" i="56"/>
  <c r="AP2" i="56"/>
  <c r="AO2" i="56"/>
  <c r="AN2" i="56"/>
  <c r="AM2" i="56"/>
  <c r="AL2" i="56"/>
  <c r="AK2" i="56"/>
  <c r="AJ2" i="56"/>
  <c r="AI2" i="56"/>
  <c r="AH2" i="56"/>
  <c r="AG2" i="56"/>
  <c r="AF2" i="56"/>
  <c r="AE2" i="56"/>
  <c r="AD2" i="56"/>
  <c r="AC2" i="56"/>
  <c r="AB2" i="56"/>
  <c r="AA2" i="56"/>
  <c r="Z2" i="56"/>
  <c r="Y2" i="56"/>
  <c r="X2" i="56"/>
  <c r="W2" i="56"/>
  <c r="V2" i="56"/>
  <c r="U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F2" i="56"/>
  <c r="E2" i="56"/>
  <c r="W6" i="55"/>
  <c r="BW5" i="55"/>
  <c r="BO5" i="55"/>
  <c r="BG5" i="55"/>
  <c r="AY5" i="55"/>
  <c r="AQ5" i="55"/>
  <c r="AI5" i="55"/>
  <c r="AA5" i="55"/>
  <c r="K5" i="55"/>
  <c r="K7" i="55" s="1"/>
  <c r="C5" i="55"/>
  <c r="CY4" i="55"/>
  <c r="CZ4" i="55" s="1"/>
  <c r="DA4" i="55" s="1"/>
  <c r="DB4" i="55" s="1"/>
  <c r="DC4" i="55" s="1"/>
  <c r="DD4" i="55" s="1"/>
  <c r="DE4" i="55" s="1"/>
  <c r="CW4" i="55"/>
  <c r="CV4" i="55"/>
  <c r="CU4" i="55"/>
  <c r="CS4" i="55"/>
  <c r="CR4" i="55"/>
  <c r="CQ4" i="55"/>
  <c r="CO4" i="55"/>
  <c r="CN4" i="55"/>
  <c r="CM4" i="55"/>
  <c r="CK4" i="55"/>
  <c r="CJ4" i="55"/>
  <c r="CI4" i="55"/>
  <c r="CG4" i="55"/>
  <c r="CF4" i="55"/>
  <c r="CE4" i="55"/>
  <c r="CC4" i="55"/>
  <c r="CB4" i="55"/>
  <c r="CA4" i="55"/>
  <c r="BY4" i="55"/>
  <c r="BX4" i="55"/>
  <c r="BW4" i="55"/>
  <c r="BU4" i="55"/>
  <c r="BT4" i="55"/>
  <c r="BS4" i="55"/>
  <c r="BQ4" i="55"/>
  <c r="BP4" i="55"/>
  <c r="BO4" i="55"/>
  <c r="BM4" i="55"/>
  <c r="BL4" i="55"/>
  <c r="BK4" i="55"/>
  <c r="BI4" i="55"/>
  <c r="BH4" i="55"/>
  <c r="BG4" i="55"/>
  <c r="BE4" i="55"/>
  <c r="BD4" i="55"/>
  <c r="BC4" i="55"/>
  <c r="BA4" i="55"/>
  <c r="AZ4" i="55"/>
  <c r="AY4" i="55"/>
  <c r="AW4" i="55"/>
  <c r="AV4" i="55"/>
  <c r="AU4" i="55"/>
  <c r="AS4" i="55"/>
  <c r="AR4" i="55"/>
  <c r="AQ4" i="55"/>
  <c r="AO4" i="55"/>
  <c r="AN4" i="55"/>
  <c r="AM4" i="55"/>
  <c r="AK4" i="55"/>
  <c r="AJ4" i="55"/>
  <c r="AI4" i="55"/>
  <c r="AG4" i="55"/>
  <c r="AF4" i="55"/>
  <c r="AE4" i="55"/>
  <c r="AC4" i="55"/>
  <c r="AB4" i="55"/>
  <c r="AA4" i="55"/>
  <c r="Y4" i="55"/>
  <c r="X4" i="55"/>
  <c r="W4" i="55"/>
  <c r="U4" i="55"/>
  <c r="T4" i="55"/>
  <c r="S4" i="55"/>
  <c r="Q4" i="55"/>
  <c r="P4" i="55"/>
  <c r="O4" i="55"/>
  <c r="M4" i="55"/>
  <c r="L4" i="55"/>
  <c r="K4" i="55"/>
  <c r="I4" i="55"/>
  <c r="H4" i="55"/>
  <c r="G4" i="55"/>
  <c r="E4" i="55"/>
  <c r="D4" i="55"/>
  <c r="C4" i="55"/>
  <c r="CY3" i="55"/>
  <c r="CZ3" i="55" s="1"/>
  <c r="CX3" i="55"/>
  <c r="CW3" i="55"/>
  <c r="CV3" i="55"/>
  <c r="CU3" i="55"/>
  <c r="CT3" i="55"/>
  <c r="CS3" i="55"/>
  <c r="CR3" i="55"/>
  <c r="CQ3" i="55"/>
  <c r="CP3" i="55"/>
  <c r="CO3" i="55"/>
  <c r="CN3" i="55"/>
  <c r="CM3" i="55"/>
  <c r="CL3" i="55"/>
  <c r="CK3" i="55"/>
  <c r="CJ3" i="55"/>
  <c r="CI3" i="55"/>
  <c r="CH3" i="55"/>
  <c r="CG3" i="55"/>
  <c r="CF3" i="55"/>
  <c r="CE3" i="55"/>
  <c r="CD3" i="55"/>
  <c r="CC3" i="55"/>
  <c r="CB3" i="55"/>
  <c r="CA3" i="55"/>
  <c r="BZ3" i="55"/>
  <c r="BY3" i="55"/>
  <c r="BX3" i="55"/>
  <c r="BW3" i="55"/>
  <c r="BV3" i="55"/>
  <c r="BU3" i="55"/>
  <c r="BT3" i="55"/>
  <c r="BS3" i="55"/>
  <c r="BR3" i="55"/>
  <c r="BQ3" i="55"/>
  <c r="BP3" i="55"/>
  <c r="BO3" i="55"/>
  <c r="BN3" i="55"/>
  <c r="BM3" i="55"/>
  <c r="BL3" i="55"/>
  <c r="BK3" i="55"/>
  <c r="BJ3" i="55"/>
  <c r="BI3" i="55"/>
  <c r="BH3" i="55"/>
  <c r="BG3" i="55"/>
  <c r="BF3" i="55"/>
  <c r="BE3" i="55"/>
  <c r="BD3" i="55"/>
  <c r="BC3" i="55"/>
  <c r="BB3" i="55"/>
  <c r="BA3" i="55"/>
  <c r="AZ3" i="55"/>
  <c r="AY3" i="55"/>
  <c r="AX3" i="55"/>
  <c r="AW3" i="55"/>
  <c r="AV3" i="55"/>
  <c r="AU3" i="55"/>
  <c r="AT3" i="55"/>
  <c r="AS3" i="55"/>
  <c r="AR3" i="55"/>
  <c r="AQ3" i="55"/>
  <c r="AP3" i="55"/>
  <c r="AO3" i="55"/>
  <c r="AN3" i="55"/>
  <c r="AM3" i="55"/>
  <c r="AL3" i="55"/>
  <c r="AK3" i="55"/>
  <c r="AJ3" i="55"/>
  <c r="AI3" i="55"/>
  <c r="AH3" i="55"/>
  <c r="AG3" i="55"/>
  <c r="AF3" i="55"/>
  <c r="AE3" i="55"/>
  <c r="AD3" i="55"/>
  <c r="AC3" i="55"/>
  <c r="AB3" i="55"/>
  <c r="AA3" i="55"/>
  <c r="Z3" i="55"/>
  <c r="Z7" i="55" s="1"/>
  <c r="Y3" i="55"/>
  <c r="X3" i="55"/>
  <c r="W3" i="55"/>
  <c r="V3" i="55"/>
  <c r="V7" i="55" s="1"/>
  <c r="U3" i="55"/>
  <c r="T3" i="55"/>
  <c r="S3" i="55"/>
  <c r="R3" i="55"/>
  <c r="R7" i="55" s="1"/>
  <c r="Q3" i="55"/>
  <c r="P3" i="55"/>
  <c r="O3" i="55"/>
  <c r="N3" i="55"/>
  <c r="N7" i="55" s="1"/>
  <c r="M3" i="55"/>
  <c r="L3" i="55"/>
  <c r="K3" i="55"/>
  <c r="J3" i="55"/>
  <c r="J7" i="55" s="1"/>
  <c r="I3" i="55"/>
  <c r="H3" i="55"/>
  <c r="G3" i="55"/>
  <c r="F3" i="55"/>
  <c r="F7" i="55" s="1"/>
  <c r="E3" i="55"/>
  <c r="D3" i="55"/>
  <c r="C3" i="55"/>
  <c r="B3" i="55"/>
  <c r="B7" i="55" s="1"/>
  <c r="CW25" i="54"/>
  <c r="CV25" i="54"/>
  <c r="CS25" i="54"/>
  <c r="CR25" i="54"/>
  <c r="CO25" i="54"/>
  <c r="CN25" i="54"/>
  <c r="CK25" i="54"/>
  <c r="CJ25" i="54"/>
  <c r="CG25" i="54"/>
  <c r="CF25" i="54"/>
  <c r="CC25" i="54"/>
  <c r="CB25" i="54"/>
  <c r="BY25" i="54"/>
  <c r="BX25" i="54"/>
  <c r="BU25" i="54"/>
  <c r="BT25" i="54"/>
  <c r="BQ25" i="54"/>
  <c r="BP25" i="54"/>
  <c r="BM25" i="54"/>
  <c r="BL25" i="54"/>
  <c r="BI25" i="54"/>
  <c r="BH25" i="54"/>
  <c r="BE25" i="54"/>
  <c r="BD25" i="54"/>
  <c r="BA25" i="54"/>
  <c r="AZ25" i="54"/>
  <c r="AW25" i="54"/>
  <c r="AV25" i="54"/>
  <c r="AS25" i="54"/>
  <c r="AR25" i="54"/>
  <c r="AO25" i="54"/>
  <c r="AN25" i="54"/>
  <c r="AK25" i="54"/>
  <c r="AJ25" i="54"/>
  <c r="AG25" i="54"/>
  <c r="AF25" i="54"/>
  <c r="AC25" i="54"/>
  <c r="AB25" i="54"/>
  <c r="Y25" i="54"/>
  <c r="X25" i="54"/>
  <c r="U25" i="54"/>
  <c r="T25" i="54"/>
  <c r="Q25" i="54"/>
  <c r="P25" i="54"/>
  <c r="M25" i="54"/>
  <c r="L25" i="54"/>
  <c r="I25" i="54"/>
  <c r="H25" i="54"/>
  <c r="E25" i="54"/>
  <c r="D25" i="54"/>
  <c r="CY24" i="54"/>
  <c r="CY25" i="54" s="1"/>
  <c r="CX24" i="54"/>
  <c r="CX25" i="54" s="1"/>
  <c r="CW24" i="54"/>
  <c r="CV24" i="54"/>
  <c r="CU24" i="54"/>
  <c r="CU25" i="54" s="1"/>
  <c r="CT24" i="54"/>
  <c r="CT25" i="54" s="1"/>
  <c r="CS24" i="54"/>
  <c r="CR24" i="54"/>
  <c r="CQ24" i="54"/>
  <c r="CQ25" i="54" s="1"/>
  <c r="CP24" i="54"/>
  <c r="CP25" i="54" s="1"/>
  <c r="CO24" i="54"/>
  <c r="CN24" i="54"/>
  <c r="CM24" i="54"/>
  <c r="CM25" i="54" s="1"/>
  <c r="CL24" i="54"/>
  <c r="CL25" i="54" s="1"/>
  <c r="CK24" i="54"/>
  <c r="CJ24" i="54"/>
  <c r="CI24" i="54"/>
  <c r="CI25" i="54" s="1"/>
  <c r="CH24" i="54"/>
  <c r="CH25" i="54" s="1"/>
  <c r="CG24" i="54"/>
  <c r="CF24" i="54"/>
  <c r="CE24" i="54"/>
  <c r="CE25" i="54" s="1"/>
  <c r="CD24" i="54"/>
  <c r="CD25" i="54" s="1"/>
  <c r="CC24" i="54"/>
  <c r="CB24" i="54"/>
  <c r="CA24" i="54"/>
  <c r="CA25" i="54" s="1"/>
  <c r="BZ24" i="54"/>
  <c r="BZ25" i="54" s="1"/>
  <c r="BY24" i="54"/>
  <c r="BX24" i="54"/>
  <c r="BW24" i="54"/>
  <c r="BW25" i="54" s="1"/>
  <c r="BV24" i="54"/>
  <c r="BV25" i="54" s="1"/>
  <c r="BU24" i="54"/>
  <c r="BT24" i="54"/>
  <c r="BS24" i="54"/>
  <c r="BS25" i="54" s="1"/>
  <c r="BR24" i="54"/>
  <c r="BR25" i="54" s="1"/>
  <c r="BQ24" i="54"/>
  <c r="BP24" i="54"/>
  <c r="BO24" i="54"/>
  <c r="BO25" i="54" s="1"/>
  <c r="BN24" i="54"/>
  <c r="BN25" i="54" s="1"/>
  <c r="BM24" i="54"/>
  <c r="BL24" i="54"/>
  <c r="BK24" i="54"/>
  <c r="BK25" i="54" s="1"/>
  <c r="BJ24" i="54"/>
  <c r="BJ25" i="54" s="1"/>
  <c r="BI24" i="54"/>
  <c r="BH24" i="54"/>
  <c r="BG24" i="54"/>
  <c r="BG25" i="54" s="1"/>
  <c r="BF24" i="54"/>
  <c r="BF25" i="54" s="1"/>
  <c r="BE24" i="54"/>
  <c r="BD24" i="54"/>
  <c r="BC24" i="54"/>
  <c r="BC25" i="54" s="1"/>
  <c r="BB24" i="54"/>
  <c r="BB25" i="54" s="1"/>
  <c r="BA24" i="54"/>
  <c r="AZ24" i="54"/>
  <c r="AY24" i="54"/>
  <c r="AY25" i="54" s="1"/>
  <c r="AX24" i="54"/>
  <c r="AX25" i="54" s="1"/>
  <c r="AW24" i="54"/>
  <c r="AV24" i="54"/>
  <c r="AU24" i="54"/>
  <c r="AU25" i="54" s="1"/>
  <c r="AT24" i="54"/>
  <c r="AT25" i="54" s="1"/>
  <c r="AS24" i="54"/>
  <c r="AR24" i="54"/>
  <c r="AQ24" i="54"/>
  <c r="AQ25" i="54" s="1"/>
  <c r="AP24" i="54"/>
  <c r="AP25" i="54" s="1"/>
  <c r="AO24" i="54"/>
  <c r="AN24" i="54"/>
  <c r="AM24" i="54"/>
  <c r="AM25" i="54" s="1"/>
  <c r="AL24" i="54"/>
  <c r="AL25" i="54" s="1"/>
  <c r="AK24" i="54"/>
  <c r="AJ24" i="54"/>
  <c r="AI24" i="54"/>
  <c r="AI25" i="54" s="1"/>
  <c r="AH24" i="54"/>
  <c r="AH25" i="54" s="1"/>
  <c r="AG24" i="54"/>
  <c r="AF24" i="54"/>
  <c r="AE24" i="54"/>
  <c r="AE25" i="54" s="1"/>
  <c r="AD24" i="54"/>
  <c r="AD25" i="54" s="1"/>
  <c r="AC24" i="54"/>
  <c r="AB24" i="54"/>
  <c r="AA24" i="54"/>
  <c r="AA25" i="54" s="1"/>
  <c r="Z24" i="54"/>
  <c r="Z25" i="54" s="1"/>
  <c r="Y24" i="54"/>
  <c r="X24" i="54"/>
  <c r="W24" i="54"/>
  <c r="W25" i="54" s="1"/>
  <c r="V24" i="54"/>
  <c r="V25" i="54" s="1"/>
  <c r="U24" i="54"/>
  <c r="T24" i="54"/>
  <c r="S24" i="54"/>
  <c r="S25" i="54" s="1"/>
  <c r="R24" i="54"/>
  <c r="R25" i="54" s="1"/>
  <c r="Q24" i="54"/>
  <c r="P24" i="54"/>
  <c r="O24" i="54"/>
  <c r="O25" i="54" s="1"/>
  <c r="N24" i="54"/>
  <c r="N25" i="54" s="1"/>
  <c r="M24" i="54"/>
  <c r="L24" i="54"/>
  <c r="K24" i="54"/>
  <c r="K25" i="54" s="1"/>
  <c r="J24" i="54"/>
  <c r="J25" i="54" s="1"/>
  <c r="I24" i="54"/>
  <c r="H24" i="54"/>
  <c r="G24" i="54"/>
  <c r="G25" i="54" s="1"/>
  <c r="F24" i="54"/>
  <c r="F25" i="54" s="1"/>
  <c r="E24" i="54"/>
  <c r="D24" i="54"/>
  <c r="C24" i="54"/>
  <c r="C25" i="54" s="1"/>
  <c r="B24" i="54"/>
  <c r="B25" i="54" s="1"/>
  <c r="CY23" i="54"/>
  <c r="CX23" i="54"/>
  <c r="CW23" i="54"/>
  <c r="CW15" i="54" s="1"/>
  <c r="CV23" i="54"/>
  <c r="CV15" i="54" s="1"/>
  <c r="CU23" i="54"/>
  <c r="CT23" i="54"/>
  <c r="CS23" i="54"/>
  <c r="CS15" i="54" s="1"/>
  <c r="CR23" i="54"/>
  <c r="CR15" i="54" s="1"/>
  <c r="CQ23" i="54"/>
  <c r="CP23" i="54"/>
  <c r="CO23" i="54"/>
  <c r="CO15" i="54" s="1"/>
  <c r="CN23" i="54"/>
  <c r="CN15" i="54" s="1"/>
  <c r="CM23" i="54"/>
  <c r="CL23" i="54"/>
  <c r="CK23" i="54"/>
  <c r="CK15" i="54" s="1"/>
  <c r="CJ23" i="54"/>
  <c r="CJ15" i="54" s="1"/>
  <c r="CI23" i="54"/>
  <c r="CH23" i="54"/>
  <c r="CG23" i="54"/>
  <c r="CG15" i="54" s="1"/>
  <c r="CF23" i="54"/>
  <c r="CF15" i="54" s="1"/>
  <c r="CE23" i="54"/>
  <c r="CD23" i="54"/>
  <c r="CC23" i="54"/>
  <c r="CC15" i="54" s="1"/>
  <c r="CB23" i="54"/>
  <c r="CB15" i="54" s="1"/>
  <c r="CA23" i="54"/>
  <c r="BZ23" i="54"/>
  <c r="BY23" i="54"/>
  <c r="BY15" i="54" s="1"/>
  <c r="BX23" i="54"/>
  <c r="BX15" i="54" s="1"/>
  <c r="BW23" i="54"/>
  <c r="BV23" i="54"/>
  <c r="BU23" i="54"/>
  <c r="BU15" i="54" s="1"/>
  <c r="BT23" i="54"/>
  <c r="BT15" i="54" s="1"/>
  <c r="BS23" i="54"/>
  <c r="BR23" i="54"/>
  <c r="BQ23" i="54"/>
  <c r="BQ15" i="54" s="1"/>
  <c r="BP23" i="54"/>
  <c r="BP15" i="54" s="1"/>
  <c r="BO23" i="54"/>
  <c r="BN23" i="54"/>
  <c r="BM23" i="54"/>
  <c r="BM15" i="54" s="1"/>
  <c r="BL23" i="54"/>
  <c r="BL15" i="54" s="1"/>
  <c r="BK23" i="54"/>
  <c r="BJ23" i="54"/>
  <c r="BI23" i="54"/>
  <c r="BI15" i="54" s="1"/>
  <c r="BH23" i="54"/>
  <c r="BH15" i="54" s="1"/>
  <c r="BG23" i="54"/>
  <c r="BF23" i="54"/>
  <c r="BE23" i="54"/>
  <c r="BE15" i="54" s="1"/>
  <c r="BD23" i="54"/>
  <c r="BD15" i="54" s="1"/>
  <c r="BC23" i="54"/>
  <c r="BB23" i="54"/>
  <c r="BA23" i="54"/>
  <c r="BA15" i="54" s="1"/>
  <c r="AZ23" i="54"/>
  <c r="AZ15" i="54" s="1"/>
  <c r="AY23" i="54"/>
  <c r="AX23" i="54"/>
  <c r="AW23" i="54"/>
  <c r="AW15" i="54" s="1"/>
  <c r="AV23" i="54"/>
  <c r="AV15" i="54" s="1"/>
  <c r="AU23" i="54"/>
  <c r="AT23" i="54"/>
  <c r="AS23" i="54"/>
  <c r="AS15" i="54" s="1"/>
  <c r="AR23" i="54"/>
  <c r="AR15" i="54" s="1"/>
  <c r="AQ23" i="54"/>
  <c r="AP23" i="54"/>
  <c r="AO23" i="54"/>
  <c r="AO15" i="54" s="1"/>
  <c r="AN23" i="54"/>
  <c r="AN15" i="54" s="1"/>
  <c r="AM23" i="54"/>
  <c r="AL23" i="54"/>
  <c r="AK23" i="54"/>
  <c r="AK15" i="54" s="1"/>
  <c r="AJ23" i="54"/>
  <c r="AJ15" i="54" s="1"/>
  <c r="AI23" i="54"/>
  <c r="AH23" i="54"/>
  <c r="AG23" i="54"/>
  <c r="AG15" i="54" s="1"/>
  <c r="AF23" i="54"/>
  <c r="AF15" i="54" s="1"/>
  <c r="AE23" i="54"/>
  <c r="AD23" i="54"/>
  <c r="AC23" i="54"/>
  <c r="AC15" i="54" s="1"/>
  <c r="AB23" i="54"/>
  <c r="AB15" i="54" s="1"/>
  <c r="AA23" i="54"/>
  <c r="Z23" i="54"/>
  <c r="Y23" i="54"/>
  <c r="Y15" i="54" s="1"/>
  <c r="Y17" i="54" s="1"/>
  <c r="Y6" i="55" s="1"/>
  <c r="X23" i="54"/>
  <c r="X15" i="54" s="1"/>
  <c r="X17" i="54" s="1"/>
  <c r="X6" i="55" s="1"/>
  <c r="W23" i="54"/>
  <c r="V23" i="54"/>
  <c r="U23" i="54"/>
  <c r="U15" i="54" s="1"/>
  <c r="U17" i="54" s="1"/>
  <c r="U6" i="55" s="1"/>
  <c r="T23" i="54"/>
  <c r="T15" i="54" s="1"/>
  <c r="T17" i="54" s="1"/>
  <c r="T6" i="55" s="1"/>
  <c r="S23" i="54"/>
  <c r="R23" i="54"/>
  <c r="Q23" i="54"/>
  <c r="Q15" i="54" s="1"/>
  <c r="Q17" i="54" s="1"/>
  <c r="Q6" i="55" s="1"/>
  <c r="P23" i="54"/>
  <c r="P15" i="54" s="1"/>
  <c r="P17" i="54" s="1"/>
  <c r="P6" i="55" s="1"/>
  <c r="O23" i="54"/>
  <c r="N23" i="54"/>
  <c r="M23" i="54"/>
  <c r="M15" i="54" s="1"/>
  <c r="M17" i="54" s="1"/>
  <c r="M6" i="55" s="1"/>
  <c r="L23" i="54"/>
  <c r="L15" i="54" s="1"/>
  <c r="L17" i="54" s="1"/>
  <c r="L6" i="55" s="1"/>
  <c r="K23" i="54"/>
  <c r="J23" i="54"/>
  <c r="I23" i="54"/>
  <c r="I15" i="54" s="1"/>
  <c r="I17" i="54" s="1"/>
  <c r="I6" i="55" s="1"/>
  <c r="H23" i="54"/>
  <c r="H15" i="54" s="1"/>
  <c r="H17" i="54" s="1"/>
  <c r="H6" i="55" s="1"/>
  <c r="G23" i="54"/>
  <c r="F23" i="54"/>
  <c r="E23" i="54"/>
  <c r="E15" i="54" s="1"/>
  <c r="E17" i="54" s="1"/>
  <c r="E6" i="55" s="1"/>
  <c r="D23" i="54"/>
  <c r="D15" i="54" s="1"/>
  <c r="D17" i="54" s="1"/>
  <c r="D6" i="55" s="1"/>
  <c r="C23" i="54"/>
  <c r="B23" i="54"/>
  <c r="AA17" i="54"/>
  <c r="AA6" i="55" s="1"/>
  <c r="S17" i="54"/>
  <c r="S6" i="55" s="1"/>
  <c r="K17" i="54"/>
  <c r="K6" i="55" s="1"/>
  <c r="C17" i="54"/>
  <c r="C6" i="55" s="1"/>
  <c r="BA16" i="54"/>
  <c r="AZ16" i="54"/>
  <c r="AY16" i="54"/>
  <c r="AX16" i="54"/>
  <c r="AW16" i="54"/>
  <c r="AV16" i="54"/>
  <c r="AU16" i="54"/>
  <c r="AT16" i="54"/>
  <c r="AS16" i="54"/>
  <c r="AR16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CY15" i="54"/>
  <c r="CX15" i="54"/>
  <c r="CU15" i="54"/>
  <c r="CT15" i="54"/>
  <c r="CQ15" i="54"/>
  <c r="CP15" i="54"/>
  <c r="CM15" i="54"/>
  <c r="CL15" i="54"/>
  <c r="CI15" i="54"/>
  <c r="CH15" i="54"/>
  <c r="CE15" i="54"/>
  <c r="CD15" i="54"/>
  <c r="CA15" i="54"/>
  <c r="BZ15" i="54"/>
  <c r="BW15" i="54"/>
  <c r="BV15" i="54"/>
  <c r="BS15" i="54"/>
  <c r="BR15" i="54"/>
  <c r="BO15" i="54"/>
  <c r="BN15" i="54"/>
  <c r="BK15" i="54"/>
  <c r="BJ15" i="54"/>
  <c r="BG15" i="54"/>
  <c r="BF15" i="54"/>
  <c r="BC15" i="54"/>
  <c r="BB15" i="54"/>
  <c r="AY15" i="54"/>
  <c r="AX15" i="54"/>
  <c r="AU15" i="54"/>
  <c r="AT15" i="54"/>
  <c r="AQ15" i="54"/>
  <c r="AP15" i="54"/>
  <c r="AM15" i="54"/>
  <c r="AL15" i="54"/>
  <c r="AI15" i="54"/>
  <c r="AH15" i="54"/>
  <c r="AE15" i="54"/>
  <c r="AD15" i="54"/>
  <c r="AA15" i="54"/>
  <c r="Z15" i="54"/>
  <c r="Z17" i="54" s="1"/>
  <c r="Z6" i="55" s="1"/>
  <c r="W15" i="54"/>
  <c r="W17" i="54" s="1"/>
  <c r="V15" i="54"/>
  <c r="V17" i="54" s="1"/>
  <c r="V6" i="55" s="1"/>
  <c r="S15" i="54"/>
  <c r="R15" i="54"/>
  <c r="R17" i="54" s="1"/>
  <c r="R6" i="55" s="1"/>
  <c r="O15" i="54"/>
  <c r="O17" i="54" s="1"/>
  <c r="O6" i="55" s="1"/>
  <c r="N15" i="54"/>
  <c r="N17" i="54" s="1"/>
  <c r="N6" i="55" s="1"/>
  <c r="K15" i="54"/>
  <c r="J15" i="54"/>
  <c r="J17" i="54" s="1"/>
  <c r="J6" i="55" s="1"/>
  <c r="G15" i="54"/>
  <c r="G17" i="54" s="1"/>
  <c r="G6" i="55" s="1"/>
  <c r="F15" i="54"/>
  <c r="F17" i="54" s="1"/>
  <c r="F6" i="55" s="1"/>
  <c r="C15" i="54"/>
  <c r="B15" i="54"/>
  <c r="B17" i="54" s="1"/>
  <c r="B6" i="55" s="1"/>
  <c r="AC9" i="54"/>
  <c r="AB9" i="54"/>
  <c r="AA9" i="54"/>
  <c r="AH15" i="53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O14" i="53" s="1"/>
  <c r="P14" i="53" s="1"/>
  <c r="Q14" i="53" s="1"/>
  <c r="R14" i="53" s="1"/>
  <c r="S14" i="53" s="1"/>
  <c r="T14" i="53" s="1"/>
  <c r="U14" i="53" s="1"/>
  <c r="V14" i="53" s="1"/>
  <c r="W14" i="53" s="1"/>
  <c r="X14" i="53" s="1"/>
  <c r="Y14" i="53" s="1"/>
  <c r="Z14" i="53" s="1"/>
  <c r="AA14" i="53" s="1"/>
  <c r="AB14" i="53" s="1"/>
  <c r="AC14" i="53" s="1"/>
  <c r="AD14" i="53" s="1"/>
  <c r="AE14" i="53" s="1"/>
  <c r="AF14" i="53" s="1"/>
  <c r="AG14" i="53" s="1"/>
  <c r="AH14" i="53" s="1"/>
  <c r="AI14" i="53" s="1"/>
  <c r="AJ14" i="53" s="1"/>
  <c r="AK14" i="53" s="1"/>
  <c r="AL14" i="53" s="1"/>
  <c r="AM14" i="53" s="1"/>
  <c r="AN14" i="53" s="1"/>
  <c r="AO14" i="53" s="1"/>
  <c r="AP14" i="53" s="1"/>
  <c r="AQ14" i="53" s="1"/>
  <c r="AR14" i="53" s="1"/>
  <c r="AS14" i="53" s="1"/>
  <c r="AT14" i="53" s="1"/>
  <c r="AU14" i="53" s="1"/>
  <c r="AV14" i="53" s="1"/>
  <c r="AW14" i="53" s="1"/>
  <c r="AX14" i="53" s="1"/>
  <c r="AY14" i="53" s="1"/>
  <c r="AZ14" i="53" s="1"/>
  <c r="BA14" i="53" s="1"/>
  <c r="BB14" i="53" s="1"/>
  <c r="BC14" i="53" s="1"/>
  <c r="BD14" i="53" s="1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S14" i="53" s="1"/>
  <c r="BT14" i="53" s="1"/>
  <c r="BU14" i="53" s="1"/>
  <c r="BV14" i="53" s="1"/>
  <c r="BW14" i="53" s="1"/>
  <c r="BX14" i="53" s="1"/>
  <c r="BY14" i="53" s="1"/>
  <c r="BZ14" i="53" s="1"/>
  <c r="CA14" i="53" s="1"/>
  <c r="CB14" i="53" s="1"/>
  <c r="CC14" i="53" s="1"/>
  <c r="CD14" i="53" s="1"/>
  <c r="CE14" i="53" s="1"/>
  <c r="CF14" i="53" s="1"/>
  <c r="CG14" i="53" s="1"/>
  <c r="CH14" i="53" s="1"/>
  <c r="CI14" i="53" s="1"/>
  <c r="CJ14" i="53" s="1"/>
  <c r="CK14" i="53" s="1"/>
  <c r="CL14" i="53" s="1"/>
  <c r="CM14" i="53" s="1"/>
  <c r="CN14" i="53" s="1"/>
  <c r="CO14" i="53" s="1"/>
  <c r="CP14" i="53" s="1"/>
  <c r="CQ14" i="53" s="1"/>
  <c r="CR14" i="53" s="1"/>
  <c r="CS14" i="53" s="1"/>
  <c r="CT14" i="53" s="1"/>
  <c r="CU14" i="53" s="1"/>
  <c r="CV14" i="53" s="1"/>
  <c r="CW14" i="53" s="1"/>
  <c r="CX14" i="53" s="1"/>
  <c r="CY14" i="53" s="1"/>
  <c r="CZ14" i="53" s="1"/>
  <c r="DA14" i="53" s="1"/>
  <c r="DB14" i="53" s="1"/>
  <c r="DC14" i="53" s="1"/>
  <c r="DD14" i="53" s="1"/>
  <c r="DE14" i="53" s="1"/>
  <c r="DF14" i="53" s="1"/>
  <c r="D14" i="53"/>
  <c r="E12" i="53"/>
  <c r="F12" i="53" s="1"/>
  <c r="G12" i="53" s="1"/>
  <c r="H12" i="53" s="1"/>
  <c r="I12" i="53" s="1"/>
  <c r="J12" i="53" s="1"/>
  <c r="K12" i="53" s="1"/>
  <c r="L12" i="53" s="1"/>
  <c r="M12" i="53" s="1"/>
  <c r="N12" i="53" s="1"/>
  <c r="D12" i="53"/>
  <c r="D11" i="53"/>
  <c r="E11" i="53" s="1"/>
  <c r="F11" i="53" s="1"/>
  <c r="G11" i="53" s="1"/>
  <c r="H11" i="53" s="1"/>
  <c r="I11" i="53" s="1"/>
  <c r="J11" i="53" s="1"/>
  <c r="K11" i="53" s="1"/>
  <c r="L11" i="53" s="1"/>
  <c r="M11" i="53" s="1"/>
  <c r="N11" i="53" s="1"/>
  <c r="AI9" i="53"/>
  <c r="AU9" i="53" s="1"/>
  <c r="BG9" i="53" s="1"/>
  <c r="BS9" i="53" s="1"/>
  <c r="CE9" i="53" s="1"/>
  <c r="CQ9" i="53" s="1"/>
  <c r="DC9" i="53" s="1"/>
  <c r="Z9" i="53"/>
  <c r="AL9" i="53" s="1"/>
  <c r="AX9" i="53" s="1"/>
  <c r="BJ9" i="53" s="1"/>
  <c r="BV9" i="53" s="1"/>
  <c r="CH9" i="53" s="1"/>
  <c r="CT9" i="53" s="1"/>
  <c r="DF9" i="53" s="1"/>
  <c r="Y9" i="53"/>
  <c r="AK9" i="53" s="1"/>
  <c r="AW9" i="53" s="1"/>
  <c r="BI9" i="53" s="1"/>
  <c r="BU9" i="53" s="1"/>
  <c r="CG9" i="53" s="1"/>
  <c r="CS9" i="53" s="1"/>
  <c r="DE9" i="53" s="1"/>
  <c r="X9" i="53"/>
  <c r="AJ9" i="53" s="1"/>
  <c r="AV9" i="53" s="1"/>
  <c r="BH9" i="53" s="1"/>
  <c r="BT9" i="53" s="1"/>
  <c r="CF9" i="53" s="1"/>
  <c r="CR9" i="53" s="1"/>
  <c r="DD9" i="53" s="1"/>
  <c r="W9" i="53"/>
  <c r="V9" i="53"/>
  <c r="AH9" i="53" s="1"/>
  <c r="AT9" i="53" s="1"/>
  <c r="BF9" i="53" s="1"/>
  <c r="BR9" i="53" s="1"/>
  <c r="CD9" i="53" s="1"/>
  <c r="CP9" i="53" s="1"/>
  <c r="DB9" i="53" s="1"/>
  <c r="U9" i="53"/>
  <c r="AG9" i="53" s="1"/>
  <c r="AS9" i="53" s="1"/>
  <c r="BE9" i="53" s="1"/>
  <c r="BQ9" i="53" s="1"/>
  <c r="CC9" i="53" s="1"/>
  <c r="CO9" i="53" s="1"/>
  <c r="DA9" i="53" s="1"/>
  <c r="T9" i="53"/>
  <c r="AF9" i="53" s="1"/>
  <c r="AR9" i="53" s="1"/>
  <c r="BD9" i="53" s="1"/>
  <c r="BP9" i="53" s="1"/>
  <c r="CB9" i="53" s="1"/>
  <c r="CN9" i="53" s="1"/>
  <c r="CZ9" i="53" s="1"/>
  <c r="S9" i="53"/>
  <c r="AE9" i="53" s="1"/>
  <c r="AQ9" i="53" s="1"/>
  <c r="BC9" i="53" s="1"/>
  <c r="BO9" i="53" s="1"/>
  <c r="CA9" i="53" s="1"/>
  <c r="CM9" i="53" s="1"/>
  <c r="CY9" i="53" s="1"/>
  <c r="R9" i="53"/>
  <c r="AD9" i="53" s="1"/>
  <c r="AP9" i="53" s="1"/>
  <c r="BB9" i="53" s="1"/>
  <c r="BN9" i="53" s="1"/>
  <c r="BZ9" i="53" s="1"/>
  <c r="CL9" i="53" s="1"/>
  <c r="CX9" i="53" s="1"/>
  <c r="Q9" i="53"/>
  <c r="AC9" i="53" s="1"/>
  <c r="AO9" i="53" s="1"/>
  <c r="BA9" i="53" s="1"/>
  <c r="BM9" i="53" s="1"/>
  <c r="BY9" i="53" s="1"/>
  <c r="CK9" i="53" s="1"/>
  <c r="CW9" i="53" s="1"/>
  <c r="P9" i="53"/>
  <c r="P11" i="53" s="1"/>
  <c r="Q11" i="53" s="1"/>
  <c r="R11" i="53" s="1"/>
  <c r="O9" i="53"/>
  <c r="AA9" i="53" s="1"/>
  <c r="AM9" i="53" s="1"/>
  <c r="AY9" i="53" s="1"/>
  <c r="BK9" i="53" s="1"/>
  <c r="BW9" i="53" s="1"/>
  <c r="CI9" i="53" s="1"/>
  <c r="CU9" i="53" s="1"/>
  <c r="BW7" i="53"/>
  <c r="AQ7" i="53"/>
  <c r="K7" i="53"/>
  <c r="AY6" i="53"/>
  <c r="AX6" i="53"/>
  <c r="AW6" i="53"/>
  <c r="AV6" i="53"/>
  <c r="AU6" i="53"/>
  <c r="AT6" i="53"/>
  <c r="AS6" i="53"/>
  <c r="AR6" i="53"/>
  <c r="AQ6" i="53"/>
  <c r="AP6" i="53"/>
  <c r="AO6" i="53"/>
  <c r="AN6" i="53"/>
  <c r="AM6" i="53"/>
  <c r="AL6" i="53"/>
  <c r="AK6" i="53"/>
  <c r="AJ6" i="53"/>
  <c r="AI6" i="53"/>
  <c r="AH6" i="53"/>
  <c r="AG6" i="53"/>
  <c r="AF6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C6" i="53"/>
  <c r="AZ4" i="53"/>
  <c r="AZ15" i="53" s="1"/>
  <c r="AY4" i="53"/>
  <c r="AY15" i="53" s="1"/>
  <c r="AX4" i="53"/>
  <c r="AX15" i="53" s="1"/>
  <c r="AW4" i="53"/>
  <c r="AW15" i="53" s="1"/>
  <c r="AV4" i="53"/>
  <c r="AV15" i="53" s="1"/>
  <c r="AU4" i="53"/>
  <c r="AU15" i="53" s="1"/>
  <c r="AT4" i="53"/>
  <c r="AT15" i="53" s="1"/>
  <c r="AS4" i="53"/>
  <c r="AS15" i="53" s="1"/>
  <c r="AR4" i="53"/>
  <c r="AR15" i="53" s="1"/>
  <c r="AQ4" i="53"/>
  <c r="AQ15" i="53" s="1"/>
  <c r="AP4" i="53"/>
  <c r="AP15" i="53" s="1"/>
  <c r="AO4" i="53"/>
  <c r="AO15" i="53" s="1"/>
  <c r="AN4" i="53"/>
  <c r="AN15" i="53" s="1"/>
  <c r="AM4" i="53"/>
  <c r="AM15" i="53" s="1"/>
  <c r="AL4" i="53"/>
  <c r="AL15" i="53" s="1"/>
  <c r="AK4" i="53"/>
  <c r="AK15" i="53" s="1"/>
  <c r="AJ4" i="53"/>
  <c r="AJ15" i="53" s="1"/>
  <c r="AI4" i="53"/>
  <c r="AI15" i="53" s="1"/>
  <c r="AH4" i="53"/>
  <c r="AG4" i="53"/>
  <c r="AG15" i="53" s="1"/>
  <c r="AF4" i="53"/>
  <c r="AF15" i="53" s="1"/>
  <c r="AE4" i="53"/>
  <c r="AE15" i="53" s="1"/>
  <c r="AD4" i="53"/>
  <c r="AD15" i="53" s="1"/>
  <c r="AC4" i="53"/>
  <c r="AC15" i="53" s="1"/>
  <c r="AB4" i="53"/>
  <c r="AB15" i="53" s="1"/>
  <c r="AA4" i="53"/>
  <c r="AA15" i="53" s="1"/>
  <c r="Z4" i="53"/>
  <c r="Z15" i="53" s="1"/>
  <c r="Y4" i="53"/>
  <c r="Y15" i="53" s="1"/>
  <c r="X4" i="53"/>
  <c r="X15" i="53" s="1"/>
  <c r="W4" i="53"/>
  <c r="W15" i="53" s="1"/>
  <c r="V4" i="53"/>
  <c r="V15" i="53" s="1"/>
  <c r="U4" i="53"/>
  <c r="U15" i="53" s="1"/>
  <c r="T4" i="53"/>
  <c r="T15" i="53" s="1"/>
  <c r="S4" i="53"/>
  <c r="S15" i="53" s="1"/>
  <c r="R4" i="53"/>
  <c r="R15" i="53" s="1"/>
  <c r="Q4" i="53"/>
  <c r="Q15" i="53" s="1"/>
  <c r="P4" i="53"/>
  <c r="P15" i="53" s="1"/>
  <c r="O4" i="53"/>
  <c r="O15" i="53" s="1"/>
  <c r="N4" i="53"/>
  <c r="N15" i="53" s="1"/>
  <c r="M4" i="53"/>
  <c r="M15" i="53" s="1"/>
  <c r="L4" i="53"/>
  <c r="L15" i="53" s="1"/>
  <c r="K4" i="53"/>
  <c r="K15" i="53" s="1"/>
  <c r="J4" i="53"/>
  <c r="J15" i="53" s="1"/>
  <c r="I4" i="53"/>
  <c r="I15" i="53" s="1"/>
  <c r="C4" i="53"/>
  <c r="C15" i="53" s="1"/>
  <c r="DF2" i="53"/>
  <c r="DF7" i="53" s="1"/>
  <c r="DE2" i="53"/>
  <c r="DE7" i="53" s="1"/>
  <c r="DD2" i="53"/>
  <c r="DD7" i="53" s="1"/>
  <c r="DC2" i="53"/>
  <c r="DC7" i="53" s="1"/>
  <c r="DB2" i="53"/>
  <c r="DB7" i="53" s="1"/>
  <c r="DA2" i="53"/>
  <c r="DA7" i="53" s="1"/>
  <c r="CZ2" i="53"/>
  <c r="CZ7" i="53" s="1"/>
  <c r="CY2" i="53"/>
  <c r="CY7" i="53" s="1"/>
  <c r="CX2" i="53"/>
  <c r="CX7" i="53" s="1"/>
  <c r="CW2" i="53"/>
  <c r="CW7" i="53" s="1"/>
  <c r="CV2" i="53"/>
  <c r="CV7" i="53" s="1"/>
  <c r="CU2" i="53"/>
  <c r="CU7" i="53" s="1"/>
  <c r="CT2" i="53"/>
  <c r="CT7" i="53" s="1"/>
  <c r="CS2" i="53"/>
  <c r="CS7" i="53" s="1"/>
  <c r="CR2" i="53"/>
  <c r="CR7" i="53" s="1"/>
  <c r="CQ2" i="53"/>
  <c r="CQ7" i="53" s="1"/>
  <c r="CP2" i="53"/>
  <c r="CP7" i="53" s="1"/>
  <c r="CO2" i="53"/>
  <c r="CO7" i="53" s="1"/>
  <c r="CN2" i="53"/>
  <c r="CN7" i="53" s="1"/>
  <c r="CM2" i="53"/>
  <c r="CM7" i="53" s="1"/>
  <c r="CL2" i="53"/>
  <c r="CL7" i="53" s="1"/>
  <c r="CK2" i="53"/>
  <c r="CK7" i="53" s="1"/>
  <c r="CJ2" i="53"/>
  <c r="CJ7" i="53" s="1"/>
  <c r="CI2" i="53"/>
  <c r="CI7" i="53" s="1"/>
  <c r="CH2" i="53"/>
  <c r="CH7" i="53" s="1"/>
  <c r="CG2" i="53"/>
  <c r="CG7" i="53" s="1"/>
  <c r="CF2" i="53"/>
  <c r="CF7" i="53" s="1"/>
  <c r="CE2" i="53"/>
  <c r="CE7" i="53" s="1"/>
  <c r="CD2" i="53"/>
  <c r="CD7" i="53" s="1"/>
  <c r="CC2" i="53"/>
  <c r="CC7" i="53" s="1"/>
  <c r="CB2" i="53"/>
  <c r="CB7" i="53" s="1"/>
  <c r="CA2" i="53"/>
  <c r="CA7" i="53" s="1"/>
  <c r="BZ2" i="53"/>
  <c r="BZ7" i="53" s="1"/>
  <c r="BY2" i="53"/>
  <c r="BY7" i="53" s="1"/>
  <c r="BX2" i="53"/>
  <c r="BX7" i="53" s="1"/>
  <c r="BW2" i="53"/>
  <c r="BV2" i="53"/>
  <c r="BV7" i="53" s="1"/>
  <c r="BU2" i="53"/>
  <c r="BU7" i="53" s="1"/>
  <c r="BT2" i="53"/>
  <c r="BT7" i="53" s="1"/>
  <c r="BS2" i="53"/>
  <c r="BS7" i="53" s="1"/>
  <c r="BR2" i="53"/>
  <c r="BR7" i="53" s="1"/>
  <c r="BQ2" i="53"/>
  <c r="BQ7" i="53" s="1"/>
  <c r="BP2" i="53"/>
  <c r="BP7" i="53" s="1"/>
  <c r="BO2" i="53"/>
  <c r="BO7" i="53" s="1"/>
  <c r="BN2" i="53"/>
  <c r="BN7" i="53" s="1"/>
  <c r="BM2" i="53"/>
  <c r="BM7" i="53" s="1"/>
  <c r="BL2" i="53"/>
  <c r="BL7" i="53" s="1"/>
  <c r="BK2" i="53"/>
  <c r="BK7" i="53" s="1"/>
  <c r="BJ2" i="53"/>
  <c r="BJ7" i="53" s="1"/>
  <c r="BI2" i="53"/>
  <c r="BI7" i="53" s="1"/>
  <c r="BH2" i="53"/>
  <c r="BH7" i="53" s="1"/>
  <c r="BG2" i="53"/>
  <c r="BG7" i="53" s="1"/>
  <c r="BF2" i="53"/>
  <c r="BF7" i="53" s="1"/>
  <c r="BE2" i="53"/>
  <c r="BE7" i="53" s="1"/>
  <c r="BD2" i="53"/>
  <c r="BD7" i="53" s="1"/>
  <c r="BC2" i="53"/>
  <c r="BC7" i="53" s="1"/>
  <c r="BB2" i="53"/>
  <c r="BB7" i="53" s="1"/>
  <c r="BA2" i="53"/>
  <c r="BA7" i="53" s="1"/>
  <c r="AZ2" i="53"/>
  <c r="AZ7" i="53" s="1"/>
  <c r="AY2" i="53"/>
  <c r="AY7" i="53" s="1"/>
  <c r="AX2" i="53"/>
  <c r="AX7" i="53" s="1"/>
  <c r="AW2" i="53"/>
  <c r="AW7" i="53" s="1"/>
  <c r="AV2" i="53"/>
  <c r="AV7" i="53" s="1"/>
  <c r="AU2" i="53"/>
  <c r="AU7" i="53" s="1"/>
  <c r="AT2" i="53"/>
  <c r="AT7" i="53" s="1"/>
  <c r="AS2" i="53"/>
  <c r="AS7" i="53" s="1"/>
  <c r="AR2" i="53"/>
  <c r="AR7" i="53" s="1"/>
  <c r="AQ2" i="53"/>
  <c r="AP2" i="53"/>
  <c r="AP7" i="53" s="1"/>
  <c r="AO2" i="53"/>
  <c r="AO7" i="53" s="1"/>
  <c r="AN2" i="53"/>
  <c r="AN7" i="53" s="1"/>
  <c r="AM2" i="53"/>
  <c r="AM7" i="53" s="1"/>
  <c r="AL2" i="53"/>
  <c r="AL7" i="53" s="1"/>
  <c r="AK2" i="53"/>
  <c r="AK7" i="53" s="1"/>
  <c r="AJ2" i="53"/>
  <c r="AJ7" i="53" s="1"/>
  <c r="AI2" i="53"/>
  <c r="AI7" i="53" s="1"/>
  <c r="AH2" i="53"/>
  <c r="AH7" i="53" s="1"/>
  <c r="AG2" i="53"/>
  <c r="AG7" i="53" s="1"/>
  <c r="AF2" i="53"/>
  <c r="AF7" i="53" s="1"/>
  <c r="AE2" i="53"/>
  <c r="AE7" i="53" s="1"/>
  <c r="AD2" i="53"/>
  <c r="AD7" i="53" s="1"/>
  <c r="AC2" i="53"/>
  <c r="AC7" i="53" s="1"/>
  <c r="AB2" i="53"/>
  <c r="AB7" i="53" s="1"/>
  <c r="AA2" i="53"/>
  <c r="AA7" i="53" s="1"/>
  <c r="Z2" i="53"/>
  <c r="Z7" i="53" s="1"/>
  <c r="Y2" i="53"/>
  <c r="Y7" i="53" s="1"/>
  <c r="X2" i="53"/>
  <c r="X7" i="53" s="1"/>
  <c r="W2" i="53"/>
  <c r="W7" i="53" s="1"/>
  <c r="V2" i="53"/>
  <c r="V7" i="53" s="1"/>
  <c r="U2" i="53"/>
  <c r="U7" i="53" s="1"/>
  <c r="T2" i="53"/>
  <c r="T7" i="53" s="1"/>
  <c r="S2" i="53"/>
  <c r="S7" i="53" s="1"/>
  <c r="R2" i="53"/>
  <c r="R7" i="53" s="1"/>
  <c r="Q2" i="53"/>
  <c r="Q7" i="53" s="1"/>
  <c r="P2" i="53"/>
  <c r="P7" i="53" s="1"/>
  <c r="O2" i="53"/>
  <c r="O7" i="53" s="1"/>
  <c r="N2" i="53"/>
  <c r="N7" i="53" s="1"/>
  <c r="M2" i="53"/>
  <c r="M7" i="53" s="1"/>
  <c r="L2" i="53"/>
  <c r="L7" i="53" s="1"/>
  <c r="K2" i="53"/>
  <c r="J2" i="53"/>
  <c r="J7" i="53" s="1"/>
  <c r="I2" i="53"/>
  <c r="I7" i="53" s="1"/>
  <c r="H2" i="53"/>
  <c r="H7" i="53" s="1"/>
  <c r="G2" i="53"/>
  <c r="G7" i="53" s="1"/>
  <c r="F2" i="53"/>
  <c r="F7" i="53" s="1"/>
  <c r="E2" i="53"/>
  <c r="E7" i="53" s="1"/>
  <c r="D2" i="53"/>
  <c r="D7" i="53" s="1"/>
  <c r="C2" i="53"/>
  <c r="C7" i="53" s="1"/>
  <c r="DE25" i="52"/>
  <c r="DA25" i="52"/>
  <c r="CW25" i="52"/>
  <c r="CS25" i="52"/>
  <c r="CO25" i="52"/>
  <c r="CK25" i="52"/>
  <c r="CG25" i="52"/>
  <c r="CC25" i="52"/>
  <c r="BY25" i="52"/>
  <c r="BU25" i="52"/>
  <c r="BQ25" i="52"/>
  <c r="BM25" i="52"/>
  <c r="BI25" i="52"/>
  <c r="BE25" i="52"/>
  <c r="BA25" i="52"/>
  <c r="AW25" i="52"/>
  <c r="AS25" i="52"/>
  <c r="AO25" i="52"/>
  <c r="AK25" i="52"/>
  <c r="AG25" i="52"/>
  <c r="AC25" i="52"/>
  <c r="Y25" i="52"/>
  <c r="U25" i="52"/>
  <c r="Q25" i="52"/>
  <c r="M25" i="52"/>
  <c r="I25" i="52"/>
  <c r="E25" i="52"/>
  <c r="CW21" i="52"/>
  <c r="CX21" i="52" s="1"/>
  <c r="CY21" i="52" s="1"/>
  <c r="CZ21" i="52" s="1"/>
  <c r="DA21" i="52" s="1"/>
  <c r="DB21" i="52" s="1"/>
  <c r="DC21" i="52" s="1"/>
  <c r="DD21" i="52" s="1"/>
  <c r="DE21" i="52" s="1"/>
  <c r="DF21" i="52" s="1"/>
  <c r="CS21" i="52"/>
  <c r="CT21" i="52" s="1"/>
  <c r="CU21" i="52" s="1"/>
  <c r="CV21" i="52" s="1"/>
  <c r="CR21" i="52"/>
  <c r="CQ21" i="52"/>
  <c r="CP21" i="52"/>
  <c r="CF21" i="52"/>
  <c r="CG21" i="52" s="1"/>
  <c r="CH21" i="52" s="1"/>
  <c r="CI21" i="52" s="1"/>
  <c r="CJ21" i="52" s="1"/>
  <c r="CK21" i="52" s="1"/>
  <c r="CL21" i="52" s="1"/>
  <c r="CM21" i="52" s="1"/>
  <c r="CN21" i="52" s="1"/>
  <c r="CE21" i="52"/>
  <c r="CD21" i="52"/>
  <c r="BS21" i="52"/>
  <c r="BT21" i="52" s="1"/>
  <c r="BU21" i="52" s="1"/>
  <c r="BV21" i="52" s="1"/>
  <c r="BW21" i="52" s="1"/>
  <c r="BX21" i="52" s="1"/>
  <c r="BY21" i="52" s="1"/>
  <c r="BZ21" i="52" s="1"/>
  <c r="CA21" i="52" s="1"/>
  <c r="CB21" i="52" s="1"/>
  <c r="BR21" i="52"/>
  <c r="BF21" i="52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AW21" i="52"/>
  <c r="AX21" i="52" s="1"/>
  <c r="AY21" i="52" s="1"/>
  <c r="AZ21" i="52" s="1"/>
  <c r="BA21" i="52" s="1"/>
  <c r="BB21" i="52" s="1"/>
  <c r="BC21" i="52" s="1"/>
  <c r="BD21" i="52" s="1"/>
  <c r="AV21" i="52"/>
  <c r="AU21" i="52"/>
  <c r="AT21" i="52"/>
  <c r="AJ21" i="52"/>
  <c r="AK21" i="52" s="1"/>
  <c r="AL21" i="52" s="1"/>
  <c r="AM21" i="52" s="1"/>
  <c r="AN21" i="52" s="1"/>
  <c r="AO21" i="52" s="1"/>
  <c r="AP21" i="52" s="1"/>
  <c r="AQ21" i="52" s="1"/>
  <c r="AR21" i="52" s="1"/>
  <c r="AI21" i="52"/>
  <c r="AH21" i="52"/>
  <c r="AA21" i="52"/>
  <c r="AB21" i="52" s="1"/>
  <c r="AC21" i="52" s="1"/>
  <c r="AD21" i="52" s="1"/>
  <c r="AE21" i="52" s="1"/>
  <c r="AF21" i="52" s="1"/>
  <c r="W21" i="52"/>
  <c r="X21" i="52" s="1"/>
  <c r="Y21" i="52" s="1"/>
  <c r="Z21" i="52" s="1"/>
  <c r="V21" i="52"/>
  <c r="N21" i="52"/>
  <c r="O21" i="52" s="1"/>
  <c r="P21" i="52" s="1"/>
  <c r="Q21" i="52" s="1"/>
  <c r="R21" i="52" s="1"/>
  <c r="S21" i="52" s="1"/>
  <c r="T21" i="52" s="1"/>
  <c r="J21" i="52"/>
  <c r="K21" i="52" s="1"/>
  <c r="L21" i="52" s="1"/>
  <c r="M21" i="52" s="1"/>
  <c r="DF17" i="52"/>
  <c r="DF25" i="52" s="1"/>
  <c r="DE17" i="52"/>
  <c r="DD17" i="52"/>
  <c r="DD25" i="52" s="1"/>
  <c r="DC17" i="52"/>
  <c r="DC25" i="52" s="1"/>
  <c r="DB17" i="52"/>
  <c r="DB25" i="52" s="1"/>
  <c r="DA17" i="52"/>
  <c r="CZ17" i="52"/>
  <c r="CZ25" i="52" s="1"/>
  <c r="CY17" i="52"/>
  <c r="CY25" i="52" s="1"/>
  <c r="CX17" i="52"/>
  <c r="CX25" i="52" s="1"/>
  <c r="CW17" i="52"/>
  <c r="CV17" i="52"/>
  <c r="CV25" i="52" s="1"/>
  <c r="CU17" i="52"/>
  <c r="CU25" i="52" s="1"/>
  <c r="CT17" i="52"/>
  <c r="CT25" i="52" s="1"/>
  <c r="CS17" i="52"/>
  <c r="CR17" i="52"/>
  <c r="CR25" i="52" s="1"/>
  <c r="CQ17" i="52"/>
  <c r="CQ25" i="52" s="1"/>
  <c r="CP17" i="52"/>
  <c r="CP25" i="52" s="1"/>
  <c r="CO17" i="52"/>
  <c r="CN17" i="52"/>
  <c r="CN25" i="52" s="1"/>
  <c r="CM17" i="52"/>
  <c r="CM25" i="52" s="1"/>
  <c r="CL17" i="52"/>
  <c r="CL25" i="52" s="1"/>
  <c r="CK17" i="52"/>
  <c r="CJ17" i="52"/>
  <c r="CJ25" i="52" s="1"/>
  <c r="CI17" i="52"/>
  <c r="CI25" i="52" s="1"/>
  <c r="CH17" i="52"/>
  <c r="CH25" i="52" s="1"/>
  <c r="CG17" i="52"/>
  <c r="CF17" i="52"/>
  <c r="CF25" i="52" s="1"/>
  <c r="CE17" i="52"/>
  <c r="CE25" i="52" s="1"/>
  <c r="CD17" i="52"/>
  <c r="CD25" i="52" s="1"/>
  <c r="CC17" i="52"/>
  <c r="CB17" i="52"/>
  <c r="CB25" i="52" s="1"/>
  <c r="CA17" i="52"/>
  <c r="CA25" i="52" s="1"/>
  <c r="BZ17" i="52"/>
  <c r="BZ25" i="52" s="1"/>
  <c r="BY17" i="52"/>
  <c r="BX17" i="52"/>
  <c r="BX25" i="52" s="1"/>
  <c r="BW17" i="52"/>
  <c r="BW25" i="52" s="1"/>
  <c r="BV17" i="52"/>
  <c r="BV25" i="52" s="1"/>
  <c r="BU17" i="52"/>
  <c r="BT17" i="52"/>
  <c r="BT25" i="52" s="1"/>
  <c r="BS17" i="52"/>
  <c r="BS25" i="52" s="1"/>
  <c r="BR17" i="52"/>
  <c r="BR25" i="52" s="1"/>
  <c r="BQ17" i="52"/>
  <c r="BP17" i="52"/>
  <c r="BP25" i="52" s="1"/>
  <c r="BO17" i="52"/>
  <c r="BO25" i="52" s="1"/>
  <c r="BN17" i="52"/>
  <c r="BN25" i="52" s="1"/>
  <c r="BM17" i="52"/>
  <c r="BL17" i="52"/>
  <c r="BL25" i="52" s="1"/>
  <c r="BK17" i="52"/>
  <c r="BK25" i="52" s="1"/>
  <c r="BJ17" i="52"/>
  <c r="BJ25" i="52" s="1"/>
  <c r="BI17" i="52"/>
  <c r="BH17" i="52"/>
  <c r="BH25" i="52" s="1"/>
  <c r="BG17" i="52"/>
  <c r="BG25" i="52" s="1"/>
  <c r="BF17" i="52"/>
  <c r="BF25" i="52" s="1"/>
  <c r="BE17" i="52"/>
  <c r="BD17" i="52"/>
  <c r="BD25" i="52" s="1"/>
  <c r="BC17" i="52"/>
  <c r="BC25" i="52" s="1"/>
  <c r="BB17" i="52"/>
  <c r="BB25" i="52" s="1"/>
  <c r="BA17" i="52"/>
  <c r="AZ17" i="52"/>
  <c r="AZ25" i="52" s="1"/>
  <c r="AY17" i="52"/>
  <c r="AY25" i="52" s="1"/>
  <c r="AX17" i="52"/>
  <c r="AX25" i="52" s="1"/>
  <c r="AW17" i="52"/>
  <c r="AV17" i="52"/>
  <c r="AV25" i="52" s="1"/>
  <c r="AU17" i="52"/>
  <c r="AU25" i="52" s="1"/>
  <c r="AT17" i="52"/>
  <c r="AT25" i="52" s="1"/>
  <c r="AS17" i="52"/>
  <c r="AR17" i="52"/>
  <c r="AR25" i="52" s="1"/>
  <c r="AQ17" i="52"/>
  <c r="AQ25" i="52" s="1"/>
  <c r="AP17" i="52"/>
  <c r="AP25" i="52" s="1"/>
  <c r="AO17" i="52"/>
  <c r="AN17" i="52"/>
  <c r="AN25" i="52" s="1"/>
  <c r="AM17" i="52"/>
  <c r="AM25" i="52" s="1"/>
  <c r="AL17" i="52"/>
  <c r="AL25" i="52" s="1"/>
  <c r="AK17" i="52"/>
  <c r="AJ17" i="52"/>
  <c r="AJ25" i="52" s="1"/>
  <c r="AI17" i="52"/>
  <c r="AI25" i="52" s="1"/>
  <c r="AH17" i="52"/>
  <c r="AH25" i="52" s="1"/>
  <c r="AG17" i="52"/>
  <c r="AF17" i="52"/>
  <c r="AF25" i="52" s="1"/>
  <c r="AE17" i="52"/>
  <c r="AE25" i="52" s="1"/>
  <c r="AD17" i="52"/>
  <c r="AD25" i="52" s="1"/>
  <c r="AC17" i="52"/>
  <c r="AB17" i="52"/>
  <c r="AB25" i="52" s="1"/>
  <c r="AA17" i="52"/>
  <c r="AA25" i="52" s="1"/>
  <c r="Z17" i="52"/>
  <c r="Z25" i="52" s="1"/>
  <c r="Y17" i="52"/>
  <c r="X17" i="52"/>
  <c r="X25" i="52" s="1"/>
  <c r="W17" i="52"/>
  <c r="W25" i="52" s="1"/>
  <c r="V17" i="52"/>
  <c r="V25" i="52" s="1"/>
  <c r="U17" i="52"/>
  <c r="T17" i="52"/>
  <c r="T25" i="52" s="1"/>
  <c r="S17" i="52"/>
  <c r="S25" i="52" s="1"/>
  <c r="R17" i="52"/>
  <c r="R25" i="52" s="1"/>
  <c r="Q17" i="52"/>
  <c r="P17" i="52"/>
  <c r="P25" i="52" s="1"/>
  <c r="O17" i="52"/>
  <c r="O25" i="52" s="1"/>
  <c r="N17" i="52"/>
  <c r="N25" i="52" s="1"/>
  <c r="M17" i="52"/>
  <c r="L17" i="52"/>
  <c r="L25" i="52" s="1"/>
  <c r="K17" i="52"/>
  <c r="K25" i="52" s="1"/>
  <c r="J17" i="52"/>
  <c r="J25" i="52" s="1"/>
  <c r="I17" i="52"/>
  <c r="H17" i="52"/>
  <c r="H25" i="52" s="1"/>
  <c r="G17" i="52"/>
  <c r="G25" i="52" s="1"/>
  <c r="F17" i="52"/>
  <c r="F25" i="52" s="1"/>
  <c r="E17" i="52"/>
  <c r="D17" i="52"/>
  <c r="D25" i="52" s="1"/>
  <c r="C17" i="52"/>
  <c r="C25" i="52" s="1"/>
  <c r="AA15" i="52"/>
  <c r="AA27" i="52" s="1"/>
  <c r="O15" i="52"/>
  <c r="O27" i="52" s="1"/>
  <c r="C15" i="52"/>
  <c r="C27" i="52" s="1"/>
  <c r="C28" i="52" s="1"/>
  <c r="C29" i="52" s="1"/>
  <c r="AZ14" i="52"/>
  <c r="AY14" i="52"/>
  <c r="AX14" i="52"/>
  <c r="AW14" i="52"/>
  <c r="AV14" i="52"/>
  <c r="AU14" i="52"/>
  <c r="AT14" i="52"/>
  <c r="AS14" i="52"/>
  <c r="AR14" i="52"/>
  <c r="AQ14" i="52"/>
  <c r="AP14" i="52"/>
  <c r="AO14" i="52"/>
  <c r="AN14" i="52"/>
  <c r="AM14" i="52"/>
  <c r="AL14" i="52"/>
  <c r="AK14" i="52"/>
  <c r="AJ14" i="52"/>
  <c r="AI14" i="52"/>
  <c r="AH14" i="52"/>
  <c r="AG14" i="52"/>
  <c r="AF14" i="52"/>
  <c r="AE14" i="52"/>
  <c r="AD14" i="52"/>
  <c r="AC14" i="52"/>
  <c r="AB14" i="52"/>
  <c r="AA14" i="52"/>
  <c r="Z14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I14" i="52"/>
  <c r="C14" i="52"/>
  <c r="E13" i="52"/>
  <c r="D13" i="52"/>
  <c r="D4" i="53" s="1"/>
  <c r="D15" i="53" s="1"/>
  <c r="AA11" i="52"/>
  <c r="AA3" i="53" s="1"/>
  <c r="O11" i="52"/>
  <c r="O3" i="53" s="1"/>
  <c r="D11" i="52"/>
  <c r="C11" i="52"/>
  <c r="C3" i="53" s="1"/>
  <c r="AB9" i="52"/>
  <c r="AB11" i="52" s="1"/>
  <c r="D9" i="52"/>
  <c r="AE5" i="52"/>
  <c r="AF5" i="52" s="1"/>
  <c r="AG5" i="52" s="1"/>
  <c r="AH5" i="52" s="1"/>
  <c r="AI5" i="52" s="1"/>
  <c r="AJ5" i="52" s="1"/>
  <c r="AK5" i="52" s="1"/>
  <c r="AL5" i="52" s="1"/>
  <c r="AM5" i="52" s="1"/>
  <c r="AN5" i="52" s="1"/>
  <c r="AO5" i="52" s="1"/>
  <c r="AP5" i="52" s="1"/>
  <c r="AQ5" i="52" s="1"/>
  <c r="AR5" i="52" s="1"/>
  <c r="AS5" i="52" s="1"/>
  <c r="AT5" i="52" s="1"/>
  <c r="AU5" i="52" s="1"/>
  <c r="AV5" i="52" s="1"/>
  <c r="AW5" i="52" s="1"/>
  <c r="AX5" i="52" s="1"/>
  <c r="AY5" i="52" s="1"/>
  <c r="AZ5" i="52" s="1"/>
  <c r="BA5" i="52" s="1"/>
  <c r="BB5" i="52" s="1"/>
  <c r="BC5" i="52" s="1"/>
  <c r="BD5" i="52" s="1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S5" i="52" s="1"/>
  <c r="BT5" i="52" s="1"/>
  <c r="BU5" i="52" s="1"/>
  <c r="BV5" i="52" s="1"/>
  <c r="BW5" i="52" s="1"/>
  <c r="BX5" i="52" s="1"/>
  <c r="BY5" i="52" s="1"/>
  <c r="BZ5" i="52" s="1"/>
  <c r="CA5" i="52" s="1"/>
  <c r="CB5" i="52" s="1"/>
  <c r="CC5" i="52" s="1"/>
  <c r="CD5" i="52" s="1"/>
  <c r="CE5" i="52" s="1"/>
  <c r="CF5" i="52" s="1"/>
  <c r="CG5" i="52" s="1"/>
  <c r="CH5" i="52" s="1"/>
  <c r="CI5" i="52" s="1"/>
  <c r="CJ5" i="52" s="1"/>
  <c r="CK5" i="52" s="1"/>
  <c r="CL5" i="52" s="1"/>
  <c r="CM5" i="52" s="1"/>
  <c r="CN5" i="52" s="1"/>
  <c r="CO5" i="52" s="1"/>
  <c r="CP5" i="52" s="1"/>
  <c r="CQ5" i="52" s="1"/>
  <c r="CR5" i="52" s="1"/>
  <c r="CS5" i="52" s="1"/>
  <c r="CT5" i="52" s="1"/>
  <c r="CU5" i="52" s="1"/>
  <c r="CV5" i="52" s="1"/>
  <c r="CW5" i="52" s="1"/>
  <c r="CX5" i="52" s="1"/>
  <c r="CY5" i="52" s="1"/>
  <c r="CZ5" i="52" s="1"/>
  <c r="DA5" i="52" s="1"/>
  <c r="DB5" i="52" s="1"/>
  <c r="DC5" i="52" s="1"/>
  <c r="DD5" i="52" s="1"/>
  <c r="DE5" i="52" s="1"/>
  <c r="DF5" i="52" s="1"/>
  <c r="AD5" i="52"/>
  <c r="AC5" i="52"/>
  <c r="AB5" i="52"/>
  <c r="Z5" i="52"/>
  <c r="Y5" i="52"/>
  <c r="DF4" i="52"/>
  <c r="DE4" i="52"/>
  <c r="DD4" i="52"/>
  <c r="DC4" i="52"/>
  <c r="DB4" i="52"/>
  <c r="DA4" i="52"/>
  <c r="CZ4" i="52"/>
  <c r="CY4" i="52"/>
  <c r="CX4" i="52"/>
  <c r="CW4" i="52"/>
  <c r="CV4" i="52"/>
  <c r="CU4" i="52"/>
  <c r="CT4" i="52"/>
  <c r="CS4" i="52"/>
  <c r="CR4" i="52"/>
  <c r="CQ4" i="52"/>
  <c r="CP4" i="52"/>
  <c r="CO4" i="52"/>
  <c r="CN4" i="52"/>
  <c r="CM4" i="52"/>
  <c r="CL4" i="52"/>
  <c r="CK4" i="52"/>
  <c r="CJ4" i="52"/>
  <c r="CI4" i="52"/>
  <c r="CH4" i="52"/>
  <c r="CG4" i="52"/>
  <c r="CF4" i="52"/>
  <c r="CE4" i="52"/>
  <c r="CD4" i="52"/>
  <c r="CC4" i="52"/>
  <c r="CB4" i="52"/>
  <c r="CA4" i="52"/>
  <c r="BZ4" i="52"/>
  <c r="BY4" i="52"/>
  <c r="BX4" i="52"/>
  <c r="BW4" i="52"/>
  <c r="BV4" i="52"/>
  <c r="BU4" i="52"/>
  <c r="BT4" i="52"/>
  <c r="BS4" i="52"/>
  <c r="BR4" i="52"/>
  <c r="BQ4" i="52"/>
  <c r="BP4" i="52"/>
  <c r="BO4" i="52"/>
  <c r="BN4" i="52"/>
  <c r="BM4" i="52"/>
  <c r="BL4" i="52"/>
  <c r="BK4" i="52"/>
  <c r="BJ4" i="52"/>
  <c r="BI4" i="52"/>
  <c r="BH4" i="52"/>
  <c r="BG4" i="52"/>
  <c r="BF4" i="52"/>
  <c r="BE4" i="52"/>
  <c r="BD4" i="52"/>
  <c r="BC4" i="52"/>
  <c r="BB4" i="52"/>
  <c r="BA4" i="52"/>
  <c r="AZ4" i="52"/>
  <c r="AY4" i="52"/>
  <c r="AX4" i="52"/>
  <c r="AW4" i="52"/>
  <c r="AV4" i="52"/>
  <c r="AU4" i="52"/>
  <c r="AT4" i="52"/>
  <c r="AS4" i="52"/>
  <c r="AR4" i="52"/>
  <c r="AQ4" i="52"/>
  <c r="AP4" i="52"/>
  <c r="AO4" i="52"/>
  <c r="AN4" i="52"/>
  <c r="AM4" i="52"/>
  <c r="AL4" i="52"/>
  <c r="AK4" i="52"/>
  <c r="AJ4" i="52"/>
  <c r="AI4" i="52"/>
  <c r="AH4" i="52"/>
  <c r="AG4" i="52"/>
  <c r="AF4" i="52"/>
  <c r="AE4" i="52"/>
  <c r="AD4" i="52"/>
  <c r="AC4" i="52"/>
  <c r="AB4" i="52"/>
  <c r="AA4" i="52"/>
  <c r="Z4" i="52"/>
  <c r="Y4" i="52"/>
  <c r="X4" i="52"/>
  <c r="X6" i="52" s="1"/>
  <c r="AE3" i="52"/>
  <c r="AF3" i="52" s="1"/>
  <c r="AG3" i="52" s="1"/>
  <c r="AH3" i="52" s="1"/>
  <c r="AI3" i="52" s="1"/>
  <c r="AJ3" i="52" s="1"/>
  <c r="AK3" i="52" s="1"/>
  <c r="AL3" i="52" s="1"/>
  <c r="AM3" i="52" s="1"/>
  <c r="AN3" i="52" s="1"/>
  <c r="AO3" i="52" s="1"/>
  <c r="AP3" i="52" s="1"/>
  <c r="AQ3" i="52" s="1"/>
  <c r="AR3" i="52" s="1"/>
  <c r="AS3" i="52" s="1"/>
  <c r="AT3" i="52" s="1"/>
  <c r="AU3" i="52" s="1"/>
  <c r="AV3" i="52" s="1"/>
  <c r="AW3" i="52" s="1"/>
  <c r="AX3" i="52" s="1"/>
  <c r="AY3" i="52" s="1"/>
  <c r="AZ3" i="52" s="1"/>
  <c r="BA3" i="52" s="1"/>
  <c r="BB3" i="52" s="1"/>
  <c r="BC3" i="52" s="1"/>
  <c r="BD3" i="52" s="1"/>
  <c r="BE3" i="52" s="1"/>
  <c r="BF3" i="52" s="1"/>
  <c r="BG3" i="52" s="1"/>
  <c r="BH3" i="52" s="1"/>
  <c r="BI3" i="52" s="1"/>
  <c r="BJ3" i="52" s="1"/>
  <c r="BK3" i="52" s="1"/>
  <c r="BL3" i="52" s="1"/>
  <c r="BM3" i="52" s="1"/>
  <c r="BN3" i="52" s="1"/>
  <c r="BO3" i="52" s="1"/>
  <c r="BP3" i="52" s="1"/>
  <c r="BQ3" i="52" s="1"/>
  <c r="BR3" i="52" s="1"/>
  <c r="BS3" i="52" s="1"/>
  <c r="BT3" i="52" s="1"/>
  <c r="BU3" i="52" s="1"/>
  <c r="BV3" i="52" s="1"/>
  <c r="BW3" i="52" s="1"/>
  <c r="BX3" i="52" s="1"/>
  <c r="BY3" i="52" s="1"/>
  <c r="BZ3" i="52" s="1"/>
  <c r="CA3" i="52" s="1"/>
  <c r="CB3" i="52" s="1"/>
  <c r="CC3" i="52" s="1"/>
  <c r="CD3" i="52" s="1"/>
  <c r="CE3" i="52" s="1"/>
  <c r="CF3" i="52" s="1"/>
  <c r="CG3" i="52" s="1"/>
  <c r="CH3" i="52" s="1"/>
  <c r="CI3" i="52" s="1"/>
  <c r="CJ3" i="52" s="1"/>
  <c r="CK3" i="52" s="1"/>
  <c r="CL3" i="52" s="1"/>
  <c r="CM3" i="52" s="1"/>
  <c r="CN3" i="52" s="1"/>
  <c r="CO3" i="52" s="1"/>
  <c r="CP3" i="52" s="1"/>
  <c r="CQ3" i="52" s="1"/>
  <c r="CR3" i="52" s="1"/>
  <c r="CS3" i="52" s="1"/>
  <c r="CT3" i="52" s="1"/>
  <c r="CU3" i="52" s="1"/>
  <c r="CV3" i="52" s="1"/>
  <c r="CW3" i="52" s="1"/>
  <c r="CX3" i="52" s="1"/>
  <c r="CY3" i="52" s="1"/>
  <c r="CZ3" i="52" s="1"/>
  <c r="DA3" i="52" s="1"/>
  <c r="DB3" i="52" s="1"/>
  <c r="DC3" i="52" s="1"/>
  <c r="DD3" i="52" s="1"/>
  <c r="DE3" i="52" s="1"/>
  <c r="DF3" i="52" s="1"/>
  <c r="AD3" i="52"/>
  <c r="AC3" i="52"/>
  <c r="AB3" i="52"/>
  <c r="Z3" i="52"/>
  <c r="Y3" i="52"/>
  <c r="AB2" i="52"/>
  <c r="Z2" i="52"/>
  <c r="Z6" i="52" s="1"/>
  <c r="Y2" i="52"/>
  <c r="Y6" i="52" s="1"/>
  <c r="S21" i="51"/>
  <c r="G21" i="51"/>
  <c r="B20" i="51"/>
  <c r="B22" i="51" s="1"/>
  <c r="CY16" i="51"/>
  <c r="B15" i="51"/>
  <c r="C4" i="51" s="1"/>
  <c r="AA10" i="51"/>
  <c r="O5" i="51"/>
  <c r="N5" i="51"/>
  <c r="M5" i="51"/>
  <c r="L5" i="51"/>
  <c r="K5" i="51"/>
  <c r="CV3" i="51"/>
  <c r="CU3" i="51"/>
  <c r="CT3" i="51"/>
  <c r="CS3" i="51"/>
  <c r="CR3" i="51"/>
  <c r="CQ3" i="51"/>
  <c r="CP3" i="51"/>
  <c r="CO3" i="51"/>
  <c r="CN3" i="51"/>
  <c r="CM3" i="51"/>
  <c r="CL3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BW3" i="51"/>
  <c r="BV3" i="51"/>
  <c r="BU3" i="51"/>
  <c r="BT3" i="51"/>
  <c r="BS3" i="51"/>
  <c r="BR3" i="51"/>
  <c r="BQ3" i="51"/>
  <c r="BP3" i="51"/>
  <c r="BO3" i="51"/>
  <c r="BN3" i="51"/>
  <c r="BM3" i="51"/>
  <c r="BL3" i="51"/>
  <c r="BK3" i="51"/>
  <c r="BJ3" i="51"/>
  <c r="BI3" i="51"/>
  <c r="BH3" i="51"/>
  <c r="BG3" i="51"/>
  <c r="BF3" i="51"/>
  <c r="BE3" i="51"/>
  <c r="BD3" i="51"/>
  <c r="BC3" i="51"/>
  <c r="BB3" i="51"/>
  <c r="BA3" i="51"/>
  <c r="AZ3" i="51"/>
  <c r="AY3" i="51"/>
  <c r="AX3" i="51"/>
  <c r="AW3" i="51"/>
  <c r="AV3" i="51"/>
  <c r="AU3" i="51"/>
  <c r="AT3" i="51"/>
  <c r="AS3" i="51"/>
  <c r="AR3" i="51"/>
  <c r="AQ3" i="51"/>
  <c r="AP3" i="51"/>
  <c r="AO3" i="51"/>
  <c r="AN3" i="51"/>
  <c r="AM3" i="51"/>
  <c r="AL3" i="51"/>
  <c r="AK3" i="51"/>
  <c r="AJ3" i="51"/>
  <c r="AI3" i="51"/>
  <c r="AH3" i="51"/>
  <c r="AG3" i="51"/>
  <c r="AF3" i="51"/>
  <c r="AE3" i="51"/>
  <c r="AD3" i="51"/>
  <c r="AC3" i="51"/>
  <c r="AB3" i="51"/>
  <c r="AA3" i="51"/>
  <c r="Z3" i="51"/>
  <c r="Y3" i="51"/>
  <c r="X3" i="51"/>
  <c r="W3" i="51"/>
  <c r="V3" i="51"/>
  <c r="U3" i="51"/>
  <c r="T3" i="51"/>
  <c r="S3" i="51"/>
  <c r="R3" i="51"/>
  <c r="Q3" i="51"/>
  <c r="P3" i="51"/>
  <c r="O3" i="51"/>
  <c r="N3" i="51"/>
  <c r="M3" i="51"/>
  <c r="L3" i="51"/>
  <c r="K3" i="51"/>
  <c r="J3" i="51"/>
  <c r="I3" i="51"/>
  <c r="H3" i="51"/>
  <c r="G3" i="51"/>
  <c r="F3" i="51"/>
  <c r="E3" i="51"/>
  <c r="D3" i="51"/>
  <c r="C3" i="51"/>
  <c r="B3" i="51"/>
  <c r="A2" i="51"/>
  <c r="N1" i="51"/>
  <c r="O1" i="51" s="1"/>
  <c r="P1" i="51" s="1"/>
  <c r="Q1" i="51" s="1"/>
  <c r="R1" i="51" s="1"/>
  <c r="S1" i="51" s="1"/>
  <c r="T1" i="51" s="1"/>
  <c r="U1" i="51" s="1"/>
  <c r="V1" i="51" s="1"/>
  <c r="J1" i="51"/>
  <c r="K1" i="51" s="1"/>
  <c r="L1" i="51" s="1"/>
  <c r="M1" i="51" s="1"/>
  <c r="F1" i="51"/>
  <c r="G1" i="51" s="1"/>
  <c r="H1" i="51" s="1"/>
  <c r="I1" i="51" s="1"/>
  <c r="C1" i="51"/>
  <c r="D1" i="51" s="1"/>
  <c r="E1" i="51" s="1"/>
  <c r="K37" i="50"/>
  <c r="J37" i="50"/>
  <c r="I37" i="50"/>
  <c r="H37" i="50"/>
  <c r="G37" i="50"/>
  <c r="F37" i="50"/>
  <c r="E37" i="50"/>
  <c r="D37" i="50"/>
  <c r="C37" i="50"/>
  <c r="B37" i="50"/>
  <c r="J36" i="50"/>
  <c r="J38" i="50" s="1"/>
  <c r="I36" i="50"/>
  <c r="I38" i="50" s="1"/>
  <c r="H36" i="50"/>
  <c r="H38" i="50" s="1"/>
  <c r="G36" i="50"/>
  <c r="G38" i="50" s="1"/>
  <c r="F36" i="50"/>
  <c r="F38" i="50" s="1"/>
  <c r="E36" i="50"/>
  <c r="E38" i="50" s="1"/>
  <c r="D36" i="50"/>
  <c r="D38" i="50" s="1"/>
  <c r="C36" i="50"/>
  <c r="C38" i="50" s="1"/>
  <c r="B36" i="50"/>
  <c r="B38" i="50" s="1"/>
  <c r="Q31" i="50"/>
  <c r="P31" i="50"/>
  <c r="O31" i="50"/>
  <c r="N31" i="50"/>
  <c r="M31" i="50"/>
  <c r="L31" i="50"/>
  <c r="H17" i="50"/>
  <c r="H31" i="50" s="1"/>
  <c r="G17" i="50"/>
  <c r="G31" i="50" s="1"/>
  <c r="F17" i="50"/>
  <c r="F31" i="50" s="1"/>
  <c r="E17" i="50"/>
  <c r="E31" i="50" s="1"/>
  <c r="D17" i="50"/>
  <c r="D31" i="50" s="1"/>
  <c r="C17" i="50"/>
  <c r="C31" i="50" s="1"/>
  <c r="B17" i="50"/>
  <c r="B31" i="50" s="1"/>
  <c r="Q7" i="50"/>
  <c r="Q16" i="50" s="1"/>
  <c r="Q22" i="50" s="1"/>
  <c r="Q30" i="50" s="1"/>
  <c r="Q35" i="50" s="1"/>
  <c r="P7" i="50"/>
  <c r="P16" i="50" s="1"/>
  <c r="P22" i="50" s="1"/>
  <c r="P30" i="50" s="1"/>
  <c r="P35" i="50" s="1"/>
  <c r="O7" i="50"/>
  <c r="O16" i="50" s="1"/>
  <c r="O22" i="50" s="1"/>
  <c r="O30" i="50" s="1"/>
  <c r="O35" i="50" s="1"/>
  <c r="N7" i="50"/>
  <c r="N16" i="50" s="1"/>
  <c r="N22" i="50" s="1"/>
  <c r="N30" i="50" s="1"/>
  <c r="N35" i="50" s="1"/>
  <c r="M7" i="50"/>
  <c r="M16" i="50" s="1"/>
  <c r="M22" i="50" s="1"/>
  <c r="M30" i="50" s="1"/>
  <c r="M35" i="50" s="1"/>
  <c r="L7" i="50"/>
  <c r="L16" i="50" s="1"/>
  <c r="L22" i="50" s="1"/>
  <c r="L30" i="50" s="1"/>
  <c r="L35" i="50" s="1"/>
  <c r="K7" i="50"/>
  <c r="K16" i="50" s="1"/>
  <c r="K22" i="50" s="1"/>
  <c r="K30" i="50" s="1"/>
  <c r="K35" i="50" s="1"/>
  <c r="J7" i="50"/>
  <c r="J16" i="50" s="1"/>
  <c r="J22" i="50" s="1"/>
  <c r="J30" i="50" s="1"/>
  <c r="J35" i="50" s="1"/>
  <c r="I7" i="50"/>
  <c r="I16" i="50" s="1"/>
  <c r="I22" i="50" s="1"/>
  <c r="I30" i="50" s="1"/>
  <c r="I35" i="50" s="1"/>
  <c r="H7" i="50"/>
  <c r="H16" i="50" s="1"/>
  <c r="H22" i="50" s="1"/>
  <c r="H30" i="50" s="1"/>
  <c r="H35" i="50" s="1"/>
  <c r="G7" i="50"/>
  <c r="G16" i="50" s="1"/>
  <c r="G22" i="50" s="1"/>
  <c r="G30" i="50" s="1"/>
  <c r="G35" i="50" s="1"/>
  <c r="F7" i="50"/>
  <c r="F16" i="50" s="1"/>
  <c r="F22" i="50" s="1"/>
  <c r="F30" i="50" s="1"/>
  <c r="F35" i="50" s="1"/>
  <c r="E7" i="50"/>
  <c r="E16" i="50" s="1"/>
  <c r="E22" i="50" s="1"/>
  <c r="E30" i="50" s="1"/>
  <c r="E35" i="50" s="1"/>
  <c r="D7" i="50"/>
  <c r="D16" i="50" s="1"/>
  <c r="D22" i="50" s="1"/>
  <c r="D30" i="50" s="1"/>
  <c r="D35" i="50" s="1"/>
  <c r="C7" i="50"/>
  <c r="C16" i="50" s="1"/>
  <c r="C22" i="50" s="1"/>
  <c r="C30" i="50" s="1"/>
  <c r="C35" i="50" s="1"/>
  <c r="B7" i="50"/>
  <c r="B16" i="50" s="1"/>
  <c r="B22" i="50" s="1"/>
  <c r="B30" i="50" s="1"/>
  <c r="B35" i="50" s="1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DA35" i="49"/>
  <c r="CZ35" i="49"/>
  <c r="CY35" i="49"/>
  <c r="CX35" i="49"/>
  <c r="CW35" i="49"/>
  <c r="CV35" i="49"/>
  <c r="CU35" i="49"/>
  <c r="CT35" i="49"/>
  <c r="CS35" i="49"/>
  <c r="CR35" i="49"/>
  <c r="CQ35" i="49"/>
  <c r="CP35" i="49"/>
  <c r="CO35" i="49"/>
  <c r="CN35" i="49"/>
  <c r="CM35" i="49"/>
  <c r="CL35" i="49"/>
  <c r="CK35" i="49"/>
  <c r="CJ35" i="49"/>
  <c r="CI35" i="49"/>
  <c r="CH35" i="49"/>
  <c r="CG35" i="49"/>
  <c r="CF35" i="49"/>
  <c r="CE35" i="49"/>
  <c r="CD35" i="49"/>
  <c r="CC35" i="49"/>
  <c r="CB35" i="49"/>
  <c r="CA35" i="49"/>
  <c r="BZ35" i="49"/>
  <c r="BY35" i="49"/>
  <c r="BX35" i="49"/>
  <c r="BW35" i="49"/>
  <c r="BV35" i="49"/>
  <c r="BU35" i="49"/>
  <c r="BT35" i="49"/>
  <c r="BS35" i="49"/>
  <c r="BR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DA34" i="49"/>
  <c r="CZ34" i="49"/>
  <c r="CY34" i="49"/>
  <c r="CX34" i="49"/>
  <c r="CW34" i="49"/>
  <c r="CV34" i="49"/>
  <c r="DA33" i="49"/>
  <c r="CZ33" i="49"/>
  <c r="CY33" i="49"/>
  <c r="CX33" i="49"/>
  <c r="CW33" i="49"/>
  <c r="CV33" i="49"/>
  <c r="CZ31" i="49"/>
  <c r="CY31" i="49"/>
  <c r="CX31" i="49"/>
  <c r="CW31" i="49"/>
  <c r="CV31" i="49"/>
  <c r="CU31" i="49"/>
  <c r="CT31" i="49"/>
  <c r="CS31" i="49"/>
  <c r="CR31" i="49"/>
  <c r="CQ31" i="49"/>
  <c r="CP31" i="49"/>
  <c r="CN31" i="49"/>
  <c r="CM31" i="49"/>
  <c r="CL31" i="49"/>
  <c r="CK31" i="49"/>
  <c r="CJ31" i="49"/>
  <c r="CI31" i="49"/>
  <c r="CH31" i="49"/>
  <c r="CG31" i="49"/>
  <c r="CF31" i="49"/>
  <c r="CE31" i="49"/>
  <c r="CD31" i="49"/>
  <c r="CB31" i="49"/>
  <c r="CA31" i="49"/>
  <c r="BZ31" i="49"/>
  <c r="BY31" i="49"/>
  <c r="BX31" i="49"/>
  <c r="BW31" i="49"/>
  <c r="BV31" i="49"/>
  <c r="BU31" i="49"/>
  <c r="BT31" i="49"/>
  <c r="BS31" i="49"/>
  <c r="BR31" i="49"/>
  <c r="BP31" i="49"/>
  <c r="BO31" i="49"/>
  <c r="BN31" i="49"/>
  <c r="BM31" i="49"/>
  <c r="BL31" i="49"/>
  <c r="BK31" i="49"/>
  <c r="BJ31" i="49"/>
  <c r="BI31" i="49"/>
  <c r="BH31" i="49"/>
  <c r="BG31" i="49"/>
  <c r="BF31" i="49"/>
  <c r="BD31" i="49"/>
  <c r="BC31" i="49"/>
  <c r="BB31" i="49"/>
  <c r="BA31" i="49"/>
  <c r="AZ31" i="49"/>
  <c r="AY31" i="49"/>
  <c r="AX31" i="49"/>
  <c r="AW31" i="49"/>
  <c r="AV31" i="49"/>
  <c r="AU31" i="49"/>
  <c r="AT31" i="49"/>
  <c r="AR31" i="49"/>
  <c r="AQ31" i="49"/>
  <c r="AP31" i="49"/>
  <c r="AO31" i="49"/>
  <c r="AN31" i="49"/>
  <c r="AM31" i="49"/>
  <c r="AL31" i="49"/>
  <c r="AK31" i="49"/>
  <c r="AJ31" i="49"/>
  <c r="AI31" i="49"/>
  <c r="AH31" i="49"/>
  <c r="AF31" i="49"/>
  <c r="AE31" i="49"/>
  <c r="AD31" i="49"/>
  <c r="AC31" i="49"/>
  <c r="AB31" i="49"/>
  <c r="AA31" i="49"/>
  <c r="Z31" i="49"/>
  <c r="Y31" i="49"/>
  <c r="X31" i="49"/>
  <c r="W31" i="49"/>
  <c r="V31" i="49"/>
  <c r="CZ29" i="49"/>
  <c r="CY29" i="49"/>
  <c r="CX29" i="49"/>
  <c r="CW29" i="49"/>
  <c r="CV29" i="49"/>
  <c r="CU29" i="49"/>
  <c r="CT29" i="49"/>
  <c r="CS29" i="49"/>
  <c r="CR29" i="49"/>
  <c r="CQ29" i="49"/>
  <c r="CP29" i="49"/>
  <c r="CO29" i="49"/>
  <c r="CN29" i="49"/>
  <c r="CM29" i="49"/>
  <c r="CL29" i="49"/>
  <c r="CK29" i="49"/>
  <c r="CJ29" i="49"/>
  <c r="CI29" i="49"/>
  <c r="CH29" i="49"/>
  <c r="CG29" i="49"/>
  <c r="CF29" i="49"/>
  <c r="CE29" i="49"/>
  <c r="CD29" i="49"/>
  <c r="CC29" i="49"/>
  <c r="CB29" i="49"/>
  <c r="CA29" i="49"/>
  <c r="BZ29" i="49"/>
  <c r="BY29" i="49"/>
  <c r="BX29" i="49"/>
  <c r="BW29" i="49"/>
  <c r="BV29" i="49"/>
  <c r="BU29" i="49"/>
  <c r="BT29" i="49"/>
  <c r="BS29" i="49"/>
  <c r="BR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X25" i="49"/>
  <c r="W25" i="49"/>
  <c r="V25" i="49"/>
  <c r="DA23" i="49"/>
  <c r="CZ23" i="49"/>
  <c r="CY23" i="49"/>
  <c r="CX23" i="49"/>
  <c r="CW23" i="49"/>
  <c r="CV23" i="49"/>
  <c r="AF23" i="49"/>
  <c r="AE23" i="49"/>
  <c r="AD23" i="49"/>
  <c r="AC23" i="49"/>
  <c r="AB23" i="49"/>
  <c r="AA23" i="49"/>
  <c r="Z23" i="49"/>
  <c r="Y23" i="49"/>
  <c r="AG22" i="49"/>
  <c r="AF22" i="49"/>
  <c r="AE22" i="49"/>
  <c r="AD22" i="49"/>
  <c r="AC22" i="49"/>
  <c r="AB22" i="49"/>
  <c r="AA22" i="49"/>
  <c r="Z22" i="49"/>
  <c r="Y22" i="49"/>
  <c r="CU21" i="49"/>
  <c r="CT21" i="49"/>
  <c r="CS21" i="49"/>
  <c r="CR21" i="49"/>
  <c r="CQ21" i="49"/>
  <c r="CP21" i="49"/>
  <c r="CO21" i="49"/>
  <c r="CN21" i="49"/>
  <c r="CM21" i="49"/>
  <c r="CL21" i="49"/>
  <c r="CK21" i="49"/>
  <c r="CJ21" i="49"/>
  <c r="CI21" i="49"/>
  <c r="CH21" i="49"/>
  <c r="CG21" i="49"/>
  <c r="CF21" i="49"/>
  <c r="CE21" i="49"/>
  <c r="CD21" i="49"/>
  <c r="CC21" i="49"/>
  <c r="CB21" i="49"/>
  <c r="CA21" i="49"/>
  <c r="BZ21" i="49"/>
  <c r="BY21" i="49"/>
  <c r="BX21" i="49"/>
  <c r="BW21" i="49"/>
  <c r="BV21" i="49"/>
  <c r="BU21" i="49"/>
  <c r="BT21" i="49"/>
  <c r="BS21" i="49"/>
  <c r="BR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DA19" i="49"/>
  <c r="CZ19" i="49"/>
  <c r="CY19" i="49"/>
  <c r="CX19" i="49"/>
  <c r="CW19" i="49"/>
  <c r="CV19" i="49"/>
  <c r="CU19" i="49"/>
  <c r="CT19" i="49"/>
  <c r="CS19" i="49"/>
  <c r="CR19" i="49"/>
  <c r="CQ19" i="49"/>
  <c r="CP19" i="49"/>
  <c r="CO19" i="49"/>
  <c r="CN19" i="49"/>
  <c r="CM19" i="49"/>
  <c r="CL19" i="49"/>
  <c r="CK19" i="49"/>
  <c r="CJ19" i="49"/>
  <c r="CI19" i="49"/>
  <c r="CH19" i="49"/>
  <c r="CG19" i="49"/>
  <c r="CF19" i="49"/>
  <c r="CE19" i="49"/>
  <c r="CD19" i="49"/>
  <c r="CC19" i="49"/>
  <c r="CB19" i="49"/>
  <c r="CA19" i="49"/>
  <c r="BZ19" i="49"/>
  <c r="BY19" i="49"/>
  <c r="BX19" i="49"/>
  <c r="BW19" i="49"/>
  <c r="BV19" i="49"/>
  <c r="BU19" i="49"/>
  <c r="BT19" i="49"/>
  <c r="BS19" i="49"/>
  <c r="BR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U17" i="49"/>
  <c r="U38" i="49" s="1"/>
  <c r="T17" i="49"/>
  <c r="T38" i="49" s="1"/>
  <c r="S17" i="49"/>
  <c r="S38" i="49" s="1"/>
  <c r="R17" i="49"/>
  <c r="R38" i="49" s="1"/>
  <c r="Q17" i="49"/>
  <c r="Q38" i="49" s="1"/>
  <c r="P17" i="49"/>
  <c r="P38" i="49" s="1"/>
  <c r="O17" i="49"/>
  <c r="O38" i="49" s="1"/>
  <c r="N17" i="49"/>
  <c r="N38" i="49" s="1"/>
  <c r="M17" i="49"/>
  <c r="M38" i="49" s="1"/>
  <c r="L17" i="49"/>
  <c r="L38" i="49" s="1"/>
  <c r="K17" i="49"/>
  <c r="K38" i="49" s="1"/>
  <c r="J17" i="49"/>
  <c r="J38" i="49" s="1"/>
  <c r="I17" i="49"/>
  <c r="I38" i="49" s="1"/>
  <c r="H17" i="49"/>
  <c r="H38" i="49" s="1"/>
  <c r="G17" i="49"/>
  <c r="G38" i="49" s="1"/>
  <c r="F17" i="49"/>
  <c r="F38" i="49" s="1"/>
  <c r="E17" i="49"/>
  <c r="E38" i="49" s="1"/>
  <c r="D17" i="49"/>
  <c r="D38" i="49" s="1"/>
  <c r="C17" i="49"/>
  <c r="C38" i="49" s="1"/>
  <c r="B17" i="49"/>
  <c r="B38" i="49" s="1"/>
  <c r="B40" i="49" s="1"/>
  <c r="DA16" i="49"/>
  <c r="CZ16" i="49"/>
  <c r="CY16" i="49"/>
  <c r="CX16" i="49"/>
  <c r="CW16" i="49"/>
  <c r="CV16" i="49"/>
  <c r="CU16" i="49"/>
  <c r="CT16" i="49"/>
  <c r="CS16" i="49"/>
  <c r="CR16" i="49"/>
  <c r="CQ16" i="49"/>
  <c r="CP16" i="49"/>
  <c r="CO16" i="49"/>
  <c r="CN16" i="49"/>
  <c r="CM16" i="49"/>
  <c r="CL16" i="49"/>
  <c r="CK16" i="49"/>
  <c r="CJ16" i="49"/>
  <c r="CI16" i="49"/>
  <c r="CH16" i="49"/>
  <c r="CG16" i="49"/>
  <c r="CF16" i="49"/>
  <c r="CE16" i="49"/>
  <c r="CD16" i="49"/>
  <c r="CC16" i="49"/>
  <c r="CB16" i="49"/>
  <c r="CA16" i="49"/>
  <c r="BZ16" i="49"/>
  <c r="BY16" i="49"/>
  <c r="BX16" i="49"/>
  <c r="BW16" i="49"/>
  <c r="BV16" i="49"/>
  <c r="BU16" i="49"/>
  <c r="BT16" i="49"/>
  <c r="BS16" i="49"/>
  <c r="BR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Z15" i="49"/>
  <c r="DA9" i="49"/>
  <c r="CZ9" i="49"/>
  <c r="CY9" i="49"/>
  <c r="CX9" i="49"/>
  <c r="CW9" i="49"/>
  <c r="CV9" i="49"/>
  <c r="CU9" i="49"/>
  <c r="CT9" i="49"/>
  <c r="CS9" i="49"/>
  <c r="CR9" i="49"/>
  <c r="CQ9" i="49"/>
  <c r="CP9" i="49"/>
  <c r="CO9" i="49"/>
  <c r="CN9" i="49"/>
  <c r="CM9" i="49"/>
  <c r="CL9" i="49"/>
  <c r="CK9" i="49"/>
  <c r="CJ9" i="49"/>
  <c r="CI9" i="49"/>
  <c r="CH9" i="49"/>
  <c r="CG9" i="49"/>
  <c r="CF9" i="49"/>
  <c r="CE9" i="49"/>
  <c r="CD9" i="49"/>
  <c r="CC9" i="49"/>
  <c r="CB9" i="49"/>
  <c r="CA9" i="49"/>
  <c r="BZ9" i="49"/>
  <c r="BY9" i="49"/>
  <c r="BX9" i="49"/>
  <c r="BW9" i="49"/>
  <c r="BV9" i="49"/>
  <c r="BU9" i="49"/>
  <c r="BT9" i="49"/>
  <c r="BS9" i="49"/>
  <c r="BR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F9" i="49"/>
  <c r="AE9" i="49"/>
  <c r="AD9" i="49"/>
  <c r="AC9" i="49"/>
  <c r="AB9" i="49"/>
  <c r="AA9" i="49"/>
  <c r="Z9" i="49"/>
  <c r="Y9" i="49"/>
  <c r="X9" i="49"/>
  <c r="W9" i="49"/>
  <c r="V9" i="49"/>
  <c r="DA8" i="49"/>
  <c r="DA17" i="49" s="1"/>
  <c r="CZ8" i="49"/>
  <c r="CZ17" i="49" s="1"/>
  <c r="CY8" i="49"/>
  <c r="CY17" i="49" s="1"/>
  <c r="CX8" i="49"/>
  <c r="CX17" i="49" s="1"/>
  <c r="CW8" i="49"/>
  <c r="CW17" i="49" s="1"/>
  <c r="AG7" i="49"/>
  <c r="AF7" i="49"/>
  <c r="AE7" i="49"/>
  <c r="AD7" i="49"/>
  <c r="AC7" i="49"/>
  <c r="AB7" i="49"/>
  <c r="AA7" i="49"/>
  <c r="Z7" i="49"/>
  <c r="Y7" i="49"/>
  <c r="X7" i="49"/>
  <c r="W7" i="49"/>
  <c r="V7" i="49"/>
  <c r="CU6" i="49"/>
  <c r="CT6" i="49"/>
  <c r="CS6" i="49"/>
  <c r="CR6" i="49"/>
  <c r="CQ6" i="49"/>
  <c r="CP6" i="49"/>
  <c r="CO6" i="49"/>
  <c r="CN6" i="49"/>
  <c r="CM6" i="49"/>
  <c r="CL6" i="49"/>
  <c r="CK6" i="49"/>
  <c r="CJ6" i="49"/>
  <c r="CI6" i="49"/>
  <c r="CH6" i="49"/>
  <c r="CG6" i="49"/>
  <c r="CF6" i="49"/>
  <c r="CE6" i="49"/>
  <c r="CD6" i="49"/>
  <c r="CC6" i="49"/>
  <c r="CB6" i="49"/>
  <c r="CA6" i="49"/>
  <c r="BZ6" i="49"/>
  <c r="BY6" i="49"/>
  <c r="BX6" i="49"/>
  <c r="BW6" i="49"/>
  <c r="BV6" i="49"/>
  <c r="BU6" i="49"/>
  <c r="BT6" i="49"/>
  <c r="BS6" i="49"/>
  <c r="BR6" i="49"/>
  <c r="BQ6" i="49"/>
  <c r="BP6" i="49"/>
  <c r="BO6" i="49"/>
  <c r="BN6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AG5" i="49"/>
  <c r="AF5" i="49"/>
  <c r="AE5" i="49"/>
  <c r="AD5" i="49"/>
  <c r="AC5" i="49"/>
  <c r="AB5" i="49"/>
  <c r="AA5" i="49"/>
  <c r="Z5" i="49"/>
  <c r="Y5" i="49"/>
  <c r="X5" i="49"/>
  <c r="W5" i="49"/>
  <c r="V5" i="49"/>
  <c r="B38" i="48"/>
  <c r="A34" i="48"/>
  <c r="A33" i="48"/>
  <c r="A32" i="48"/>
  <c r="A30" i="48"/>
  <c r="A29" i="48"/>
  <c r="A28" i="48"/>
  <c r="A27" i="48"/>
  <c r="A26" i="48"/>
  <c r="A25" i="48"/>
  <c r="A24" i="48"/>
  <c r="A23" i="48"/>
  <c r="A20" i="48"/>
  <c r="A19" i="48"/>
  <c r="J18" i="48"/>
  <c r="I18" i="48"/>
  <c r="H18" i="48"/>
  <c r="G18" i="48"/>
  <c r="F18" i="48"/>
  <c r="E18" i="48"/>
  <c r="D18" i="48"/>
  <c r="C18" i="48"/>
  <c r="B18" i="48"/>
  <c r="A15" i="48"/>
  <c r="B12" i="48"/>
  <c r="A12" i="48"/>
  <c r="A11" i="48"/>
  <c r="A10" i="48"/>
  <c r="A9" i="48"/>
  <c r="A8" i="48"/>
  <c r="A7" i="48"/>
  <c r="A6" i="48"/>
  <c r="A5" i="48"/>
  <c r="A4" i="48"/>
  <c r="A3" i="48"/>
  <c r="AG46" i="47"/>
  <c r="AF46" i="47"/>
  <c r="AE46" i="47"/>
  <c r="AD46" i="47"/>
  <c r="AC46" i="47"/>
  <c r="AB46" i="47"/>
  <c r="AA46" i="47"/>
  <c r="Z46" i="47"/>
  <c r="Y46" i="47"/>
  <c r="X46" i="47"/>
  <c r="W46" i="47"/>
  <c r="S46" i="47"/>
  <c r="R46" i="47"/>
  <c r="P46" i="47"/>
  <c r="O46" i="47"/>
  <c r="P41" i="47"/>
  <c r="O40" i="47"/>
  <c r="B39" i="47"/>
  <c r="B40" i="47" s="1"/>
  <c r="N38" i="47"/>
  <c r="M38" i="47"/>
  <c r="L38" i="47"/>
  <c r="K38" i="47"/>
  <c r="Q36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B25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AG15" i="47"/>
  <c r="AG30" i="47" s="1"/>
  <c r="AG35" i="47" s="1"/>
  <c r="AF15" i="47"/>
  <c r="AF30" i="47" s="1"/>
  <c r="AF35" i="47" s="1"/>
  <c r="AE15" i="47"/>
  <c r="AE30" i="47" s="1"/>
  <c r="AE35" i="47" s="1"/>
  <c r="AD15" i="47"/>
  <c r="AD30" i="47" s="1"/>
  <c r="AD35" i="47" s="1"/>
  <c r="AC15" i="47"/>
  <c r="AC30" i="47" s="1"/>
  <c r="AC35" i="47" s="1"/>
  <c r="AB15" i="47"/>
  <c r="AB30" i="47" s="1"/>
  <c r="AB35" i="47" s="1"/>
  <c r="AA15" i="47"/>
  <c r="AA30" i="47" s="1"/>
  <c r="AA35" i="47" s="1"/>
  <c r="Z15" i="47"/>
  <c r="Z30" i="47" s="1"/>
  <c r="Z35" i="47" s="1"/>
  <c r="Y15" i="47"/>
  <c r="Y30" i="47" s="1"/>
  <c r="Y35" i="47" s="1"/>
  <c r="X15" i="47"/>
  <c r="X30" i="47" s="1"/>
  <c r="X35" i="47" s="1"/>
  <c r="W15" i="47"/>
  <c r="W30" i="47" s="1"/>
  <c r="W35" i="47" s="1"/>
  <c r="V15" i="47"/>
  <c r="V30" i="47" s="1"/>
  <c r="V35" i="47" s="1"/>
  <c r="U15" i="47"/>
  <c r="U30" i="47" s="1"/>
  <c r="U35" i="47" s="1"/>
  <c r="T15" i="47"/>
  <c r="T30" i="47" s="1"/>
  <c r="T35" i="47" s="1"/>
  <c r="S15" i="47"/>
  <c r="S30" i="47" s="1"/>
  <c r="S35" i="47" s="1"/>
  <c r="R15" i="47"/>
  <c r="R30" i="47" s="1"/>
  <c r="R35" i="47" s="1"/>
  <c r="Q15" i="47"/>
  <c r="Q30" i="47" s="1"/>
  <c r="Q35" i="47" s="1"/>
  <c r="P15" i="47"/>
  <c r="P30" i="47" s="1"/>
  <c r="P35" i="47" s="1"/>
  <c r="O15" i="47"/>
  <c r="O30" i="47" s="1"/>
  <c r="O35" i="47" s="1"/>
  <c r="N15" i="47"/>
  <c r="N30" i="47" s="1"/>
  <c r="N35" i="47" s="1"/>
  <c r="M15" i="47"/>
  <c r="M30" i="47" s="1"/>
  <c r="M35" i="47" s="1"/>
  <c r="L15" i="47"/>
  <c r="L30" i="47" s="1"/>
  <c r="L35" i="47" s="1"/>
  <c r="K15" i="47"/>
  <c r="K30" i="47" s="1"/>
  <c r="K35" i="47" s="1"/>
  <c r="J15" i="47"/>
  <c r="J30" i="47" s="1"/>
  <c r="J35" i="47" s="1"/>
  <c r="I15" i="47"/>
  <c r="I30" i="47" s="1"/>
  <c r="I35" i="47" s="1"/>
  <c r="H15" i="47"/>
  <c r="H30" i="47" s="1"/>
  <c r="H35" i="47" s="1"/>
  <c r="G15" i="47"/>
  <c r="G30" i="47" s="1"/>
  <c r="G35" i="47" s="1"/>
  <c r="F15" i="47"/>
  <c r="F30" i="47" s="1"/>
  <c r="F35" i="47" s="1"/>
  <c r="E15" i="47"/>
  <c r="E30" i="47" s="1"/>
  <c r="E35" i="47" s="1"/>
  <c r="D15" i="47"/>
  <c r="D30" i="47" s="1"/>
  <c r="D35" i="47" s="1"/>
  <c r="C15" i="47"/>
  <c r="C30" i="47" s="1"/>
  <c r="C35" i="47" s="1"/>
  <c r="B15" i="47"/>
  <c r="B30" i="47" s="1"/>
  <c r="B35" i="47" s="1"/>
  <c r="J13" i="47"/>
  <c r="J26" i="47" s="1"/>
  <c r="J32" i="47" s="1"/>
  <c r="I13" i="47"/>
  <c r="I26" i="47" s="1"/>
  <c r="I32" i="47" s="1"/>
  <c r="H13" i="47"/>
  <c r="H26" i="47" s="1"/>
  <c r="H32" i="47" s="1"/>
  <c r="G13" i="47"/>
  <c r="G26" i="47" s="1"/>
  <c r="G32" i="47" s="1"/>
  <c r="F13" i="47"/>
  <c r="F26" i="47" s="1"/>
  <c r="F32" i="47" s="1"/>
  <c r="E13" i="47"/>
  <c r="E26" i="47" s="1"/>
  <c r="E32" i="47" s="1"/>
  <c r="D13" i="47"/>
  <c r="D26" i="47" s="1"/>
  <c r="D32" i="47" s="1"/>
  <c r="C13" i="47"/>
  <c r="C26" i="47" s="1"/>
  <c r="C32" i="47" s="1"/>
  <c r="B12" i="47"/>
  <c r="B7" i="47"/>
  <c r="B28" i="47" s="1"/>
  <c r="AD6" i="47"/>
  <c r="P6" i="47"/>
  <c r="P4" i="47"/>
  <c r="P13" i="47" s="1"/>
  <c r="O4" i="47"/>
  <c r="O13" i="47" s="1"/>
  <c r="O26" i="47" s="1"/>
  <c r="O32" i="47" s="1"/>
  <c r="N4" i="47"/>
  <c r="N13" i="47" s="1"/>
  <c r="N26" i="47" s="1"/>
  <c r="N32" i="47" s="1"/>
  <c r="M4" i="47"/>
  <c r="M13" i="47" s="1"/>
  <c r="M26" i="47" s="1"/>
  <c r="M32" i="47" s="1"/>
  <c r="L4" i="47"/>
  <c r="L13" i="47" s="1"/>
  <c r="L26" i="47" s="1"/>
  <c r="L32" i="47" s="1"/>
  <c r="K4" i="47"/>
  <c r="K13" i="47" s="1"/>
  <c r="K26" i="47" s="1"/>
  <c r="K32" i="47" s="1"/>
  <c r="B50" i="46"/>
  <c r="C50" i="46" s="1"/>
  <c r="D50" i="46" s="1"/>
  <c r="E50" i="46" s="1"/>
  <c r="F50" i="46" s="1"/>
  <c r="J40" i="46"/>
  <c r="J42" i="46" s="1"/>
  <c r="I40" i="46"/>
  <c r="I42" i="46" s="1"/>
  <c r="H40" i="46"/>
  <c r="H42" i="46" s="1"/>
  <c r="G40" i="46"/>
  <c r="G42" i="46" s="1"/>
  <c r="F40" i="46"/>
  <c r="F42" i="46" s="1"/>
  <c r="E40" i="46"/>
  <c r="E42" i="46" s="1"/>
  <c r="D40" i="46"/>
  <c r="D42" i="46" s="1"/>
  <c r="C40" i="46"/>
  <c r="C42" i="46" s="1"/>
  <c r="B40" i="46"/>
  <c r="J28" i="46"/>
  <c r="I28" i="46"/>
  <c r="H28" i="46"/>
  <c r="G28" i="46"/>
  <c r="F28" i="46"/>
  <c r="E28" i="46"/>
  <c r="D28" i="46"/>
  <c r="C28" i="46"/>
  <c r="B28" i="46"/>
  <c r="F24" i="46"/>
  <c r="E24" i="46"/>
  <c r="D24" i="46"/>
  <c r="C24" i="46"/>
  <c r="B24" i="46"/>
  <c r="V18" i="46"/>
  <c r="U18" i="46"/>
  <c r="T18" i="46"/>
  <c r="S18" i="46"/>
  <c r="A15" i="46"/>
  <c r="I14" i="46"/>
  <c r="H13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V10" i="46"/>
  <c r="V20" i="46" s="1"/>
  <c r="V23" i="46" s="1"/>
  <c r="V25" i="46" s="1"/>
  <c r="V26" i="46" s="1"/>
  <c r="U10" i="46"/>
  <c r="U20" i="46" s="1"/>
  <c r="U23" i="46" s="1"/>
  <c r="U25" i="46" s="1"/>
  <c r="U26" i="46" s="1"/>
  <c r="T10" i="46"/>
  <c r="S10" i="46"/>
  <c r="S20" i="46" s="1"/>
  <c r="S23" i="46" s="1"/>
  <c r="S25" i="46" s="1"/>
  <c r="S26" i="46" s="1"/>
  <c r="I10" i="46"/>
  <c r="H10" i="46"/>
  <c r="G10" i="46"/>
  <c r="F10" i="46"/>
  <c r="E10" i="46"/>
  <c r="D10" i="46"/>
  <c r="C10" i="46"/>
  <c r="B10" i="46"/>
  <c r="A8" i="46"/>
  <c r="A7" i="46"/>
  <c r="A6" i="46"/>
  <c r="A5" i="46"/>
  <c r="A4" i="46"/>
  <c r="A3" i="46"/>
  <c r="M49" i="45"/>
  <c r="M50" i="45" s="1"/>
  <c r="DC34" i="45"/>
  <c r="DB34" i="45"/>
  <c r="DA34" i="45"/>
  <c r="CZ34" i="45"/>
  <c r="CY34" i="45"/>
  <c r="CX34" i="45"/>
  <c r="CW34" i="45"/>
  <c r="CV34" i="45"/>
  <c r="CU34" i="45"/>
  <c r="CT34" i="45"/>
  <c r="CS34" i="45"/>
  <c r="CR34" i="45"/>
  <c r="CQ34" i="45"/>
  <c r="CP34" i="45"/>
  <c r="CO34" i="45"/>
  <c r="CN34" i="45"/>
  <c r="CM34" i="45"/>
  <c r="CL34" i="45"/>
  <c r="CK34" i="45"/>
  <c r="CJ34" i="45"/>
  <c r="CI34" i="45"/>
  <c r="CH34" i="45"/>
  <c r="CG34" i="45"/>
  <c r="CF34" i="45"/>
  <c r="CE34" i="45"/>
  <c r="CD34" i="45"/>
  <c r="CC34" i="45"/>
  <c r="CB34" i="45"/>
  <c r="CA34" i="45"/>
  <c r="BZ34" i="45"/>
  <c r="BY34" i="45"/>
  <c r="BX34" i="45"/>
  <c r="BW34" i="45"/>
  <c r="BV34" i="45"/>
  <c r="BU34" i="45"/>
  <c r="BT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W34" i="45"/>
  <c r="V34" i="45"/>
  <c r="U34" i="45"/>
  <c r="T34" i="45"/>
  <c r="S34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DC33" i="45"/>
  <c r="DB33" i="45"/>
  <c r="DA33" i="45"/>
  <c r="CZ33" i="45"/>
  <c r="CY33" i="45"/>
  <c r="CX33" i="45"/>
  <c r="CW33" i="45"/>
  <c r="CV33" i="45"/>
  <c r="CU33" i="45"/>
  <c r="CT33" i="45"/>
  <c r="CS33" i="45"/>
  <c r="CR33" i="45"/>
  <c r="CQ33" i="45"/>
  <c r="CP33" i="45"/>
  <c r="CO33" i="45"/>
  <c r="CN33" i="45"/>
  <c r="CM33" i="45"/>
  <c r="CL33" i="45"/>
  <c r="CK33" i="45"/>
  <c r="CJ33" i="45"/>
  <c r="CI33" i="45"/>
  <c r="CH33" i="45"/>
  <c r="CG33" i="45"/>
  <c r="CF33" i="45"/>
  <c r="CE33" i="45"/>
  <c r="CD33" i="45"/>
  <c r="CC33" i="45"/>
  <c r="CB33" i="45"/>
  <c r="CA33" i="45"/>
  <c r="BZ33" i="45"/>
  <c r="BY33" i="45"/>
  <c r="BX33" i="45"/>
  <c r="BW33" i="45"/>
  <c r="BV33" i="45"/>
  <c r="BU33" i="45"/>
  <c r="BT33" i="45"/>
  <c r="BS33" i="45"/>
  <c r="BR33" i="45"/>
  <c r="BQ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CQ30" i="45"/>
  <c r="CO31" i="49" s="1"/>
  <c r="C28" i="45"/>
  <c r="E74" i="59" s="1"/>
  <c r="B28" i="45"/>
  <c r="D74" i="59" s="1"/>
  <c r="T27" i="45"/>
  <c r="V78" i="59" s="1"/>
  <c r="K27" i="45"/>
  <c r="M78" i="59" s="1"/>
  <c r="CW26" i="45"/>
  <c r="K26" i="45"/>
  <c r="U25" i="45"/>
  <c r="T25" i="45"/>
  <c r="S25" i="45"/>
  <c r="R25" i="45"/>
  <c r="Q25" i="45"/>
  <c r="P25" i="45"/>
  <c r="O25" i="45"/>
  <c r="N25" i="45"/>
  <c r="M25" i="45"/>
  <c r="L25" i="45"/>
  <c r="DC24" i="45"/>
  <c r="DA26" i="49" s="1"/>
  <c r="DB24" i="45"/>
  <c r="CZ26" i="49" s="1"/>
  <c r="DA24" i="45"/>
  <c r="CY26" i="49" s="1"/>
  <c r="CZ24" i="45"/>
  <c r="CX26" i="49" s="1"/>
  <c r="CY24" i="45"/>
  <c r="CW26" i="49" s="1"/>
  <c r="CX24" i="45"/>
  <c r="CV26" i="49" s="1"/>
  <c r="K23" i="45"/>
  <c r="M77" i="59" s="1"/>
  <c r="J23" i="45"/>
  <c r="L77" i="59" s="1"/>
  <c r="I23" i="45"/>
  <c r="K77" i="59" s="1"/>
  <c r="H23" i="45"/>
  <c r="J77" i="59" s="1"/>
  <c r="G23" i="45"/>
  <c r="I77" i="59" s="1"/>
  <c r="F23" i="45"/>
  <c r="H77" i="59" s="1"/>
  <c r="E23" i="45"/>
  <c r="G77" i="59" s="1"/>
  <c r="D23" i="45"/>
  <c r="F77" i="59" s="1"/>
  <c r="DC20" i="45"/>
  <c r="DB20" i="45"/>
  <c r="DA20" i="45"/>
  <c r="CZ20" i="45"/>
  <c r="CY20" i="45"/>
  <c r="CX20" i="45"/>
  <c r="CW19" i="45"/>
  <c r="CV19" i="45"/>
  <c r="CU19" i="45"/>
  <c r="CT19" i="45"/>
  <c r="CS19" i="45"/>
  <c r="CR19" i="45"/>
  <c r="CQ19" i="45"/>
  <c r="CP19" i="45"/>
  <c r="CO19" i="45"/>
  <c r="CN19" i="45"/>
  <c r="CM19" i="45"/>
  <c r="CL19" i="45"/>
  <c r="CK19" i="45"/>
  <c r="CJ19" i="45"/>
  <c r="CI19" i="45"/>
  <c r="CH19" i="45"/>
  <c r="CG19" i="45"/>
  <c r="CF19" i="45"/>
  <c r="CE19" i="45"/>
  <c r="CD19" i="45"/>
  <c r="CC19" i="45"/>
  <c r="CB19" i="45"/>
  <c r="CA19" i="45"/>
  <c r="BZ19" i="45"/>
  <c r="BY19" i="45"/>
  <c r="BX19" i="45"/>
  <c r="BW19" i="45"/>
  <c r="BV19" i="45"/>
  <c r="BU19" i="45"/>
  <c r="BT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A19" i="45"/>
  <c r="Q19" i="45"/>
  <c r="S80" i="59" s="1"/>
  <c r="P19" i="45"/>
  <c r="R80" i="59" s="1"/>
  <c r="O19" i="45"/>
  <c r="Q80" i="59" s="1"/>
  <c r="N19" i="45"/>
  <c r="P80" i="59" s="1"/>
  <c r="M19" i="45"/>
  <c r="O80" i="59" s="1"/>
  <c r="L19" i="45"/>
  <c r="N80" i="59" s="1"/>
  <c r="K19" i="45"/>
  <c r="M80" i="59" s="1"/>
  <c r="J19" i="45"/>
  <c r="L80" i="59" s="1"/>
  <c r="I19" i="45"/>
  <c r="K80" i="59" s="1"/>
  <c r="H19" i="45"/>
  <c r="J80" i="59" s="1"/>
  <c r="G19" i="45"/>
  <c r="I80" i="59" s="1"/>
  <c r="F19" i="45"/>
  <c r="H80" i="59" s="1"/>
  <c r="E19" i="45"/>
  <c r="G80" i="59" s="1"/>
  <c r="D19" i="45"/>
  <c r="F80" i="59" s="1"/>
  <c r="C19" i="45"/>
  <c r="E80" i="59" s="1"/>
  <c r="B19" i="45"/>
  <c r="D80" i="59" s="1"/>
  <c r="X14" i="45"/>
  <c r="V20" i="49" s="1"/>
  <c r="T14" i="45"/>
  <c r="Q14" i="45"/>
  <c r="P14" i="45"/>
  <c r="L14" i="45"/>
  <c r="DC13" i="45"/>
  <c r="DB13" i="45"/>
  <c r="DA13" i="45"/>
  <c r="CZ13" i="45"/>
  <c r="CY13" i="45"/>
  <c r="CX13" i="45"/>
  <c r="CW13" i="45"/>
  <c r="CV13" i="45"/>
  <c r="CU13" i="45"/>
  <c r="CT13" i="45"/>
  <c r="CS13" i="45"/>
  <c r="CR13" i="45"/>
  <c r="CQ13" i="45"/>
  <c r="CP13" i="45"/>
  <c r="CO13" i="45"/>
  <c r="CN13" i="45"/>
  <c r="CM13" i="45"/>
  <c r="CL13" i="45"/>
  <c r="CK13" i="45"/>
  <c r="CJ13" i="45"/>
  <c r="CI13" i="45"/>
  <c r="CH13" i="45"/>
  <c r="CG13" i="45"/>
  <c r="CF13" i="45"/>
  <c r="CE13" i="45"/>
  <c r="CD13" i="45"/>
  <c r="CC13" i="45"/>
  <c r="CB13" i="45"/>
  <c r="CA13" i="45"/>
  <c r="BZ13" i="45"/>
  <c r="BY13" i="45"/>
  <c r="BX13" i="45"/>
  <c r="BW13" i="45"/>
  <c r="BV13" i="45"/>
  <c r="BU13" i="45"/>
  <c r="BT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DC11" i="45"/>
  <c r="DC22" i="45" s="1"/>
  <c r="DB11" i="45"/>
  <c r="DB22" i="45" s="1"/>
  <c r="DA11" i="45"/>
  <c r="DA22" i="45" s="1"/>
  <c r="CZ11" i="45"/>
  <c r="CZ22" i="45" s="1"/>
  <c r="CY11" i="45"/>
  <c r="CY22" i="45" s="1"/>
  <c r="CX11" i="45"/>
  <c r="CX22" i="45" s="1"/>
  <c r="C11" i="45"/>
  <c r="C18" i="45" s="1"/>
  <c r="CW8" i="45"/>
  <c r="CV8" i="45"/>
  <c r="CU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CH8" i="45"/>
  <c r="CG8" i="45"/>
  <c r="CF8" i="45"/>
  <c r="CE8" i="45"/>
  <c r="CD8" i="45"/>
  <c r="CC8" i="45"/>
  <c r="CB8" i="45"/>
  <c r="CA8" i="45"/>
  <c r="BZ8" i="45"/>
  <c r="BY8" i="45"/>
  <c r="BX8" i="45"/>
  <c r="BW8" i="45"/>
  <c r="BV8" i="45"/>
  <c r="BU8" i="45"/>
  <c r="BT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V8" i="45"/>
  <c r="X85" i="59" s="1"/>
  <c r="U8" i="45"/>
  <c r="W85" i="59" s="1"/>
  <c r="T8" i="45"/>
  <c r="V85" i="59" s="1"/>
  <c r="S8" i="45"/>
  <c r="U85" i="59" s="1"/>
  <c r="R8" i="45"/>
  <c r="T85" i="59" s="1"/>
  <c r="Q8" i="45"/>
  <c r="S85" i="59" s="1"/>
  <c r="P8" i="45"/>
  <c r="R85" i="59" s="1"/>
  <c r="O8" i="45"/>
  <c r="Q85" i="59" s="1"/>
  <c r="N8" i="45"/>
  <c r="P85" i="59" s="1"/>
  <c r="M8" i="45"/>
  <c r="O85" i="59" s="1"/>
  <c r="L8" i="45"/>
  <c r="N85" i="59" s="1"/>
  <c r="B8" i="45"/>
  <c r="D85" i="59" s="1"/>
  <c r="B4" i="45"/>
  <c r="D82" i="59" s="1"/>
  <c r="DC2" i="45"/>
  <c r="DA2" i="49" s="1"/>
  <c r="DB2" i="45"/>
  <c r="CZ2" i="49" s="1"/>
  <c r="DA2" i="45"/>
  <c r="CY2" i="49" s="1"/>
  <c r="CZ2" i="45"/>
  <c r="CX2" i="49" s="1"/>
  <c r="CY2" i="45"/>
  <c r="CW2" i="49" s="1"/>
  <c r="CX2" i="45"/>
  <c r="CV2" i="49" s="1"/>
  <c r="CW2" i="45"/>
  <c r="CV2" i="45"/>
  <c r="CU2" i="45"/>
  <c r="CT2" i="45"/>
  <c r="CS2" i="45"/>
  <c r="CR2" i="45"/>
  <c r="CQ2" i="45"/>
  <c r="CP2" i="45"/>
  <c r="CO2" i="45"/>
  <c r="CN2" i="45"/>
  <c r="CM2" i="45"/>
  <c r="CL2" i="45"/>
  <c r="CK2" i="45"/>
  <c r="CJ2" i="45"/>
  <c r="CI2" i="45"/>
  <c r="CH2" i="45"/>
  <c r="CG2" i="45"/>
  <c r="CF2" i="45"/>
  <c r="CE2" i="45"/>
  <c r="CD2" i="45"/>
  <c r="CC2" i="45"/>
  <c r="CB2" i="45"/>
  <c r="CA2" i="45"/>
  <c r="BZ2" i="45"/>
  <c r="BY2" i="45"/>
  <c r="BX2" i="45"/>
  <c r="BW2" i="45"/>
  <c r="BV2" i="45"/>
  <c r="BU2" i="45"/>
  <c r="BT2" i="45"/>
  <c r="BS2" i="45"/>
  <c r="BR2" i="45"/>
  <c r="BQ2" i="45"/>
  <c r="BP2" i="45"/>
  <c r="BO2" i="45"/>
  <c r="BN2" i="45"/>
  <c r="BM2" i="45"/>
  <c r="BL2" i="45"/>
  <c r="BK2" i="45"/>
  <c r="BJ2" i="45"/>
  <c r="BI2" i="45"/>
  <c r="BH2" i="45"/>
  <c r="BG2" i="45"/>
  <c r="BF2" i="45"/>
  <c r="BE2" i="45"/>
  <c r="BD2" i="45"/>
  <c r="BC2" i="45"/>
  <c r="BB2" i="45"/>
  <c r="BA2" i="45"/>
  <c r="AZ2" i="45"/>
  <c r="AY2" i="45"/>
  <c r="AX2" i="45"/>
  <c r="AW2" i="45"/>
  <c r="AV2" i="45"/>
  <c r="AU2" i="45"/>
  <c r="AT2" i="45"/>
  <c r="AS2" i="45"/>
  <c r="AR2" i="45"/>
  <c r="AQ2" i="45"/>
  <c r="AP2" i="45"/>
  <c r="AO2" i="45"/>
  <c r="AN2" i="45"/>
  <c r="AM2" i="45"/>
  <c r="AL2" i="45"/>
  <c r="AK2" i="45"/>
  <c r="AJ2" i="45"/>
  <c r="AI2" i="45"/>
  <c r="AH2" i="45"/>
  <c r="AG2" i="45"/>
  <c r="AF2" i="45"/>
  <c r="AE2" i="45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30" i="44"/>
  <c r="X25" i="44"/>
  <c r="Y25" i="44" s="1"/>
  <c r="Z25" i="44" s="1"/>
  <c r="AA25" i="44" s="1"/>
  <c r="AB25" i="44" s="1"/>
  <c r="AC25" i="44" s="1"/>
  <c r="AD25" i="44" s="1"/>
  <c r="AE25" i="44" s="1"/>
  <c r="AF25" i="44" s="1"/>
  <c r="AG25" i="44" s="1"/>
  <c r="AH25" i="44" s="1"/>
  <c r="AI25" i="44" s="1"/>
  <c r="AJ25" i="44" s="1"/>
  <c r="AK25" i="44" s="1"/>
  <c r="AL25" i="44" s="1"/>
  <c r="AM25" i="44" s="1"/>
  <c r="AN25" i="44" s="1"/>
  <c r="AO25" i="44" s="1"/>
  <c r="AP25" i="44" s="1"/>
  <c r="AQ25" i="44" s="1"/>
  <c r="AR25" i="44" s="1"/>
  <c r="AS25" i="44" s="1"/>
  <c r="AT25" i="44" s="1"/>
  <c r="AU25" i="44" s="1"/>
  <c r="AV25" i="44" s="1"/>
  <c r="AW25" i="44" s="1"/>
  <c r="AX25" i="44" s="1"/>
  <c r="AY25" i="44" s="1"/>
  <c r="AZ25" i="44" s="1"/>
  <c r="BA25" i="44" s="1"/>
  <c r="BB25" i="44" s="1"/>
  <c r="BC25" i="44" s="1"/>
  <c r="BD25" i="44" s="1"/>
  <c r="BE25" i="44" s="1"/>
  <c r="BF25" i="44" s="1"/>
  <c r="BG25" i="44" s="1"/>
  <c r="BH25" i="44" s="1"/>
  <c r="BI25" i="44" s="1"/>
  <c r="BJ25" i="44" s="1"/>
  <c r="BK25" i="44" s="1"/>
  <c r="BL25" i="44" s="1"/>
  <c r="BM25" i="44" s="1"/>
  <c r="BN25" i="44" s="1"/>
  <c r="BO25" i="44" s="1"/>
  <c r="BP25" i="44" s="1"/>
  <c r="BQ25" i="44" s="1"/>
  <c r="BR25" i="44" s="1"/>
  <c r="BS25" i="44" s="1"/>
  <c r="BT25" i="44" s="1"/>
  <c r="BU25" i="44" s="1"/>
  <c r="BV25" i="44" s="1"/>
  <c r="BW25" i="44" s="1"/>
  <c r="BX25" i="44" s="1"/>
  <c r="BY25" i="44" s="1"/>
  <c r="BZ25" i="44" s="1"/>
  <c r="CA25" i="44" s="1"/>
  <c r="CB25" i="44" s="1"/>
  <c r="CC25" i="44" s="1"/>
  <c r="CD25" i="44" s="1"/>
  <c r="CE25" i="44" s="1"/>
  <c r="CF25" i="44" s="1"/>
  <c r="CG25" i="44" s="1"/>
  <c r="CH25" i="44" s="1"/>
  <c r="CI25" i="44" s="1"/>
  <c r="CJ25" i="44" s="1"/>
  <c r="CK25" i="44" s="1"/>
  <c r="CL25" i="44" s="1"/>
  <c r="CM25" i="44" s="1"/>
  <c r="CN25" i="44" s="1"/>
  <c r="CO25" i="44" s="1"/>
  <c r="CP25" i="44" s="1"/>
  <c r="CQ25" i="44" s="1"/>
  <c r="CR25" i="44" s="1"/>
  <c r="CS25" i="44" s="1"/>
  <c r="CT25" i="44" s="1"/>
  <c r="CU25" i="44" s="1"/>
  <c r="CV25" i="44" s="1"/>
  <c r="CW25" i="44" s="1"/>
  <c r="CX25" i="44" s="1"/>
  <c r="CY25" i="44" s="1"/>
  <c r="CZ25" i="44" s="1"/>
  <c r="DA25" i="44" s="1"/>
  <c r="DB25" i="44" s="1"/>
  <c r="W25" i="44"/>
  <c r="K25" i="44"/>
  <c r="L25" i="44" s="1"/>
  <c r="M25" i="44" s="1"/>
  <c r="N25" i="44" s="1"/>
  <c r="O25" i="44" s="1"/>
  <c r="P25" i="44" s="1"/>
  <c r="Q25" i="44" s="1"/>
  <c r="R25" i="44" s="1"/>
  <c r="S25" i="44" s="1"/>
  <c r="T25" i="44" s="1"/>
  <c r="U25" i="44" s="1"/>
  <c r="B25" i="44"/>
  <c r="C25" i="44" s="1"/>
  <c r="D25" i="44" s="1"/>
  <c r="E25" i="44" s="1"/>
  <c r="F25" i="44" s="1"/>
  <c r="G25" i="44" s="1"/>
  <c r="H25" i="44" s="1"/>
  <c r="I25" i="44" s="1"/>
  <c r="DB24" i="44"/>
  <c r="DA24" i="44"/>
  <c r="CZ24" i="44"/>
  <c r="CY24" i="44"/>
  <c r="CX24" i="44"/>
  <c r="CW24" i="44"/>
  <c r="CV24" i="44"/>
  <c r="CU24" i="44"/>
  <c r="CT24" i="44"/>
  <c r="CS24" i="44"/>
  <c r="CR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A24" i="44"/>
  <c r="W24" i="44"/>
  <c r="X24" i="44" s="1"/>
  <c r="Y24" i="44" s="1"/>
  <c r="Z24" i="44" s="1"/>
  <c r="P24" i="44"/>
  <c r="C23" i="44"/>
  <c r="B23" i="44"/>
  <c r="H22" i="44"/>
  <c r="I22" i="44" s="1"/>
  <c r="J22" i="44" s="1"/>
  <c r="K22" i="44" s="1"/>
  <c r="L22" i="44" s="1"/>
  <c r="M22" i="44" s="1"/>
  <c r="N22" i="44" s="1"/>
  <c r="O22" i="44" s="1"/>
  <c r="P22" i="44" s="1"/>
  <c r="Q22" i="44" s="1"/>
  <c r="R22" i="44" s="1"/>
  <c r="S22" i="44" s="1"/>
  <c r="T22" i="44" s="1"/>
  <c r="U22" i="44" s="1"/>
  <c r="V22" i="44" s="1"/>
  <c r="D22" i="44"/>
  <c r="E22" i="44" s="1"/>
  <c r="F22" i="44" s="1"/>
  <c r="G22" i="44" s="1"/>
  <c r="C22" i="44"/>
  <c r="L20" i="44"/>
  <c r="M20" i="44" s="1"/>
  <c r="N20" i="44" s="1"/>
  <c r="O20" i="44" s="1"/>
  <c r="P20" i="44" s="1"/>
  <c r="Q20" i="44" s="1"/>
  <c r="K20" i="44"/>
  <c r="B20" i="44"/>
  <c r="C20" i="44" s="1"/>
  <c r="D20" i="44" s="1"/>
  <c r="E20" i="44" s="1"/>
  <c r="F20" i="44" s="1"/>
  <c r="G20" i="44" s="1"/>
  <c r="H20" i="44" s="1"/>
  <c r="I20" i="44" s="1"/>
  <c r="X19" i="44"/>
  <c r="W19" i="44"/>
  <c r="J19" i="44"/>
  <c r="K19" i="44" s="1"/>
  <c r="B19" i="44"/>
  <c r="C19" i="44" s="1"/>
  <c r="DB18" i="44"/>
  <c r="DA18" i="44"/>
  <c r="CZ18" i="44"/>
  <c r="CY18" i="44"/>
  <c r="CX18" i="44"/>
  <c r="CW18" i="44"/>
  <c r="CV18" i="44"/>
  <c r="CU18" i="44"/>
  <c r="CT18" i="44"/>
  <c r="CS18" i="44"/>
  <c r="CR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T15" i="44"/>
  <c r="U27" i="45" s="1"/>
  <c r="W78" i="59" s="1"/>
  <c r="K15" i="44"/>
  <c r="L27" i="45" s="1"/>
  <c r="N78" i="59" s="1"/>
  <c r="B15" i="44"/>
  <c r="C15" i="44" s="1"/>
  <c r="K13" i="44"/>
  <c r="L13" i="44" s="1"/>
  <c r="M13" i="44" s="1"/>
  <c r="N13" i="44" s="1"/>
  <c r="O13" i="44" s="1"/>
  <c r="P13" i="44" s="1"/>
  <c r="Q13" i="44" s="1"/>
  <c r="R13" i="44" s="1"/>
  <c r="S13" i="44" s="1"/>
  <c r="T13" i="44" s="1"/>
  <c r="U13" i="44" s="1"/>
  <c r="V13" i="44" s="1"/>
  <c r="D13" i="44"/>
  <c r="E13" i="44" s="1"/>
  <c r="F13" i="44" s="1"/>
  <c r="G13" i="44" s="1"/>
  <c r="H13" i="44" s="1"/>
  <c r="I13" i="44" s="1"/>
  <c r="C13" i="44"/>
  <c r="X12" i="44"/>
  <c r="Y12" i="44" s="1"/>
  <c r="Z12" i="44" s="1"/>
  <c r="AA12" i="44" s="1"/>
  <c r="AB12" i="44" s="1"/>
  <c r="AC12" i="44" s="1"/>
  <c r="AD12" i="44" s="1"/>
  <c r="AE12" i="44" s="1"/>
  <c r="AF12" i="44" s="1"/>
  <c r="AG12" i="44" s="1"/>
  <c r="AH12" i="44" s="1"/>
  <c r="W12" i="44"/>
  <c r="X11" i="44"/>
  <c r="Y11" i="44" s="1"/>
  <c r="Z11" i="44" s="1"/>
  <c r="AA11" i="44" s="1"/>
  <c r="AB11" i="44" s="1"/>
  <c r="AC11" i="44" s="1"/>
  <c r="AD11" i="44" s="1"/>
  <c r="AE11" i="44" s="1"/>
  <c r="AF11" i="44" s="1"/>
  <c r="AG11" i="44" s="1"/>
  <c r="AH11" i="44" s="1"/>
  <c r="W11" i="44"/>
  <c r="S11" i="44"/>
  <c r="T11" i="44" s="1"/>
  <c r="U11" i="44" s="1"/>
  <c r="R11" i="44"/>
  <c r="L11" i="44"/>
  <c r="M11" i="44" s="1"/>
  <c r="N11" i="44" s="1"/>
  <c r="O11" i="44" s="1"/>
  <c r="P11" i="44" s="1"/>
  <c r="K11" i="44"/>
  <c r="C11" i="44"/>
  <c r="D11" i="44" s="1"/>
  <c r="E11" i="44" s="1"/>
  <c r="F11" i="44" s="1"/>
  <c r="G11" i="44" s="1"/>
  <c r="H11" i="44" s="1"/>
  <c r="I11" i="44" s="1"/>
  <c r="B11" i="44"/>
  <c r="B16" i="44" s="1"/>
  <c r="T10" i="44"/>
  <c r="U10" i="44" s="1"/>
  <c r="V10" i="44" s="1"/>
  <c r="C10" i="44"/>
  <c r="D10" i="44" s="1"/>
  <c r="U9" i="44"/>
  <c r="W25" i="45" s="1"/>
  <c r="T9" i="44"/>
  <c r="V25" i="45" s="1"/>
  <c r="D8" i="44"/>
  <c r="E8" i="44" s="1"/>
  <c r="F8" i="44" s="1"/>
  <c r="G8" i="44" s="1"/>
  <c r="H8" i="44" s="1"/>
  <c r="I8" i="44" s="1"/>
  <c r="J8" i="44" s="1"/>
  <c r="C8" i="44"/>
  <c r="DB7" i="44"/>
  <c r="DA7" i="44"/>
  <c r="CZ7" i="44"/>
  <c r="CY7" i="44"/>
  <c r="CX7" i="44"/>
  <c r="CW7" i="44"/>
  <c r="C5" i="44"/>
  <c r="D5" i="44" s="1"/>
  <c r="E5" i="44" s="1"/>
  <c r="F5" i="44" s="1"/>
  <c r="G5" i="44" s="1"/>
  <c r="H5" i="44" s="1"/>
  <c r="I5" i="44" s="1"/>
  <c r="J5" i="44" s="1"/>
  <c r="K5" i="44" s="1"/>
  <c r="L5" i="44" s="1"/>
  <c r="M5" i="44" s="1"/>
  <c r="N5" i="44" s="1"/>
  <c r="O5" i="44" s="1"/>
  <c r="P5" i="44" s="1"/>
  <c r="Q5" i="44" s="1"/>
  <c r="R5" i="44" s="1"/>
  <c r="S5" i="44" s="1"/>
  <c r="T5" i="44" s="1"/>
  <c r="U5" i="44" s="1"/>
  <c r="V5" i="44" s="1"/>
  <c r="C4" i="44"/>
  <c r="D4" i="44" s="1"/>
  <c r="I35" i="43"/>
  <c r="H35" i="43"/>
  <c r="G35" i="43"/>
  <c r="F35" i="43"/>
  <c r="E35" i="43"/>
  <c r="D35" i="43"/>
  <c r="C35" i="43"/>
  <c r="B35" i="43"/>
  <c r="H32" i="43"/>
  <c r="H33" i="43" s="1"/>
  <c r="H9" i="50" s="1"/>
  <c r="H19" i="50" s="1"/>
  <c r="G32" i="43"/>
  <c r="G33" i="43" s="1"/>
  <c r="G9" i="50" s="1"/>
  <c r="G19" i="50" s="1"/>
  <c r="F32" i="43"/>
  <c r="F33" i="43" s="1"/>
  <c r="F9" i="50" s="1"/>
  <c r="F19" i="50" s="1"/>
  <c r="E32" i="43"/>
  <c r="E33" i="43" s="1"/>
  <c r="E9" i="50" s="1"/>
  <c r="E19" i="50" s="1"/>
  <c r="D32" i="43"/>
  <c r="D33" i="43" s="1"/>
  <c r="D9" i="50" s="1"/>
  <c r="D19" i="50" s="1"/>
  <c r="C32" i="43"/>
  <c r="C33" i="43" s="1"/>
  <c r="C9" i="50" s="1"/>
  <c r="C19" i="50" s="1"/>
  <c r="B32" i="43"/>
  <c r="B33" i="43" s="1"/>
  <c r="B9" i="50" s="1"/>
  <c r="B19" i="50" s="1"/>
  <c r="H29" i="43"/>
  <c r="H30" i="43" s="1"/>
  <c r="H3" i="50" s="1"/>
  <c r="H5" i="50" s="1"/>
  <c r="H23" i="50" s="1"/>
  <c r="H25" i="50" s="1"/>
  <c r="G29" i="43"/>
  <c r="G30" i="43" s="1"/>
  <c r="G3" i="50" s="1"/>
  <c r="G5" i="50" s="1"/>
  <c r="G23" i="50" s="1"/>
  <c r="G25" i="50" s="1"/>
  <c r="F29" i="43"/>
  <c r="F30" i="43" s="1"/>
  <c r="F3" i="50" s="1"/>
  <c r="F5" i="50" s="1"/>
  <c r="F23" i="50" s="1"/>
  <c r="F25" i="50" s="1"/>
  <c r="E29" i="43"/>
  <c r="E30" i="43" s="1"/>
  <c r="E3" i="50" s="1"/>
  <c r="E5" i="50" s="1"/>
  <c r="E23" i="50" s="1"/>
  <c r="E25" i="50" s="1"/>
  <c r="D29" i="43"/>
  <c r="D30" i="43" s="1"/>
  <c r="D3" i="50" s="1"/>
  <c r="D5" i="50" s="1"/>
  <c r="D23" i="50" s="1"/>
  <c r="D25" i="50" s="1"/>
  <c r="C29" i="43"/>
  <c r="C30" i="43" s="1"/>
  <c r="C3" i="50" s="1"/>
  <c r="C5" i="50" s="1"/>
  <c r="C23" i="50" s="1"/>
  <c r="C25" i="50" s="1"/>
  <c r="B29" i="43"/>
  <c r="B30" i="43" s="1"/>
  <c r="B3" i="50" s="1"/>
  <c r="B5" i="50" s="1"/>
  <c r="B23" i="50" s="1"/>
  <c r="B25" i="50" s="1"/>
  <c r="G27" i="43"/>
  <c r="F27" i="43"/>
  <c r="E27" i="43"/>
  <c r="D27" i="43"/>
  <c r="C27" i="43"/>
  <c r="B27" i="43"/>
  <c r="J23" i="43"/>
  <c r="I23" i="43"/>
  <c r="Q22" i="43"/>
  <c r="P22" i="43"/>
  <c r="O22" i="43"/>
  <c r="N22" i="43"/>
  <c r="M22" i="43"/>
  <c r="L22" i="43"/>
  <c r="K22" i="43"/>
  <c r="J22" i="43"/>
  <c r="I22" i="43"/>
  <c r="I21" i="43"/>
  <c r="I20" i="43"/>
  <c r="I29" i="43" s="1"/>
  <c r="I30" i="43" s="1"/>
  <c r="I3" i="50" s="1"/>
  <c r="I5" i="50" s="1"/>
  <c r="I23" i="50" s="1"/>
  <c r="I25" i="50" s="1"/>
  <c r="A20" i="43"/>
  <c r="I19" i="43"/>
  <c r="H19" i="43"/>
  <c r="H24" i="43" s="1"/>
  <c r="H37" i="43" s="1"/>
  <c r="G19" i="43"/>
  <c r="G24" i="43" s="1"/>
  <c r="G37" i="43" s="1"/>
  <c r="F19" i="43"/>
  <c r="F24" i="43" s="1"/>
  <c r="F37" i="43" s="1"/>
  <c r="E19" i="43"/>
  <c r="E24" i="43" s="1"/>
  <c r="E37" i="43" s="1"/>
  <c r="D19" i="43"/>
  <c r="D24" i="43" s="1"/>
  <c r="D37" i="43" s="1"/>
  <c r="C19" i="43"/>
  <c r="C24" i="43" s="1"/>
  <c r="C37" i="43" s="1"/>
  <c r="B19" i="43"/>
  <c r="B24" i="43" s="1"/>
  <c r="B37" i="43" s="1"/>
  <c r="A19" i="43"/>
  <c r="A18" i="43"/>
  <c r="J17" i="43"/>
  <c r="J12" i="42" s="1"/>
  <c r="A17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G14" i="43"/>
  <c r="G26" i="43" s="1"/>
  <c r="F14" i="43"/>
  <c r="F26" i="43" s="1"/>
  <c r="E14" i="43"/>
  <c r="D14" i="43"/>
  <c r="D26" i="43" s="1"/>
  <c r="C14" i="43"/>
  <c r="C26" i="43" s="1"/>
  <c r="B14" i="43"/>
  <c r="B26" i="43" s="1"/>
  <c r="I13" i="43"/>
  <c r="A13" i="43"/>
  <c r="Q12" i="43"/>
  <c r="P12" i="43"/>
  <c r="O12" i="43"/>
  <c r="N12" i="43"/>
  <c r="M12" i="43"/>
  <c r="L12" i="43"/>
  <c r="K12" i="43"/>
  <c r="J12" i="43"/>
  <c r="I9" i="43"/>
  <c r="H9" i="43"/>
  <c r="H27" i="43" s="1"/>
  <c r="Q8" i="43"/>
  <c r="P8" i="43"/>
  <c r="O8" i="43"/>
  <c r="N8" i="43"/>
  <c r="M8" i="43"/>
  <c r="L8" i="43"/>
  <c r="K8" i="43"/>
  <c r="A8" i="43"/>
  <c r="A7" i="43"/>
  <c r="Q6" i="43"/>
  <c r="A6" i="43"/>
  <c r="J5" i="43"/>
  <c r="A5" i="43"/>
  <c r="A4" i="43"/>
  <c r="A3" i="43"/>
  <c r="I28" i="42"/>
  <c r="H28" i="42"/>
  <c r="G28" i="42"/>
  <c r="F28" i="42"/>
  <c r="E28" i="42"/>
  <c r="D28" i="42"/>
  <c r="C28" i="42"/>
  <c r="B28" i="42"/>
  <c r="J24" i="42"/>
  <c r="J29" i="42" s="1"/>
  <c r="J30" i="42" s="1"/>
  <c r="I24" i="42"/>
  <c r="I29" i="42" s="1"/>
  <c r="I30" i="42" s="1"/>
  <c r="H24" i="42"/>
  <c r="H29" i="42" s="1"/>
  <c r="G24" i="42"/>
  <c r="G29" i="42" s="1"/>
  <c r="F24" i="42"/>
  <c r="F29" i="42" s="1"/>
  <c r="E24" i="42"/>
  <c r="E29" i="42" s="1"/>
  <c r="E30" i="42" s="1"/>
  <c r="D24" i="42"/>
  <c r="D29" i="42" s="1"/>
  <c r="C24" i="42"/>
  <c r="C29" i="42" s="1"/>
  <c r="B24" i="42"/>
  <c r="B29" i="42" s="1"/>
  <c r="P22" i="42"/>
  <c r="P27" i="42" s="1"/>
  <c r="N22" i="42"/>
  <c r="N27" i="42" s="1"/>
  <c r="L22" i="42"/>
  <c r="L27" i="42" s="1"/>
  <c r="J22" i="42"/>
  <c r="J27" i="42" s="1"/>
  <c r="H22" i="42"/>
  <c r="H27" i="42" s="1"/>
  <c r="F22" i="42"/>
  <c r="F27" i="42" s="1"/>
  <c r="D22" i="42"/>
  <c r="D27" i="42" s="1"/>
  <c r="B22" i="42"/>
  <c r="B27" i="42" s="1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I12" i="42"/>
  <c r="I15" i="42" s="1"/>
  <c r="H12" i="42"/>
  <c r="H15" i="42" s="1"/>
  <c r="G12" i="42"/>
  <c r="G15" i="42" s="1"/>
  <c r="F12" i="42"/>
  <c r="F15" i="42" s="1"/>
  <c r="E12" i="42"/>
  <c r="E15" i="42" s="1"/>
  <c r="D12" i="42"/>
  <c r="D15" i="42" s="1"/>
  <c r="C12" i="42"/>
  <c r="C15" i="42" s="1"/>
  <c r="B12" i="42"/>
  <c r="B15" i="42" s="1"/>
  <c r="Q11" i="42"/>
  <c r="Q22" i="42" s="1"/>
  <c r="Q27" i="42" s="1"/>
  <c r="P11" i="42"/>
  <c r="O11" i="42"/>
  <c r="O22" i="42" s="1"/>
  <c r="O27" i="42" s="1"/>
  <c r="N11" i="42"/>
  <c r="M11" i="42"/>
  <c r="M22" i="42" s="1"/>
  <c r="M27" i="42" s="1"/>
  <c r="L11" i="42"/>
  <c r="K11" i="42"/>
  <c r="K22" i="42" s="1"/>
  <c r="K27" i="42" s="1"/>
  <c r="J11" i="42"/>
  <c r="I11" i="42"/>
  <c r="I22" i="42" s="1"/>
  <c r="I27" i="42" s="1"/>
  <c r="H11" i="42"/>
  <c r="G11" i="42"/>
  <c r="G22" i="42" s="1"/>
  <c r="G27" i="42" s="1"/>
  <c r="F11" i="42"/>
  <c r="E11" i="42"/>
  <c r="E22" i="42" s="1"/>
  <c r="E27" i="42" s="1"/>
  <c r="D11" i="42"/>
  <c r="C11" i="42"/>
  <c r="C22" i="42" s="1"/>
  <c r="C27" i="42" s="1"/>
  <c r="B11" i="42"/>
  <c r="I8" i="42"/>
  <c r="H8" i="42"/>
  <c r="G8" i="42"/>
  <c r="F8" i="42"/>
  <c r="E8" i="42"/>
  <c r="D8" i="42"/>
  <c r="C8" i="42"/>
  <c r="B8" i="42"/>
  <c r="Q7" i="42"/>
  <c r="P7" i="42"/>
  <c r="O7" i="42"/>
  <c r="N7" i="42"/>
  <c r="M7" i="42"/>
  <c r="L7" i="42"/>
  <c r="H7" i="42"/>
  <c r="G7" i="42"/>
  <c r="F7" i="42"/>
  <c r="E7" i="42"/>
  <c r="D7" i="42"/>
  <c r="C7" i="42"/>
  <c r="B7" i="42"/>
  <c r="H6" i="42"/>
  <c r="G6" i="42"/>
  <c r="F6" i="42"/>
  <c r="E6" i="42"/>
  <c r="D6" i="42"/>
  <c r="C6" i="42"/>
  <c r="B6" i="42"/>
  <c r="J5" i="42"/>
  <c r="I5" i="42"/>
  <c r="H5" i="42"/>
  <c r="G5" i="42"/>
  <c r="F5" i="42"/>
  <c r="E5" i="42"/>
  <c r="D5" i="42"/>
  <c r="C5" i="42"/>
  <c r="C54" i="41"/>
  <c r="B54" i="41"/>
  <c r="F52" i="41"/>
  <c r="E50" i="41"/>
  <c r="E54" i="41" s="1"/>
  <c r="C50" i="41"/>
  <c r="B50" i="41"/>
  <c r="D49" i="41"/>
  <c r="D50" i="41" s="1"/>
  <c r="D54" i="41" s="1"/>
  <c r="F48" i="41"/>
  <c r="F47" i="41"/>
  <c r="F46" i="41"/>
  <c r="F45" i="41"/>
  <c r="F44" i="41"/>
  <c r="F43" i="41"/>
  <c r="D30" i="41"/>
  <c r="D29" i="41"/>
  <c r="C29" i="41"/>
  <c r="M16" i="41"/>
  <c r="C16" i="41"/>
  <c r="B16" i="41"/>
  <c r="D16" i="41" s="1"/>
  <c r="D12" i="41"/>
  <c r="C12" i="41"/>
  <c r="B12" i="41"/>
  <c r="C11" i="41"/>
  <c r="C13" i="41" s="1"/>
  <c r="E8" i="41"/>
  <c r="C7" i="41"/>
  <c r="B7" i="41"/>
  <c r="D7" i="41" s="1"/>
  <c r="D6" i="41"/>
  <c r="C6" i="41"/>
  <c r="B6" i="41"/>
  <c r="C5" i="41"/>
  <c r="D5" i="41" s="1"/>
  <c r="B5" i="41"/>
  <c r="C4" i="41"/>
  <c r="B4" i="41"/>
  <c r="D4" i="41" s="1"/>
  <c r="C3" i="41"/>
  <c r="B3" i="41"/>
  <c r="D3" i="41" s="1"/>
  <c r="C2" i="41"/>
  <c r="F2" i="41" s="1"/>
  <c r="T20" i="46" l="1"/>
  <c r="T23" i="46" s="1"/>
  <c r="T25" i="46" s="1"/>
  <c r="T26" i="46" s="1"/>
  <c r="D13" i="74"/>
  <c r="D22" i="74" s="1"/>
  <c r="E13" i="74"/>
  <c r="E22" i="74" s="1"/>
  <c r="F2" i="74"/>
  <c r="F13" i="74" s="1"/>
  <c r="F22" i="74" s="1"/>
  <c r="C13" i="74"/>
  <c r="C22" i="74" s="1"/>
  <c r="AZ6" i="53"/>
  <c r="K20" i="74"/>
  <c r="C20" i="74"/>
  <c r="S9" i="74"/>
  <c r="B26" i="74" s="1"/>
  <c r="M20" i="74"/>
  <c r="I20" i="74"/>
  <c r="E20" i="74"/>
  <c r="O20" i="74"/>
  <c r="O32" i="74" s="1"/>
  <c r="G20" i="74"/>
  <c r="B20" i="74"/>
  <c r="P20" i="74"/>
  <c r="L20" i="74"/>
  <c r="H20" i="74"/>
  <c r="D20" i="74"/>
  <c r="N20" i="74"/>
  <c r="J20" i="74"/>
  <c r="F20" i="74"/>
  <c r="D30" i="42"/>
  <c r="F30" i="42"/>
  <c r="H30" i="42"/>
  <c r="B30" i="42"/>
  <c r="BA14" i="52"/>
  <c r="BA4" i="53"/>
  <c r="BA15" i="53" s="1"/>
  <c r="I32" i="43"/>
  <c r="I33" i="43" s="1"/>
  <c r="I9" i="50" s="1"/>
  <c r="I19" i="50" s="1"/>
  <c r="R5" i="72"/>
  <c r="J5" i="72"/>
  <c r="M6" i="72"/>
  <c r="L5" i="72"/>
  <c r="O5" i="72"/>
  <c r="Q41" i="47"/>
  <c r="Q4" i="47"/>
  <c r="I24" i="43"/>
  <c r="J7" i="72"/>
  <c r="R8" i="72"/>
  <c r="AF16" i="47" s="1"/>
  <c r="AF28" i="47" s="1"/>
  <c r="P7" i="72"/>
  <c r="R7" i="72"/>
  <c r="F11" i="10"/>
  <c r="E11" i="10"/>
  <c r="G18" i="10"/>
  <c r="G19" i="10" s="1"/>
  <c r="C19" i="10"/>
  <c r="D19" i="10"/>
  <c r="F18" i="10"/>
  <c r="D11" i="10"/>
  <c r="G11" i="10"/>
  <c r="C38" i="43"/>
  <c r="G38" i="43"/>
  <c r="W5" i="44"/>
  <c r="X5" i="44" s="1"/>
  <c r="Y5" i="44" s="1"/>
  <c r="Z5" i="44" s="1"/>
  <c r="AA5" i="44" s="1"/>
  <c r="AB5" i="44" s="1"/>
  <c r="AC5" i="44" s="1"/>
  <c r="AD5" i="44" s="1"/>
  <c r="AE5" i="44" s="1"/>
  <c r="AF5" i="44" s="1"/>
  <c r="AG5" i="44" s="1"/>
  <c r="AH5" i="44" s="1"/>
  <c r="J4" i="43"/>
  <c r="I7" i="43"/>
  <c r="K8" i="44"/>
  <c r="L8" i="44" s="1"/>
  <c r="M8" i="44" s="1"/>
  <c r="N8" i="44" s="1"/>
  <c r="O8" i="44" s="1"/>
  <c r="P8" i="44" s="1"/>
  <c r="Q8" i="44" s="1"/>
  <c r="R8" i="44" s="1"/>
  <c r="S8" i="44" s="1"/>
  <c r="T8" i="44" s="1"/>
  <c r="U8" i="44" s="1"/>
  <c r="V8" i="44" s="1"/>
  <c r="V21" i="51"/>
  <c r="W10" i="44"/>
  <c r="X10" i="44" s="1"/>
  <c r="J8" i="43"/>
  <c r="K10" i="43"/>
  <c r="AI11" i="44"/>
  <c r="AJ11" i="44" s="1"/>
  <c r="AK11" i="44" s="1"/>
  <c r="AL11" i="44" s="1"/>
  <c r="AM11" i="44" s="1"/>
  <c r="AN11" i="44" s="1"/>
  <c r="AO11" i="44" s="1"/>
  <c r="AP11" i="44" s="1"/>
  <c r="AQ11" i="44" s="1"/>
  <c r="AR11" i="44" s="1"/>
  <c r="AS11" i="44" s="1"/>
  <c r="AT11" i="44" s="1"/>
  <c r="Q21" i="44"/>
  <c r="R20" i="44"/>
  <c r="S20" i="44" s="1"/>
  <c r="T20" i="44" s="1"/>
  <c r="U20" i="44" s="1"/>
  <c r="V20" i="44" s="1"/>
  <c r="D38" i="43"/>
  <c r="H38" i="43"/>
  <c r="J10" i="43"/>
  <c r="J32" i="43" s="1"/>
  <c r="W13" i="44"/>
  <c r="X13" i="44" s="1"/>
  <c r="Y13" i="44" s="1"/>
  <c r="Z13" i="44" s="1"/>
  <c r="AA13" i="44" s="1"/>
  <c r="AB13" i="44" s="1"/>
  <c r="AC13" i="44" s="1"/>
  <c r="AD13" i="44" s="1"/>
  <c r="AE13" i="44" s="1"/>
  <c r="AF13" i="44" s="1"/>
  <c r="AG13" i="44" s="1"/>
  <c r="AH13" i="44" s="1"/>
  <c r="AI13" i="44" s="1"/>
  <c r="AJ13" i="44" s="1"/>
  <c r="AK13" i="44" s="1"/>
  <c r="AL13" i="44" s="1"/>
  <c r="AM13" i="44" s="1"/>
  <c r="AN13" i="44" s="1"/>
  <c r="AO13" i="44" s="1"/>
  <c r="AP13" i="44" s="1"/>
  <c r="AQ13" i="44" s="1"/>
  <c r="AR13" i="44" s="1"/>
  <c r="AS13" i="44" s="1"/>
  <c r="AT13" i="44" s="1"/>
  <c r="AU13" i="44" s="1"/>
  <c r="AV13" i="44" s="1"/>
  <c r="AW13" i="44" s="1"/>
  <c r="AX13" i="44" s="1"/>
  <c r="AY13" i="44" s="1"/>
  <c r="AZ13" i="44" s="1"/>
  <c r="BA13" i="44" s="1"/>
  <c r="BB13" i="44" s="1"/>
  <c r="BC13" i="44" s="1"/>
  <c r="BD13" i="44" s="1"/>
  <c r="BE13" i="44" s="1"/>
  <c r="BF13" i="44" s="1"/>
  <c r="BG13" i="44" s="1"/>
  <c r="BH13" i="44" s="1"/>
  <c r="BI13" i="44" s="1"/>
  <c r="BJ13" i="44" s="1"/>
  <c r="BK13" i="44" s="1"/>
  <c r="BL13" i="44" s="1"/>
  <c r="BM13" i="44" s="1"/>
  <c r="BN13" i="44" s="1"/>
  <c r="BO13" i="44" s="1"/>
  <c r="BP13" i="44" s="1"/>
  <c r="BQ13" i="44" s="1"/>
  <c r="BR13" i="44" s="1"/>
  <c r="BS13" i="44" s="1"/>
  <c r="BT13" i="44" s="1"/>
  <c r="BU13" i="44" s="1"/>
  <c r="BV13" i="44" s="1"/>
  <c r="BW13" i="44" s="1"/>
  <c r="BX13" i="44" s="1"/>
  <c r="BY13" i="44" s="1"/>
  <c r="BZ13" i="44" s="1"/>
  <c r="CA13" i="44" s="1"/>
  <c r="CB13" i="44" s="1"/>
  <c r="CC13" i="44" s="1"/>
  <c r="CD13" i="44" s="1"/>
  <c r="CE13" i="44" s="1"/>
  <c r="CF13" i="44" s="1"/>
  <c r="CG13" i="44" s="1"/>
  <c r="CH13" i="44" s="1"/>
  <c r="CI13" i="44" s="1"/>
  <c r="CJ13" i="44" s="1"/>
  <c r="CK13" i="44" s="1"/>
  <c r="CL13" i="44" s="1"/>
  <c r="CM13" i="44" s="1"/>
  <c r="CN13" i="44" s="1"/>
  <c r="CO13" i="44" s="1"/>
  <c r="CP13" i="44" s="1"/>
  <c r="CQ13" i="44" s="1"/>
  <c r="CR13" i="44" s="1"/>
  <c r="CS13" i="44" s="1"/>
  <c r="CT13" i="44" s="1"/>
  <c r="CU13" i="44" s="1"/>
  <c r="CV13" i="44" s="1"/>
  <c r="CW13" i="44" s="1"/>
  <c r="CX13" i="44" s="1"/>
  <c r="CY13" i="44" s="1"/>
  <c r="CZ13" i="44" s="1"/>
  <c r="DA13" i="44" s="1"/>
  <c r="DB13" i="44" s="1"/>
  <c r="D19" i="44"/>
  <c r="C21" i="44"/>
  <c r="E26" i="43"/>
  <c r="E38" i="43"/>
  <c r="AI12" i="44"/>
  <c r="AJ12" i="44" s="1"/>
  <c r="AK12" i="44" s="1"/>
  <c r="AL12" i="44" s="1"/>
  <c r="AM12" i="44" s="1"/>
  <c r="AN12" i="44" s="1"/>
  <c r="AO12" i="44" s="1"/>
  <c r="AP12" i="44" s="1"/>
  <c r="AQ12" i="44" s="1"/>
  <c r="AR12" i="44" s="1"/>
  <c r="AS12" i="44" s="1"/>
  <c r="AT12" i="44" s="1"/>
  <c r="D27" i="45"/>
  <c r="F78" i="59" s="1"/>
  <c r="D15" i="44"/>
  <c r="L19" i="44"/>
  <c r="K21" i="44"/>
  <c r="C30" i="42"/>
  <c r="G30" i="42"/>
  <c r="B38" i="43"/>
  <c r="F38" i="43"/>
  <c r="E4" i="44"/>
  <c r="D21" i="51"/>
  <c r="E10" i="44"/>
  <c r="F10" i="44" s="1"/>
  <c r="G10" i="44" s="1"/>
  <c r="H10" i="44" s="1"/>
  <c r="I10" i="44" s="1"/>
  <c r="J10" i="44" s="1"/>
  <c r="W22" i="44"/>
  <c r="X22" i="44" s="1"/>
  <c r="Y22" i="44" s="1"/>
  <c r="Z22" i="44" s="1"/>
  <c r="AA22" i="44" s="1"/>
  <c r="AB22" i="44" s="1"/>
  <c r="AC22" i="44" s="1"/>
  <c r="AD22" i="44" s="1"/>
  <c r="AE22" i="44" s="1"/>
  <c r="AF22" i="44" s="1"/>
  <c r="AG22" i="44" s="1"/>
  <c r="AH22" i="44" s="1"/>
  <c r="J20" i="43"/>
  <c r="J29" i="43" s="1"/>
  <c r="J30" i="43" s="1"/>
  <c r="J3" i="50" s="1"/>
  <c r="J5" i="50" s="1"/>
  <c r="J23" i="50" s="1"/>
  <c r="J25" i="50" s="1"/>
  <c r="C8" i="41"/>
  <c r="C15" i="41" s="1"/>
  <c r="C17" i="41" s="1"/>
  <c r="F11" i="41"/>
  <c r="C27" i="41"/>
  <c r="F49" i="41"/>
  <c r="C28" i="41" s="1"/>
  <c r="D28" i="41" s="1"/>
  <c r="B21" i="44"/>
  <c r="B27" i="44" s="1"/>
  <c r="B29" i="44" s="1"/>
  <c r="J21" i="44"/>
  <c r="J27" i="44" s="1"/>
  <c r="H14" i="43"/>
  <c r="H26" i="43" s="1"/>
  <c r="V9" i="44"/>
  <c r="L15" i="44"/>
  <c r="U15" i="44"/>
  <c r="Y19" i="44"/>
  <c r="E79" i="59"/>
  <c r="C20" i="45"/>
  <c r="C22" i="45" s="1"/>
  <c r="C29" i="45" s="1"/>
  <c r="E2" i="51"/>
  <c r="D2" i="49"/>
  <c r="I2" i="51"/>
  <c r="H2" i="49"/>
  <c r="M2" i="51"/>
  <c r="L2" i="49"/>
  <c r="Q2" i="51"/>
  <c r="P2" i="49"/>
  <c r="U2" i="51"/>
  <c r="T2" i="49"/>
  <c r="Y2" i="51"/>
  <c r="X2" i="49"/>
  <c r="AC2" i="51"/>
  <c r="AB2" i="49"/>
  <c r="AG2" i="51"/>
  <c r="AF2" i="49"/>
  <c r="AK2" i="51"/>
  <c r="AJ2" i="49"/>
  <c r="AO2" i="51"/>
  <c r="AN2" i="49"/>
  <c r="AS2" i="51"/>
  <c r="AR2" i="49"/>
  <c r="AW2" i="51"/>
  <c r="AV2" i="49"/>
  <c r="BA2" i="51"/>
  <c r="AZ2" i="49"/>
  <c r="BE2" i="51"/>
  <c r="BD2" i="49"/>
  <c r="BI2" i="51"/>
  <c r="BH2" i="49"/>
  <c r="BM2" i="51"/>
  <c r="BL2" i="49"/>
  <c r="BQ2" i="51"/>
  <c r="BP2" i="49"/>
  <c r="BU2" i="51"/>
  <c r="BT2" i="49"/>
  <c r="BY2" i="51"/>
  <c r="BX2" i="49"/>
  <c r="CC2" i="51"/>
  <c r="CB2" i="49"/>
  <c r="CG2" i="51"/>
  <c r="CF2" i="49"/>
  <c r="CK2" i="51"/>
  <c r="CJ2" i="49"/>
  <c r="CO2" i="51"/>
  <c r="CN2" i="49"/>
  <c r="CS2" i="51"/>
  <c r="CR2" i="49"/>
  <c r="AA85" i="59"/>
  <c r="X8" i="49"/>
  <c r="AE85" i="59"/>
  <c r="AB8" i="49"/>
  <c r="AI85" i="59"/>
  <c r="AF8" i="49"/>
  <c r="AM85" i="59"/>
  <c r="AJ8" i="49"/>
  <c r="AQ85" i="59"/>
  <c r="AN8" i="49"/>
  <c r="AU85" i="59"/>
  <c r="AR8" i="49"/>
  <c r="AY85" i="59"/>
  <c r="AV8" i="49"/>
  <c r="BC85" i="59"/>
  <c r="AZ8" i="49"/>
  <c r="BG85" i="59"/>
  <c r="BD8" i="49"/>
  <c r="BK85" i="59"/>
  <c r="BH8" i="49"/>
  <c r="BO85" i="59"/>
  <c r="BL8" i="49"/>
  <c r="BS85" i="59"/>
  <c r="BP8" i="49"/>
  <c r="BW85" i="59"/>
  <c r="BT8" i="49"/>
  <c r="CA85" i="59"/>
  <c r="BX8" i="49"/>
  <c r="CE85" i="59"/>
  <c r="CB8" i="49"/>
  <c r="CI85" i="59"/>
  <c r="CF8" i="49"/>
  <c r="CM85" i="59"/>
  <c r="CJ8" i="49"/>
  <c r="CQ85" i="59"/>
  <c r="CN8" i="49"/>
  <c r="CU85" i="59"/>
  <c r="CR8" i="49"/>
  <c r="CY85" i="59"/>
  <c r="CV8" i="49"/>
  <c r="CV17" i="49" s="1"/>
  <c r="AU80" i="59"/>
  <c r="AQ25" i="49"/>
  <c r="AY80" i="59"/>
  <c r="AU25" i="49"/>
  <c r="BC80" i="59"/>
  <c r="AY25" i="49"/>
  <c r="BG80" i="59"/>
  <c r="BC25" i="49"/>
  <c r="BK80" i="59"/>
  <c r="BG25" i="49"/>
  <c r="BO80" i="59"/>
  <c r="BK25" i="49"/>
  <c r="BS80" i="59"/>
  <c r="BO25" i="49"/>
  <c r="BW80" i="59"/>
  <c r="BS25" i="49"/>
  <c r="CA80" i="59"/>
  <c r="BW25" i="49"/>
  <c r="CE80" i="59"/>
  <c r="CA25" i="49"/>
  <c r="CI80" i="59"/>
  <c r="CE25" i="49"/>
  <c r="CM80" i="59"/>
  <c r="CI25" i="49"/>
  <c r="CQ80" i="59"/>
  <c r="CM25" i="49"/>
  <c r="CU80" i="59"/>
  <c r="CQ25" i="49"/>
  <c r="CY80" i="59"/>
  <c r="CU25" i="49"/>
  <c r="M5" i="46"/>
  <c r="Q5" i="46"/>
  <c r="K6" i="46"/>
  <c r="M7" i="46"/>
  <c r="Q7" i="46"/>
  <c r="K8" i="46"/>
  <c r="O8" i="46"/>
  <c r="M14" i="46"/>
  <c r="R14" i="46" s="1"/>
  <c r="Q14" i="46"/>
  <c r="K15" i="46"/>
  <c r="B16" i="46"/>
  <c r="F16" i="46"/>
  <c r="F18" i="46" s="1"/>
  <c r="F3" i="42" s="1"/>
  <c r="F9" i="42" s="1"/>
  <c r="F16" i="42" s="1"/>
  <c r="F18" i="42" s="1"/>
  <c r="G17" i="42" s="1"/>
  <c r="J16" i="46"/>
  <c r="K21" i="46"/>
  <c r="O21" i="46"/>
  <c r="F2" i="51"/>
  <c r="E2" i="49"/>
  <c r="J2" i="51"/>
  <c r="I2" i="49"/>
  <c r="N2" i="51"/>
  <c r="M2" i="49"/>
  <c r="R2" i="51"/>
  <c r="Q2" i="49"/>
  <c r="V2" i="51"/>
  <c r="U2" i="49"/>
  <c r="Z2" i="51"/>
  <c r="Y2" i="49"/>
  <c r="AD2" i="51"/>
  <c r="AC2" i="49"/>
  <c r="AH2" i="51"/>
  <c r="AG2" i="49"/>
  <c r="AL2" i="51"/>
  <c r="AK2" i="49"/>
  <c r="AP2" i="51"/>
  <c r="AO2" i="49"/>
  <c r="AT2" i="51"/>
  <c r="AS2" i="49"/>
  <c r="AX2" i="51"/>
  <c r="AW2" i="49"/>
  <c r="BB2" i="51"/>
  <c r="BA2" i="49"/>
  <c r="BF2" i="51"/>
  <c r="BE2" i="49"/>
  <c r="BJ2" i="51"/>
  <c r="BI2" i="49"/>
  <c r="BN2" i="51"/>
  <c r="BM2" i="49"/>
  <c r="BR2" i="51"/>
  <c r="BQ2" i="49"/>
  <c r="BV2" i="51"/>
  <c r="BU2" i="49"/>
  <c r="BZ2" i="51"/>
  <c r="BY2" i="49"/>
  <c r="CD2" i="51"/>
  <c r="CC2" i="49"/>
  <c r="CH2" i="51"/>
  <c r="CG2" i="49"/>
  <c r="CL2" i="51"/>
  <c r="CK2" i="49"/>
  <c r="CP2" i="51"/>
  <c r="CO2" i="49"/>
  <c r="CT2" i="51"/>
  <c r="CS2" i="49"/>
  <c r="AB85" i="59"/>
  <c r="Y8" i="49"/>
  <c r="AF85" i="59"/>
  <c r="AC8" i="49"/>
  <c r="AJ85" i="59"/>
  <c r="AG8" i="49"/>
  <c r="AN85" i="59"/>
  <c r="AK8" i="49"/>
  <c r="AR85" i="59"/>
  <c r="AO8" i="49"/>
  <c r="AV85" i="59"/>
  <c r="AS8" i="49"/>
  <c r="AZ85" i="59"/>
  <c r="AW8" i="49"/>
  <c r="BD85" i="59"/>
  <c r="BA8" i="49"/>
  <c r="BH85" i="59"/>
  <c r="BE8" i="49"/>
  <c r="BL85" i="59"/>
  <c r="BI8" i="49"/>
  <c r="BP85" i="59"/>
  <c r="BM8" i="49"/>
  <c r="BT85" i="59"/>
  <c r="BQ8" i="49"/>
  <c r="BX85" i="59"/>
  <c r="BU8" i="49"/>
  <c r="CB85" i="59"/>
  <c r="BY8" i="49"/>
  <c r="CF85" i="59"/>
  <c r="CC8" i="49"/>
  <c r="CJ85" i="59"/>
  <c r="CG8" i="49"/>
  <c r="CN85" i="59"/>
  <c r="CK8" i="49"/>
  <c r="CR85" i="59"/>
  <c r="CO8" i="49"/>
  <c r="CV85" i="59"/>
  <c r="CS8" i="49"/>
  <c r="AV80" i="59"/>
  <c r="AR25" i="49"/>
  <c r="AZ80" i="59"/>
  <c r="AV25" i="49"/>
  <c r="BD80" i="59"/>
  <c r="AZ25" i="49"/>
  <c r="BH80" i="59"/>
  <c r="BD25" i="49"/>
  <c r="BL80" i="59"/>
  <c r="BH25" i="49"/>
  <c r="BP80" i="59"/>
  <c r="BL25" i="49"/>
  <c r="BT80" i="59"/>
  <c r="BP25" i="49"/>
  <c r="BX80" i="59"/>
  <c r="BT25" i="49"/>
  <c r="CB80" i="59"/>
  <c r="BX25" i="49"/>
  <c r="CF80" i="59"/>
  <c r="CB25" i="49"/>
  <c r="CJ80" i="59"/>
  <c r="CF25" i="49"/>
  <c r="CN80" i="59"/>
  <c r="CJ25" i="49"/>
  <c r="CR80" i="59"/>
  <c r="CN25" i="49"/>
  <c r="CV80" i="59"/>
  <c r="CR25" i="49"/>
  <c r="J5" i="46"/>
  <c r="N5" i="46"/>
  <c r="J7" i="46"/>
  <c r="N7" i="46"/>
  <c r="P8" i="46"/>
  <c r="N14" i="46"/>
  <c r="C16" i="46"/>
  <c r="C18" i="46" s="1"/>
  <c r="C3" i="42" s="1"/>
  <c r="C9" i="42" s="1"/>
  <c r="C16" i="42" s="1"/>
  <c r="C18" i="42" s="1"/>
  <c r="D17" i="42" s="1"/>
  <c r="G16" i="46"/>
  <c r="G18" i="46" s="1"/>
  <c r="G3" i="42" s="1"/>
  <c r="G9" i="42" s="1"/>
  <c r="G16" i="42" s="1"/>
  <c r="G18" i="42" s="1"/>
  <c r="H17" i="42" s="1"/>
  <c r="L21" i="46"/>
  <c r="P21" i="46"/>
  <c r="B42" i="46"/>
  <c r="C2" i="51"/>
  <c r="B2" i="49"/>
  <c r="G2" i="51"/>
  <c r="F2" i="49"/>
  <c r="K2" i="51"/>
  <c r="J2" i="49"/>
  <c r="O2" i="51"/>
  <c r="N2" i="49"/>
  <c r="S2" i="51"/>
  <c r="R2" i="49"/>
  <c r="W2" i="51"/>
  <c r="V2" i="49"/>
  <c r="AA2" i="51"/>
  <c r="Z2" i="49"/>
  <c r="AE2" i="51"/>
  <c r="AD2" i="49"/>
  <c r="AI2" i="51"/>
  <c r="AH2" i="49"/>
  <c r="AM2" i="51"/>
  <c r="AL2" i="49"/>
  <c r="AQ2" i="51"/>
  <c r="AP2" i="49"/>
  <c r="AU2" i="51"/>
  <c r="AT2" i="49"/>
  <c r="AY2" i="51"/>
  <c r="AX2" i="49"/>
  <c r="BC2" i="51"/>
  <c r="BB2" i="49"/>
  <c r="BG2" i="51"/>
  <c r="BF2" i="49"/>
  <c r="BK2" i="51"/>
  <c r="BJ2" i="49"/>
  <c r="BO2" i="51"/>
  <c r="BN2" i="49"/>
  <c r="BS2" i="51"/>
  <c r="BR2" i="49"/>
  <c r="BW2" i="51"/>
  <c r="BV2" i="49"/>
  <c r="CA2" i="51"/>
  <c r="BZ2" i="49"/>
  <c r="CE2" i="51"/>
  <c r="CD2" i="49"/>
  <c r="CI2" i="51"/>
  <c r="CH2" i="49"/>
  <c r="CM2" i="51"/>
  <c r="CL2" i="49"/>
  <c r="CQ2" i="51"/>
  <c r="CP2" i="49"/>
  <c r="CU2" i="51"/>
  <c r="CT2" i="49"/>
  <c r="Y85" i="59"/>
  <c r="V8" i="49"/>
  <c r="AC85" i="59"/>
  <c r="Z8" i="49"/>
  <c r="AG85" i="59"/>
  <c r="AD8" i="49"/>
  <c r="AK85" i="59"/>
  <c r="AH8" i="49"/>
  <c r="AO85" i="59"/>
  <c r="AL8" i="49"/>
  <c r="AS85" i="59"/>
  <c r="AP8" i="49"/>
  <c r="AW85" i="59"/>
  <c r="AT8" i="49"/>
  <c r="BA85" i="59"/>
  <c r="AX8" i="49"/>
  <c r="BE85" i="59"/>
  <c r="BB8" i="49"/>
  <c r="BI85" i="59"/>
  <c r="BF8" i="49"/>
  <c r="BM85" i="59"/>
  <c r="BJ8" i="49"/>
  <c r="BQ85" i="59"/>
  <c r="BN8" i="49"/>
  <c r="BU85" i="59"/>
  <c r="BR8" i="49"/>
  <c r="BY85" i="59"/>
  <c r="BV8" i="49"/>
  <c r="CC85" i="59"/>
  <c r="BZ8" i="49"/>
  <c r="CG85" i="59"/>
  <c r="CD8" i="49"/>
  <c r="CK85" i="59"/>
  <c r="CH8" i="49"/>
  <c r="CO85" i="59"/>
  <c r="CL8" i="49"/>
  <c r="CS85" i="59"/>
  <c r="CP8" i="49"/>
  <c r="CW85" i="59"/>
  <c r="CT8" i="49"/>
  <c r="B11" i="45"/>
  <c r="AC80" i="59"/>
  <c r="Y25" i="49"/>
  <c r="AW80" i="59"/>
  <c r="AS25" i="49"/>
  <c r="BA80" i="59"/>
  <c r="AW25" i="49"/>
  <c r="BE80" i="59"/>
  <c r="BA25" i="49"/>
  <c r="BI80" i="59"/>
  <c r="BE25" i="49"/>
  <c r="BM80" i="59"/>
  <c r="BI25" i="49"/>
  <c r="BQ80" i="59"/>
  <c r="BM25" i="49"/>
  <c r="BU80" i="59"/>
  <c r="BQ25" i="49"/>
  <c r="BY80" i="59"/>
  <c r="BU25" i="49"/>
  <c r="CC80" i="59"/>
  <c r="BY25" i="49"/>
  <c r="CG80" i="59"/>
  <c r="CC25" i="49"/>
  <c r="CK80" i="59"/>
  <c r="CG25" i="49"/>
  <c r="CO80" i="59"/>
  <c r="CK25" i="49"/>
  <c r="CS80" i="59"/>
  <c r="CO25" i="49"/>
  <c r="CW80" i="59"/>
  <c r="CS25" i="49"/>
  <c r="K5" i="46"/>
  <c r="O5" i="46"/>
  <c r="K7" i="46"/>
  <c r="O7" i="46"/>
  <c r="M8" i="46"/>
  <c r="Q8" i="46"/>
  <c r="K14" i="46"/>
  <c r="O14" i="46"/>
  <c r="D16" i="46"/>
  <c r="D18" i="46" s="1"/>
  <c r="D3" i="42" s="1"/>
  <c r="D9" i="42" s="1"/>
  <c r="D16" i="42" s="1"/>
  <c r="D18" i="42" s="1"/>
  <c r="E17" i="42" s="1"/>
  <c r="H16" i="46"/>
  <c r="H18" i="46" s="1"/>
  <c r="M21" i="46"/>
  <c r="Q21" i="46"/>
  <c r="Y16" i="49"/>
  <c r="B41" i="47"/>
  <c r="C36" i="47" s="1"/>
  <c r="C41" i="47" s="1"/>
  <c r="B4" i="47"/>
  <c r="B13" i="47" s="1"/>
  <c r="B26" i="47" s="1"/>
  <c r="B32" i="47" s="1"/>
  <c r="C17" i="51"/>
  <c r="C39" i="49"/>
  <c r="D2" i="51"/>
  <c r="C2" i="49"/>
  <c r="H2" i="51"/>
  <c r="G2" i="49"/>
  <c r="L2" i="51"/>
  <c r="K2" i="49"/>
  <c r="P2" i="51"/>
  <c r="O2" i="49"/>
  <c r="T2" i="51"/>
  <c r="S2" i="49"/>
  <c r="X2" i="51"/>
  <c r="W2" i="49"/>
  <c r="AB2" i="51"/>
  <c r="AA2" i="49"/>
  <c r="AF2" i="51"/>
  <c r="AE2" i="49"/>
  <c r="AJ2" i="51"/>
  <c r="AI2" i="49"/>
  <c r="AN2" i="51"/>
  <c r="AM2" i="49"/>
  <c r="AR2" i="51"/>
  <c r="AQ2" i="49"/>
  <c r="AV2" i="51"/>
  <c r="AU2" i="49"/>
  <c r="AZ2" i="51"/>
  <c r="AY2" i="49"/>
  <c r="BD2" i="51"/>
  <c r="BC2" i="49"/>
  <c r="BH2" i="51"/>
  <c r="BG2" i="49"/>
  <c r="BL2" i="51"/>
  <c r="BK2" i="49"/>
  <c r="BP2" i="51"/>
  <c r="BO2" i="49"/>
  <c r="BT2" i="51"/>
  <c r="BS2" i="49"/>
  <c r="BX2" i="51"/>
  <c r="BW2" i="49"/>
  <c r="CB2" i="51"/>
  <c r="CA2" i="49"/>
  <c r="CF2" i="51"/>
  <c r="CE2" i="49"/>
  <c r="CJ2" i="51"/>
  <c r="CI2" i="49"/>
  <c r="CN2" i="51"/>
  <c r="CM2" i="49"/>
  <c r="CR2" i="51"/>
  <c r="CQ2" i="49"/>
  <c r="CV2" i="51"/>
  <c r="CU2" i="49"/>
  <c r="Z85" i="59"/>
  <c r="W8" i="49"/>
  <c r="AD85" i="59"/>
  <c r="AA8" i="49"/>
  <c r="AH85" i="59"/>
  <c r="AE8" i="49"/>
  <c r="AL85" i="59"/>
  <c r="AI8" i="49"/>
  <c r="AP85" i="59"/>
  <c r="AM8" i="49"/>
  <c r="AT85" i="59"/>
  <c r="AQ8" i="49"/>
  <c r="AX85" i="59"/>
  <c r="AU8" i="49"/>
  <c r="BB85" i="59"/>
  <c r="AY8" i="49"/>
  <c r="BF85" i="59"/>
  <c r="BC8" i="49"/>
  <c r="BJ85" i="59"/>
  <c r="BG8" i="49"/>
  <c r="BN85" i="59"/>
  <c r="BK8" i="49"/>
  <c r="BR85" i="59"/>
  <c r="BO8" i="49"/>
  <c r="BV85" i="59"/>
  <c r="BS8" i="49"/>
  <c r="BZ85" i="59"/>
  <c r="BW8" i="49"/>
  <c r="CD85" i="59"/>
  <c r="CA8" i="49"/>
  <c r="CH85" i="59"/>
  <c r="CE8" i="49"/>
  <c r="CL85" i="59"/>
  <c r="CI8" i="49"/>
  <c r="CP85" i="59"/>
  <c r="CM8" i="49"/>
  <c r="CT85" i="59"/>
  <c r="CQ8" i="49"/>
  <c r="CX85" i="59"/>
  <c r="CU8" i="49"/>
  <c r="AX80" i="59"/>
  <c r="AT25" i="49"/>
  <c r="BB80" i="59"/>
  <c r="AX25" i="49"/>
  <c r="BF80" i="59"/>
  <c r="BB25" i="49"/>
  <c r="BJ80" i="59"/>
  <c r="BF25" i="49"/>
  <c r="BN80" i="59"/>
  <c r="BJ25" i="49"/>
  <c r="BR80" i="59"/>
  <c r="BN25" i="49"/>
  <c r="BV80" i="59"/>
  <c r="BR25" i="49"/>
  <c r="BZ80" i="59"/>
  <c r="BV25" i="49"/>
  <c r="CD80" i="59"/>
  <c r="BZ25" i="49"/>
  <c r="CH80" i="59"/>
  <c r="CD25" i="49"/>
  <c r="CL80" i="59"/>
  <c r="CH25" i="49"/>
  <c r="CP80" i="59"/>
  <c r="CL25" i="49"/>
  <c r="CT80" i="59"/>
  <c r="CP25" i="49"/>
  <c r="CX80" i="59"/>
  <c r="CT25" i="49"/>
  <c r="J4" i="46"/>
  <c r="P5" i="46"/>
  <c r="J6" i="46"/>
  <c r="P7" i="46"/>
  <c r="J8" i="46"/>
  <c r="N8" i="46"/>
  <c r="P14" i="46"/>
  <c r="J15" i="46"/>
  <c r="E16" i="46"/>
  <c r="E18" i="46" s="1"/>
  <c r="E3" i="42" s="1"/>
  <c r="E9" i="42" s="1"/>
  <c r="E16" i="42" s="1"/>
  <c r="E18" i="42" s="1"/>
  <c r="F17" i="42" s="1"/>
  <c r="I16" i="46"/>
  <c r="I18" i="46" s="1"/>
  <c r="N21" i="46"/>
  <c r="C40" i="49"/>
  <c r="C14" i="51"/>
  <c r="C15" i="51"/>
  <c r="AB3" i="53"/>
  <c r="AB15" i="52"/>
  <c r="AC9" i="52"/>
  <c r="AC11" i="52" s="1"/>
  <c r="O38" i="47"/>
  <c r="AB6" i="52"/>
  <c r="AC2" i="52"/>
  <c r="O16" i="53"/>
  <c r="O5" i="53"/>
  <c r="AA16" i="53"/>
  <c r="AA5" i="53"/>
  <c r="E9" i="52"/>
  <c r="E11" i="52" s="1"/>
  <c r="D3" i="53"/>
  <c r="D15" i="52"/>
  <c r="AA18" i="52"/>
  <c r="AA24" i="52" s="1"/>
  <c r="AA26" i="52" s="1"/>
  <c r="AA31" i="52"/>
  <c r="AA32" i="52" s="1"/>
  <c r="AA28" i="52"/>
  <c r="AA29" i="52" s="1"/>
  <c r="O18" i="52"/>
  <c r="O24" i="52" s="1"/>
  <c r="O26" i="52" s="1"/>
  <c r="E4" i="53"/>
  <c r="E15" i="53" s="1"/>
  <c r="E14" i="52"/>
  <c r="F13" i="52"/>
  <c r="O31" i="52"/>
  <c r="O32" i="52" s="1"/>
  <c r="O28" i="52"/>
  <c r="O29" i="52" s="1"/>
  <c r="C18" i="52"/>
  <c r="C24" i="52" s="1"/>
  <c r="C26" i="52" s="1"/>
  <c r="P9" i="52"/>
  <c r="P11" i="52" s="1"/>
  <c r="D14" i="52"/>
  <c r="C16" i="53"/>
  <c r="C5" i="53"/>
  <c r="AB17" i="54"/>
  <c r="AB6" i="55" s="1"/>
  <c r="S11" i="53"/>
  <c r="T11" i="53" s="1"/>
  <c r="U11" i="53" s="1"/>
  <c r="V11" i="53" s="1"/>
  <c r="W11" i="53" s="1"/>
  <c r="X11" i="53" s="1"/>
  <c r="Y11" i="53" s="1"/>
  <c r="Z11" i="53" s="1"/>
  <c r="AA7" i="55"/>
  <c r="Y14" i="45" s="1"/>
  <c r="AB9" i="53"/>
  <c r="G7" i="55"/>
  <c r="O7" i="55"/>
  <c r="M14" i="45" s="1"/>
  <c r="W7" i="55"/>
  <c r="U14" i="45" s="1"/>
  <c r="D7" i="55"/>
  <c r="T7" i="55"/>
  <c r="R14" i="45" s="1"/>
  <c r="P12" i="53"/>
  <c r="Q12" i="53" s="1"/>
  <c r="R12" i="53" s="1"/>
  <c r="S12" i="53" s="1"/>
  <c r="T12" i="53" s="1"/>
  <c r="U12" i="53" s="1"/>
  <c r="V12" i="53" s="1"/>
  <c r="W12" i="53" s="1"/>
  <c r="X12" i="53" s="1"/>
  <c r="Y12" i="53" s="1"/>
  <c r="Z12" i="53" s="1"/>
  <c r="AA12" i="53" s="1"/>
  <c r="C7" i="55"/>
  <c r="DA3" i="55"/>
  <c r="CP36" i="56"/>
  <c r="CM5" i="55" s="1"/>
  <c r="CT36" i="56"/>
  <c r="CQ5" i="55" s="1"/>
  <c r="CX36" i="56"/>
  <c r="CU5" i="55" s="1"/>
  <c r="DB36" i="56"/>
  <c r="CY5" i="55" s="1"/>
  <c r="CZ5" i="55" s="1"/>
  <c r="DA5" i="55" s="1"/>
  <c r="DB5" i="55" s="1"/>
  <c r="DC5" i="55" s="1"/>
  <c r="DD5" i="55" s="1"/>
  <c r="DE5" i="55" s="1"/>
  <c r="H16" i="57"/>
  <c r="X16" i="57"/>
  <c r="AN16" i="57"/>
  <c r="BD16" i="57"/>
  <c r="BT16" i="57"/>
  <c r="CJ16" i="57"/>
  <c r="G36" i="56"/>
  <c r="D5" i="55" s="1"/>
  <c r="K36" i="56"/>
  <c r="H5" i="55" s="1"/>
  <c r="H7" i="55" s="1"/>
  <c r="O36" i="56"/>
  <c r="L5" i="55" s="1"/>
  <c r="L7" i="55" s="1"/>
  <c r="S36" i="56"/>
  <c r="P5" i="55" s="1"/>
  <c r="P7" i="55" s="1"/>
  <c r="N14" i="45" s="1"/>
  <c r="W36" i="56"/>
  <c r="T5" i="55" s="1"/>
  <c r="AA36" i="56"/>
  <c r="X5" i="55" s="1"/>
  <c r="X7" i="55" s="1"/>
  <c r="V14" i="45" s="1"/>
  <c r="AE36" i="56"/>
  <c r="AB5" i="55" s="1"/>
  <c r="AB7" i="55" s="1"/>
  <c r="Z14" i="45" s="1"/>
  <c r="AI36" i="56"/>
  <c r="AF5" i="55" s="1"/>
  <c r="AM36" i="56"/>
  <c r="AJ5" i="55" s="1"/>
  <c r="AQ36" i="56"/>
  <c r="AN5" i="55" s="1"/>
  <c r="AU36" i="56"/>
  <c r="AR5" i="55" s="1"/>
  <c r="AY36" i="56"/>
  <c r="AV5" i="55" s="1"/>
  <c r="BC36" i="56"/>
  <c r="AZ5" i="55" s="1"/>
  <c r="BG36" i="56"/>
  <c r="BD5" i="55" s="1"/>
  <c r="BK36" i="56"/>
  <c r="BH5" i="55" s="1"/>
  <c r="BO36" i="56"/>
  <c r="BL5" i="55" s="1"/>
  <c r="BS36" i="56"/>
  <c r="BP5" i="55" s="1"/>
  <c r="BW36" i="56"/>
  <c r="BT5" i="55" s="1"/>
  <c r="CA36" i="56"/>
  <c r="BX5" i="55" s="1"/>
  <c r="CE36" i="56"/>
  <c r="CB5" i="55" s="1"/>
  <c r="CI36" i="56"/>
  <c r="CF5" i="55" s="1"/>
  <c r="CM36" i="56"/>
  <c r="CJ5" i="55" s="1"/>
  <c r="D26" i="57"/>
  <c r="D35" i="57" s="1"/>
  <c r="D16" i="57"/>
  <c r="L26" i="57"/>
  <c r="L35" i="57" s="1"/>
  <c r="L16" i="57"/>
  <c r="T26" i="57"/>
  <c r="T35" i="57" s="1"/>
  <c r="T16" i="57"/>
  <c r="AB26" i="57"/>
  <c r="AB35" i="57" s="1"/>
  <c r="AB16" i="57"/>
  <c r="AJ26" i="57"/>
  <c r="AJ35" i="57" s="1"/>
  <c r="AJ16" i="57"/>
  <c r="AR26" i="57"/>
  <c r="AR35" i="57" s="1"/>
  <c r="AR16" i="57"/>
  <c r="AZ26" i="57"/>
  <c r="AZ35" i="57" s="1"/>
  <c r="AZ16" i="57"/>
  <c r="BH26" i="57"/>
  <c r="BH35" i="57" s="1"/>
  <c r="BH16" i="57"/>
  <c r="BP26" i="57"/>
  <c r="BP35" i="57" s="1"/>
  <c r="BP16" i="57"/>
  <c r="BX26" i="57"/>
  <c r="BX35" i="57" s="1"/>
  <c r="BX16" i="57"/>
  <c r="CF26" i="57"/>
  <c r="CF35" i="57" s="1"/>
  <c r="CF16" i="57"/>
  <c r="CN26" i="57"/>
  <c r="CN35" i="57" s="1"/>
  <c r="CN16" i="57"/>
  <c r="CV26" i="57"/>
  <c r="CV35" i="57" s="1"/>
  <c r="CV16" i="57"/>
  <c r="AC17" i="54"/>
  <c r="AC6" i="55" s="1"/>
  <c r="AD9" i="54"/>
  <c r="E7" i="55"/>
  <c r="Q7" i="55"/>
  <c r="O14" i="45" s="1"/>
  <c r="U7" i="55"/>
  <c r="S14" i="45" s="1"/>
  <c r="H36" i="56"/>
  <c r="E5" i="55" s="1"/>
  <c r="L36" i="56"/>
  <c r="I5" i="55" s="1"/>
  <c r="I7" i="55" s="1"/>
  <c r="P36" i="56"/>
  <c r="M5" i="55" s="1"/>
  <c r="M7" i="55" s="1"/>
  <c r="T36" i="56"/>
  <c r="Q5" i="55" s="1"/>
  <c r="X36" i="56"/>
  <c r="U5" i="55" s="1"/>
  <c r="AB36" i="56"/>
  <c r="Y5" i="55" s="1"/>
  <c r="Y7" i="55" s="1"/>
  <c r="W14" i="45" s="1"/>
  <c r="AF36" i="56"/>
  <c r="AC5" i="55" s="1"/>
  <c r="AC7" i="55" s="1"/>
  <c r="AA14" i="45" s="1"/>
  <c r="AJ36" i="56"/>
  <c r="AG5" i="55" s="1"/>
  <c r="AN36" i="56"/>
  <c r="AK5" i="55" s="1"/>
  <c r="AR36" i="56"/>
  <c r="AO5" i="55" s="1"/>
  <c r="AV36" i="56"/>
  <c r="AS5" i="55" s="1"/>
  <c r="AZ36" i="56"/>
  <c r="AW5" i="55" s="1"/>
  <c r="BD36" i="56"/>
  <c r="BA5" i="55" s="1"/>
  <c r="BH36" i="56"/>
  <c r="BE5" i="55" s="1"/>
  <c r="BL36" i="56"/>
  <c r="BI5" i="55" s="1"/>
  <c r="BP36" i="56"/>
  <c r="BM5" i="55" s="1"/>
  <c r="BT36" i="56"/>
  <c r="BQ5" i="55" s="1"/>
  <c r="BX36" i="56"/>
  <c r="BU5" i="55" s="1"/>
  <c r="CB36" i="56"/>
  <c r="BY5" i="55" s="1"/>
  <c r="CF36" i="56"/>
  <c r="CC5" i="55" s="1"/>
  <c r="CJ36" i="56"/>
  <c r="CG5" i="55" s="1"/>
  <c r="P16" i="57"/>
  <c r="AF16" i="57"/>
  <c r="AV16" i="57"/>
  <c r="BL16" i="57"/>
  <c r="CB16" i="57"/>
  <c r="CR16" i="57"/>
  <c r="CQ36" i="56"/>
  <c r="CN5" i="55" s="1"/>
  <c r="CU36" i="56"/>
  <c r="CR5" i="55" s="1"/>
  <c r="CY36" i="56"/>
  <c r="CV5" i="55" s="1"/>
  <c r="Q16" i="57"/>
  <c r="AG16" i="57"/>
  <c r="AW16" i="57"/>
  <c r="BM16" i="57"/>
  <c r="CC16" i="57"/>
  <c r="CS16" i="57"/>
  <c r="F33" i="60"/>
  <c r="L28" i="62"/>
  <c r="M28" i="62" s="1"/>
  <c r="CN36" i="56"/>
  <c r="CK5" i="55" s="1"/>
  <c r="CR36" i="56"/>
  <c r="CO5" i="55" s="1"/>
  <c r="CV36" i="56"/>
  <c r="CS5" i="55" s="1"/>
  <c r="CZ36" i="56"/>
  <c r="CW5" i="55" s="1"/>
  <c r="AB41" i="57"/>
  <c r="AN39" i="57"/>
  <c r="H22" i="61"/>
  <c r="H36" i="61" s="1"/>
  <c r="B16" i="57"/>
  <c r="F16" i="57"/>
  <c r="J16" i="57"/>
  <c r="N16" i="57"/>
  <c r="R16" i="57"/>
  <c r="V16" i="57"/>
  <c r="Z16" i="57"/>
  <c r="AD16" i="57"/>
  <c r="AH16" i="57"/>
  <c r="AL16" i="57"/>
  <c r="AP16" i="57"/>
  <c r="AT16" i="57"/>
  <c r="AX16" i="57"/>
  <c r="BB16" i="57"/>
  <c r="BF16" i="57"/>
  <c r="BJ16" i="57"/>
  <c r="BN16" i="57"/>
  <c r="BR16" i="57"/>
  <c r="BV16" i="57"/>
  <c r="BZ16" i="57"/>
  <c r="CD16" i="57"/>
  <c r="CH16" i="57"/>
  <c r="CL16" i="57"/>
  <c r="CP16" i="57"/>
  <c r="CT16" i="57"/>
  <c r="CX16" i="57"/>
  <c r="D40" i="60"/>
  <c r="I26" i="61"/>
  <c r="H27" i="61"/>
  <c r="F11" i="61"/>
  <c r="F35" i="61" s="1"/>
  <c r="B47" i="62"/>
  <c r="B9" i="61" s="1"/>
  <c r="B31" i="61" s="1"/>
  <c r="L79" i="62"/>
  <c r="M79" i="62" s="1"/>
  <c r="F80" i="62"/>
  <c r="F11" i="72"/>
  <c r="C16" i="57"/>
  <c r="G16" i="57"/>
  <c r="K16" i="57"/>
  <c r="O16" i="57"/>
  <c r="S16" i="57"/>
  <c r="W16" i="57"/>
  <c r="AA16" i="57"/>
  <c r="AE16" i="57"/>
  <c r="AI16" i="57"/>
  <c r="AM16" i="57"/>
  <c r="AQ16" i="57"/>
  <c r="AU16" i="57"/>
  <c r="AY16" i="57"/>
  <c r="BC16" i="57"/>
  <c r="BG16" i="57"/>
  <c r="BK16" i="57"/>
  <c r="BO16" i="57"/>
  <c r="BS16" i="57"/>
  <c r="BW16" i="57"/>
  <c r="CA16" i="57"/>
  <c r="CE16" i="57"/>
  <c r="CI16" i="57"/>
  <c r="CM16" i="57"/>
  <c r="CQ16" i="57"/>
  <c r="CU16" i="57"/>
  <c r="CY16" i="57"/>
  <c r="J10" i="61"/>
  <c r="J32" i="61" s="1"/>
  <c r="I32" i="60"/>
  <c r="H21" i="61"/>
  <c r="G32" i="60"/>
  <c r="K33" i="60"/>
  <c r="E87" i="59"/>
  <c r="C29" i="60"/>
  <c r="C11" i="60"/>
  <c r="C35" i="60" s="1"/>
  <c r="G29" i="60"/>
  <c r="G33" i="60" s="1"/>
  <c r="G11" i="60"/>
  <c r="G35" i="60" s="1"/>
  <c r="K11" i="60"/>
  <c r="K35" i="60" s="1"/>
  <c r="K29" i="60"/>
  <c r="G8" i="61"/>
  <c r="G30" i="61" s="1"/>
  <c r="F30" i="60"/>
  <c r="K8" i="61"/>
  <c r="K30" i="61" s="1"/>
  <c r="J30" i="60"/>
  <c r="F47" i="62"/>
  <c r="J32" i="60"/>
  <c r="K10" i="61"/>
  <c r="K32" i="61" s="1"/>
  <c r="C22" i="60"/>
  <c r="C36" i="60" s="1"/>
  <c r="G22" i="60"/>
  <c r="G36" i="60" s="1"/>
  <c r="K22" i="60"/>
  <c r="K36" i="60" s="1"/>
  <c r="J22" i="60"/>
  <c r="J36" i="60" s="1"/>
  <c r="E33" i="60"/>
  <c r="E30" i="60"/>
  <c r="F25" i="61"/>
  <c r="J25" i="61"/>
  <c r="E26" i="61"/>
  <c r="D27" i="61"/>
  <c r="B28" i="61"/>
  <c r="G28" i="61"/>
  <c r="K28" i="61"/>
  <c r="I30" i="61"/>
  <c r="G10" i="61"/>
  <c r="G32" i="61" s="1"/>
  <c r="G22" i="61"/>
  <c r="G36" i="61" s="1"/>
  <c r="G25" i="61"/>
  <c r="H26" i="62"/>
  <c r="H49" i="62" s="1"/>
  <c r="H72" i="62" s="1"/>
  <c r="H77" i="62" s="1"/>
  <c r="E47" i="62"/>
  <c r="L32" i="62"/>
  <c r="M32" i="62" s="1"/>
  <c r="I16" i="73"/>
  <c r="I16" i="72" s="1"/>
  <c r="I7" i="72"/>
  <c r="G7" i="72"/>
  <c r="M16" i="73"/>
  <c r="M16" i="72" s="1"/>
  <c r="M7" i="72"/>
  <c r="K7" i="72"/>
  <c r="Q16" i="73"/>
  <c r="Q16" i="72" s="1"/>
  <c r="Q7" i="72"/>
  <c r="O7" i="72"/>
  <c r="O8" i="72" s="1"/>
  <c r="AC16" i="47" s="1"/>
  <c r="E11" i="60"/>
  <c r="E35" i="60" s="1"/>
  <c r="I29" i="60"/>
  <c r="C31" i="60"/>
  <c r="D9" i="61"/>
  <c r="D31" i="61" s="1"/>
  <c r="D32" i="61"/>
  <c r="D22" i="60"/>
  <c r="D36" i="60" s="1"/>
  <c r="D37" i="60" s="1"/>
  <c r="H22" i="60"/>
  <c r="H36" i="60" s="1"/>
  <c r="E22" i="60"/>
  <c r="E36" i="60" s="1"/>
  <c r="J33" i="60"/>
  <c r="I30" i="60"/>
  <c r="B33" i="61"/>
  <c r="K11" i="61"/>
  <c r="K35" i="61" s="1"/>
  <c r="C40" i="61"/>
  <c r="C37" i="61"/>
  <c r="H32" i="61"/>
  <c r="H39" i="61"/>
  <c r="T46" i="47" s="1"/>
  <c r="H6" i="62"/>
  <c r="H7" i="61" s="1"/>
  <c r="H29" i="61" s="1"/>
  <c r="H33" i="61" s="1"/>
  <c r="L14" i="62"/>
  <c r="L20" i="62" s="1"/>
  <c r="L43" i="62"/>
  <c r="M43" i="62" s="1"/>
  <c r="K69" i="62"/>
  <c r="K20" i="61" s="1"/>
  <c r="K31" i="61" s="1"/>
  <c r="K33" i="61" s="1"/>
  <c r="L73" i="62"/>
  <c r="F11" i="60"/>
  <c r="F35" i="60" s="1"/>
  <c r="J11" i="60"/>
  <c r="J35" i="60" s="1"/>
  <c r="D31" i="60"/>
  <c r="E9" i="61"/>
  <c r="E32" i="61"/>
  <c r="I29" i="61"/>
  <c r="H31" i="61"/>
  <c r="C33" i="61"/>
  <c r="B26" i="62"/>
  <c r="B49" i="62" s="1"/>
  <c r="B72" i="62" s="1"/>
  <c r="B77" i="62" s="1"/>
  <c r="B14" i="62"/>
  <c r="B20" i="62" s="1"/>
  <c r="J26" i="62"/>
  <c r="J49" i="62" s="1"/>
  <c r="J72" i="62" s="1"/>
  <c r="J77" i="62" s="1"/>
  <c r="J14" i="62"/>
  <c r="J20" i="62" s="1"/>
  <c r="M27" i="62"/>
  <c r="L51" i="62"/>
  <c r="M51" i="62" s="1"/>
  <c r="B11" i="60"/>
  <c r="B35" i="60" s="1"/>
  <c r="B31" i="60"/>
  <c r="B33" i="60" s="1"/>
  <c r="G31" i="61"/>
  <c r="D29" i="60"/>
  <c r="D33" i="60" s="1"/>
  <c r="H29" i="60"/>
  <c r="D30" i="61"/>
  <c r="D33" i="61" s="1"/>
  <c r="H30" i="61"/>
  <c r="F31" i="61"/>
  <c r="G30" i="60"/>
  <c r="C32" i="60"/>
  <c r="H32" i="60"/>
  <c r="D11" i="61"/>
  <c r="D35" i="61" s="1"/>
  <c r="H11" i="61"/>
  <c r="H35" i="61" s="1"/>
  <c r="L3" i="62"/>
  <c r="E39" i="61"/>
  <c r="Q46" i="47" s="1"/>
  <c r="B11" i="62"/>
  <c r="B18" i="61" s="1"/>
  <c r="B29" i="61" s="1"/>
  <c r="L9" i="62"/>
  <c r="E14" i="62"/>
  <c r="E20" i="62" s="1"/>
  <c r="B18" i="62"/>
  <c r="L15" i="62"/>
  <c r="G47" i="62"/>
  <c r="K47" i="62"/>
  <c r="L42" i="62"/>
  <c r="M42" i="62" s="1"/>
  <c r="F69" i="62"/>
  <c r="F20" i="61" s="1"/>
  <c r="F22" i="61" s="1"/>
  <c r="F36" i="61" s="1"/>
  <c r="J69" i="62"/>
  <c r="J20" i="61" s="1"/>
  <c r="J22" i="61" s="1"/>
  <c r="J36" i="61" s="1"/>
  <c r="E69" i="62"/>
  <c r="E20" i="61" s="1"/>
  <c r="L59" i="62"/>
  <c r="M59" i="62" s="1"/>
  <c r="L67" i="62"/>
  <c r="M67" i="62" s="1"/>
  <c r="C30" i="60"/>
  <c r="C33" i="60" s="1"/>
  <c r="D32" i="60"/>
  <c r="B11" i="61"/>
  <c r="B35" i="61" s="1"/>
  <c r="E22" i="61"/>
  <c r="E36" i="61" s="1"/>
  <c r="I22" i="61"/>
  <c r="I36" i="61" s="1"/>
  <c r="C26" i="62"/>
  <c r="C49" i="62" s="1"/>
  <c r="C72" i="62" s="1"/>
  <c r="C77" i="62" s="1"/>
  <c r="C14" i="62"/>
  <c r="C20" i="62" s="1"/>
  <c r="G26" i="62"/>
  <c r="G49" i="62" s="1"/>
  <c r="G72" i="62" s="1"/>
  <c r="G77" i="62" s="1"/>
  <c r="G14" i="62"/>
  <c r="G20" i="62" s="1"/>
  <c r="K26" i="62"/>
  <c r="K49" i="62" s="1"/>
  <c r="K72" i="62" s="1"/>
  <c r="K77" i="62" s="1"/>
  <c r="K14" i="62"/>
  <c r="K20" i="62" s="1"/>
  <c r="F26" i="62"/>
  <c r="F49" i="62" s="1"/>
  <c r="F72" i="62" s="1"/>
  <c r="F77" i="62" s="1"/>
  <c r="F14" i="62"/>
  <c r="F20" i="62" s="1"/>
  <c r="B23" i="62"/>
  <c r="B19" i="61" s="1"/>
  <c r="B30" i="61" s="1"/>
  <c r="L21" i="62"/>
  <c r="H47" i="62"/>
  <c r="L29" i="62"/>
  <c r="M29" i="62" s="1"/>
  <c r="L30" i="62"/>
  <c r="M30" i="62" s="1"/>
  <c r="L31" i="62"/>
  <c r="M31" i="62" s="1"/>
  <c r="L54" i="62"/>
  <c r="M54" i="62" s="1"/>
  <c r="L62" i="62"/>
  <c r="M62" i="62" s="1"/>
  <c r="L74" i="62"/>
  <c r="M74" i="62" s="1"/>
  <c r="F1" i="63"/>
  <c r="G1" i="63" s="1"/>
  <c r="H1" i="63" s="1"/>
  <c r="I1" i="63" s="1"/>
  <c r="J1" i="63" s="1"/>
  <c r="H46" i="63"/>
  <c r="E16" i="73"/>
  <c r="E16" i="72" s="1"/>
  <c r="C7" i="72"/>
  <c r="K29" i="65"/>
  <c r="F5" i="73" s="1"/>
  <c r="D5" i="72" s="1"/>
  <c r="P16" i="66"/>
  <c r="P27" i="66" s="1"/>
  <c r="J6" i="73" s="1"/>
  <c r="J6" i="72" s="1"/>
  <c r="P13" i="66"/>
  <c r="J15" i="73" s="1"/>
  <c r="J15" i="72" s="1"/>
  <c r="J17" i="72" s="1"/>
  <c r="X40" i="47" s="1"/>
  <c r="O20" i="66"/>
  <c r="O27" i="66" s="1"/>
  <c r="I6" i="73" s="1"/>
  <c r="O13" i="66"/>
  <c r="I15" i="73" s="1"/>
  <c r="I15" i="72" s="1"/>
  <c r="H12" i="73"/>
  <c r="G12" i="72" s="1"/>
  <c r="N11" i="72"/>
  <c r="N17" i="72" s="1"/>
  <c r="AB40" i="47" s="1"/>
  <c r="R11" i="72"/>
  <c r="R17" i="72" s="1"/>
  <c r="AF40" i="47" s="1"/>
  <c r="E2" i="72"/>
  <c r="I2" i="72"/>
  <c r="M2" i="72"/>
  <c r="Q8" i="73"/>
  <c r="Q2" i="72"/>
  <c r="L6" i="72"/>
  <c r="P6" i="72"/>
  <c r="N6" i="72"/>
  <c r="L50" i="62"/>
  <c r="F14" i="64"/>
  <c r="L29" i="65"/>
  <c r="G5" i="73" s="1"/>
  <c r="E5" i="72" s="1"/>
  <c r="I27" i="66"/>
  <c r="N27" i="66"/>
  <c r="H6" i="73" s="1"/>
  <c r="F6" i="72" s="1"/>
  <c r="I17" i="67"/>
  <c r="D4" i="73" s="1"/>
  <c r="D4" i="72" s="1"/>
  <c r="E3" i="73"/>
  <c r="C3" i="72" s="1"/>
  <c r="C8" i="72" s="1"/>
  <c r="Q16" i="47" s="1"/>
  <c r="I3" i="73"/>
  <c r="G3" i="72" s="1"/>
  <c r="M3" i="73"/>
  <c r="K3" i="72" s="1"/>
  <c r="E7" i="72"/>
  <c r="G16" i="73"/>
  <c r="G16" i="72" s="1"/>
  <c r="F30" i="65"/>
  <c r="L24" i="65"/>
  <c r="L14" i="65"/>
  <c r="G14" i="73" s="1"/>
  <c r="G14" i="72" s="1"/>
  <c r="F5" i="72"/>
  <c r="H5" i="72"/>
  <c r="G13" i="66"/>
  <c r="G28" i="66" s="1"/>
  <c r="M13" i="66"/>
  <c r="G15" i="73" s="1"/>
  <c r="G15" i="72" s="1"/>
  <c r="J27" i="66"/>
  <c r="D6" i="73" s="1"/>
  <c r="B6" i="72" s="1"/>
  <c r="F3" i="73"/>
  <c r="D3" i="72" s="1"/>
  <c r="J3" i="73"/>
  <c r="H3" i="72" s="1"/>
  <c r="N3" i="73"/>
  <c r="R3" i="73"/>
  <c r="P3" i="72" s="1"/>
  <c r="G2" i="72"/>
  <c r="K2" i="72"/>
  <c r="L78" i="62"/>
  <c r="E14" i="63"/>
  <c r="E20" i="63" s="1"/>
  <c r="I14" i="63"/>
  <c r="I20" i="63" s="1"/>
  <c r="B7" i="72"/>
  <c r="B8" i="72" s="1"/>
  <c r="P16" i="47" s="1"/>
  <c r="D16" i="73"/>
  <c r="D16" i="72" s="1"/>
  <c r="M6" i="64"/>
  <c r="H7" i="73" s="1"/>
  <c r="K14" i="65"/>
  <c r="F14" i="73" s="1"/>
  <c r="F14" i="72" s="1"/>
  <c r="H16" i="67"/>
  <c r="H17" i="67" s="1"/>
  <c r="E12" i="73"/>
  <c r="D12" i="72" s="1"/>
  <c r="D17" i="72" s="1"/>
  <c r="R40" i="47" s="1"/>
  <c r="I12" i="73"/>
  <c r="H12" i="72" s="1"/>
  <c r="M12" i="73"/>
  <c r="L12" i="72" s="1"/>
  <c r="Q12" i="73"/>
  <c r="P12" i="72" s="1"/>
  <c r="G3" i="73"/>
  <c r="E3" i="72" s="1"/>
  <c r="K3" i="73"/>
  <c r="I3" i="72" s="1"/>
  <c r="O3" i="73"/>
  <c r="M3" i="72" s="1"/>
  <c r="G11" i="72"/>
  <c r="K11" i="72"/>
  <c r="K17" i="72" s="1"/>
  <c r="Y40" i="47" s="1"/>
  <c r="O11" i="72"/>
  <c r="O17" i="72" s="1"/>
  <c r="AC40" i="47" s="1"/>
  <c r="S11" i="72"/>
  <c r="S17" i="72" s="1"/>
  <c r="AG40" i="47" s="1"/>
  <c r="S8" i="72"/>
  <c r="AG16" i="47" s="1"/>
  <c r="I5" i="72"/>
  <c r="B14" i="63"/>
  <c r="B20" i="63" s="1"/>
  <c r="F14" i="63"/>
  <c r="F20" i="63" s="1"/>
  <c r="J14" i="63"/>
  <c r="J20" i="63" s="1"/>
  <c r="L13" i="66"/>
  <c r="F15" i="73" s="1"/>
  <c r="F15" i="72" s="1"/>
  <c r="M21" i="66"/>
  <c r="M27" i="66" s="1"/>
  <c r="G6" i="73" s="1"/>
  <c r="E6" i="72" s="1"/>
  <c r="F12" i="73"/>
  <c r="E12" i="72" s="1"/>
  <c r="J12" i="73"/>
  <c r="I12" i="72" s="1"/>
  <c r="N12" i="73"/>
  <c r="M12" i="72" s="1"/>
  <c r="M17" i="72" s="1"/>
  <c r="AA40" i="47" s="1"/>
  <c r="R12" i="73"/>
  <c r="Q12" i="72" s="1"/>
  <c r="Q17" i="72" s="1"/>
  <c r="AE40" i="47" s="1"/>
  <c r="H3" i="73"/>
  <c r="F3" i="72" s="1"/>
  <c r="L3" i="73"/>
  <c r="J3" i="72" s="1"/>
  <c r="P3" i="73"/>
  <c r="N3" i="72" s="1"/>
  <c r="H11" i="72"/>
  <c r="K17" i="73"/>
  <c r="L11" i="72"/>
  <c r="O17" i="73"/>
  <c r="P11" i="72"/>
  <c r="L17" i="73"/>
  <c r="F16" i="73"/>
  <c r="F16" i="72" s="1"/>
  <c r="D7" i="72"/>
  <c r="D2" i="72"/>
  <c r="H2" i="72"/>
  <c r="L2" i="72"/>
  <c r="P8" i="73"/>
  <c r="P2" i="72"/>
  <c r="P8" i="72" s="1"/>
  <c r="AD16" i="47" s="1"/>
  <c r="P17" i="73"/>
  <c r="R7" i="46" l="1"/>
  <c r="N60" i="46"/>
  <c r="E11" i="75"/>
  <c r="E17" i="75" s="1"/>
  <c r="P60" i="46"/>
  <c r="G11" i="75"/>
  <c r="G17" i="75" s="1"/>
  <c r="O60" i="46"/>
  <c r="F11" i="75"/>
  <c r="F17" i="75" s="1"/>
  <c r="R8" i="46"/>
  <c r="L60" i="46"/>
  <c r="C11" i="75"/>
  <c r="C17" i="75" s="1"/>
  <c r="M60" i="46"/>
  <c r="D11" i="75"/>
  <c r="D17" i="75" s="1"/>
  <c r="Q60" i="46"/>
  <c r="H11" i="75"/>
  <c r="H17" i="75" s="1"/>
  <c r="R5" i="46"/>
  <c r="G2" i="74"/>
  <c r="N32" i="74"/>
  <c r="P32" i="74"/>
  <c r="BA6" i="53"/>
  <c r="M32" i="74"/>
  <c r="B32" i="74"/>
  <c r="S20" i="74"/>
  <c r="T20" i="74" s="1"/>
  <c r="BB14" i="52"/>
  <c r="BB4" i="53"/>
  <c r="BB15" i="53" s="1"/>
  <c r="J33" i="43"/>
  <c r="J9" i="50" s="1"/>
  <c r="J19" i="50" s="1"/>
  <c r="J8" i="72"/>
  <c r="X16" i="47" s="1"/>
  <c r="X28" i="47" s="1"/>
  <c r="Q8" i="72"/>
  <c r="AE16" i="47" s="1"/>
  <c r="AE28" i="47" s="1"/>
  <c r="N8" i="72"/>
  <c r="AB16" i="47" s="1"/>
  <c r="AB28" i="47" s="1"/>
  <c r="N17" i="73"/>
  <c r="I17" i="73"/>
  <c r="H8" i="73"/>
  <c r="P17" i="72"/>
  <c r="AD40" i="47" s="1"/>
  <c r="G17" i="72"/>
  <c r="U40" i="47" s="1"/>
  <c r="U4" i="47" s="1"/>
  <c r="I17" i="72"/>
  <c r="W40" i="47" s="1"/>
  <c r="W4" i="47" s="1"/>
  <c r="K8" i="73"/>
  <c r="AF25" i="47"/>
  <c r="AO35" i="49" s="1"/>
  <c r="Q13" i="47"/>
  <c r="R33" i="45"/>
  <c r="R19" i="45" s="1"/>
  <c r="T80" i="59" s="1"/>
  <c r="R8" i="73"/>
  <c r="E17" i="72"/>
  <c r="S40" i="47" s="1"/>
  <c r="S4" i="47" s="1"/>
  <c r="R36" i="47"/>
  <c r="AB24" i="44"/>
  <c r="G22" i="10"/>
  <c r="G25" i="10" s="1"/>
  <c r="F19" i="10"/>
  <c r="F22" i="10"/>
  <c r="F25" i="10" s="1"/>
  <c r="X4" i="47"/>
  <c r="AB25" i="47"/>
  <c r="AK35" i="49" s="1"/>
  <c r="G6" i="72"/>
  <c r="I6" i="72"/>
  <c r="I8" i="73"/>
  <c r="X20" i="49"/>
  <c r="C31" i="45"/>
  <c r="C32" i="45"/>
  <c r="X25" i="47"/>
  <c r="AG35" i="49" s="1"/>
  <c r="I3" i="42"/>
  <c r="I9" i="42" s="1"/>
  <c r="I16" i="42" s="1"/>
  <c r="I18" i="42" s="1"/>
  <c r="J17" i="42" s="1"/>
  <c r="I20" i="46"/>
  <c r="H3" i="42"/>
  <c r="H9" i="42" s="1"/>
  <c r="H16" i="42" s="1"/>
  <c r="H18" i="42" s="1"/>
  <c r="I17" i="42" s="1"/>
  <c r="H20" i="46"/>
  <c r="Y20" i="49"/>
  <c r="AE4" i="47"/>
  <c r="AC4" i="47"/>
  <c r="AA4" i="47"/>
  <c r="AG28" i="47"/>
  <c r="AG25" i="47"/>
  <c r="AP35" i="49" s="1"/>
  <c r="Y4" i="47"/>
  <c r="AC28" i="47"/>
  <c r="AC25" i="47"/>
  <c r="AL35" i="49" s="1"/>
  <c r="G8" i="73"/>
  <c r="J8" i="73"/>
  <c r="L8" i="73"/>
  <c r="D8" i="73"/>
  <c r="F8" i="73"/>
  <c r="L17" i="72"/>
  <c r="Z40" i="47" s="1"/>
  <c r="R17" i="73"/>
  <c r="J17" i="73"/>
  <c r="F7" i="72"/>
  <c r="F8" i="72" s="1"/>
  <c r="T16" i="47" s="1"/>
  <c r="H16" i="73"/>
  <c r="H16" i="72" s="1"/>
  <c r="H7" i="72"/>
  <c r="H8" i="72" s="1"/>
  <c r="V16" i="47" s="1"/>
  <c r="K8" i="72"/>
  <c r="Y16" i="47" s="1"/>
  <c r="O8" i="73"/>
  <c r="M8" i="73"/>
  <c r="E8" i="73"/>
  <c r="M17" i="73"/>
  <c r="H6" i="72"/>
  <c r="M15" i="62"/>
  <c r="L18" i="62"/>
  <c r="D6" i="72"/>
  <c r="F40" i="60"/>
  <c r="F37" i="60"/>
  <c r="G11" i="61"/>
  <c r="G35" i="61" s="1"/>
  <c r="B22" i="61"/>
  <c r="B36" i="61" s="1"/>
  <c r="G40" i="60"/>
  <c r="G37" i="60"/>
  <c r="K22" i="61"/>
  <c r="K36" i="61" s="1"/>
  <c r="AZ39" i="57"/>
  <c r="AN41" i="57"/>
  <c r="DB3" i="55"/>
  <c r="AB12" i="53"/>
  <c r="AC12" i="53" s="1"/>
  <c r="AD12" i="53" s="1"/>
  <c r="AE12" i="53" s="1"/>
  <c r="AF12" i="53" s="1"/>
  <c r="AG12" i="53" s="1"/>
  <c r="AH12" i="53" s="1"/>
  <c r="AI12" i="53" s="1"/>
  <c r="AJ12" i="53" s="1"/>
  <c r="AK12" i="53" s="1"/>
  <c r="AL12" i="53" s="1"/>
  <c r="AM12" i="53" s="1"/>
  <c r="Q9" i="52"/>
  <c r="Q11" i="52" s="1"/>
  <c r="P15" i="52"/>
  <c r="P3" i="53"/>
  <c r="F4" i="53"/>
  <c r="F15" i="53" s="1"/>
  <c r="F14" i="52"/>
  <c r="G13" i="52"/>
  <c r="D16" i="53"/>
  <c r="D5" i="53"/>
  <c r="O17" i="53"/>
  <c r="O8" i="53"/>
  <c r="AC3" i="53"/>
  <c r="AC15" i="52"/>
  <c r="AD9" i="52"/>
  <c r="AD11" i="52" s="1"/>
  <c r="B18" i="45"/>
  <c r="R21" i="46"/>
  <c r="K40" i="46"/>
  <c r="B18" i="46"/>
  <c r="V27" i="45"/>
  <c r="X78" i="59" s="1"/>
  <c r="V15" i="44"/>
  <c r="E20" i="46"/>
  <c r="F50" i="41"/>
  <c r="F54" i="41" s="1"/>
  <c r="AU11" i="44"/>
  <c r="AV11" i="44" s="1"/>
  <c r="AW11" i="44" s="1"/>
  <c r="AX11" i="44" s="1"/>
  <c r="AY11" i="44" s="1"/>
  <c r="AZ11" i="44" s="1"/>
  <c r="BA11" i="44" s="1"/>
  <c r="BB11" i="44" s="1"/>
  <c r="BC11" i="44" s="1"/>
  <c r="BD11" i="44" s="1"/>
  <c r="BE11" i="44" s="1"/>
  <c r="BF11" i="44" s="1"/>
  <c r="L10" i="43"/>
  <c r="K4" i="43"/>
  <c r="AI5" i="44"/>
  <c r="AJ5" i="44" s="1"/>
  <c r="AK5" i="44" s="1"/>
  <c r="AL5" i="44" s="1"/>
  <c r="AM5" i="44" s="1"/>
  <c r="AN5" i="44" s="1"/>
  <c r="AO5" i="44" s="1"/>
  <c r="AP5" i="44" s="1"/>
  <c r="AQ5" i="44" s="1"/>
  <c r="AR5" i="44" s="1"/>
  <c r="AS5" i="44" s="1"/>
  <c r="AT5" i="44" s="1"/>
  <c r="R41" i="47"/>
  <c r="R4" i="47"/>
  <c r="L3" i="72"/>
  <c r="L8" i="72" s="1"/>
  <c r="Z16" i="47" s="1"/>
  <c r="N8" i="73"/>
  <c r="Q28" i="47"/>
  <c r="Q25" i="47"/>
  <c r="I8" i="72"/>
  <c r="W16" i="47" s="1"/>
  <c r="AF4" i="47"/>
  <c r="G5" i="72"/>
  <c r="G8" i="72" s="1"/>
  <c r="U16" i="47" s="1"/>
  <c r="H40" i="61"/>
  <c r="H37" i="61"/>
  <c r="E31" i="61"/>
  <c r="E33" i="61" s="1"/>
  <c r="E11" i="61"/>
  <c r="E35" i="61" s="1"/>
  <c r="M73" i="62"/>
  <c r="L75" i="62"/>
  <c r="G33" i="61"/>
  <c r="F17" i="72"/>
  <c r="T40" i="47" s="1"/>
  <c r="W20" i="49"/>
  <c r="C17" i="53"/>
  <c r="C8" i="53"/>
  <c r="E3" i="53"/>
  <c r="E15" i="52"/>
  <c r="F9" i="52"/>
  <c r="F11" i="52" s="1"/>
  <c r="AB27" i="52"/>
  <c r="AB18" i="52"/>
  <c r="AB24" i="52" s="1"/>
  <c r="AB26" i="52" s="1"/>
  <c r="J18" i="46"/>
  <c r="J3" i="42" s="1"/>
  <c r="J9" i="42" s="1"/>
  <c r="Q40" i="46"/>
  <c r="Q42" i="46" s="1"/>
  <c r="P40" i="46"/>
  <c r="P42" i="46" s="1"/>
  <c r="D20" i="46"/>
  <c r="G20" i="46"/>
  <c r="M27" i="45"/>
  <c r="O78" i="59" s="1"/>
  <c r="M15" i="44"/>
  <c r="D27" i="41"/>
  <c r="AI22" i="44"/>
  <c r="AJ22" i="44" s="1"/>
  <c r="AK22" i="44" s="1"/>
  <c r="AL22" i="44" s="1"/>
  <c r="AM22" i="44" s="1"/>
  <c r="AN22" i="44" s="1"/>
  <c r="AO22" i="44" s="1"/>
  <c r="AP22" i="44" s="1"/>
  <c r="AQ22" i="44" s="1"/>
  <c r="AR22" i="44" s="1"/>
  <c r="AS22" i="44" s="1"/>
  <c r="AT22" i="44" s="1"/>
  <c r="K20" i="43"/>
  <c r="F4" i="44"/>
  <c r="AU12" i="44"/>
  <c r="AV12" i="44" s="1"/>
  <c r="AW12" i="44" s="1"/>
  <c r="AX12" i="44" s="1"/>
  <c r="AY12" i="44" s="1"/>
  <c r="AZ12" i="44" s="1"/>
  <c r="BA12" i="44" s="1"/>
  <c r="BB12" i="44" s="1"/>
  <c r="BC12" i="44" s="1"/>
  <c r="BD12" i="44" s="1"/>
  <c r="BE12" i="44" s="1"/>
  <c r="BF12" i="44" s="1"/>
  <c r="J18" i="43"/>
  <c r="J19" i="43" s="1"/>
  <c r="V21" i="44"/>
  <c r="W20" i="44"/>
  <c r="J7" i="43"/>
  <c r="J6" i="42" s="1"/>
  <c r="W8" i="44"/>
  <c r="X8" i="44" s="1"/>
  <c r="Y8" i="44" s="1"/>
  <c r="Z8" i="44" s="1"/>
  <c r="AA8" i="44" s="1"/>
  <c r="AB8" i="44" s="1"/>
  <c r="AC8" i="44" s="1"/>
  <c r="AD8" i="44" s="1"/>
  <c r="AE8" i="44" s="1"/>
  <c r="AF8" i="44" s="1"/>
  <c r="AG8" i="44" s="1"/>
  <c r="AH8" i="44" s="1"/>
  <c r="AD25" i="47"/>
  <c r="AM35" i="49" s="1"/>
  <c r="AD28" i="47"/>
  <c r="P28" i="47"/>
  <c r="P25" i="47"/>
  <c r="AD4" i="47"/>
  <c r="F17" i="73"/>
  <c r="D17" i="73"/>
  <c r="Q17" i="73"/>
  <c r="H47" i="63"/>
  <c r="H9" i="60" s="1"/>
  <c r="H39" i="60"/>
  <c r="I46" i="62"/>
  <c r="D40" i="61"/>
  <c r="D37" i="61"/>
  <c r="F33" i="61"/>
  <c r="C40" i="60"/>
  <c r="C37" i="60"/>
  <c r="E17" i="73"/>
  <c r="AD17" i="54"/>
  <c r="AD6" i="55" s="1"/>
  <c r="AD7" i="55" s="1"/>
  <c r="AB14" i="45" s="1"/>
  <c r="AE9" i="54"/>
  <c r="AA17" i="53"/>
  <c r="AA8" i="53"/>
  <c r="AD2" i="52"/>
  <c r="AC6" i="52"/>
  <c r="O28" i="47"/>
  <c r="B11" i="41"/>
  <c r="AB16" i="53"/>
  <c r="AB5" i="53"/>
  <c r="D17" i="51"/>
  <c r="D39" i="49"/>
  <c r="D40" i="49" s="1"/>
  <c r="D23" i="44"/>
  <c r="B33" i="47"/>
  <c r="C31" i="47"/>
  <c r="C33" i="47" s="1"/>
  <c r="D31" i="47" s="1"/>
  <c r="D33" i="47" s="1"/>
  <c r="E31" i="47" s="1"/>
  <c r="E33" i="47" s="1"/>
  <c r="F31" i="47" s="1"/>
  <c r="F33" i="47" s="1"/>
  <c r="G31" i="47" s="1"/>
  <c r="G33" i="47" s="1"/>
  <c r="H31" i="47" s="1"/>
  <c r="H33" i="47" s="1"/>
  <c r="I31" i="47" s="1"/>
  <c r="I33" i="47" s="1"/>
  <c r="J31" i="47" s="1"/>
  <c r="J33" i="47" s="1"/>
  <c r="K31" i="47" s="1"/>
  <c r="K33" i="47" s="1"/>
  <c r="L31" i="47" s="1"/>
  <c r="L33" i="47" s="1"/>
  <c r="M31" i="47" s="1"/>
  <c r="M33" i="47" s="1"/>
  <c r="N31" i="47" s="1"/>
  <c r="N33" i="47" s="1"/>
  <c r="O31" i="47" s="1"/>
  <c r="O33" i="47" s="1"/>
  <c r="P31" i="47" s="1"/>
  <c r="M40" i="46"/>
  <c r="M42" i="46" s="1"/>
  <c r="H35" i="48"/>
  <c r="D35" i="48"/>
  <c r="G34" i="48"/>
  <c r="C34" i="48"/>
  <c r="I33" i="48"/>
  <c r="E33" i="48"/>
  <c r="C32" i="48"/>
  <c r="I31" i="48"/>
  <c r="E31" i="48"/>
  <c r="I30" i="48"/>
  <c r="C29" i="48"/>
  <c r="I28" i="48"/>
  <c r="E28" i="48"/>
  <c r="G27" i="48"/>
  <c r="C27" i="48"/>
  <c r="C25" i="48"/>
  <c r="I24" i="48"/>
  <c r="C23" i="48"/>
  <c r="D21" i="48"/>
  <c r="I20" i="48"/>
  <c r="E20" i="48"/>
  <c r="C19" i="48"/>
  <c r="H15" i="48"/>
  <c r="J14" i="48"/>
  <c r="F14" i="48"/>
  <c r="J13" i="48"/>
  <c r="F13" i="48"/>
  <c r="I12" i="48"/>
  <c r="E12" i="48"/>
  <c r="G11" i="48"/>
  <c r="C11" i="48"/>
  <c r="I10" i="48"/>
  <c r="E10" i="48"/>
  <c r="G9" i="48"/>
  <c r="C9" i="48"/>
  <c r="I8" i="48"/>
  <c r="E8" i="48"/>
  <c r="G7" i="48"/>
  <c r="C7" i="48"/>
  <c r="G5" i="48"/>
  <c r="C5" i="48"/>
  <c r="C3" i="48"/>
  <c r="G35" i="48"/>
  <c r="J34" i="48"/>
  <c r="F34" i="48"/>
  <c r="B34" i="48"/>
  <c r="H33" i="48"/>
  <c r="D33" i="48"/>
  <c r="B32" i="48"/>
  <c r="H31" i="48"/>
  <c r="D31" i="48"/>
  <c r="B29" i="48"/>
  <c r="H28" i="48"/>
  <c r="D28" i="48"/>
  <c r="J27" i="48"/>
  <c r="F27" i="48"/>
  <c r="B27" i="48"/>
  <c r="B25" i="48"/>
  <c r="H24" i="48"/>
  <c r="B23" i="48"/>
  <c r="C21" i="48"/>
  <c r="H20" i="48"/>
  <c r="D20" i="48"/>
  <c r="B19" i="48"/>
  <c r="G15" i="48"/>
  <c r="C15" i="48"/>
  <c r="I14" i="48"/>
  <c r="E14" i="48"/>
  <c r="I13" i="48"/>
  <c r="E13" i="48"/>
  <c r="H12" i="48"/>
  <c r="D12" i="48"/>
  <c r="J11" i="48"/>
  <c r="F11" i="48"/>
  <c r="B11" i="48"/>
  <c r="H10" i="48"/>
  <c r="D10" i="48"/>
  <c r="J9" i="48"/>
  <c r="F9" i="48"/>
  <c r="B9" i="48"/>
  <c r="H8" i="48"/>
  <c r="D8" i="48"/>
  <c r="J7" i="48"/>
  <c r="F7" i="48"/>
  <c r="B7" i="48"/>
  <c r="D6" i="48"/>
  <c r="J5" i="48"/>
  <c r="F5" i="48"/>
  <c r="B5" i="48"/>
  <c r="D4" i="48"/>
  <c r="B3" i="48"/>
  <c r="J35" i="48"/>
  <c r="F35" i="48"/>
  <c r="I34" i="48"/>
  <c r="G33" i="48"/>
  <c r="C33" i="48"/>
  <c r="G31" i="48"/>
  <c r="C31" i="48"/>
  <c r="C30" i="48"/>
  <c r="G28" i="48"/>
  <c r="C28" i="48"/>
  <c r="I27" i="48"/>
  <c r="E27" i="48"/>
  <c r="C26" i="48"/>
  <c r="G24" i="48"/>
  <c r="C24" i="48"/>
  <c r="B21" i="48"/>
  <c r="G20" i="48"/>
  <c r="C20" i="48"/>
  <c r="J15" i="48"/>
  <c r="F15" i="48"/>
  <c r="B15" i="48"/>
  <c r="H14" i="48"/>
  <c r="D14" i="48"/>
  <c r="H13" i="48"/>
  <c r="D13" i="48"/>
  <c r="G12" i="48"/>
  <c r="C12" i="48"/>
  <c r="I11" i="48"/>
  <c r="E11" i="48"/>
  <c r="G10" i="48"/>
  <c r="C10" i="48"/>
  <c r="I9" i="48"/>
  <c r="E9" i="48"/>
  <c r="G8" i="48"/>
  <c r="C8" i="48"/>
  <c r="I7" i="48"/>
  <c r="E7" i="48"/>
  <c r="C6" i="48"/>
  <c r="I5" i="48"/>
  <c r="E5" i="48"/>
  <c r="C4" i="48"/>
  <c r="I35" i="48"/>
  <c r="E35" i="48"/>
  <c r="H34" i="48"/>
  <c r="J33" i="48"/>
  <c r="F33" i="48"/>
  <c r="B33" i="48"/>
  <c r="J31" i="48"/>
  <c r="F31" i="48"/>
  <c r="B30" i="48"/>
  <c r="J28" i="48"/>
  <c r="F28" i="48"/>
  <c r="B28" i="48"/>
  <c r="H27" i="48"/>
  <c r="D27" i="48"/>
  <c r="B26" i="48"/>
  <c r="J24" i="48"/>
  <c r="F24" i="48"/>
  <c r="B24" i="48"/>
  <c r="J20" i="48"/>
  <c r="F20" i="48"/>
  <c r="B20" i="48"/>
  <c r="I15" i="48"/>
  <c r="G14" i="48"/>
  <c r="C14" i="48"/>
  <c r="G13" i="48"/>
  <c r="J12" i="48"/>
  <c r="F12" i="48"/>
  <c r="H11" i="48"/>
  <c r="D11" i="48"/>
  <c r="J10" i="48"/>
  <c r="F10" i="48"/>
  <c r="B10" i="48"/>
  <c r="H9" i="48"/>
  <c r="D9" i="48"/>
  <c r="J8" i="48"/>
  <c r="F8" i="48"/>
  <c r="B8" i="48"/>
  <c r="H7" i="48"/>
  <c r="D7" i="48"/>
  <c r="B6" i="48"/>
  <c r="H5" i="48"/>
  <c r="D5" i="48"/>
  <c r="B4" i="48"/>
  <c r="L40" i="46"/>
  <c r="L42" i="46" s="1"/>
  <c r="C20" i="46"/>
  <c r="X25" i="45"/>
  <c r="W9" i="44"/>
  <c r="J9" i="43"/>
  <c r="L21" i="44"/>
  <c r="M19" i="44"/>
  <c r="K7" i="42"/>
  <c r="I6" i="42"/>
  <c r="L80" i="62"/>
  <c r="M78" i="62"/>
  <c r="H17" i="72"/>
  <c r="V40" i="47" s="1"/>
  <c r="D8" i="72"/>
  <c r="R16" i="47" s="1"/>
  <c r="G17" i="73"/>
  <c r="AG4" i="47"/>
  <c r="M50" i="62"/>
  <c r="L69" i="62"/>
  <c r="M8" i="72"/>
  <c r="AA16" i="47" s="1"/>
  <c r="E8" i="72"/>
  <c r="S16" i="47" s="1"/>
  <c r="AB4" i="47"/>
  <c r="K1" i="63"/>
  <c r="I46" i="63"/>
  <c r="M21" i="62"/>
  <c r="L23" i="62"/>
  <c r="B37" i="61"/>
  <c r="B40" i="61"/>
  <c r="L11" i="62"/>
  <c r="M9" i="62"/>
  <c r="M3" i="62"/>
  <c r="L6" i="62"/>
  <c r="B40" i="60"/>
  <c r="B37" i="60"/>
  <c r="J40" i="60"/>
  <c r="J37" i="60"/>
  <c r="K40" i="61"/>
  <c r="K37" i="61"/>
  <c r="E40" i="60"/>
  <c r="E37" i="60"/>
  <c r="K40" i="60"/>
  <c r="K37" i="60"/>
  <c r="F40" i="61"/>
  <c r="F37" i="61"/>
  <c r="AB11" i="53"/>
  <c r="AC11" i="53" s="1"/>
  <c r="AD11" i="53" s="1"/>
  <c r="AE11" i="53" s="1"/>
  <c r="AF11" i="53" s="1"/>
  <c r="AG11" i="53" s="1"/>
  <c r="AH11" i="53" s="1"/>
  <c r="AI11" i="53" s="1"/>
  <c r="AJ11" i="53" s="1"/>
  <c r="AK11" i="53" s="1"/>
  <c r="AL11" i="53" s="1"/>
  <c r="AM11" i="53" s="1"/>
  <c r="AN9" i="53"/>
  <c r="AZ9" i="53" s="1"/>
  <c r="BL9" i="53" s="1"/>
  <c r="BX9" i="53" s="1"/>
  <c r="CJ9" i="53" s="1"/>
  <c r="CV9" i="53" s="1"/>
  <c r="D27" i="52"/>
  <c r="D28" i="52" s="1"/>
  <c r="D29" i="52" s="1"/>
  <c r="D18" i="52"/>
  <c r="D24" i="52" s="1"/>
  <c r="D26" i="52" s="1"/>
  <c r="C25" i="51"/>
  <c r="C20" i="51" s="1"/>
  <c r="C22" i="51" s="1"/>
  <c r="D4" i="51"/>
  <c r="C7" i="44"/>
  <c r="C30" i="44" s="1"/>
  <c r="N40" i="46"/>
  <c r="N42" i="46" s="1"/>
  <c r="J10" i="46"/>
  <c r="D36" i="47"/>
  <c r="D41" i="47" s="1"/>
  <c r="C24" i="44"/>
  <c r="C27" i="44" s="1"/>
  <c r="O40" i="46"/>
  <c r="O42" i="46" s="1"/>
  <c r="F20" i="46"/>
  <c r="C31" i="41"/>
  <c r="C32" i="41" s="1"/>
  <c r="J21" i="51"/>
  <c r="K10" i="44"/>
  <c r="L10" i="44" s="1"/>
  <c r="M10" i="44" s="1"/>
  <c r="I8" i="43"/>
  <c r="I7" i="42" s="1"/>
  <c r="E27" i="45"/>
  <c r="G78" i="59" s="1"/>
  <c r="E15" i="44"/>
  <c r="D21" i="44"/>
  <c r="E19" i="44"/>
  <c r="G13" i="74" l="1"/>
  <c r="G22" i="74" s="1"/>
  <c r="H2" i="74"/>
  <c r="H32" i="74"/>
  <c r="F32" i="74"/>
  <c r="D32" i="74"/>
  <c r="K32" i="74"/>
  <c r="C32" i="74"/>
  <c r="D16" i="13" s="1"/>
  <c r="L32" i="74"/>
  <c r="S29" i="74"/>
  <c r="U29" i="74" s="1"/>
  <c r="G32" i="74"/>
  <c r="I32" i="74"/>
  <c r="E32" i="74"/>
  <c r="J32" i="74"/>
  <c r="BB6" i="53"/>
  <c r="J20" i="46"/>
  <c r="J23" i="46" s="1"/>
  <c r="BC14" i="52"/>
  <c r="BC4" i="53"/>
  <c r="BC15" i="53" s="1"/>
  <c r="AE25" i="47"/>
  <c r="AN35" i="49" s="1"/>
  <c r="B2" i="41"/>
  <c r="G2" i="41" s="1"/>
  <c r="AB19" i="45"/>
  <c r="Z16" i="49"/>
  <c r="G26" i="10"/>
  <c r="G28" i="10"/>
  <c r="G29" i="10" s="1"/>
  <c r="F26" i="10"/>
  <c r="F28" i="10"/>
  <c r="F29" i="10" s="1"/>
  <c r="D2" i="41"/>
  <c r="B8" i="41"/>
  <c r="Z25" i="47"/>
  <c r="AI35" i="49" s="1"/>
  <c r="Z28" i="47"/>
  <c r="T28" i="47"/>
  <c r="T25" i="47"/>
  <c r="AC35" i="49" s="1"/>
  <c r="F27" i="45"/>
  <c r="H78" i="59" s="1"/>
  <c r="F15" i="44"/>
  <c r="I47" i="63"/>
  <c r="I9" i="60" s="1"/>
  <c r="I39" i="60"/>
  <c r="J46" i="62"/>
  <c r="S28" i="47"/>
  <c r="S25" i="47"/>
  <c r="AB35" i="49" s="1"/>
  <c r="AG13" i="47"/>
  <c r="AI33" i="45"/>
  <c r="V4" i="47"/>
  <c r="I27" i="43"/>
  <c r="AB17" i="53"/>
  <c r="AB8" i="53"/>
  <c r="H31" i="60"/>
  <c r="H33" i="60" s="1"/>
  <c r="H11" i="60"/>
  <c r="H35" i="60" s="1"/>
  <c r="I9" i="61"/>
  <c r="X20" i="44"/>
  <c r="W21" i="44"/>
  <c r="BG12" i="44"/>
  <c r="BH12" i="44" s="1"/>
  <c r="BI12" i="44" s="1"/>
  <c r="BJ12" i="44" s="1"/>
  <c r="BK12" i="44" s="1"/>
  <c r="BL12" i="44" s="1"/>
  <c r="BM12" i="44" s="1"/>
  <c r="BN12" i="44" s="1"/>
  <c r="BO12" i="44" s="1"/>
  <c r="BP12" i="44" s="1"/>
  <c r="BQ12" i="44" s="1"/>
  <c r="BR12" i="44" s="1"/>
  <c r="N27" i="45"/>
  <c r="P78" i="59" s="1"/>
  <c r="N15" i="44"/>
  <c r="F15" i="52"/>
  <c r="F3" i="53"/>
  <c r="G9" i="52"/>
  <c r="G11" i="52" s="1"/>
  <c r="AF13" i="47"/>
  <c r="AH33" i="45"/>
  <c r="E8" i="50"/>
  <c r="E10" i="50" s="1"/>
  <c r="E11" i="50" s="1"/>
  <c r="E32" i="50" s="1"/>
  <c r="E33" i="50" s="1"/>
  <c r="E39" i="50" s="1"/>
  <c r="E23" i="46"/>
  <c r="B3" i="42"/>
  <c r="B9" i="42" s="1"/>
  <c r="B16" i="42" s="1"/>
  <c r="B18" i="42" s="1"/>
  <c r="C17" i="42" s="1"/>
  <c r="B20" i="46"/>
  <c r="O13" i="53"/>
  <c r="O10" i="53"/>
  <c r="G4" i="53"/>
  <c r="G15" i="53" s="1"/>
  <c r="H13" i="52"/>
  <c r="G14" i="52"/>
  <c r="P27" i="52"/>
  <c r="P18" i="52"/>
  <c r="P24" i="52" s="1"/>
  <c r="P26" i="52" s="1"/>
  <c r="Z4" i="47"/>
  <c r="Y13" i="47"/>
  <c r="Z33" i="45"/>
  <c r="H23" i="46"/>
  <c r="X13" i="47"/>
  <c r="Y33" i="45"/>
  <c r="E21" i="44"/>
  <c r="F19" i="44"/>
  <c r="E36" i="47"/>
  <c r="E41" i="47" s="1"/>
  <c r="D24" i="44"/>
  <c r="D14" i="51"/>
  <c r="D20" i="51" s="1"/>
  <c r="D22" i="51" s="1"/>
  <c r="D15" i="51"/>
  <c r="C27" i="51"/>
  <c r="D28" i="45"/>
  <c r="F74" i="59" s="1"/>
  <c r="AN11" i="53"/>
  <c r="AO11" i="53" s="1"/>
  <c r="AP11" i="53" s="1"/>
  <c r="AQ11" i="53" s="1"/>
  <c r="AR11" i="53" s="1"/>
  <c r="AS11" i="53" s="1"/>
  <c r="AT11" i="53" s="1"/>
  <c r="AU11" i="53" s="1"/>
  <c r="AV11" i="53" s="1"/>
  <c r="AW11" i="53" s="1"/>
  <c r="AX11" i="53" s="1"/>
  <c r="AY11" i="53" s="1"/>
  <c r="AZ11" i="53" s="1"/>
  <c r="BA11" i="53" s="1"/>
  <c r="BB11" i="53" s="1"/>
  <c r="BC11" i="53" s="1"/>
  <c r="BD11" i="53" s="1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S11" i="53" s="1"/>
  <c r="BT11" i="53" s="1"/>
  <c r="BU11" i="53" s="1"/>
  <c r="BV11" i="53" s="1"/>
  <c r="BW11" i="53" s="1"/>
  <c r="BX11" i="53" s="1"/>
  <c r="BY11" i="53" s="1"/>
  <c r="BZ11" i="53" s="1"/>
  <c r="CA11" i="53" s="1"/>
  <c r="CB11" i="53" s="1"/>
  <c r="CC11" i="53" s="1"/>
  <c r="CD11" i="53" s="1"/>
  <c r="CE11" i="53" s="1"/>
  <c r="CF11" i="53" s="1"/>
  <c r="CG11" i="53" s="1"/>
  <c r="CH11" i="53" s="1"/>
  <c r="CI11" i="53" s="1"/>
  <c r="CJ11" i="53" s="1"/>
  <c r="CK11" i="53" s="1"/>
  <c r="CL11" i="53" s="1"/>
  <c r="CM11" i="53" s="1"/>
  <c r="CN11" i="53" s="1"/>
  <c r="CO11" i="53" s="1"/>
  <c r="CP11" i="53" s="1"/>
  <c r="CQ11" i="53" s="1"/>
  <c r="CR11" i="53" s="1"/>
  <c r="CS11" i="53" s="1"/>
  <c r="CT11" i="53" s="1"/>
  <c r="CU11" i="53" s="1"/>
  <c r="CV11" i="53" s="1"/>
  <c r="CW11" i="53" s="1"/>
  <c r="CX11" i="53" s="1"/>
  <c r="CY11" i="53" s="1"/>
  <c r="CZ11" i="53" s="1"/>
  <c r="DA11" i="53" s="1"/>
  <c r="DB11" i="53" s="1"/>
  <c r="DC11" i="53" s="1"/>
  <c r="DD11" i="53" s="1"/>
  <c r="DE11" i="53" s="1"/>
  <c r="DF11" i="53" s="1"/>
  <c r="AA28" i="47"/>
  <c r="AA25" i="47"/>
  <c r="AJ35" i="49" s="1"/>
  <c r="V25" i="47"/>
  <c r="AE35" i="49" s="1"/>
  <c r="V28" i="47"/>
  <c r="I17" i="50"/>
  <c r="Y25" i="45"/>
  <c r="W27" i="49" s="1"/>
  <c r="X9" i="44"/>
  <c r="B36" i="48"/>
  <c r="C16" i="48"/>
  <c r="AD6" i="52"/>
  <c r="AE2" i="52"/>
  <c r="AF9" i="54"/>
  <c r="AE17" i="54"/>
  <c r="AE6" i="55" s="1"/>
  <c r="AE7" i="55" s="1"/>
  <c r="AC14" i="45" s="1"/>
  <c r="L46" i="63"/>
  <c r="L47" i="63" s="1"/>
  <c r="Y35" i="49"/>
  <c r="P26" i="47"/>
  <c r="K7" i="43"/>
  <c r="K6" i="42" s="1"/>
  <c r="AI8" i="44"/>
  <c r="AJ8" i="44" s="1"/>
  <c r="AK8" i="44" s="1"/>
  <c r="AL8" i="44" s="1"/>
  <c r="AM8" i="44" s="1"/>
  <c r="AN8" i="44" s="1"/>
  <c r="AO8" i="44" s="1"/>
  <c r="AP8" i="44" s="1"/>
  <c r="AQ8" i="44" s="1"/>
  <c r="AR8" i="44" s="1"/>
  <c r="AS8" i="44" s="1"/>
  <c r="AT8" i="44" s="1"/>
  <c r="AU22" i="44"/>
  <c r="AV22" i="44" s="1"/>
  <c r="AW22" i="44" s="1"/>
  <c r="AX22" i="44" s="1"/>
  <c r="AY22" i="44" s="1"/>
  <c r="AZ22" i="44" s="1"/>
  <c r="BA22" i="44" s="1"/>
  <c r="BB22" i="44" s="1"/>
  <c r="BC22" i="44" s="1"/>
  <c r="BD22" i="44" s="1"/>
  <c r="BE22" i="44" s="1"/>
  <c r="BF22" i="44" s="1"/>
  <c r="L20" i="43"/>
  <c r="E18" i="52"/>
  <c r="E24" i="52" s="1"/>
  <c r="E26" i="52" s="1"/>
  <c r="E27" i="52"/>
  <c r="E28" i="52" s="1"/>
  <c r="E29" i="52" s="1"/>
  <c r="Z35" i="49"/>
  <c r="Q26" i="47"/>
  <c r="Q32" i="47" s="1"/>
  <c r="R13" i="47"/>
  <c r="S33" i="45"/>
  <c r="S19" i="45" s="1"/>
  <c r="U80" i="59" s="1"/>
  <c r="W27" i="45"/>
  <c r="Y78" i="59" s="1"/>
  <c r="J11" i="43"/>
  <c r="W15" i="44"/>
  <c r="J13" i="43"/>
  <c r="J8" i="42" s="1"/>
  <c r="K42" i="46"/>
  <c r="R42" i="46" s="1"/>
  <c r="R40" i="46"/>
  <c r="AD3" i="53"/>
  <c r="AD15" i="52"/>
  <c r="AE9" i="52"/>
  <c r="AE11" i="52" s="1"/>
  <c r="Q3" i="53"/>
  <c r="R9" i="52"/>
  <c r="R11" i="52" s="1"/>
  <c r="Q15" i="52"/>
  <c r="DC3" i="55"/>
  <c r="BL39" i="57"/>
  <c r="AZ41" i="57"/>
  <c r="Y28" i="47"/>
  <c r="Y25" i="47"/>
  <c r="AH35" i="49" s="1"/>
  <c r="AA13" i="47"/>
  <c r="AB33" i="45"/>
  <c r="AE13" i="47"/>
  <c r="AG33" i="45"/>
  <c r="AF33" i="45"/>
  <c r="S13" i="47"/>
  <c r="T33" i="45"/>
  <c r="T19" i="45" s="1"/>
  <c r="V80" i="59" s="1"/>
  <c r="AB13" i="47"/>
  <c r="AC33" i="45"/>
  <c r="J7" i="42"/>
  <c r="M21" i="44"/>
  <c r="N19" i="44"/>
  <c r="V27" i="49"/>
  <c r="B16" i="48"/>
  <c r="E17" i="51"/>
  <c r="E39" i="49"/>
  <c r="E40" i="49" s="1"/>
  <c r="E23" i="44"/>
  <c r="D11" i="41"/>
  <c r="D13" i="41" s="1"/>
  <c r="E11" i="41"/>
  <c r="B13" i="41"/>
  <c r="H13" i="41" s="1"/>
  <c r="AA13" i="53"/>
  <c r="AA10" i="53"/>
  <c r="Z20" i="49"/>
  <c r="L46" i="62"/>
  <c r="I39" i="61"/>
  <c r="U46" i="47" s="1"/>
  <c r="I47" i="62"/>
  <c r="AD13" i="47"/>
  <c r="AE33" i="45"/>
  <c r="G4" i="44"/>
  <c r="G23" i="46"/>
  <c r="E5" i="53"/>
  <c r="E16" i="53"/>
  <c r="T4" i="47"/>
  <c r="W28" i="47"/>
  <c r="W25" i="47"/>
  <c r="AF35" i="49" s="1"/>
  <c r="S36" i="47"/>
  <c r="S41" i="47" s="1"/>
  <c r="R24" i="44"/>
  <c r="AC24" i="44"/>
  <c r="BG11" i="44"/>
  <c r="BH11" i="44" s="1"/>
  <c r="BI11" i="44" s="1"/>
  <c r="BJ11" i="44" s="1"/>
  <c r="BK11" i="44" s="1"/>
  <c r="BL11" i="44" s="1"/>
  <c r="BM11" i="44" s="1"/>
  <c r="BN11" i="44" s="1"/>
  <c r="BO11" i="44" s="1"/>
  <c r="BP11" i="44" s="1"/>
  <c r="BQ11" i="44" s="1"/>
  <c r="BR11" i="44" s="1"/>
  <c r="M10" i="43"/>
  <c r="D79" i="59"/>
  <c r="D87" i="59" s="1"/>
  <c r="B20" i="45"/>
  <c r="B22" i="45" s="1"/>
  <c r="B29" i="45" s="1"/>
  <c r="AC18" i="52"/>
  <c r="AC24" i="52" s="1"/>
  <c r="AC26" i="52" s="1"/>
  <c r="AC27" i="52"/>
  <c r="D17" i="53"/>
  <c r="D8" i="53"/>
  <c r="G40" i="61"/>
  <c r="G37" i="61"/>
  <c r="W8" i="73"/>
  <c r="X8" i="73" s="1"/>
  <c r="Z8" i="73" s="1"/>
  <c r="I23" i="46"/>
  <c r="W13" i="47"/>
  <c r="X33" i="45"/>
  <c r="F8" i="50"/>
  <c r="F10" i="50" s="1"/>
  <c r="F11" i="50" s="1"/>
  <c r="F32" i="50" s="1"/>
  <c r="F33" i="50" s="1"/>
  <c r="F39" i="50" s="1"/>
  <c r="F23" i="46"/>
  <c r="D27" i="44"/>
  <c r="M21" i="51"/>
  <c r="N10" i="44"/>
  <c r="O10" i="44" s="1"/>
  <c r="P10" i="44" s="1"/>
  <c r="R25" i="47"/>
  <c r="AA35" i="49" s="1"/>
  <c r="R28" i="47"/>
  <c r="R19" i="44" s="1"/>
  <c r="U13" i="47"/>
  <c r="V33" i="45"/>
  <c r="V19" i="45" s="1"/>
  <c r="X80" i="59" s="1"/>
  <c r="I14" i="43"/>
  <c r="I26" i="43" s="1"/>
  <c r="C8" i="50"/>
  <c r="C10" i="50" s="1"/>
  <c r="C11" i="50" s="1"/>
  <c r="C32" i="50" s="1"/>
  <c r="C33" i="50" s="1"/>
  <c r="C39" i="50" s="1"/>
  <c r="C23" i="46"/>
  <c r="C36" i="48"/>
  <c r="U28" i="47"/>
  <c r="U25" i="47"/>
  <c r="AD35" i="49" s="1"/>
  <c r="D8" i="50"/>
  <c r="D10" i="50" s="1"/>
  <c r="D11" i="50" s="1"/>
  <c r="D32" i="50" s="1"/>
  <c r="D33" i="50" s="1"/>
  <c r="D39" i="50" s="1"/>
  <c r="D23" i="46"/>
  <c r="AB31" i="52"/>
  <c r="AB32" i="52" s="1"/>
  <c r="AB28" i="52"/>
  <c r="AB29" i="52" s="1"/>
  <c r="C13" i="53"/>
  <c r="C10" i="53"/>
  <c r="E37" i="61"/>
  <c r="E40" i="61"/>
  <c r="AU5" i="44"/>
  <c r="AV5" i="44" s="1"/>
  <c r="AW5" i="44" s="1"/>
  <c r="AX5" i="44" s="1"/>
  <c r="AY5" i="44" s="1"/>
  <c r="AZ5" i="44" s="1"/>
  <c r="BA5" i="44" s="1"/>
  <c r="BB5" i="44" s="1"/>
  <c r="BC5" i="44" s="1"/>
  <c r="BD5" i="44" s="1"/>
  <c r="BE5" i="44" s="1"/>
  <c r="BF5" i="44" s="1"/>
  <c r="L4" i="43"/>
  <c r="AC5" i="53"/>
  <c r="AC16" i="53"/>
  <c r="P16" i="53"/>
  <c r="P5" i="53"/>
  <c r="AN12" i="53"/>
  <c r="AO12" i="53" s="1"/>
  <c r="AP12" i="53" s="1"/>
  <c r="AQ12" i="53" s="1"/>
  <c r="AR12" i="53" s="1"/>
  <c r="AS12" i="53" s="1"/>
  <c r="AW12" i="53" s="1"/>
  <c r="AX12" i="53" s="1"/>
  <c r="AY12" i="53" s="1"/>
  <c r="AZ12" i="53" s="1"/>
  <c r="BA12" i="53" s="1"/>
  <c r="BB12" i="53" s="1"/>
  <c r="BC12" i="53" s="1"/>
  <c r="BD12" i="53" s="1"/>
  <c r="BE12" i="53" s="1"/>
  <c r="BF12" i="53" s="1"/>
  <c r="BG12" i="53" s="1"/>
  <c r="BH12" i="53" s="1"/>
  <c r="BI12" i="53" s="1"/>
  <c r="BJ12" i="53" s="1"/>
  <c r="BK12" i="53" s="1"/>
  <c r="BL12" i="53" s="1"/>
  <c r="BM12" i="53" s="1"/>
  <c r="BN12" i="53" s="1"/>
  <c r="BO12" i="53" s="1"/>
  <c r="BP12" i="53" s="1"/>
  <c r="BQ12" i="53" s="1"/>
  <c r="BR12" i="53" s="1"/>
  <c r="BS12" i="53" s="1"/>
  <c r="BT12" i="53" s="1"/>
  <c r="BU12" i="53" s="1"/>
  <c r="BV12" i="53" s="1"/>
  <c r="BW12" i="53" s="1"/>
  <c r="BX12" i="53" s="1"/>
  <c r="BY12" i="53" s="1"/>
  <c r="BZ12" i="53" s="1"/>
  <c r="CA12" i="53" s="1"/>
  <c r="CB12" i="53" s="1"/>
  <c r="CC12" i="53" s="1"/>
  <c r="CD12" i="53" s="1"/>
  <c r="CE12" i="53" s="1"/>
  <c r="CF12" i="53" s="1"/>
  <c r="CG12" i="53" s="1"/>
  <c r="CH12" i="53" s="1"/>
  <c r="CI12" i="53" s="1"/>
  <c r="CJ12" i="53" s="1"/>
  <c r="CK12" i="53" s="1"/>
  <c r="CL12" i="53" s="1"/>
  <c r="CM12" i="53" s="1"/>
  <c r="CN12" i="53" s="1"/>
  <c r="CO12" i="53" s="1"/>
  <c r="CP12" i="53" s="1"/>
  <c r="CQ12" i="53" s="1"/>
  <c r="CR12" i="53" s="1"/>
  <c r="CS12" i="53" s="1"/>
  <c r="CT12" i="53" s="1"/>
  <c r="CU12" i="53" s="1"/>
  <c r="CV12" i="53" s="1"/>
  <c r="CW12" i="53" s="1"/>
  <c r="CX12" i="53" s="1"/>
  <c r="CY12" i="53" s="1"/>
  <c r="CZ12" i="53" s="1"/>
  <c r="DA12" i="53" s="1"/>
  <c r="DB12" i="53" s="1"/>
  <c r="DC12" i="53" s="1"/>
  <c r="DD12" i="53" s="1"/>
  <c r="DE12" i="53" s="1"/>
  <c r="DF12" i="53" s="1"/>
  <c r="H17" i="73"/>
  <c r="W17" i="73" s="1"/>
  <c r="AC13" i="47"/>
  <c r="AD33" i="45"/>
  <c r="E16" i="13" l="1"/>
  <c r="S32" i="74"/>
  <c r="H13" i="74"/>
  <c r="H22" i="74" s="1"/>
  <c r="I2" i="74"/>
  <c r="BC6" i="53"/>
  <c r="BD4" i="53"/>
  <c r="BD15" i="53" s="1"/>
  <c r="BD14" i="52"/>
  <c r="E34" i="48"/>
  <c r="B37" i="48"/>
  <c r="B39" i="48" s="1"/>
  <c r="B41" i="48" s="1"/>
  <c r="AD80" i="59"/>
  <c r="Z25" i="49"/>
  <c r="F39" i="46"/>
  <c r="F41" i="46" s="1"/>
  <c r="F43" i="46" s="1"/>
  <c r="F25" i="46"/>
  <c r="AC31" i="52"/>
  <c r="AC32" i="52" s="1"/>
  <c r="AC28" i="52"/>
  <c r="AC29" i="52" s="1"/>
  <c r="AL16" i="49"/>
  <c r="AC26" i="47"/>
  <c r="AC32" i="47" s="1"/>
  <c r="AN19" i="45"/>
  <c r="BG5" i="44"/>
  <c r="BH5" i="44" s="1"/>
  <c r="BI5" i="44" s="1"/>
  <c r="BJ5" i="44" s="1"/>
  <c r="BK5" i="44" s="1"/>
  <c r="BL5" i="44" s="1"/>
  <c r="BM5" i="44" s="1"/>
  <c r="BN5" i="44" s="1"/>
  <c r="BO5" i="44" s="1"/>
  <c r="BP5" i="44" s="1"/>
  <c r="BQ5" i="44" s="1"/>
  <c r="BR5" i="44" s="1"/>
  <c r="M4" i="43"/>
  <c r="C22" i="53"/>
  <c r="C20" i="53"/>
  <c r="C19" i="53" s="1"/>
  <c r="S19" i="44"/>
  <c r="R21" i="44"/>
  <c r="AF16" i="49"/>
  <c r="W26" i="47"/>
  <c r="W32" i="47" s="1"/>
  <c r="AH19" i="45"/>
  <c r="T13" i="47"/>
  <c r="U33" i="45"/>
  <c r="U19" i="45" s="1"/>
  <c r="W80" i="59" s="1"/>
  <c r="E17" i="53"/>
  <c r="E8" i="53"/>
  <c r="H4" i="44"/>
  <c r="O19" i="44"/>
  <c r="N21" i="44"/>
  <c r="AK16" i="49"/>
  <c r="AB26" i="47"/>
  <c r="AB32" i="47" s="1"/>
  <c r="AM19" i="45"/>
  <c r="AJ16" i="49"/>
  <c r="AA26" i="47"/>
  <c r="AA32" i="47" s="1"/>
  <c r="AL19" i="45"/>
  <c r="BL41" i="57"/>
  <c r="BX39" i="57"/>
  <c r="R15" i="52"/>
  <c r="R3" i="53"/>
  <c r="S9" i="52"/>
  <c r="S11" i="52" s="1"/>
  <c r="AD16" i="53"/>
  <c r="AD5" i="53"/>
  <c r="X27" i="45"/>
  <c r="X15" i="44"/>
  <c r="D34" i="48"/>
  <c r="AF17" i="54"/>
  <c r="AF6" i="55" s="1"/>
  <c r="AF7" i="55" s="1"/>
  <c r="AD14" i="45" s="1"/>
  <c r="AG9" i="54"/>
  <c r="F36" i="47"/>
  <c r="F41" i="47" s="1"/>
  <c r="E24" i="44"/>
  <c r="AG16" i="49"/>
  <c r="X26" i="47"/>
  <c r="X32" i="47" s="1"/>
  <c r="AI19" i="45"/>
  <c r="AH16" i="49"/>
  <c r="Y26" i="47"/>
  <c r="Y32" i="47" s="1"/>
  <c r="AJ19" i="45"/>
  <c r="P31" i="52"/>
  <c r="P32" i="52" s="1"/>
  <c r="P28" i="52"/>
  <c r="P29" i="52" s="1"/>
  <c r="E39" i="46"/>
  <c r="E41" i="46" s="1"/>
  <c r="E43" i="46" s="1"/>
  <c r="E25" i="46"/>
  <c r="G3" i="53"/>
  <c r="H9" i="52"/>
  <c r="H11" i="52" s="1"/>
  <c r="G15" i="52"/>
  <c r="O27" i="45"/>
  <c r="Q78" i="59" s="1"/>
  <c r="O15" i="44"/>
  <c r="H40" i="60"/>
  <c r="H37" i="60"/>
  <c r="AP16" i="49"/>
  <c r="AG26" i="47"/>
  <c r="AG32" i="47" s="1"/>
  <c r="AR19" i="45"/>
  <c r="T36" i="47"/>
  <c r="T41" i="47" s="1"/>
  <c r="S24" i="44"/>
  <c r="AD24" i="44"/>
  <c r="G39" i="46"/>
  <c r="DD3" i="55"/>
  <c r="Q16" i="53"/>
  <c r="Q5" i="53"/>
  <c r="R26" i="47"/>
  <c r="R32" i="47" s="1"/>
  <c r="AA16" i="49"/>
  <c r="AC19" i="45"/>
  <c r="AU8" i="44"/>
  <c r="AV8" i="44" s="1"/>
  <c r="AW8" i="44" s="1"/>
  <c r="AX8" i="44" s="1"/>
  <c r="AY8" i="44" s="1"/>
  <c r="AZ8" i="44" s="1"/>
  <c r="BA8" i="44" s="1"/>
  <c r="BB8" i="44" s="1"/>
  <c r="BC8" i="44" s="1"/>
  <c r="BD8" i="44" s="1"/>
  <c r="BE8" i="44" s="1"/>
  <c r="BF8" i="44" s="1"/>
  <c r="L7" i="43"/>
  <c r="L6" i="42" s="1"/>
  <c r="AG27" i="47"/>
  <c r="AE6" i="52"/>
  <c r="AF2" i="52"/>
  <c r="Z25" i="45"/>
  <c r="Y9" i="44"/>
  <c r="D24" i="51"/>
  <c r="D25" i="51" s="1"/>
  <c r="E4" i="51"/>
  <c r="D7" i="44"/>
  <c r="D30" i="44" s="1"/>
  <c r="G19" i="44"/>
  <c r="F21" i="44"/>
  <c r="H39" i="46"/>
  <c r="Z13" i="47"/>
  <c r="AA33" i="45"/>
  <c r="O22" i="53"/>
  <c r="L4" i="45" s="1"/>
  <c r="O20" i="53"/>
  <c r="O19" i="53" s="1"/>
  <c r="F16" i="53"/>
  <c r="F5" i="53"/>
  <c r="Y20" i="44"/>
  <c r="X21" i="44"/>
  <c r="V13" i="47"/>
  <c r="W33" i="45"/>
  <c r="W19" i="45" s="1"/>
  <c r="Y80" i="59" s="1"/>
  <c r="J9" i="61"/>
  <c r="I31" i="60"/>
  <c r="I33" i="60" s="1"/>
  <c r="I11" i="60"/>
  <c r="I35" i="60" s="1"/>
  <c r="B15" i="41"/>
  <c r="B17" i="41" s="1"/>
  <c r="B31" i="41" s="1"/>
  <c r="BS11" i="44"/>
  <c r="BT11" i="44" s="1"/>
  <c r="BU11" i="44" s="1"/>
  <c r="BV11" i="44" s="1"/>
  <c r="BW11" i="44" s="1"/>
  <c r="BX11" i="44" s="1"/>
  <c r="BY11" i="44" s="1"/>
  <c r="BZ11" i="44" s="1"/>
  <c r="CA11" i="44" s="1"/>
  <c r="CB11" i="44" s="1"/>
  <c r="CC11" i="44" s="1"/>
  <c r="CD11" i="44" s="1"/>
  <c r="N10" i="43"/>
  <c r="M46" i="62"/>
  <c r="L47" i="62"/>
  <c r="AA22" i="53"/>
  <c r="X4" i="45" s="1"/>
  <c r="AA20" i="53"/>
  <c r="AA19" i="53" s="1"/>
  <c r="AN16" i="49"/>
  <c r="AE26" i="47"/>
  <c r="AE32" i="47" s="1"/>
  <c r="AP19" i="45"/>
  <c r="AE3" i="53"/>
  <c r="AE15" i="52"/>
  <c r="AF9" i="52"/>
  <c r="AF11" i="52" s="1"/>
  <c r="E27" i="44"/>
  <c r="H4" i="53"/>
  <c r="H15" i="53" s="1"/>
  <c r="H14" i="52"/>
  <c r="B8" i="50"/>
  <c r="B10" i="50" s="1"/>
  <c r="B11" i="50" s="1"/>
  <c r="B23" i="46"/>
  <c r="F18" i="52"/>
  <c r="F24" i="52" s="1"/>
  <c r="F26" i="52" s="1"/>
  <c r="F27" i="52"/>
  <c r="F28" i="52" s="1"/>
  <c r="F29" i="52" s="1"/>
  <c r="AB10" i="53"/>
  <c r="AB13" i="53"/>
  <c r="G27" i="45"/>
  <c r="I78" i="59" s="1"/>
  <c r="G15" i="44"/>
  <c r="AA8" i="73"/>
  <c r="AB8" i="73" s="1"/>
  <c r="D8" i="41"/>
  <c r="I39" i="46"/>
  <c r="AC17" i="53"/>
  <c r="AC8" i="53"/>
  <c r="C39" i="46"/>
  <c r="C41" i="46" s="1"/>
  <c r="C43" i="46" s="1"/>
  <c r="C25" i="46"/>
  <c r="P21" i="51"/>
  <c r="Q10" i="44"/>
  <c r="R10" i="44" s="1"/>
  <c r="S7" i="51" s="1"/>
  <c r="P17" i="53"/>
  <c r="P8" i="53"/>
  <c r="D25" i="46"/>
  <c r="D39" i="46"/>
  <c r="D41" i="46" s="1"/>
  <c r="D43" i="46" s="1"/>
  <c r="AD16" i="49"/>
  <c r="U26" i="47"/>
  <c r="U32" i="47" s="1"/>
  <c r="AF19" i="45"/>
  <c r="AH80" i="59" s="1"/>
  <c r="D13" i="53"/>
  <c r="D10" i="53"/>
  <c r="B32" i="45"/>
  <c r="B31" i="45"/>
  <c r="AD26" i="47"/>
  <c r="AD32" i="47" s="1"/>
  <c r="AM16" i="49"/>
  <c r="AO19" i="45"/>
  <c r="F17" i="51"/>
  <c r="F39" i="49"/>
  <c r="F40" i="49" s="1"/>
  <c r="F23" i="44"/>
  <c r="AB16" i="49"/>
  <c r="S26" i="47"/>
  <c r="S32" i="47" s="1"/>
  <c r="AD19" i="45"/>
  <c r="Q18" i="52"/>
  <c r="Q24" i="52" s="1"/>
  <c r="Q26" i="52" s="1"/>
  <c r="Q27" i="52"/>
  <c r="AD18" i="52"/>
  <c r="AD24" i="52" s="1"/>
  <c r="AD26" i="52" s="1"/>
  <c r="AD27" i="52"/>
  <c r="BG22" i="44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M20" i="43"/>
  <c r="P32" i="47"/>
  <c r="P33" i="47" s="1"/>
  <c r="Q31" i="47" s="1"/>
  <c r="Q33" i="47" s="1"/>
  <c r="R31" i="47" s="1"/>
  <c r="Z19" i="44"/>
  <c r="AA20" i="49"/>
  <c r="C37" i="48"/>
  <c r="C39" i="48" s="1"/>
  <c r="I31" i="50"/>
  <c r="J39" i="46"/>
  <c r="AO16" i="49"/>
  <c r="AF26" i="47"/>
  <c r="AF32" i="47" s="1"/>
  <c r="AQ19" i="45"/>
  <c r="BS12" i="44"/>
  <c r="BT12" i="44" s="1"/>
  <c r="BU12" i="44" s="1"/>
  <c r="BV12" i="44" s="1"/>
  <c r="BW12" i="44" s="1"/>
  <c r="BX12" i="44" s="1"/>
  <c r="BY12" i="44" s="1"/>
  <c r="BZ12" i="44" s="1"/>
  <c r="CA12" i="44" s="1"/>
  <c r="CB12" i="44" s="1"/>
  <c r="CC12" i="44" s="1"/>
  <c r="CD12" i="44" s="1"/>
  <c r="I31" i="61"/>
  <c r="I33" i="61" s="1"/>
  <c r="I11" i="61"/>
  <c r="I35" i="61" s="1"/>
  <c r="J39" i="61"/>
  <c r="V46" i="47" s="1"/>
  <c r="J47" i="62"/>
  <c r="I13" i="74" l="1"/>
  <c r="I22" i="74" s="1"/>
  <c r="J2" i="74"/>
  <c r="BD6" i="53"/>
  <c r="BE4" i="53"/>
  <c r="BE15" i="53" s="1"/>
  <c r="BE14" i="52"/>
  <c r="R33" i="47"/>
  <c r="S31" i="47" s="1"/>
  <c r="S33" i="47" s="1"/>
  <c r="T31" i="47" s="1"/>
  <c r="AG14" i="47"/>
  <c r="D27" i="51"/>
  <c r="E28" i="45"/>
  <c r="G74" i="59" s="1"/>
  <c r="Z26" i="47"/>
  <c r="Z32" i="47" s="1"/>
  <c r="AI16" i="49"/>
  <c r="E15" i="48" s="1"/>
  <c r="AK19" i="45"/>
  <c r="H19" i="44"/>
  <c r="G21" i="44"/>
  <c r="Q8" i="53"/>
  <c r="Q17" i="53"/>
  <c r="H3" i="53"/>
  <c r="I9" i="52"/>
  <c r="I11" i="52" s="1"/>
  <c r="H15" i="52"/>
  <c r="BX41" i="57"/>
  <c r="CJ39" i="57"/>
  <c r="BS5" i="44"/>
  <c r="BT5" i="44" s="1"/>
  <c r="BU5" i="44" s="1"/>
  <c r="BV5" i="44" s="1"/>
  <c r="BW5" i="44" s="1"/>
  <c r="BX5" i="44" s="1"/>
  <c r="BY5" i="44" s="1"/>
  <c r="BZ5" i="44" s="1"/>
  <c r="CA5" i="44" s="1"/>
  <c r="CB5" i="44" s="1"/>
  <c r="CC5" i="44" s="1"/>
  <c r="CD5" i="44" s="1"/>
  <c r="N4" i="43"/>
  <c r="D18" i="50"/>
  <c r="D20" i="50" s="1"/>
  <c r="D26" i="50" s="1"/>
  <c r="D23" i="42"/>
  <c r="D25" i="42" s="1"/>
  <c r="AR80" i="59"/>
  <c r="AN25" i="49"/>
  <c r="BS22" i="44"/>
  <c r="BT22" i="44" s="1"/>
  <c r="BU22" i="44" s="1"/>
  <c r="BV22" i="44" s="1"/>
  <c r="BW22" i="44" s="1"/>
  <c r="BX22" i="44" s="1"/>
  <c r="BY22" i="44" s="1"/>
  <c r="BZ22" i="44" s="1"/>
  <c r="CA22" i="44" s="1"/>
  <c r="CB22" i="44" s="1"/>
  <c r="CC22" i="44" s="1"/>
  <c r="CD22" i="44" s="1"/>
  <c r="N20" i="43"/>
  <c r="AQ80" i="59"/>
  <c r="AM25" i="49"/>
  <c r="P10" i="53"/>
  <c r="P13" i="53"/>
  <c r="C18" i="50"/>
  <c r="C20" i="50" s="1"/>
  <c r="C26" i="50" s="1"/>
  <c r="C23" i="42"/>
  <c r="C25" i="42" s="1"/>
  <c r="H27" i="45"/>
  <c r="J78" i="59" s="1"/>
  <c r="H15" i="44"/>
  <c r="B32" i="50"/>
  <c r="B33" i="50" s="1"/>
  <c r="B39" i="50" s="1"/>
  <c r="AF3" i="53"/>
  <c r="AF15" i="52"/>
  <c r="AG9" i="52"/>
  <c r="AG11" i="52" s="1"/>
  <c r="Z82" i="59"/>
  <c r="W4" i="49"/>
  <c r="W17" i="49" s="1"/>
  <c r="X11" i="45"/>
  <c r="O10" i="43"/>
  <c r="CE11" i="44"/>
  <c r="CF11" i="44" s="1"/>
  <c r="CG11" i="44" s="1"/>
  <c r="CH11" i="44" s="1"/>
  <c r="CI11" i="44" s="1"/>
  <c r="CJ11" i="44" s="1"/>
  <c r="CK11" i="44" s="1"/>
  <c r="CL11" i="44" s="1"/>
  <c r="CM11" i="44" s="1"/>
  <c r="CN11" i="44" s="1"/>
  <c r="CO11" i="44" s="1"/>
  <c r="CP11" i="44" s="1"/>
  <c r="J31" i="61"/>
  <c r="J33" i="61" s="1"/>
  <c r="J11" i="61"/>
  <c r="J35" i="61" s="1"/>
  <c r="Z20" i="44"/>
  <c r="AA20" i="44" s="1"/>
  <c r="AB20" i="44" s="1"/>
  <c r="AC20" i="44" s="1"/>
  <c r="AD20" i="44" s="1"/>
  <c r="AE20" i="44" s="1"/>
  <c r="AF20" i="44" s="1"/>
  <c r="AG20" i="44" s="1"/>
  <c r="AH20" i="44" s="1"/>
  <c r="Y21" i="44"/>
  <c r="H41" i="46"/>
  <c r="H43" i="46" s="1"/>
  <c r="AA25" i="45"/>
  <c r="Y27" i="49" s="1"/>
  <c r="Z9" i="44"/>
  <c r="AE80" i="59"/>
  <c r="AA25" i="49"/>
  <c r="U36" i="47"/>
  <c r="U41" i="47" s="1"/>
  <c r="AE24" i="44"/>
  <c r="T24" i="44"/>
  <c r="P27" i="45"/>
  <c r="R78" i="59" s="1"/>
  <c r="P15" i="44"/>
  <c r="G16" i="53"/>
  <c r="G5" i="53"/>
  <c r="AK80" i="59"/>
  <c r="AG25" i="49"/>
  <c r="G36" i="47"/>
  <c r="G41" i="47" s="1"/>
  <c r="F24" i="44"/>
  <c r="Y27" i="45"/>
  <c r="Y15" i="44"/>
  <c r="S3" i="53"/>
  <c r="T9" i="52"/>
  <c r="T11" i="52" s="1"/>
  <c r="S15" i="52"/>
  <c r="AO80" i="59"/>
  <c r="AK25" i="49"/>
  <c r="P19" i="44"/>
  <c r="P21" i="44" s="1"/>
  <c r="O21" i="44"/>
  <c r="I4" i="44"/>
  <c r="AC16" i="49"/>
  <c r="T26" i="47"/>
  <c r="T32" i="47" s="1"/>
  <c r="AE19" i="45"/>
  <c r="AP80" i="59"/>
  <c r="AL25" i="49"/>
  <c r="AA19" i="44"/>
  <c r="AD31" i="52"/>
  <c r="AD32" i="52" s="1"/>
  <c r="AD28" i="52"/>
  <c r="AD29" i="52" s="1"/>
  <c r="AF80" i="59"/>
  <c r="AB25" i="49"/>
  <c r="C44" i="46"/>
  <c r="I41" i="46"/>
  <c r="I43" i="46" s="1"/>
  <c r="AE27" i="52"/>
  <c r="AE18" i="52"/>
  <c r="AE24" i="52" s="1"/>
  <c r="AE26" i="52" s="1"/>
  <c r="B32" i="41"/>
  <c r="D31" i="41"/>
  <c r="D32" i="41" s="1"/>
  <c r="F17" i="53"/>
  <c r="F8" i="53"/>
  <c r="N82" i="59"/>
  <c r="L11" i="45"/>
  <c r="E14" i="51"/>
  <c r="E20" i="51" s="1"/>
  <c r="E22" i="51" s="1"/>
  <c r="E15" i="51"/>
  <c r="X27" i="49"/>
  <c r="G41" i="46"/>
  <c r="G43" i="46" s="1"/>
  <c r="E18" i="50"/>
  <c r="E20" i="50" s="1"/>
  <c r="E26" i="50" s="1"/>
  <c r="E23" i="42"/>
  <c r="E25" i="42" s="1"/>
  <c r="AL80" i="59"/>
  <c r="AH25" i="49"/>
  <c r="AG17" i="54"/>
  <c r="AG6" i="55" s="1"/>
  <c r="AG7" i="55" s="1"/>
  <c r="AE14" i="45" s="1"/>
  <c r="AH9" i="54"/>
  <c r="Z78" i="59"/>
  <c r="V30" i="49"/>
  <c r="R16" i="53"/>
  <c r="R5" i="53"/>
  <c r="AN80" i="59"/>
  <c r="AJ25" i="49"/>
  <c r="E10" i="53"/>
  <c r="E13" i="53"/>
  <c r="F18" i="50"/>
  <c r="F20" i="50" s="1"/>
  <c r="F26" i="50" s="1"/>
  <c r="F23" i="42"/>
  <c r="F25" i="42" s="1"/>
  <c r="I40" i="61"/>
  <c r="I37" i="61"/>
  <c r="AS80" i="59"/>
  <c r="AO25" i="49"/>
  <c r="J41" i="46"/>
  <c r="J43" i="46" s="1"/>
  <c r="Q31" i="52"/>
  <c r="Q32" i="52" s="1"/>
  <c r="Q28" i="52"/>
  <c r="Q29" i="52" s="1"/>
  <c r="CE12" i="44"/>
  <c r="CF12" i="44" s="1"/>
  <c r="CG12" i="44" s="1"/>
  <c r="CH12" i="44" s="1"/>
  <c r="CI12" i="44" s="1"/>
  <c r="CJ12" i="44" s="1"/>
  <c r="CK12" i="44" s="1"/>
  <c r="CL12" i="44" s="1"/>
  <c r="CM12" i="44" s="1"/>
  <c r="CN12" i="44" s="1"/>
  <c r="CO12" i="44" s="1"/>
  <c r="CP12" i="44" s="1"/>
  <c r="G17" i="51"/>
  <c r="G39" i="49"/>
  <c r="G40" i="49" s="1"/>
  <c r="G23" i="44"/>
  <c r="D22" i="53"/>
  <c r="D20" i="53"/>
  <c r="D19" i="53" s="1"/>
  <c r="D44" i="46"/>
  <c r="AC10" i="53"/>
  <c r="AC13" i="53"/>
  <c r="D15" i="41"/>
  <c r="D17" i="41" s="1"/>
  <c r="F8" i="41"/>
  <c r="AB22" i="53"/>
  <c r="Y4" i="45" s="1"/>
  <c r="AB20" i="53"/>
  <c r="AB19" i="53" s="1"/>
  <c r="B39" i="46"/>
  <c r="B25" i="46"/>
  <c r="AE16" i="53"/>
  <c r="AE5" i="53"/>
  <c r="I40" i="60"/>
  <c r="I37" i="60"/>
  <c r="V26" i="47"/>
  <c r="V32" i="47" s="1"/>
  <c r="AE16" i="49"/>
  <c r="D15" i="48" s="1"/>
  <c r="AG19" i="45"/>
  <c r="F27" i="44"/>
  <c r="AF6" i="52"/>
  <c r="AG2" i="52"/>
  <c r="M7" i="43"/>
  <c r="M6" i="42" s="1"/>
  <c r="BG8" i="44"/>
  <c r="BH8" i="44" s="1"/>
  <c r="BI8" i="44" s="1"/>
  <c r="BJ8" i="44" s="1"/>
  <c r="BK8" i="44" s="1"/>
  <c r="BL8" i="44" s="1"/>
  <c r="BM8" i="44" s="1"/>
  <c r="BN8" i="44" s="1"/>
  <c r="BO8" i="44" s="1"/>
  <c r="BP8" i="44" s="1"/>
  <c r="BQ8" i="44" s="1"/>
  <c r="BR8" i="44" s="1"/>
  <c r="DE3" i="55"/>
  <c r="AT80" i="59"/>
  <c r="AP25" i="49"/>
  <c r="G27" i="52"/>
  <c r="G28" i="52" s="1"/>
  <c r="G29" i="52" s="1"/>
  <c r="G18" i="52"/>
  <c r="G24" i="52" s="1"/>
  <c r="G26" i="52" s="1"/>
  <c r="E44" i="46"/>
  <c r="AB20" i="49"/>
  <c r="AD17" i="53"/>
  <c r="AD8" i="53"/>
  <c r="R18" i="52"/>
  <c r="R24" i="52" s="1"/>
  <c r="R26" i="52" s="1"/>
  <c r="R27" i="52"/>
  <c r="AJ80" i="59"/>
  <c r="AF25" i="49"/>
  <c r="T19" i="44"/>
  <c r="S21" i="44"/>
  <c r="F44" i="46"/>
  <c r="J13" i="74" l="1"/>
  <c r="J22" i="74" s="1"/>
  <c r="K2" i="74"/>
  <c r="BE6" i="53"/>
  <c r="Z21" i="44"/>
  <c r="BF4" i="53"/>
  <c r="BF15" i="53" s="1"/>
  <c r="BF14" i="52"/>
  <c r="T33" i="47"/>
  <c r="U31" i="47" s="1"/>
  <c r="U33" i="47" s="1"/>
  <c r="V31" i="47" s="1"/>
  <c r="V33" i="47" s="1"/>
  <c r="W31" i="47" s="1"/>
  <c r="W33" i="47" s="1"/>
  <c r="X31" i="47" s="1"/>
  <c r="X33" i="47" s="1"/>
  <c r="Y31" i="47" s="1"/>
  <c r="Y33" i="47" s="1"/>
  <c r="Z31" i="47" s="1"/>
  <c r="Z33" i="47" s="1"/>
  <c r="AA31" i="47" s="1"/>
  <c r="AA33" i="47" s="1"/>
  <c r="AB31" i="47" s="1"/>
  <c r="AB33" i="47" s="1"/>
  <c r="AC31" i="47" s="1"/>
  <c r="AC33" i="47" s="1"/>
  <c r="AD31" i="47" s="1"/>
  <c r="AD33" i="47" s="1"/>
  <c r="AE31" i="47" s="1"/>
  <c r="AE33" i="47" s="1"/>
  <c r="AF31" i="47" s="1"/>
  <c r="AF33" i="47" s="1"/>
  <c r="AG31" i="47" s="1"/>
  <c r="AG33" i="47" s="1"/>
  <c r="N7" i="43"/>
  <c r="N6" i="42" s="1"/>
  <c r="BS8" i="44"/>
  <c r="BT8" i="44" s="1"/>
  <c r="BU8" i="44" s="1"/>
  <c r="BV8" i="44" s="1"/>
  <c r="BW8" i="44" s="1"/>
  <c r="BX8" i="44" s="1"/>
  <c r="BY8" i="44" s="1"/>
  <c r="BZ8" i="44" s="1"/>
  <c r="CA8" i="44" s="1"/>
  <c r="CB8" i="44" s="1"/>
  <c r="CC8" i="44" s="1"/>
  <c r="CD8" i="44" s="1"/>
  <c r="B18" i="50"/>
  <c r="B20" i="50" s="1"/>
  <c r="B26" i="50" s="1"/>
  <c r="B26" i="46"/>
  <c r="C26" i="46" s="1"/>
  <c r="D26" i="46" s="1"/>
  <c r="E26" i="46" s="1"/>
  <c r="F26" i="46" s="1"/>
  <c r="B23" i="42"/>
  <c r="B25" i="42" s="1"/>
  <c r="L18" i="45"/>
  <c r="K26" i="44"/>
  <c r="I44" i="46"/>
  <c r="AA21" i="44"/>
  <c r="AB19" i="44"/>
  <c r="J4" i="44"/>
  <c r="S16" i="53"/>
  <c r="S5" i="53"/>
  <c r="H36" i="47"/>
  <c r="H41" i="47" s="1"/>
  <c r="G24" i="44"/>
  <c r="AB25" i="45"/>
  <c r="AA9" i="44"/>
  <c r="CQ11" i="44"/>
  <c r="CR11" i="44" s="1"/>
  <c r="CS11" i="44" s="1"/>
  <c r="CT11" i="44" s="1"/>
  <c r="CU11" i="44" s="1"/>
  <c r="CV11" i="44" s="1"/>
  <c r="CW11" i="44" s="1"/>
  <c r="CX11" i="44" s="1"/>
  <c r="CY11" i="44" s="1"/>
  <c r="CZ11" i="44" s="1"/>
  <c r="DA11" i="44" s="1"/>
  <c r="DB11" i="44" s="1"/>
  <c r="Q10" i="43" s="1"/>
  <c r="P10" i="43"/>
  <c r="AF16" i="53"/>
  <c r="AF5" i="53"/>
  <c r="P20" i="53"/>
  <c r="P19" i="53" s="1"/>
  <c r="P22" i="53"/>
  <c r="M4" i="45" s="1"/>
  <c r="H16" i="53"/>
  <c r="H5" i="53"/>
  <c r="H21" i="44"/>
  <c r="I19" i="44"/>
  <c r="I21" i="44" s="1"/>
  <c r="CE22" i="44"/>
  <c r="CF22" i="44" s="1"/>
  <c r="CG22" i="44" s="1"/>
  <c r="CH22" i="44" s="1"/>
  <c r="CI22" i="44" s="1"/>
  <c r="CJ22" i="44" s="1"/>
  <c r="CK22" i="44" s="1"/>
  <c r="CL22" i="44" s="1"/>
  <c r="CM22" i="44" s="1"/>
  <c r="CN22" i="44" s="1"/>
  <c r="CO22" i="44" s="1"/>
  <c r="CP22" i="44" s="1"/>
  <c r="O20" i="43"/>
  <c r="O4" i="43"/>
  <c r="CE5" i="44"/>
  <c r="CF5" i="44" s="1"/>
  <c r="CG5" i="44" s="1"/>
  <c r="CH5" i="44" s="1"/>
  <c r="CI5" i="44" s="1"/>
  <c r="CJ5" i="44" s="1"/>
  <c r="CK5" i="44" s="1"/>
  <c r="CL5" i="44" s="1"/>
  <c r="CM5" i="44" s="1"/>
  <c r="CN5" i="44" s="1"/>
  <c r="CO5" i="44" s="1"/>
  <c r="CP5" i="44" s="1"/>
  <c r="AM80" i="59"/>
  <c r="AI25" i="49"/>
  <c r="E24" i="48" s="1"/>
  <c r="AD10" i="53"/>
  <c r="AD13" i="53"/>
  <c r="AA82" i="59"/>
  <c r="X4" i="49"/>
  <c r="X17" i="49" s="1"/>
  <c r="Y11" i="45"/>
  <c r="Z27" i="45"/>
  <c r="Z15" i="44"/>
  <c r="Q27" i="45"/>
  <c r="S78" i="59" s="1"/>
  <c r="Q15" i="44"/>
  <c r="V36" i="47"/>
  <c r="V41" i="47" s="1"/>
  <c r="AF24" i="44"/>
  <c r="U24" i="44"/>
  <c r="R31" i="52"/>
  <c r="R32" i="52" s="1"/>
  <c r="R28" i="52"/>
  <c r="R29" i="52" s="1"/>
  <c r="AG6" i="52"/>
  <c r="AH2" i="52"/>
  <c r="AE17" i="53"/>
  <c r="AE8" i="53"/>
  <c r="R17" i="53"/>
  <c r="R8" i="53"/>
  <c r="AH17" i="54"/>
  <c r="AH6" i="55" s="1"/>
  <c r="AH7" i="55" s="1"/>
  <c r="AF14" i="45" s="1"/>
  <c r="AI9" i="54"/>
  <c r="E24" i="51"/>
  <c r="E25" i="51"/>
  <c r="F4" i="51"/>
  <c r="E7" i="44"/>
  <c r="E30" i="44" s="1"/>
  <c r="F10" i="53"/>
  <c r="F13" i="53"/>
  <c r="S27" i="52"/>
  <c r="S18" i="52"/>
  <c r="S24" i="52" s="1"/>
  <c r="S26" i="52" s="1"/>
  <c r="AA78" i="59"/>
  <c r="W30" i="49"/>
  <c r="H44" i="46"/>
  <c r="J37" i="61"/>
  <c r="J40" i="61"/>
  <c r="AG3" i="53"/>
  <c r="AG15" i="52"/>
  <c r="AH9" i="52"/>
  <c r="AH11" i="52" s="1"/>
  <c r="H27" i="52"/>
  <c r="H28" i="52" s="1"/>
  <c r="H29" i="52" s="1"/>
  <c r="H18" i="52"/>
  <c r="H24" i="52" s="1"/>
  <c r="H26" i="52" s="1"/>
  <c r="Q10" i="53"/>
  <c r="Q13" i="53"/>
  <c r="AI80" i="59"/>
  <c r="AE25" i="49"/>
  <c r="B41" i="46"/>
  <c r="B43" i="46" s="1"/>
  <c r="B44" i="46" s="1"/>
  <c r="B45" i="46" s="1"/>
  <c r="E20" i="53"/>
  <c r="E19" i="53" s="1"/>
  <c r="E22" i="53"/>
  <c r="G44" i="46"/>
  <c r="AG80" i="59"/>
  <c r="AC25" i="49"/>
  <c r="D24" i="48" s="1"/>
  <c r="K18" i="43"/>
  <c r="AI20" i="44"/>
  <c r="AJ20" i="44" s="1"/>
  <c r="AK20" i="44" s="1"/>
  <c r="AL20" i="44" s="1"/>
  <c r="AM20" i="44" s="1"/>
  <c r="AN20" i="44" s="1"/>
  <c r="AO20" i="44" s="1"/>
  <c r="AP20" i="44" s="1"/>
  <c r="AQ20" i="44" s="1"/>
  <c r="AR20" i="44" s="1"/>
  <c r="AS20" i="44" s="1"/>
  <c r="AT20" i="44" s="1"/>
  <c r="U19" i="44"/>
  <c r="U21" i="44" s="1"/>
  <c r="T21" i="44"/>
  <c r="AC20" i="53"/>
  <c r="AC19" i="53" s="1"/>
  <c r="AC22" i="53"/>
  <c r="Z4" i="45" s="1"/>
  <c r="H17" i="51"/>
  <c r="H39" i="49"/>
  <c r="H40" i="49" s="1"/>
  <c r="H23" i="44"/>
  <c r="CQ12" i="44"/>
  <c r="CR12" i="44" s="1"/>
  <c r="CS12" i="44" s="1"/>
  <c r="CT12" i="44" s="1"/>
  <c r="CU12" i="44" s="1"/>
  <c r="CV12" i="44" s="1"/>
  <c r="CW12" i="44" s="1"/>
  <c r="CX12" i="44" s="1"/>
  <c r="CY12" i="44" s="1"/>
  <c r="CZ12" i="44" s="1"/>
  <c r="DA12" i="44" s="1"/>
  <c r="DB12" i="44" s="1"/>
  <c r="J44" i="46"/>
  <c r="AC20" i="49"/>
  <c r="AE31" i="52"/>
  <c r="AE32" i="52" s="1"/>
  <c r="AE28" i="52"/>
  <c r="AE29" i="52" s="1"/>
  <c r="T3" i="53"/>
  <c r="U9" i="52"/>
  <c r="U11" i="52" s="1"/>
  <c r="T15" i="52"/>
  <c r="G17" i="53"/>
  <c r="G8" i="53"/>
  <c r="X18" i="45"/>
  <c r="AF27" i="52"/>
  <c r="AF18" i="52"/>
  <c r="AF24" i="52" s="1"/>
  <c r="AF26" i="52" s="1"/>
  <c r="I27" i="45"/>
  <c r="K78" i="59" s="1"/>
  <c r="I15" i="44"/>
  <c r="J27" i="45" s="1"/>
  <c r="L78" i="59" s="1"/>
  <c r="CV39" i="57"/>
  <c r="CV41" i="57" s="1"/>
  <c r="CJ41" i="57"/>
  <c r="I3" i="53"/>
  <c r="I15" i="52"/>
  <c r="J9" i="52"/>
  <c r="J11" i="52" s="1"/>
  <c r="G27" i="44"/>
  <c r="K13" i="74" l="1"/>
  <c r="K22" i="74" s="1"/>
  <c r="L2" i="74"/>
  <c r="BF6" i="53"/>
  <c r="BG4" i="53"/>
  <c r="BG15" i="53" s="1"/>
  <c r="BG14" i="52"/>
  <c r="I16" i="53"/>
  <c r="I5" i="53"/>
  <c r="T27" i="52"/>
  <c r="T18" i="52"/>
  <c r="T24" i="52" s="1"/>
  <c r="T26" i="52" s="1"/>
  <c r="J15" i="52"/>
  <c r="K9" i="52"/>
  <c r="K11" i="52" s="1"/>
  <c r="J3" i="53"/>
  <c r="AF31" i="52"/>
  <c r="AF32" i="52" s="1"/>
  <c r="AF28" i="52"/>
  <c r="AF29" i="52" s="1"/>
  <c r="G13" i="53"/>
  <c r="G10" i="53"/>
  <c r="T16" i="53"/>
  <c r="T5" i="53"/>
  <c r="I17" i="51"/>
  <c r="I39" i="49"/>
  <c r="I23" i="44"/>
  <c r="AG16" i="53"/>
  <c r="AG5" i="53"/>
  <c r="F22" i="53"/>
  <c r="F20" i="53"/>
  <c r="F19" i="53"/>
  <c r="E27" i="51"/>
  <c r="F28" i="45"/>
  <c r="H74" i="59" s="1"/>
  <c r="R10" i="53"/>
  <c r="R13" i="53"/>
  <c r="AH6" i="52"/>
  <c r="AI2" i="52"/>
  <c r="R27" i="45"/>
  <c r="T78" i="59" s="1"/>
  <c r="R15" i="44"/>
  <c r="AD22" i="53"/>
  <c r="AA4" i="45" s="1"/>
  <c r="AD20" i="53"/>
  <c r="AD19" i="53" s="1"/>
  <c r="CQ5" i="44"/>
  <c r="CR5" i="44" s="1"/>
  <c r="CS5" i="44" s="1"/>
  <c r="CT5" i="44" s="1"/>
  <c r="CU5" i="44" s="1"/>
  <c r="CV5" i="44" s="1"/>
  <c r="CW5" i="44" s="1"/>
  <c r="CX5" i="44" s="1"/>
  <c r="CY5" i="44" s="1"/>
  <c r="CZ5" i="44" s="1"/>
  <c r="DA5" i="44" s="1"/>
  <c r="DB5" i="44" s="1"/>
  <c r="Q4" i="43" s="1"/>
  <c r="P4" i="43"/>
  <c r="AF17" i="53"/>
  <c r="AF8" i="53"/>
  <c r="K4" i="44"/>
  <c r="N79" i="59"/>
  <c r="L20" i="45"/>
  <c r="L22" i="45" s="1"/>
  <c r="AU20" i="44"/>
  <c r="AV20" i="44" s="1"/>
  <c r="AW20" i="44" s="1"/>
  <c r="AX20" i="44" s="1"/>
  <c r="AY20" i="44" s="1"/>
  <c r="AZ20" i="44" s="1"/>
  <c r="BA20" i="44" s="1"/>
  <c r="BB20" i="44" s="1"/>
  <c r="BC20" i="44" s="1"/>
  <c r="BD20" i="44" s="1"/>
  <c r="BE20" i="44" s="1"/>
  <c r="BF20" i="44" s="1"/>
  <c r="L18" i="43"/>
  <c r="Y18" i="45"/>
  <c r="I36" i="47"/>
  <c r="I41" i="47" s="1"/>
  <c r="H24" i="44"/>
  <c r="C45" i="46"/>
  <c r="C46" i="46"/>
  <c r="Q22" i="53"/>
  <c r="N4" i="45" s="1"/>
  <c r="Q19" i="53"/>
  <c r="Q20" i="53"/>
  <c r="AH15" i="52"/>
  <c r="AI9" i="52"/>
  <c r="AI11" i="52" s="1"/>
  <c r="AH3" i="53"/>
  <c r="S31" i="52"/>
  <c r="S32" i="52" s="1"/>
  <c r="S28" i="52"/>
  <c r="S29" i="52" s="1"/>
  <c r="AJ9" i="54"/>
  <c r="AI17" i="54"/>
  <c r="AI6" i="55" s="1"/>
  <c r="AI7" i="55" s="1"/>
  <c r="AG14" i="45" s="1"/>
  <c r="AE13" i="53"/>
  <c r="AE10" i="53"/>
  <c r="AA27" i="45"/>
  <c r="AA15" i="44"/>
  <c r="H27" i="44"/>
  <c r="O82" i="59"/>
  <c r="M17" i="45"/>
  <c r="M11" i="45"/>
  <c r="L26" i="44" s="1"/>
  <c r="AC25" i="45"/>
  <c r="AA27" i="49" s="1"/>
  <c r="AB9" i="44"/>
  <c r="S17" i="53"/>
  <c r="S8" i="53"/>
  <c r="AB21" i="44"/>
  <c r="AC19" i="44"/>
  <c r="O7" i="43"/>
  <c r="O6" i="42" s="1"/>
  <c r="CE8" i="44"/>
  <c r="CF8" i="44" s="1"/>
  <c r="CG8" i="44" s="1"/>
  <c r="CH8" i="44" s="1"/>
  <c r="CI8" i="44" s="1"/>
  <c r="CJ8" i="44" s="1"/>
  <c r="CK8" i="44" s="1"/>
  <c r="CL8" i="44" s="1"/>
  <c r="CM8" i="44" s="1"/>
  <c r="CN8" i="44" s="1"/>
  <c r="CO8" i="44" s="1"/>
  <c r="CP8" i="44" s="1"/>
  <c r="I18" i="52"/>
  <c r="I24" i="52" s="1"/>
  <c r="I26" i="52" s="1"/>
  <c r="I27" i="52"/>
  <c r="I28" i="52" s="1"/>
  <c r="I29" i="52" s="1"/>
  <c r="Z79" i="59"/>
  <c r="V24" i="49"/>
  <c r="X20" i="45"/>
  <c r="X22" i="45" s="1"/>
  <c r="U3" i="53"/>
  <c r="V9" i="52"/>
  <c r="V11" i="52" s="1"/>
  <c r="U15" i="52"/>
  <c r="AB82" i="59"/>
  <c r="Y4" i="49"/>
  <c r="Y17" i="49" s="1"/>
  <c r="Z11" i="45"/>
  <c r="AG18" i="52"/>
  <c r="AG24" i="52" s="1"/>
  <c r="AG26" i="52" s="1"/>
  <c r="AG27" i="52"/>
  <c r="F15" i="51"/>
  <c r="F14" i="51"/>
  <c r="F20" i="51" s="1"/>
  <c r="F22" i="51" s="1"/>
  <c r="AD20" i="49"/>
  <c r="W36" i="47"/>
  <c r="W41" i="47" s="1"/>
  <c r="AG24" i="44"/>
  <c r="AB78" i="59"/>
  <c r="X30" i="49"/>
  <c r="CQ22" i="44"/>
  <c r="CR22" i="44" s="1"/>
  <c r="CS22" i="44" s="1"/>
  <c r="CT22" i="44" s="1"/>
  <c r="CU22" i="44" s="1"/>
  <c r="CV22" i="44" s="1"/>
  <c r="CW22" i="44" s="1"/>
  <c r="CX22" i="44" s="1"/>
  <c r="CY22" i="44" s="1"/>
  <c r="CZ22" i="44" s="1"/>
  <c r="DA22" i="44" s="1"/>
  <c r="DB22" i="44" s="1"/>
  <c r="Q20" i="43" s="1"/>
  <c r="P20" i="43"/>
  <c r="H17" i="53"/>
  <c r="H8" i="53"/>
  <c r="Z27" i="49"/>
  <c r="L13" i="74" l="1"/>
  <c r="L22" i="74" s="1"/>
  <c r="M2" i="74"/>
  <c r="BG6" i="53"/>
  <c r="BH14" i="52"/>
  <c r="BH4" i="53"/>
  <c r="BH15" i="53" s="1"/>
  <c r="AC21" i="44"/>
  <c r="AD19" i="44"/>
  <c r="AD25" i="45"/>
  <c r="AC9" i="44"/>
  <c r="AC78" i="59"/>
  <c r="Y30" i="49"/>
  <c r="H13" i="53"/>
  <c r="H10" i="53"/>
  <c r="X36" i="47"/>
  <c r="X41" i="47" s="1"/>
  <c r="AH24" i="44"/>
  <c r="F25" i="51"/>
  <c r="G4" i="51"/>
  <c r="F24" i="51"/>
  <c r="F7" i="44"/>
  <c r="F30" i="44" s="1"/>
  <c r="Z18" i="45"/>
  <c r="V3" i="53"/>
  <c r="V15" i="52"/>
  <c r="W9" i="52"/>
  <c r="W11" i="52" s="1"/>
  <c r="CQ8" i="44"/>
  <c r="CR8" i="44" s="1"/>
  <c r="CS8" i="44" s="1"/>
  <c r="CT8" i="44" s="1"/>
  <c r="CU8" i="44" s="1"/>
  <c r="CV8" i="44" s="1"/>
  <c r="CW8" i="44" s="1"/>
  <c r="CX8" i="44" s="1"/>
  <c r="CY8" i="44" s="1"/>
  <c r="CZ8" i="44" s="1"/>
  <c r="DA8" i="44" s="1"/>
  <c r="DB8" i="44" s="1"/>
  <c r="Q7" i="43" s="1"/>
  <c r="P7" i="43"/>
  <c r="P6" i="42" s="1"/>
  <c r="AH18" i="52"/>
  <c r="AH24" i="52" s="1"/>
  <c r="AH26" i="52" s="1"/>
  <c r="AH27" i="52"/>
  <c r="AA79" i="59"/>
  <c r="W24" i="49"/>
  <c r="Y20" i="45"/>
  <c r="Y22" i="45" s="1"/>
  <c r="AF10" i="53"/>
  <c r="AF13" i="53"/>
  <c r="T17" i="53"/>
  <c r="T8" i="53"/>
  <c r="J18" i="52"/>
  <c r="J24" i="52" s="1"/>
  <c r="J26" i="52" s="1"/>
  <c r="J27" i="52"/>
  <c r="J28" i="52" s="1"/>
  <c r="J29" i="52" s="1"/>
  <c r="AG31" i="52"/>
  <c r="AG32" i="52" s="1"/>
  <c r="AG28" i="52"/>
  <c r="AG29" i="52" s="1"/>
  <c r="U5" i="53"/>
  <c r="U16" i="53"/>
  <c r="S13" i="53"/>
  <c r="S10" i="53"/>
  <c r="M18" i="45"/>
  <c r="O79" i="59" s="1"/>
  <c r="AE22" i="53"/>
  <c r="AB4" i="45" s="1"/>
  <c r="AE20" i="53"/>
  <c r="AE19" i="53" s="1"/>
  <c r="D45" i="46"/>
  <c r="D46" i="46"/>
  <c r="J36" i="47"/>
  <c r="J41" i="47" s="1"/>
  <c r="K36" i="47" s="1"/>
  <c r="K41" i="47" s="1"/>
  <c r="I24" i="44"/>
  <c r="I27" i="44" s="1"/>
  <c r="AI6" i="52"/>
  <c r="AJ2" i="52"/>
  <c r="M18" i="43"/>
  <c r="BG20" i="44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L4" i="44"/>
  <c r="AC82" i="59"/>
  <c r="Z4" i="49"/>
  <c r="Z17" i="49" s="1"/>
  <c r="AG8" i="53"/>
  <c r="AG17" i="53"/>
  <c r="J39" i="49"/>
  <c r="J40" i="49" s="1"/>
  <c r="I40" i="49"/>
  <c r="J17" i="51" s="1"/>
  <c r="J16" i="53"/>
  <c r="J5" i="53"/>
  <c r="T31" i="52"/>
  <c r="T32" i="52" s="1"/>
  <c r="T28" i="52"/>
  <c r="T29" i="52" s="1"/>
  <c r="M20" i="45"/>
  <c r="M22" i="45" s="1"/>
  <c r="AB27" i="45"/>
  <c r="AB15" i="44"/>
  <c r="AE20" i="49"/>
  <c r="AH16" i="53"/>
  <c r="AH5" i="53"/>
  <c r="U18" i="52"/>
  <c r="U24" i="52" s="1"/>
  <c r="U26" i="52" s="1"/>
  <c r="U27" i="52"/>
  <c r="AJ17" i="54"/>
  <c r="AJ6" i="55" s="1"/>
  <c r="AJ7" i="55" s="1"/>
  <c r="AH14" i="45" s="1"/>
  <c r="AK9" i="54"/>
  <c r="AI3" i="53"/>
  <c r="AJ9" i="52"/>
  <c r="AJ11" i="52" s="1"/>
  <c r="AI15" i="52"/>
  <c r="P82" i="59"/>
  <c r="N17" i="45"/>
  <c r="N11" i="45"/>
  <c r="S6" i="51"/>
  <c r="S27" i="45"/>
  <c r="U78" i="59" s="1"/>
  <c r="R22" i="53"/>
  <c r="O4" i="45" s="1"/>
  <c r="R20" i="53"/>
  <c r="R19" i="53" s="1"/>
  <c r="G22" i="53"/>
  <c r="D4" i="45" s="1"/>
  <c r="G20" i="53"/>
  <c r="G19" i="53"/>
  <c r="L9" i="52"/>
  <c r="L11" i="52" s="1"/>
  <c r="K3" i="53"/>
  <c r="K15" i="52"/>
  <c r="I8" i="53"/>
  <c r="I17" i="53"/>
  <c r="N2" i="74" l="1"/>
  <c r="M13" i="74"/>
  <c r="M22" i="74" s="1"/>
  <c r="BH6" i="53"/>
  <c r="BI14" i="52"/>
  <c r="BI4" i="53"/>
  <c r="BI15" i="53" s="1"/>
  <c r="AI27" i="52"/>
  <c r="AI18" i="52"/>
  <c r="AI24" i="52" s="1"/>
  <c r="AI26" i="52" s="1"/>
  <c r="K27" i="52"/>
  <c r="K28" i="52" s="1"/>
  <c r="K29" i="52" s="1"/>
  <c r="K18" i="52"/>
  <c r="K24" i="52" s="1"/>
  <c r="K26" i="52" s="1"/>
  <c r="Q82" i="59"/>
  <c r="O11" i="45"/>
  <c r="O17" i="45"/>
  <c r="N18" i="45"/>
  <c r="P79" i="59" s="1"/>
  <c r="AJ3" i="53"/>
  <c r="AJ15" i="52"/>
  <c r="AK9" i="52"/>
  <c r="AK11" i="52" s="1"/>
  <c r="M26" i="44"/>
  <c r="N26" i="44" s="1"/>
  <c r="M4" i="44"/>
  <c r="E45" i="46"/>
  <c r="E46" i="46"/>
  <c r="AB79" i="59"/>
  <c r="X24" i="49"/>
  <c r="Z20" i="45"/>
  <c r="Z22" i="45" s="1"/>
  <c r="G14" i="51"/>
  <c r="G20" i="51" s="1"/>
  <c r="G22" i="51" s="1"/>
  <c r="G15" i="51"/>
  <c r="AE25" i="45"/>
  <c r="AC27" i="49" s="1"/>
  <c r="AD9" i="44"/>
  <c r="M9" i="52"/>
  <c r="M11" i="52" s="1"/>
  <c r="L3" i="53"/>
  <c r="L15" i="52"/>
  <c r="AK17" i="54"/>
  <c r="AK6" i="55" s="1"/>
  <c r="AK7" i="55" s="1"/>
  <c r="AI14" i="45" s="1"/>
  <c r="AL9" i="54"/>
  <c r="AD78" i="59"/>
  <c r="Z30" i="49"/>
  <c r="AF20" i="49"/>
  <c r="K16" i="53"/>
  <c r="K5" i="53"/>
  <c r="F82" i="59"/>
  <c r="D11" i="45"/>
  <c r="N20" i="45"/>
  <c r="N22" i="45" s="1"/>
  <c r="AI16" i="53"/>
  <c r="AI5" i="53"/>
  <c r="AH17" i="53"/>
  <c r="AH8" i="53"/>
  <c r="AC27" i="45"/>
  <c r="AC15" i="44"/>
  <c r="K17" i="51"/>
  <c r="K39" i="49"/>
  <c r="K40" i="49" s="1"/>
  <c r="K23" i="44"/>
  <c r="N18" i="43"/>
  <c r="BS20" i="44"/>
  <c r="BT20" i="44" s="1"/>
  <c r="BU20" i="44" s="1"/>
  <c r="BV20" i="44" s="1"/>
  <c r="BW20" i="44" s="1"/>
  <c r="BX20" i="44" s="1"/>
  <c r="BY20" i="44" s="1"/>
  <c r="BZ20" i="44" s="1"/>
  <c r="CA20" i="44" s="1"/>
  <c r="CB20" i="44" s="1"/>
  <c r="CC20" i="44" s="1"/>
  <c r="CD20" i="44" s="1"/>
  <c r="U17" i="53"/>
  <c r="U8" i="53"/>
  <c r="AF20" i="53"/>
  <c r="AF19" i="53" s="1"/>
  <c r="AF22" i="53"/>
  <c r="AC4" i="45" s="1"/>
  <c r="X9" i="52"/>
  <c r="X11" i="52" s="1"/>
  <c r="W3" i="53"/>
  <c r="W15" i="52"/>
  <c r="F27" i="51"/>
  <c r="G28" i="45"/>
  <c r="I74" i="59" s="1"/>
  <c r="H20" i="53"/>
  <c r="H19" i="53" s="1"/>
  <c r="H22" i="53"/>
  <c r="E4" i="45" s="1"/>
  <c r="AB27" i="49"/>
  <c r="L36" i="47"/>
  <c r="L41" i="47" s="1"/>
  <c r="K24" i="44"/>
  <c r="V18" i="52"/>
  <c r="V24" i="52" s="1"/>
  <c r="V26" i="52" s="1"/>
  <c r="V27" i="52"/>
  <c r="AD21" i="44"/>
  <c r="AE19" i="44"/>
  <c r="J17" i="53"/>
  <c r="J8" i="53"/>
  <c r="I13" i="53"/>
  <c r="I10" i="53"/>
  <c r="U31" i="52"/>
  <c r="U32" i="52" s="1"/>
  <c r="U28" i="52"/>
  <c r="U29" i="52" s="1"/>
  <c r="AG10" i="53"/>
  <c r="AG13" i="53"/>
  <c r="AJ6" i="52"/>
  <c r="AK2" i="52"/>
  <c r="AD82" i="59"/>
  <c r="AA4" i="49"/>
  <c r="AA17" i="49" s="1"/>
  <c r="AB11" i="45"/>
  <c r="S22" i="53"/>
  <c r="P4" i="45" s="1"/>
  <c r="S20" i="53"/>
  <c r="S19" i="53" s="1"/>
  <c r="T13" i="53"/>
  <c r="T10" i="53"/>
  <c r="AH31" i="52"/>
  <c r="AH32" i="52" s="1"/>
  <c r="AH28" i="52"/>
  <c r="AH29" i="52" s="1"/>
  <c r="Q6" i="42"/>
  <c r="V16" i="53"/>
  <c r="V5" i="53"/>
  <c r="Y36" i="47"/>
  <c r="Y41" i="47" s="1"/>
  <c r="AI24" i="44"/>
  <c r="O2" i="74" l="1"/>
  <c r="N13" i="74"/>
  <c r="N22" i="74" s="1"/>
  <c r="BI6" i="53"/>
  <c r="BJ14" i="52"/>
  <c r="BJ4" i="53"/>
  <c r="BJ15" i="53" s="1"/>
  <c r="I20" i="53"/>
  <c r="I19" i="53" s="1"/>
  <c r="I22" i="53"/>
  <c r="F4" i="45" s="1"/>
  <c r="AL2" i="52"/>
  <c r="AK6" i="52"/>
  <c r="J10" i="53"/>
  <c r="J13" i="53"/>
  <c r="U10" i="53"/>
  <c r="U13" i="53"/>
  <c r="AD27" i="45"/>
  <c r="AD15" i="44"/>
  <c r="AI17" i="53"/>
  <c r="AI8" i="53"/>
  <c r="AG20" i="49"/>
  <c r="AF25" i="45"/>
  <c r="AD27" i="49" s="1"/>
  <c r="AE9" i="44"/>
  <c r="AJ16" i="53"/>
  <c r="AJ5" i="53"/>
  <c r="O18" i="45"/>
  <c r="Q79" i="59" s="1"/>
  <c r="AE21" i="44"/>
  <c r="AF19" i="44"/>
  <c r="Z36" i="47"/>
  <c r="Z41" i="47" s="1"/>
  <c r="AJ24" i="44"/>
  <c r="R82" i="59"/>
  <c r="P17" i="45"/>
  <c r="P11" i="45"/>
  <c r="V17" i="53"/>
  <c r="V8" i="53"/>
  <c r="T22" i="53"/>
  <c r="Q4" i="45" s="1"/>
  <c r="T20" i="53"/>
  <c r="T19" i="53" s="1"/>
  <c r="AB18" i="45"/>
  <c r="V31" i="52"/>
  <c r="V32" i="52" s="1"/>
  <c r="V28" i="52"/>
  <c r="V29" i="52" s="1"/>
  <c r="M36" i="47"/>
  <c r="M41" i="47" s="1"/>
  <c r="L24" i="44"/>
  <c r="G82" i="59"/>
  <c r="E11" i="45"/>
  <c r="W27" i="52"/>
  <c r="W18" i="52"/>
  <c r="W24" i="52" s="1"/>
  <c r="W26" i="52" s="1"/>
  <c r="K27" i="44"/>
  <c r="AE78" i="59"/>
  <c r="AA30" i="49"/>
  <c r="K17" i="53"/>
  <c r="K8" i="53"/>
  <c r="L27" i="52"/>
  <c r="L28" i="52" s="1"/>
  <c r="L29" i="52" s="1"/>
  <c r="L18" i="52"/>
  <c r="L24" i="52" s="1"/>
  <c r="L26" i="52" s="1"/>
  <c r="F45" i="46"/>
  <c r="F46" i="46"/>
  <c r="AI31" i="52"/>
  <c r="AI32" i="52" s="1"/>
  <c r="AI28" i="52"/>
  <c r="AI29" i="52" s="1"/>
  <c r="W16" i="53"/>
  <c r="W5" i="53"/>
  <c r="AE82" i="59"/>
  <c r="AB4" i="49"/>
  <c r="AB17" i="49" s="1"/>
  <c r="AC11" i="45"/>
  <c r="O18" i="43"/>
  <c r="CE20" i="44"/>
  <c r="CF20" i="44" s="1"/>
  <c r="CG20" i="44" s="1"/>
  <c r="CH20" i="44" s="1"/>
  <c r="CI20" i="44" s="1"/>
  <c r="CJ20" i="44" s="1"/>
  <c r="CK20" i="44" s="1"/>
  <c r="CL20" i="44" s="1"/>
  <c r="CM20" i="44" s="1"/>
  <c r="CN20" i="44" s="1"/>
  <c r="CO20" i="44" s="1"/>
  <c r="CP20" i="44" s="1"/>
  <c r="L17" i="51"/>
  <c r="L39" i="49"/>
  <c r="L40" i="49" s="1"/>
  <c r="L23" i="44"/>
  <c r="L27" i="44" s="1"/>
  <c r="AH10" i="53"/>
  <c r="AH13" i="53"/>
  <c r="L16" i="53"/>
  <c r="L5" i="53"/>
  <c r="G25" i="51"/>
  <c r="G24" i="51"/>
  <c r="H4" i="51"/>
  <c r="G7" i="44"/>
  <c r="G30" i="44" s="1"/>
  <c r="N4" i="44"/>
  <c r="AK3" i="53"/>
  <c r="AK15" i="52"/>
  <c r="AL9" i="52"/>
  <c r="AL11" i="52" s="1"/>
  <c r="AG22" i="53"/>
  <c r="AD4" i="45" s="1"/>
  <c r="AG20" i="53"/>
  <c r="AG19" i="53" s="1"/>
  <c r="X3" i="53"/>
  <c r="Y9" i="52"/>
  <c r="Y11" i="52" s="1"/>
  <c r="X15" i="52"/>
  <c r="D18" i="45"/>
  <c r="C26" i="44"/>
  <c r="D26" i="44" s="1"/>
  <c r="AL17" i="54"/>
  <c r="AL6" i="55" s="1"/>
  <c r="AL7" i="55" s="1"/>
  <c r="AJ14" i="45" s="1"/>
  <c r="AM9" i="54"/>
  <c r="M3" i="53"/>
  <c r="M15" i="52"/>
  <c r="N9" i="52"/>
  <c r="N11" i="52" s="1"/>
  <c r="AJ27" i="52"/>
  <c r="AJ18" i="52"/>
  <c r="AJ24" i="52" s="1"/>
  <c r="AJ26" i="52" s="1"/>
  <c r="O20" i="45"/>
  <c r="O22" i="45" s="1"/>
  <c r="O13" i="74" l="1"/>
  <c r="O22" i="74" s="1"/>
  <c r="P2" i="74"/>
  <c r="P13" i="74" s="1"/>
  <c r="P22" i="74" s="1"/>
  <c r="BJ6" i="53"/>
  <c r="BK14" i="52"/>
  <c r="BK4" i="53"/>
  <c r="BK15" i="53" s="1"/>
  <c r="CQ20" i="44"/>
  <c r="CR20" i="44" s="1"/>
  <c r="CS20" i="44" s="1"/>
  <c r="CT20" i="44" s="1"/>
  <c r="CU20" i="44" s="1"/>
  <c r="CV20" i="44" s="1"/>
  <c r="CW20" i="44" s="1"/>
  <c r="CX20" i="44" s="1"/>
  <c r="CY20" i="44" s="1"/>
  <c r="CZ20" i="44" s="1"/>
  <c r="DA20" i="44" s="1"/>
  <c r="DB20" i="44" s="1"/>
  <c r="Q18" i="43" s="1"/>
  <c r="P18" i="43"/>
  <c r="K13" i="53"/>
  <c r="K10" i="53"/>
  <c r="P18" i="45"/>
  <c r="R79" i="59" s="1"/>
  <c r="AA36" i="47"/>
  <c r="AA41" i="47" s="1"/>
  <c r="AK24" i="44"/>
  <c r="O26" i="44"/>
  <c r="AI13" i="53"/>
  <c r="AI10" i="53"/>
  <c r="U19" i="53"/>
  <c r="U20" i="53"/>
  <c r="U22" i="53"/>
  <c r="R4" i="45" s="1"/>
  <c r="W17" i="53"/>
  <c r="W8" i="53"/>
  <c r="S82" i="59"/>
  <c r="Q17" i="45"/>
  <c r="Q11" i="45"/>
  <c r="P20" i="45"/>
  <c r="P22" i="45" s="1"/>
  <c r="AF21" i="44"/>
  <c r="AG19" i="44"/>
  <c r="AJ31" i="52"/>
  <c r="AJ32" i="52" s="1"/>
  <c r="AJ28" i="52"/>
  <c r="AJ29" i="52" s="1"/>
  <c r="AH20" i="49"/>
  <c r="AK5" i="53"/>
  <c r="AK16" i="53"/>
  <c r="L17" i="53"/>
  <c r="L8" i="53"/>
  <c r="AF82" i="59"/>
  <c r="AC4" i="49"/>
  <c r="AC17" i="49" s="1"/>
  <c r="AD11" i="45"/>
  <c r="O4" i="44"/>
  <c r="H14" i="51"/>
  <c r="H20" i="51" s="1"/>
  <c r="H22" i="51" s="1"/>
  <c r="H15" i="51"/>
  <c r="M17" i="51"/>
  <c r="M39" i="49"/>
  <c r="M40" i="49" s="1"/>
  <c r="M23" i="44"/>
  <c r="M27" i="44" s="1"/>
  <c r="AC18" i="45"/>
  <c r="W31" i="52"/>
  <c r="W32" i="52" s="1"/>
  <c r="W28" i="52"/>
  <c r="W29" i="52" s="1"/>
  <c r="N36" i="47"/>
  <c r="N41" i="47" s="1"/>
  <c r="M24" i="44"/>
  <c r="AD79" i="59"/>
  <c r="Z24" i="49"/>
  <c r="AB20" i="45"/>
  <c r="AB22" i="45" s="1"/>
  <c r="V10" i="53"/>
  <c r="V13" i="53"/>
  <c r="AJ17" i="53"/>
  <c r="AJ8" i="53"/>
  <c r="AG25" i="45"/>
  <c r="AE27" i="49" s="1"/>
  <c r="AF9" i="44"/>
  <c r="AE27" i="45"/>
  <c r="AE15" i="44"/>
  <c r="AL6" i="52"/>
  <c r="AM2" i="52"/>
  <c r="AN9" i="54"/>
  <c r="AM17" i="54"/>
  <c r="AM6" i="55" s="1"/>
  <c r="AM7" i="55" s="1"/>
  <c r="AK14" i="45" s="1"/>
  <c r="F79" i="59"/>
  <c r="F87" i="59" s="1"/>
  <c r="D20" i="45"/>
  <c r="D22" i="45" s="1"/>
  <c r="D29" i="45" s="1"/>
  <c r="AK18" i="52"/>
  <c r="AK24" i="52" s="1"/>
  <c r="AK26" i="52" s="1"/>
  <c r="AK27" i="52"/>
  <c r="G27" i="51"/>
  <c r="H28" i="45"/>
  <c r="J74" i="59" s="1"/>
  <c r="N3" i="53"/>
  <c r="N15" i="52"/>
  <c r="X27" i="52"/>
  <c r="X18" i="52"/>
  <c r="X24" i="52" s="1"/>
  <c r="X26" i="52" s="1"/>
  <c r="M18" i="52"/>
  <c r="M24" i="52" s="1"/>
  <c r="M26" i="52" s="1"/>
  <c r="M27" i="52"/>
  <c r="M28" i="52" s="1"/>
  <c r="M29" i="52" s="1"/>
  <c r="Y3" i="53"/>
  <c r="Z9" i="52"/>
  <c r="Z11" i="52" s="1"/>
  <c r="Y15" i="52"/>
  <c r="M5" i="53"/>
  <c r="M16" i="53"/>
  <c r="X16" i="53"/>
  <c r="X5" i="53"/>
  <c r="AL15" i="52"/>
  <c r="AM9" i="52"/>
  <c r="AM11" i="52" s="1"/>
  <c r="AL3" i="53"/>
  <c r="AH22" i="53"/>
  <c r="AE4" i="45" s="1"/>
  <c r="AH20" i="53"/>
  <c r="AH19" i="53"/>
  <c r="G45" i="46"/>
  <c r="G49" i="46"/>
  <c r="G46" i="46"/>
  <c r="E18" i="45"/>
  <c r="AF78" i="59"/>
  <c r="AB30" i="49"/>
  <c r="J22" i="53"/>
  <c r="G4" i="45" s="1"/>
  <c r="J20" i="53"/>
  <c r="J19" i="53" s="1"/>
  <c r="H82" i="59"/>
  <c r="F11" i="45"/>
  <c r="BK6" i="53" l="1"/>
  <c r="BL4" i="53"/>
  <c r="BL15" i="53" s="1"/>
  <c r="BL14" i="52"/>
  <c r="F18" i="45"/>
  <c r="G79" i="59"/>
  <c r="G87" i="59" s="1"/>
  <c r="E20" i="45"/>
  <c r="E22" i="45" s="1"/>
  <c r="E29" i="45" s="1"/>
  <c r="AH25" i="45"/>
  <c r="AF27" i="49" s="1"/>
  <c r="AG9" i="44"/>
  <c r="O36" i="47"/>
  <c r="O41" i="47" s="1"/>
  <c r="O24" i="44" s="1"/>
  <c r="N24" i="44"/>
  <c r="AM3" i="53"/>
  <c r="AN9" i="52"/>
  <c r="AN11" i="52" s="1"/>
  <c r="AM15" i="52"/>
  <c r="AJ7" i="45"/>
  <c r="Y16" i="53"/>
  <c r="Y5" i="53"/>
  <c r="X31" i="52"/>
  <c r="X32" i="52" s="1"/>
  <c r="X28" i="52"/>
  <c r="X29" i="52" s="1"/>
  <c r="H45" i="46"/>
  <c r="H49" i="46"/>
  <c r="H46" i="46"/>
  <c r="AG82" i="59"/>
  <c r="AD4" i="49"/>
  <c r="AD17" i="49" s="1"/>
  <c r="AE11" i="45"/>
  <c r="X17" i="53"/>
  <c r="X8" i="53"/>
  <c r="Y18" i="52"/>
  <c r="Y24" i="52" s="1"/>
  <c r="Y26" i="52" s="1"/>
  <c r="Y27" i="52"/>
  <c r="N16" i="53"/>
  <c r="N5" i="53"/>
  <c r="AN17" i="54"/>
  <c r="AN6" i="55" s="1"/>
  <c r="AN7" i="55" s="1"/>
  <c r="AL14" i="45" s="1"/>
  <c r="AO9" i="54"/>
  <c r="AG78" i="59"/>
  <c r="AC30" i="49"/>
  <c r="P4" i="44"/>
  <c r="E26" i="44"/>
  <c r="AK17" i="53"/>
  <c r="AK8" i="53"/>
  <c r="P26" i="44"/>
  <c r="D31" i="45"/>
  <c r="C6" i="44" s="1"/>
  <c r="D32" i="45"/>
  <c r="AE79" i="59"/>
  <c r="AA24" i="49"/>
  <c r="AC20" i="45"/>
  <c r="AC22" i="45" s="1"/>
  <c r="H24" i="51"/>
  <c r="H25" i="51"/>
  <c r="H27" i="51" s="1"/>
  <c r="I4" i="51"/>
  <c r="H7" i="44"/>
  <c r="H30" i="44" s="1"/>
  <c r="AD18" i="45"/>
  <c r="L13" i="53"/>
  <c r="L10" i="53"/>
  <c r="W13" i="53"/>
  <c r="W10" i="53"/>
  <c r="Q18" i="45"/>
  <c r="S79" i="59" s="1"/>
  <c r="AB36" i="47"/>
  <c r="AB41" i="47" s="1"/>
  <c r="AL24" i="44"/>
  <c r="I82" i="59"/>
  <c r="G11" i="45"/>
  <c r="AL16" i="53"/>
  <c r="AL5" i="53"/>
  <c r="Z15" i="52"/>
  <c r="Z3" i="53"/>
  <c r="AM6" i="52"/>
  <c r="AN2" i="52"/>
  <c r="G50" i="46"/>
  <c r="G24" i="46"/>
  <c r="AL18" i="52"/>
  <c r="AL24" i="52" s="1"/>
  <c r="AL26" i="52" s="1"/>
  <c r="AL27" i="52"/>
  <c r="M17" i="53"/>
  <c r="M8" i="53"/>
  <c r="N18" i="52"/>
  <c r="N24" i="52" s="1"/>
  <c r="N26" i="52" s="1"/>
  <c r="N27" i="52"/>
  <c r="N28" i="52" s="1"/>
  <c r="N29" i="52" s="1"/>
  <c r="AK31" i="52"/>
  <c r="AK32" i="52" s="1"/>
  <c r="AK28" i="52"/>
  <c r="AK29" i="52" s="1"/>
  <c r="AI20" i="49"/>
  <c r="AF27" i="45"/>
  <c r="AF15" i="44"/>
  <c r="AJ13" i="53"/>
  <c r="AJ10" i="53"/>
  <c r="V22" i="53"/>
  <c r="S4" i="45" s="1"/>
  <c r="V20" i="53"/>
  <c r="V19" i="53" s="1"/>
  <c r="N17" i="51"/>
  <c r="N39" i="49"/>
  <c r="N40" i="49" s="1"/>
  <c r="N23" i="44"/>
  <c r="N27" i="44" s="1"/>
  <c r="AG21" i="44"/>
  <c r="AH19" i="44"/>
  <c r="T82" i="59"/>
  <c r="R17" i="45"/>
  <c r="R11" i="45"/>
  <c r="AI22" i="53"/>
  <c r="AF4" i="45" s="1"/>
  <c r="AI20" i="53"/>
  <c r="AI19" i="53" s="1"/>
  <c r="K22" i="53"/>
  <c r="H4" i="45" s="1"/>
  <c r="K20" i="53"/>
  <c r="K19" i="53" s="1"/>
  <c r="BL6" i="53" l="1"/>
  <c r="BM4" i="53"/>
  <c r="BM15" i="53" s="1"/>
  <c r="BM14" i="52"/>
  <c r="R18" i="45"/>
  <c r="T79" i="59" s="1"/>
  <c r="AL31" i="52"/>
  <c r="AL32" i="52" s="1"/>
  <c r="AL28" i="52"/>
  <c r="AL29" i="52" s="1"/>
  <c r="Z18" i="52"/>
  <c r="Z24" i="52" s="1"/>
  <c r="Z26" i="52" s="1"/>
  <c r="Z27" i="52"/>
  <c r="AF79" i="59"/>
  <c r="AB24" i="49"/>
  <c r="AD20" i="45"/>
  <c r="AD22" i="45" s="1"/>
  <c r="F26" i="44"/>
  <c r="AM27" i="52"/>
  <c r="AM18" i="52"/>
  <c r="AM24" i="52" s="1"/>
  <c r="AM26" i="52" s="1"/>
  <c r="J82" i="59"/>
  <c r="H11" i="45"/>
  <c r="AJ22" i="53"/>
  <c r="AG4" i="45" s="1"/>
  <c r="AJ20" i="53"/>
  <c r="AJ19" i="53" s="1"/>
  <c r="AN6" i="52"/>
  <c r="AO2" i="52"/>
  <c r="AL17" i="53"/>
  <c r="AL8" i="53"/>
  <c r="W22" i="53"/>
  <c r="T4" i="45" s="1"/>
  <c r="W20" i="53"/>
  <c r="W19" i="53" s="1"/>
  <c r="AO17" i="54"/>
  <c r="AO6" i="55" s="1"/>
  <c r="AO7" i="55" s="1"/>
  <c r="AM14" i="45" s="1"/>
  <c r="AP9" i="54"/>
  <c r="Y31" i="52"/>
  <c r="Y32" i="52" s="1"/>
  <c r="Y28" i="52"/>
  <c r="Y29" i="52" s="1"/>
  <c r="AE18" i="45"/>
  <c r="H50" i="46"/>
  <c r="H24" i="46"/>
  <c r="Y8" i="53"/>
  <c r="Y17" i="53"/>
  <c r="AN3" i="53"/>
  <c r="AN15" i="52"/>
  <c r="AO9" i="52"/>
  <c r="AO11" i="52" s="1"/>
  <c r="AK7" i="45"/>
  <c r="AI25" i="45"/>
  <c r="AG27" i="49" s="1"/>
  <c r="AH9" i="44"/>
  <c r="H79" i="59"/>
  <c r="H87" i="59" s="1"/>
  <c r="F20" i="45"/>
  <c r="F22" i="45" s="1"/>
  <c r="F29" i="45" s="1"/>
  <c r="K17" i="43"/>
  <c r="AH21" i="44"/>
  <c r="AI19" i="44"/>
  <c r="O17" i="51"/>
  <c r="O39" i="49"/>
  <c r="O40" i="49" s="1"/>
  <c r="O23" i="44"/>
  <c r="O27" i="44" s="1"/>
  <c r="G8" i="50"/>
  <c r="G10" i="50" s="1"/>
  <c r="G11" i="50" s="1"/>
  <c r="G25" i="46"/>
  <c r="AC36" i="47"/>
  <c r="AC41" i="47" s="1"/>
  <c r="AM24" i="44"/>
  <c r="C16" i="44"/>
  <c r="C29" i="44" s="1"/>
  <c r="AK10" i="53"/>
  <c r="AK13" i="53"/>
  <c r="Q4" i="44"/>
  <c r="AJ20" i="49"/>
  <c r="I45" i="46"/>
  <c r="I49" i="46"/>
  <c r="I46" i="46"/>
  <c r="AM16" i="53"/>
  <c r="AM5" i="53"/>
  <c r="AG27" i="45"/>
  <c r="AG15" i="44"/>
  <c r="M13" i="53"/>
  <c r="M10" i="53"/>
  <c r="AH82" i="59"/>
  <c r="AE4" i="49"/>
  <c r="AE17" i="49" s="1"/>
  <c r="AF11" i="45"/>
  <c r="Q20" i="45"/>
  <c r="Q22" i="45" s="1"/>
  <c r="U82" i="59"/>
  <c r="S11" i="45"/>
  <c r="S17" i="45"/>
  <c r="AH78" i="59"/>
  <c r="AD30" i="49"/>
  <c r="Z16" i="53"/>
  <c r="Z5" i="53"/>
  <c r="G18" i="45"/>
  <c r="L22" i="53"/>
  <c r="I4" i="45" s="1"/>
  <c r="L20" i="53"/>
  <c r="L19" i="53" s="1"/>
  <c r="I14" i="51"/>
  <c r="I20" i="51" s="1"/>
  <c r="I22" i="51" s="1"/>
  <c r="I15" i="51"/>
  <c r="N17" i="53"/>
  <c r="N8" i="53"/>
  <c r="X10" i="53"/>
  <c r="X13" i="53"/>
  <c r="AL84" i="59"/>
  <c r="AH7" i="49"/>
  <c r="AJ16" i="45"/>
  <c r="E32" i="45"/>
  <c r="E31" i="45"/>
  <c r="D6" i="44" s="1"/>
  <c r="R20" i="45" l="1"/>
  <c r="R22" i="45" s="1"/>
  <c r="BM6" i="53"/>
  <c r="BN4" i="53"/>
  <c r="BN15" i="53" s="1"/>
  <c r="BN14" i="52"/>
  <c r="D16" i="44"/>
  <c r="D29" i="44" s="1"/>
  <c r="I79" i="59"/>
  <c r="I87" i="59" s="1"/>
  <c r="G20" i="45"/>
  <c r="G22" i="45" s="1"/>
  <c r="G29" i="45" s="1"/>
  <c r="AM17" i="53"/>
  <c r="AM8" i="53"/>
  <c r="J45" i="46"/>
  <c r="J49" i="46"/>
  <c r="J46" i="46"/>
  <c r="F32" i="45"/>
  <c r="F31" i="45"/>
  <c r="E6" i="44" s="1"/>
  <c r="AM84" i="59"/>
  <c r="AI7" i="49"/>
  <c r="AK16" i="45"/>
  <c r="AP17" i="54"/>
  <c r="AP6" i="55" s="1"/>
  <c r="AP7" i="55" s="1"/>
  <c r="AN14" i="45" s="1"/>
  <c r="AQ9" i="54"/>
  <c r="V82" i="59"/>
  <c r="T17" i="45"/>
  <c r="T11" i="45"/>
  <c r="AI82" i="59"/>
  <c r="AF4" i="49"/>
  <c r="AF17" i="49" s="1"/>
  <c r="AG11" i="45"/>
  <c r="AI78" i="59"/>
  <c r="AE30" i="49"/>
  <c r="AH22" i="49"/>
  <c r="X20" i="53"/>
  <c r="X22" i="53"/>
  <c r="U4" i="45" s="1"/>
  <c r="X19" i="53"/>
  <c r="Z17" i="53"/>
  <c r="Z8" i="53"/>
  <c r="AF18" i="45"/>
  <c r="M20" i="53"/>
  <c r="M19" i="53" s="1"/>
  <c r="M22" i="53"/>
  <c r="J4" i="45" s="1"/>
  <c r="R4" i="44"/>
  <c r="AD36" i="47"/>
  <c r="AD41" i="47" s="1"/>
  <c r="AN24" i="44"/>
  <c r="AI21" i="44"/>
  <c r="AJ19" i="44"/>
  <c r="AO3" i="53"/>
  <c r="AO15" i="52"/>
  <c r="AP9" i="52"/>
  <c r="AP11" i="52" s="1"/>
  <c r="AL7" i="45"/>
  <c r="Y13" i="53"/>
  <c r="Y10" i="53"/>
  <c r="AG79" i="59"/>
  <c r="AC24" i="49"/>
  <c r="AE20" i="45"/>
  <c r="AE22" i="45" s="1"/>
  <c r="AK20" i="49"/>
  <c r="AL10" i="53"/>
  <c r="AL13" i="53"/>
  <c r="Z31" i="52"/>
  <c r="Z32" i="52" s="1"/>
  <c r="Z28" i="52"/>
  <c r="Z29" i="52" s="1"/>
  <c r="I24" i="51"/>
  <c r="I25" i="51" s="1"/>
  <c r="I27" i="51" s="1"/>
  <c r="J4" i="51"/>
  <c r="I7" i="44"/>
  <c r="I30" i="44" s="1"/>
  <c r="K82" i="59"/>
  <c r="I11" i="45"/>
  <c r="R26" i="44"/>
  <c r="S26" i="44" s="1"/>
  <c r="S18" i="45"/>
  <c r="U79" i="59" s="1"/>
  <c r="AH27" i="45"/>
  <c r="AH15" i="44"/>
  <c r="G18" i="50"/>
  <c r="G20" i="50" s="1"/>
  <c r="G26" i="50" s="1"/>
  <c r="G26" i="46"/>
  <c r="G23" i="42"/>
  <c r="G25" i="42" s="1"/>
  <c r="P17" i="51"/>
  <c r="P39" i="49"/>
  <c r="P40" i="49" s="1"/>
  <c r="P23" i="44"/>
  <c r="P27" i="44" s="1"/>
  <c r="AJ25" i="45"/>
  <c r="AH27" i="49" s="1"/>
  <c r="AI9" i="44"/>
  <c r="K9" i="43"/>
  <c r="AN27" i="52"/>
  <c r="AN18" i="52"/>
  <c r="AN24" i="52" s="1"/>
  <c r="AN26" i="52" s="1"/>
  <c r="H8" i="50"/>
  <c r="H10" i="50" s="1"/>
  <c r="H11" i="50" s="1"/>
  <c r="H32" i="50" s="1"/>
  <c r="H33" i="50" s="1"/>
  <c r="H39" i="50" s="1"/>
  <c r="H25" i="46"/>
  <c r="AM31" i="52"/>
  <c r="AM32" i="52" s="1"/>
  <c r="AM28" i="52"/>
  <c r="AM29" i="52" s="1"/>
  <c r="N13" i="53"/>
  <c r="N10" i="53"/>
  <c r="I50" i="46"/>
  <c r="I24" i="46"/>
  <c r="AK20" i="53"/>
  <c r="AK19" i="53" s="1"/>
  <c r="AK22" i="53"/>
  <c r="AH4" i="45" s="1"/>
  <c r="G32" i="50"/>
  <c r="G33" i="50" s="1"/>
  <c r="G39" i="50" s="1"/>
  <c r="K12" i="42"/>
  <c r="K29" i="43"/>
  <c r="K30" i="43" s="1"/>
  <c r="K3" i="50" s="1"/>
  <c r="K5" i="50" s="1"/>
  <c r="K23" i="50" s="1"/>
  <c r="K25" i="50" s="1"/>
  <c r="K19" i="43"/>
  <c r="AN16" i="53"/>
  <c r="AN5" i="53"/>
  <c r="AO6" i="52"/>
  <c r="AP2" i="52"/>
  <c r="H18" i="45"/>
  <c r="G26" i="44"/>
  <c r="H26" i="44" s="1"/>
  <c r="BN6" i="53" l="1"/>
  <c r="BO4" i="53"/>
  <c r="BO15" i="53" s="1"/>
  <c r="BO14" i="52"/>
  <c r="E16" i="44"/>
  <c r="E29" i="44" s="1"/>
  <c r="N22" i="53"/>
  <c r="K4" i="45" s="1"/>
  <c r="N20" i="53"/>
  <c r="N19" i="53" s="1"/>
  <c r="AK25" i="45"/>
  <c r="AI27" i="49" s="1"/>
  <c r="AJ9" i="44"/>
  <c r="Q17" i="51"/>
  <c r="Q39" i="49"/>
  <c r="Q40" i="49" s="1"/>
  <c r="Q23" i="44"/>
  <c r="Q27" i="44" s="1"/>
  <c r="AO18" i="52"/>
  <c r="AO24" i="52" s="1"/>
  <c r="AO26" i="52" s="1"/>
  <c r="AO27" i="52"/>
  <c r="AH79" i="59"/>
  <c r="AD24" i="49"/>
  <c r="AF20" i="45"/>
  <c r="AF22" i="45" s="1"/>
  <c r="AR9" i="54"/>
  <c r="AQ17" i="54"/>
  <c r="AQ6" i="55" s="1"/>
  <c r="AQ7" i="55" s="1"/>
  <c r="AO14" i="45" s="1"/>
  <c r="AM13" i="53"/>
  <c r="AM10" i="53"/>
  <c r="AN17" i="53"/>
  <c r="AN8" i="53"/>
  <c r="AL22" i="53"/>
  <c r="AI4" i="45" s="1"/>
  <c r="AL20" i="53"/>
  <c r="AL19" i="53" s="1"/>
  <c r="Y20" i="53"/>
  <c r="Y19" i="53" s="1"/>
  <c r="Y22" i="53"/>
  <c r="V4" i="45" s="1"/>
  <c r="AO16" i="53"/>
  <c r="AO5" i="53"/>
  <c r="AE36" i="47"/>
  <c r="AE41" i="47" s="1"/>
  <c r="AO24" i="44"/>
  <c r="L82" i="59"/>
  <c r="J11" i="45"/>
  <c r="S20" i="45"/>
  <c r="S22" i="45" s="1"/>
  <c r="W82" i="59"/>
  <c r="U17" i="45"/>
  <c r="U11" i="45"/>
  <c r="T18" i="45"/>
  <c r="V79" i="59" s="1"/>
  <c r="AL20" i="49"/>
  <c r="AP6" i="52"/>
  <c r="AQ2" i="52"/>
  <c r="K30" i="45"/>
  <c r="I8" i="50"/>
  <c r="I10" i="50" s="1"/>
  <c r="I11" i="50" s="1"/>
  <c r="I32" i="50" s="1"/>
  <c r="I33" i="50" s="1"/>
  <c r="I39" i="50" s="1"/>
  <c r="I25" i="46"/>
  <c r="H18" i="50"/>
  <c r="H20" i="50" s="1"/>
  <c r="H26" i="50" s="1"/>
  <c r="H26" i="46"/>
  <c r="H23" i="42"/>
  <c r="H25" i="42" s="1"/>
  <c r="AJ82" i="59"/>
  <c r="AG4" i="49"/>
  <c r="AG17" i="49" s="1"/>
  <c r="AH11" i="45"/>
  <c r="AI27" i="45"/>
  <c r="K13" i="43"/>
  <c r="K8" i="42" s="1"/>
  <c r="AI15" i="44"/>
  <c r="K11" i="43"/>
  <c r="J79" i="59"/>
  <c r="J87" i="59" s="1"/>
  <c r="H20" i="45"/>
  <c r="H22" i="45" s="1"/>
  <c r="H29" i="45" s="1"/>
  <c r="AN31" i="52"/>
  <c r="AN32" i="52" s="1"/>
  <c r="AN28" i="52"/>
  <c r="AN29" i="52" s="1"/>
  <c r="AJ78" i="59"/>
  <c r="AF30" i="49"/>
  <c r="T26" i="44"/>
  <c r="J15" i="51"/>
  <c r="J14" i="51"/>
  <c r="J20" i="51" s="1"/>
  <c r="J22" i="51" s="1"/>
  <c r="AN84" i="59"/>
  <c r="AJ7" i="49"/>
  <c r="AL16" i="45"/>
  <c r="AJ21" i="44"/>
  <c r="AK19" i="44"/>
  <c r="S4" i="44"/>
  <c r="Z10" i="53"/>
  <c r="Z13" i="53"/>
  <c r="AG18" i="45"/>
  <c r="T20" i="45"/>
  <c r="T22" i="45" s="1"/>
  <c r="AI22" i="49"/>
  <c r="J50" i="46"/>
  <c r="J24" i="46"/>
  <c r="I18" i="45"/>
  <c r="AP15" i="52"/>
  <c r="AQ9" i="52"/>
  <c r="AQ11" i="52" s="1"/>
  <c r="AP3" i="53"/>
  <c r="AM7" i="45"/>
  <c r="G31" i="45"/>
  <c r="F6" i="44" s="1"/>
  <c r="G32" i="45"/>
  <c r="BO6" i="53" l="1"/>
  <c r="BP14" i="52"/>
  <c r="BP4" i="53"/>
  <c r="BP15" i="53" s="1"/>
  <c r="F16" i="44"/>
  <c r="F29" i="44" s="1"/>
  <c r="AP18" i="52"/>
  <c r="AP24" i="52" s="1"/>
  <c r="AP26" i="52" s="1"/>
  <c r="AP27" i="52"/>
  <c r="AP16" i="53"/>
  <c r="AP5" i="53"/>
  <c r="AI79" i="59"/>
  <c r="AE24" i="49"/>
  <c r="AG20" i="45"/>
  <c r="AG22" i="45" s="1"/>
  <c r="T4" i="44"/>
  <c r="AJ22" i="49"/>
  <c r="H31" i="45"/>
  <c r="G6" i="44" s="1"/>
  <c r="H32" i="45"/>
  <c r="X82" i="59"/>
  <c r="V17" i="45"/>
  <c r="V11" i="45"/>
  <c r="U26" i="44" s="1"/>
  <c r="AN10" i="53"/>
  <c r="AN13" i="53"/>
  <c r="AO31" i="52"/>
  <c r="AO32" i="52" s="1"/>
  <c r="AO28" i="52"/>
  <c r="AO29" i="52" s="1"/>
  <c r="AL25" i="45"/>
  <c r="AJ27" i="49" s="1"/>
  <c r="AK9" i="44"/>
  <c r="M82" i="59"/>
  <c r="K11" i="45"/>
  <c r="W30" i="45"/>
  <c r="J8" i="50"/>
  <c r="J10" i="50" s="1"/>
  <c r="J11" i="50" s="1"/>
  <c r="J25" i="46"/>
  <c r="AQ3" i="53"/>
  <c r="AR9" i="52"/>
  <c r="AR11" i="52" s="1"/>
  <c r="AQ15" i="52"/>
  <c r="AN7" i="45"/>
  <c r="K79" i="59"/>
  <c r="K87" i="59" s="1"/>
  <c r="I20" i="45"/>
  <c r="I22" i="45" s="1"/>
  <c r="I29" i="45" s="1"/>
  <c r="Z22" i="53"/>
  <c r="W4" i="45" s="1"/>
  <c r="Z20" i="53"/>
  <c r="Z19" i="53"/>
  <c r="AK21" i="44"/>
  <c r="AL19" i="44"/>
  <c r="J25" i="51"/>
  <c r="J27" i="51" s="1"/>
  <c r="K4" i="51"/>
  <c r="J24" i="51"/>
  <c r="J7" i="44"/>
  <c r="AK78" i="59"/>
  <c r="AG30" i="49"/>
  <c r="AQ6" i="52"/>
  <c r="AR2" i="52"/>
  <c r="AF36" i="47"/>
  <c r="AF41" i="47" s="1"/>
  <c r="AP24" i="44"/>
  <c r="AM22" i="53"/>
  <c r="AJ4" i="45" s="1"/>
  <c r="AM20" i="53"/>
  <c r="AM19" i="53" s="1"/>
  <c r="I18" i="50"/>
  <c r="I20" i="50" s="1"/>
  <c r="I26" i="50" s="1"/>
  <c r="I26" i="46"/>
  <c r="I23" i="42"/>
  <c r="I25" i="42" s="1"/>
  <c r="U18" i="45"/>
  <c r="W79" i="59" s="1"/>
  <c r="J18" i="45"/>
  <c r="AO8" i="53"/>
  <c r="AO17" i="53"/>
  <c r="AK82" i="59"/>
  <c r="AH4" i="49"/>
  <c r="AI17" i="45"/>
  <c r="AI5" i="45"/>
  <c r="AI11" i="45" s="1"/>
  <c r="I26" i="44"/>
  <c r="AM20" i="49"/>
  <c r="R17" i="51"/>
  <c r="R39" i="49"/>
  <c r="R40" i="49" s="1"/>
  <c r="R23" i="44"/>
  <c r="R27" i="44" s="1"/>
  <c r="AO84" i="59"/>
  <c r="AK7" i="49"/>
  <c r="AM16" i="45"/>
  <c r="AJ27" i="45"/>
  <c r="AJ15" i="44"/>
  <c r="AH18" i="45"/>
  <c r="AR17" i="54"/>
  <c r="AR6" i="55" s="1"/>
  <c r="AR7" i="55" s="1"/>
  <c r="AP14" i="45" s="1"/>
  <c r="AS9" i="54"/>
  <c r="BP6" i="53" l="1"/>
  <c r="BQ14" i="52"/>
  <c r="BQ4" i="53"/>
  <c r="BQ15" i="53" s="1"/>
  <c r="G16" i="44"/>
  <c r="G29" i="44" s="1"/>
  <c r="AS17" i="54"/>
  <c r="AS6" i="55" s="1"/>
  <c r="AS7" i="55" s="1"/>
  <c r="AQ14" i="45" s="1"/>
  <c r="AT9" i="54"/>
  <c r="AN20" i="49"/>
  <c r="S17" i="51"/>
  <c r="S39" i="49"/>
  <c r="S40" i="49" s="1"/>
  <c r="S23" i="44"/>
  <c r="S27" i="44" s="1"/>
  <c r="AI18" i="45"/>
  <c r="AK27" i="45"/>
  <c r="AK15" i="44"/>
  <c r="L79" i="59"/>
  <c r="L87" i="59" s="1"/>
  <c r="J20" i="45"/>
  <c r="J22" i="45" s="1"/>
  <c r="J29" i="45" s="1"/>
  <c r="AL21" i="44"/>
  <c r="AM19" i="44"/>
  <c r="Y82" i="59"/>
  <c r="V4" i="49"/>
  <c r="W11" i="45"/>
  <c r="W17" i="45"/>
  <c r="AP84" i="59"/>
  <c r="AL7" i="49"/>
  <c r="AN16" i="45"/>
  <c r="J18" i="50"/>
  <c r="J26" i="46"/>
  <c r="J23" i="42"/>
  <c r="J25" i="42" s="1"/>
  <c r="AK22" i="49"/>
  <c r="AO13" i="53"/>
  <c r="AO10" i="53"/>
  <c r="U20" i="45"/>
  <c r="U22" i="45" s="1"/>
  <c r="AL78" i="59"/>
  <c r="AH30" i="49"/>
  <c r="AH5" i="49"/>
  <c r="K4" i="46"/>
  <c r="AG36" i="47"/>
  <c r="AG41" i="47" s="1"/>
  <c r="AR24" i="44" s="1"/>
  <c r="AQ24" i="44"/>
  <c r="AR6" i="52"/>
  <c r="AS2" i="52"/>
  <c r="K14" i="51"/>
  <c r="K15" i="51"/>
  <c r="AQ27" i="52"/>
  <c r="AQ18" i="52"/>
  <c r="AQ24" i="52" s="1"/>
  <c r="AQ26" i="52" s="1"/>
  <c r="J32" i="50"/>
  <c r="AM25" i="45"/>
  <c r="AK27" i="49" s="1"/>
  <c r="AL9" i="44"/>
  <c r="AN20" i="53"/>
  <c r="AN19" i="53" s="1"/>
  <c r="AN22" i="53"/>
  <c r="AK4" i="45" s="1"/>
  <c r="AP31" i="52"/>
  <c r="AP32" i="52" s="1"/>
  <c r="AP28" i="52"/>
  <c r="AP29" i="52" s="1"/>
  <c r="AJ79" i="59"/>
  <c r="AF24" i="49"/>
  <c r="AH20" i="45"/>
  <c r="AH22" i="45" s="1"/>
  <c r="AG23" i="49"/>
  <c r="K16" i="46"/>
  <c r="AI20" i="45"/>
  <c r="AI22" i="45" s="1"/>
  <c r="I32" i="45"/>
  <c r="I31" i="45"/>
  <c r="H6" i="44" s="1"/>
  <c r="AR15" i="52"/>
  <c r="AS9" i="52"/>
  <c r="AS11" i="52" s="1"/>
  <c r="AR3" i="53"/>
  <c r="AO7" i="45"/>
  <c r="U4" i="44"/>
  <c r="AP17" i="53"/>
  <c r="AP8" i="53"/>
  <c r="AL82" i="59"/>
  <c r="AI4" i="49"/>
  <c r="AJ17" i="45"/>
  <c r="AJ5" i="45"/>
  <c r="AJ11" i="45" s="1"/>
  <c r="J30" i="44"/>
  <c r="J16" i="44"/>
  <c r="J29" i="44" s="1"/>
  <c r="AQ16" i="53"/>
  <c r="AQ5" i="53"/>
  <c r="K18" i="45"/>
  <c r="V18" i="45"/>
  <c r="X79" i="59" s="1"/>
  <c r="BQ6" i="53" l="1"/>
  <c r="BR14" i="52"/>
  <c r="BR4" i="53"/>
  <c r="BR15" i="53" s="1"/>
  <c r="H16" i="44"/>
  <c r="H29" i="44" s="1"/>
  <c r="AQ17" i="53"/>
  <c r="AQ8" i="53"/>
  <c r="AP10" i="53"/>
  <c r="AP13" i="53"/>
  <c r="AS3" i="53"/>
  <c r="AS15" i="52"/>
  <c r="AT9" i="52"/>
  <c r="AT11" i="52" s="1"/>
  <c r="AP7" i="45"/>
  <c r="K25" i="51"/>
  <c r="K27" i="51" s="1"/>
  <c r="K24" i="51"/>
  <c r="L4" i="51"/>
  <c r="K7" i="44"/>
  <c r="K30" i="44" s="1"/>
  <c r="AL22" i="49"/>
  <c r="W18" i="45"/>
  <c r="Y79" i="59" s="1"/>
  <c r="AH17" i="49"/>
  <c r="AK79" i="59"/>
  <c r="AG24" i="49"/>
  <c r="AO20" i="49"/>
  <c r="AN25" i="45"/>
  <c r="AL27" i="49" s="1"/>
  <c r="AM9" i="44"/>
  <c r="K20" i="51"/>
  <c r="K22" i="51" s="1"/>
  <c r="L24" i="45"/>
  <c r="V17" i="49"/>
  <c r="D3" i="48"/>
  <c r="D16" i="48" s="1"/>
  <c r="W26" i="44"/>
  <c r="X26" i="44" s="1"/>
  <c r="Y26" i="44" s="1"/>
  <c r="J32" i="45"/>
  <c r="J31" i="45"/>
  <c r="I6" i="44" s="1"/>
  <c r="I16" i="44" s="1"/>
  <c r="I29" i="44" s="1"/>
  <c r="AL27" i="45"/>
  <c r="AL15" i="44"/>
  <c r="AR27" i="52"/>
  <c r="AR18" i="52"/>
  <c r="AR24" i="52" s="1"/>
  <c r="AR26" i="52" s="1"/>
  <c r="AI5" i="49"/>
  <c r="AI17" i="49" s="1"/>
  <c r="V4" i="44"/>
  <c r="AQ84" i="59"/>
  <c r="AM7" i="49"/>
  <c r="AO16" i="45"/>
  <c r="D22" i="48"/>
  <c r="AQ31" i="52"/>
  <c r="AQ32" i="52" s="1"/>
  <c r="AQ28" i="52"/>
  <c r="AQ29" i="52" s="1"/>
  <c r="AT2" i="52"/>
  <c r="AS6" i="52"/>
  <c r="AO20" i="53"/>
  <c r="AO19" i="53" s="1"/>
  <c r="AO22" i="53"/>
  <c r="AL4" i="45" s="1"/>
  <c r="AM78" i="59"/>
  <c r="AI30" i="49"/>
  <c r="T17" i="51"/>
  <c r="T39" i="49"/>
  <c r="T40" i="49" s="1"/>
  <c r="T23" i="44"/>
  <c r="T27" i="44" s="1"/>
  <c r="AJ18" i="45"/>
  <c r="AJ20" i="45" s="1"/>
  <c r="AJ22" i="45" s="1"/>
  <c r="M79" i="59"/>
  <c r="M87" i="59" s="1"/>
  <c r="K20" i="45"/>
  <c r="K22" i="45" s="1"/>
  <c r="K29" i="45" s="1"/>
  <c r="AH23" i="49"/>
  <c r="AR16" i="53"/>
  <c r="AR5" i="53"/>
  <c r="AM82" i="59"/>
  <c r="AJ4" i="49"/>
  <c r="AK17" i="45"/>
  <c r="AK5" i="45"/>
  <c r="AJ5" i="49" s="1"/>
  <c r="V20" i="45"/>
  <c r="V22" i="45" s="1"/>
  <c r="W20" i="45"/>
  <c r="W22" i="45" s="1"/>
  <c r="AM21" i="44"/>
  <c r="AN19" i="44"/>
  <c r="AT17" i="54"/>
  <c r="AT6" i="55" s="1"/>
  <c r="AT7" i="55" s="1"/>
  <c r="AR14" i="45" s="1"/>
  <c r="AU9" i="54"/>
  <c r="BR6" i="53" l="1"/>
  <c r="BS14" i="52"/>
  <c r="BS4" i="53"/>
  <c r="BS15" i="53" s="1"/>
  <c r="K31" i="45"/>
  <c r="K32" i="45"/>
  <c r="AV9" i="54"/>
  <c r="AU17" i="54"/>
  <c r="AU6" i="55" s="1"/>
  <c r="AU7" i="55" s="1"/>
  <c r="AS14" i="45" s="1"/>
  <c r="AK11" i="45"/>
  <c r="W4" i="44"/>
  <c r="J3" i="43"/>
  <c r="AT3" i="53"/>
  <c r="AT15" i="52"/>
  <c r="AU9" i="52"/>
  <c r="AQ7" i="45"/>
  <c r="U17" i="51"/>
  <c r="U39" i="49"/>
  <c r="U40" i="49" s="1"/>
  <c r="U23" i="44"/>
  <c r="U27" i="44" s="1"/>
  <c r="AM22" i="49"/>
  <c r="AR31" i="52"/>
  <c r="AR32" i="52" s="1"/>
  <c r="AR28" i="52"/>
  <c r="AR29" i="52" s="1"/>
  <c r="N81" i="59"/>
  <c r="N87" i="59" s="1"/>
  <c r="L29" i="45"/>
  <c r="AS18" i="52"/>
  <c r="AS24" i="52" s="1"/>
  <c r="AS26" i="52" s="1"/>
  <c r="AS27" i="52"/>
  <c r="AP20" i="49"/>
  <c r="AI23" i="49"/>
  <c r="AR17" i="53"/>
  <c r="AR8" i="53"/>
  <c r="AL79" i="59"/>
  <c r="AH24" i="49"/>
  <c r="AN82" i="59"/>
  <c r="AK4" i="49"/>
  <c r="AL17" i="45"/>
  <c r="AL5" i="45"/>
  <c r="AK5" i="49" s="1"/>
  <c r="AM27" i="45"/>
  <c r="AM15" i="44"/>
  <c r="AS5" i="53"/>
  <c r="AS16" i="53"/>
  <c r="AQ13" i="53"/>
  <c r="AQ10" i="53"/>
  <c r="AN21" i="44"/>
  <c r="AO19" i="44"/>
  <c r="AJ17" i="49"/>
  <c r="AT6" i="52"/>
  <c r="AU2" i="52"/>
  <c r="AN78" i="59"/>
  <c r="AJ30" i="49"/>
  <c r="AO25" i="45"/>
  <c r="AM27" i="49" s="1"/>
  <c r="AN9" i="44"/>
  <c r="L14" i="51"/>
  <c r="L15" i="51"/>
  <c r="AR84" i="59"/>
  <c r="AN7" i="49"/>
  <c r="AP16" i="45"/>
  <c r="AP22" i="53"/>
  <c r="AM4" i="45" s="1"/>
  <c r="AP20" i="53"/>
  <c r="AP19" i="53" s="1"/>
  <c r="AL11" i="45" l="1"/>
  <c r="AL18" i="45" s="1"/>
  <c r="AL20" i="45" s="1"/>
  <c r="AL22" i="45" s="1"/>
  <c r="AU11" i="52"/>
  <c r="AV9" i="52"/>
  <c r="BS6" i="53"/>
  <c r="BT4" i="53"/>
  <c r="BT15" i="53" s="1"/>
  <c r="BT14" i="52"/>
  <c r="AO82" i="59"/>
  <c r="AL4" i="49"/>
  <c r="AM17" i="45"/>
  <c r="AM5" i="45"/>
  <c r="L24" i="51"/>
  <c r="L25" i="51" s="1"/>
  <c r="L27" i="51" s="1"/>
  <c r="M4" i="51"/>
  <c r="L7" i="44"/>
  <c r="L30" i="44" s="1"/>
  <c r="AO21" i="44"/>
  <c r="AP19" i="44"/>
  <c r="AN27" i="45"/>
  <c r="AN15" i="44"/>
  <c r="AS31" i="52"/>
  <c r="AS32" i="52" s="1"/>
  <c r="AS28" i="52"/>
  <c r="AS29" i="52" s="1"/>
  <c r="AU3" i="53"/>
  <c r="AU15" i="52"/>
  <c r="AV11" i="52"/>
  <c r="AS7" i="45" s="1"/>
  <c r="AR7" i="45"/>
  <c r="AV17" i="54"/>
  <c r="AV6" i="55" s="1"/>
  <c r="AV7" i="55" s="1"/>
  <c r="AT14" i="45" s="1"/>
  <c r="AW9" i="54"/>
  <c r="AN22" i="49"/>
  <c r="L20" i="51"/>
  <c r="L22" i="51" s="1"/>
  <c r="M24" i="45"/>
  <c r="AU6" i="52"/>
  <c r="AV2" i="52"/>
  <c r="AS17" i="53"/>
  <c r="AS8" i="53"/>
  <c r="AO78" i="59"/>
  <c r="AK30" i="49"/>
  <c r="AJ23" i="49"/>
  <c r="AR10" i="53"/>
  <c r="AR13" i="53"/>
  <c r="L31" i="45"/>
  <c r="K6" i="44" s="1"/>
  <c r="L32" i="45"/>
  <c r="V17" i="51"/>
  <c r="V39" i="49"/>
  <c r="V23" i="44"/>
  <c r="AT18" i="52"/>
  <c r="AT24" i="52" s="1"/>
  <c r="AT26" i="52" s="1"/>
  <c r="AT27" i="52"/>
  <c r="AK18" i="45"/>
  <c r="J35" i="43"/>
  <c r="AT16" i="53"/>
  <c r="AT5" i="53"/>
  <c r="AP25" i="45"/>
  <c r="AN27" i="49" s="1"/>
  <c r="AO9" i="44"/>
  <c r="AQ22" i="53"/>
  <c r="AN4" i="45" s="1"/>
  <c r="AQ20" i="53"/>
  <c r="AQ19" i="53"/>
  <c r="AK17" i="49"/>
  <c r="AS84" i="59"/>
  <c r="AO7" i="49"/>
  <c r="AQ16" i="45"/>
  <c r="X4" i="44"/>
  <c r="AQ20" i="49"/>
  <c r="BT6" i="53" l="1"/>
  <c r="BU4" i="53"/>
  <c r="BU15" i="53" s="1"/>
  <c r="BU14" i="52"/>
  <c r="AP82" i="59"/>
  <c r="AM4" i="49"/>
  <c r="AN17" i="45"/>
  <c r="AN5" i="45"/>
  <c r="AM5" i="49" s="1"/>
  <c r="AR20" i="49"/>
  <c r="AU16" i="53"/>
  <c r="AU5" i="53"/>
  <c r="AV6" i="52"/>
  <c r="AW2" i="52"/>
  <c r="AT84" i="59"/>
  <c r="AP7" i="49"/>
  <c r="AR16" i="45"/>
  <c r="AO27" i="45"/>
  <c r="AO15" i="44"/>
  <c r="AL5" i="49"/>
  <c r="AT17" i="53"/>
  <c r="AT8" i="53"/>
  <c r="Y4" i="44"/>
  <c r="J21" i="43"/>
  <c r="V27" i="44"/>
  <c r="AQ25" i="45"/>
  <c r="AO27" i="49" s="1"/>
  <c r="AP9" i="44"/>
  <c r="AM79" i="59"/>
  <c r="AI24" i="49"/>
  <c r="AK20" i="45"/>
  <c r="AK22" i="45" s="1"/>
  <c r="AR22" i="53"/>
  <c r="AO4" i="45" s="1"/>
  <c r="AR20" i="53"/>
  <c r="AR19" i="53" s="1"/>
  <c r="AS10" i="53"/>
  <c r="AS13" i="53"/>
  <c r="AV3" i="53"/>
  <c r="AV15" i="52"/>
  <c r="AW9" i="52"/>
  <c r="AW11" i="52" s="1"/>
  <c r="AP78" i="59"/>
  <c r="AL30" i="49"/>
  <c r="M14" i="51"/>
  <c r="Q13" i="51"/>
  <c r="M15" i="51"/>
  <c r="P13" i="51"/>
  <c r="O13" i="51"/>
  <c r="AK23" i="49"/>
  <c r="AN79" i="59"/>
  <c r="AJ24" i="49"/>
  <c r="K16" i="44"/>
  <c r="K29" i="44" s="1"/>
  <c r="AO22" i="49"/>
  <c r="AT31" i="52"/>
  <c r="AT32" i="52" s="1"/>
  <c r="AT28" i="52"/>
  <c r="AT29" i="52" s="1"/>
  <c r="O81" i="59"/>
  <c r="O87" i="59" s="1"/>
  <c r="M29" i="45"/>
  <c r="AW17" i="54"/>
  <c r="AW6" i="55" s="1"/>
  <c r="AW7" i="55" s="1"/>
  <c r="AU14" i="45" s="1"/>
  <c r="AX9" i="54"/>
  <c r="AU27" i="52"/>
  <c r="AU18" i="52"/>
  <c r="AU24" i="52" s="1"/>
  <c r="AU26" i="52" s="1"/>
  <c r="AP21" i="44"/>
  <c r="AQ19" i="44"/>
  <c r="AM11" i="45"/>
  <c r="AN11" i="45" l="1"/>
  <c r="AN18" i="45" s="1"/>
  <c r="AN20" i="45" s="1"/>
  <c r="AN22" i="45" s="1"/>
  <c r="AM17" i="49"/>
  <c r="BU6" i="53"/>
  <c r="BV4" i="53"/>
  <c r="BV15" i="53" s="1"/>
  <c r="BV14" i="52"/>
  <c r="J24" i="43"/>
  <c r="C41" i="48"/>
  <c r="AL17" i="49"/>
  <c r="AL23" i="49"/>
  <c r="M20" i="51"/>
  <c r="M22" i="51" s="1"/>
  <c r="N24" i="45"/>
  <c r="AW3" i="53"/>
  <c r="AW15" i="52"/>
  <c r="AX9" i="52"/>
  <c r="AX11" i="52" s="1"/>
  <c r="AT7" i="45"/>
  <c r="AS20" i="53"/>
  <c r="AS19" i="53" s="1"/>
  <c r="AS22" i="53"/>
  <c r="AP4" i="45" s="1"/>
  <c r="AQ82" i="59"/>
  <c r="AN4" i="49"/>
  <c r="AO17" i="45"/>
  <c r="AO5" i="45"/>
  <c r="AO11" i="45" s="1"/>
  <c r="AR25" i="45"/>
  <c r="AP27" i="49" s="1"/>
  <c r="AQ9" i="44"/>
  <c r="Z4" i="44"/>
  <c r="AP27" i="45"/>
  <c r="AP15" i="44"/>
  <c r="AS20" i="49"/>
  <c r="AU84" i="59"/>
  <c r="AQ7" i="49"/>
  <c r="AS16" i="45"/>
  <c r="M32" i="45"/>
  <c r="M31" i="45"/>
  <c r="L6" i="44" s="1"/>
  <c r="AM18" i="45"/>
  <c r="AU31" i="52"/>
  <c r="AU32" i="52" s="1"/>
  <c r="AU28" i="52"/>
  <c r="AU29" i="52" s="1"/>
  <c r="M24" i="51"/>
  <c r="M25" i="51" s="1"/>
  <c r="M27" i="51" s="1"/>
  <c r="N4" i="51"/>
  <c r="M7" i="44"/>
  <c r="M30" i="44" s="1"/>
  <c r="AV27" i="52"/>
  <c r="AV18" i="52"/>
  <c r="AV24" i="52" s="1"/>
  <c r="AV26" i="52" s="1"/>
  <c r="AQ78" i="59"/>
  <c r="AM30" i="49"/>
  <c r="AW6" i="52"/>
  <c r="AX2" i="52"/>
  <c r="AU17" i="53"/>
  <c r="AU8" i="53"/>
  <c r="AQ21" i="44"/>
  <c r="AR19" i="44"/>
  <c r="AX17" i="54"/>
  <c r="AX6" i="55" s="1"/>
  <c r="AX7" i="55" s="1"/>
  <c r="AV14" i="45" s="1"/>
  <c r="AY9" i="54"/>
  <c r="AV16" i="53"/>
  <c r="AV5" i="53"/>
  <c r="AT10" i="53"/>
  <c r="AT13" i="53"/>
  <c r="AP22" i="49"/>
  <c r="BV6" i="53" l="1"/>
  <c r="BW4" i="53"/>
  <c r="BW15" i="53" s="1"/>
  <c r="BW14" i="52"/>
  <c r="AU13" i="53"/>
  <c r="AU10" i="53"/>
  <c r="AV31" i="52"/>
  <c r="AV32" i="52" s="1"/>
  <c r="AV28" i="52"/>
  <c r="AV29" i="52" s="1"/>
  <c r="AV84" i="59"/>
  <c r="AR7" i="49"/>
  <c r="AT16" i="45"/>
  <c r="AV17" i="53"/>
  <c r="AV8" i="53"/>
  <c r="AZ9" i="54"/>
  <c r="AY17" i="54"/>
  <c r="AY6" i="55" s="1"/>
  <c r="AY7" i="55" s="1"/>
  <c r="AW14" i="45" s="1"/>
  <c r="AQ22" i="49"/>
  <c r="AS25" i="45"/>
  <c r="AQ27" i="49" s="1"/>
  <c r="AR9" i="44"/>
  <c r="AN5" i="49"/>
  <c r="AX3" i="53"/>
  <c r="AX15" i="52"/>
  <c r="AY9" i="52"/>
  <c r="AY11" i="52" s="1"/>
  <c r="AU7" i="45"/>
  <c r="L6" i="46" s="1"/>
  <c r="AO79" i="59"/>
  <c r="AK24" i="49"/>
  <c r="AM20" i="45"/>
  <c r="AM22" i="45" s="1"/>
  <c r="AQ27" i="45"/>
  <c r="AQ15" i="44"/>
  <c r="AT22" i="53"/>
  <c r="AQ4" i="45" s="1"/>
  <c r="AT20" i="53"/>
  <c r="AT19" i="53" s="1"/>
  <c r="AT20" i="49"/>
  <c r="AX6" i="52"/>
  <c r="AY2" i="52"/>
  <c r="N15" i="51"/>
  <c r="N14" i="51"/>
  <c r="L16" i="44"/>
  <c r="L29" i="44" s="1"/>
  <c r="AR78" i="59"/>
  <c r="AN30" i="49"/>
  <c r="AM23" i="49"/>
  <c r="AR82" i="59"/>
  <c r="AO4" i="49"/>
  <c r="AP17" i="45"/>
  <c r="AP5" i="45"/>
  <c r="AO5" i="49" s="1"/>
  <c r="AW18" i="52"/>
  <c r="AW24" i="52" s="1"/>
  <c r="AW26" i="52" s="1"/>
  <c r="AW27" i="52"/>
  <c r="P81" i="59"/>
  <c r="P87" i="59" s="1"/>
  <c r="N29" i="45"/>
  <c r="AO18" i="45"/>
  <c r="AO20" i="45" s="1"/>
  <c r="AO22" i="45" s="1"/>
  <c r="AR21" i="44"/>
  <c r="AS19" i="44"/>
  <c r="AP79" i="59"/>
  <c r="AL24" i="49"/>
  <c r="AA4" i="44"/>
  <c r="AN17" i="49"/>
  <c r="AW16" i="53"/>
  <c r="AW5" i="53"/>
  <c r="AP11" i="45" l="1"/>
  <c r="AP18" i="45" s="1"/>
  <c r="AO17" i="49"/>
  <c r="BW6" i="53"/>
  <c r="BX14" i="52"/>
  <c r="BX4" i="53"/>
  <c r="BX15" i="53" s="1"/>
  <c r="AX18" i="52"/>
  <c r="AX24" i="52" s="1"/>
  <c r="AX26" i="52" s="1"/>
  <c r="AX27" i="52"/>
  <c r="AT25" i="45"/>
  <c r="AR27" i="49" s="1"/>
  <c r="AS9" i="44"/>
  <c r="AW31" i="52"/>
  <c r="AW32" i="52" s="1"/>
  <c r="AW28" i="52"/>
  <c r="AW29" i="52" s="1"/>
  <c r="O4" i="51"/>
  <c r="N24" i="51"/>
  <c r="N25" i="51" s="1"/>
  <c r="N27" i="51" s="1"/>
  <c r="N7" i="44"/>
  <c r="N30" i="44" s="1"/>
  <c r="AS82" i="59"/>
  <c r="AP4" i="49"/>
  <c r="AQ17" i="45"/>
  <c r="AQ5" i="45"/>
  <c r="AP5" i="49" s="1"/>
  <c r="AX16" i="53"/>
  <c r="AX5" i="53"/>
  <c r="AZ17" i="54"/>
  <c r="AZ6" i="55" s="1"/>
  <c r="AZ7" i="55" s="1"/>
  <c r="AX14" i="45" s="1"/>
  <c r="BA9" i="54"/>
  <c r="AS21" i="44"/>
  <c r="AT19" i="44"/>
  <c r="AQ79" i="59"/>
  <c r="AM24" i="49"/>
  <c r="AV10" i="53"/>
  <c r="AV13" i="53"/>
  <c r="AU22" i="53"/>
  <c r="AR4" i="45" s="1"/>
  <c r="AU20" i="53"/>
  <c r="AU19" i="53" s="1"/>
  <c r="AN23" i="49"/>
  <c r="N20" i="51"/>
  <c r="N22" i="51" s="1"/>
  <c r="O24" i="45"/>
  <c r="AU20" i="49"/>
  <c r="AR22" i="49"/>
  <c r="AY6" i="52"/>
  <c r="AZ2" i="52"/>
  <c r="AR27" i="45"/>
  <c r="AR15" i="44"/>
  <c r="AW84" i="59"/>
  <c r="AS7" i="49"/>
  <c r="AU16" i="45"/>
  <c r="L15" i="46" s="1"/>
  <c r="AW8" i="53"/>
  <c r="AW17" i="53"/>
  <c r="AB4" i="44"/>
  <c r="N32" i="45"/>
  <c r="N31" i="45"/>
  <c r="M6" i="44" s="1"/>
  <c r="AS78" i="59"/>
  <c r="AO30" i="49"/>
  <c r="AY3" i="53"/>
  <c r="AZ9" i="52"/>
  <c r="AZ11" i="52" s="1"/>
  <c r="AY15" i="52"/>
  <c r="AV7" i="45"/>
  <c r="AQ11" i="45" l="1"/>
  <c r="AP17" i="49"/>
  <c r="BX6" i="53"/>
  <c r="BY14" i="52"/>
  <c r="BY4" i="53"/>
  <c r="BY15" i="53" s="1"/>
  <c r="AW10" i="53"/>
  <c r="AW13" i="53"/>
  <c r="AV20" i="49"/>
  <c r="AO23" i="49"/>
  <c r="AS22" i="49"/>
  <c r="AS27" i="45"/>
  <c r="AS15" i="44"/>
  <c r="AX17" i="53"/>
  <c r="AX8" i="53"/>
  <c r="M16" i="44"/>
  <c r="M29" i="44" s="1"/>
  <c r="AT78" i="59"/>
  <c r="AP30" i="49"/>
  <c r="O14" i="51"/>
  <c r="O15" i="51"/>
  <c r="AY27" i="52"/>
  <c r="AY18" i="52"/>
  <c r="AY24" i="52" s="1"/>
  <c r="AY26" i="52" s="1"/>
  <c r="Q81" i="59"/>
  <c r="Q87" i="59" s="1"/>
  <c r="O29" i="45"/>
  <c r="AV20" i="53"/>
  <c r="AV19" i="53" s="1"/>
  <c r="AV22" i="53"/>
  <c r="AS4" i="45" s="1"/>
  <c r="AZ15" i="52"/>
  <c r="BA9" i="52"/>
  <c r="BA11" i="52" s="1"/>
  <c r="AZ3" i="53"/>
  <c r="AW7" i="45"/>
  <c r="AZ6" i="52"/>
  <c r="BA2" i="52"/>
  <c r="L17" i="43"/>
  <c r="AT21" i="44"/>
  <c r="AU19" i="44"/>
  <c r="AQ18" i="45"/>
  <c r="AR79" i="59"/>
  <c r="AN24" i="49"/>
  <c r="AX31" i="52"/>
  <c r="AX32" i="52" s="1"/>
  <c r="AX28" i="52"/>
  <c r="AX29" i="52" s="1"/>
  <c r="AY16" i="53"/>
  <c r="AY5" i="53"/>
  <c r="AC4" i="44"/>
  <c r="AX84" i="59"/>
  <c r="AT7" i="49"/>
  <c r="AV16" i="45"/>
  <c r="AP20" i="45"/>
  <c r="AP22" i="45" s="1"/>
  <c r="AT82" i="59"/>
  <c r="AQ4" i="49"/>
  <c r="AR17" i="45"/>
  <c r="AR5" i="45"/>
  <c r="AQ5" i="49" s="1"/>
  <c r="BA17" i="54"/>
  <c r="BA6" i="55" s="1"/>
  <c r="BA7" i="55" s="1"/>
  <c r="AY14" i="45" s="1"/>
  <c r="BB9" i="54"/>
  <c r="AU25" i="45"/>
  <c r="AS27" i="49" s="1"/>
  <c r="AT9" i="44"/>
  <c r="AQ17" i="49" l="1"/>
  <c r="AR11" i="45"/>
  <c r="BY6" i="53"/>
  <c r="BZ14" i="52"/>
  <c r="BZ4" i="53"/>
  <c r="BZ15" i="53" s="1"/>
  <c r="AV25" i="45"/>
  <c r="AT27" i="49" s="1"/>
  <c r="AU9" i="44"/>
  <c r="L9" i="43"/>
  <c r="AW20" i="49"/>
  <c r="AD4" i="44"/>
  <c r="AZ16" i="53"/>
  <c r="AZ5" i="53"/>
  <c r="O20" i="51"/>
  <c r="O22" i="51" s="1"/>
  <c r="P24" i="45"/>
  <c r="AX10" i="53"/>
  <c r="AX13" i="53"/>
  <c r="AR18" i="45"/>
  <c r="AR20" i="45" s="1"/>
  <c r="AR22" i="45" s="1"/>
  <c r="AT22" i="49"/>
  <c r="AS79" i="59"/>
  <c r="AO24" i="49"/>
  <c r="BA3" i="53"/>
  <c r="BA15" i="52"/>
  <c r="BB9" i="52"/>
  <c r="BB11" i="52" s="1"/>
  <c r="AX7" i="45"/>
  <c r="AY17" i="53"/>
  <c r="AY8" i="53"/>
  <c r="AU21" i="44"/>
  <c r="AV19" i="44"/>
  <c r="AZ27" i="52"/>
  <c r="AZ18" i="52"/>
  <c r="AZ24" i="52" s="1"/>
  <c r="AZ26" i="52" s="1"/>
  <c r="AY31" i="52"/>
  <c r="AY32" i="52" s="1"/>
  <c r="AY28" i="52"/>
  <c r="AY29" i="52" s="1"/>
  <c r="AT27" i="45"/>
  <c r="AT15" i="44"/>
  <c r="AQ20" i="45"/>
  <c r="AQ22" i="45" s="1"/>
  <c r="AW22" i="53"/>
  <c r="AT4" i="45" s="1"/>
  <c r="AW20" i="53"/>
  <c r="AW19" i="53" s="1"/>
  <c r="L29" i="43"/>
  <c r="L30" i="43" s="1"/>
  <c r="L4" i="50" s="1"/>
  <c r="L5" i="50" s="1"/>
  <c r="L23" i="50" s="1"/>
  <c r="L12" i="42"/>
  <c r="L19" i="43"/>
  <c r="BB2" i="52"/>
  <c r="BA6" i="52"/>
  <c r="AU82" i="59"/>
  <c r="AR4" i="49"/>
  <c r="AS17" i="45"/>
  <c r="AS5" i="45"/>
  <c r="AS11" i="45" s="1"/>
  <c r="BB17" i="54"/>
  <c r="BB6" i="55" s="1"/>
  <c r="BB7" i="55" s="1"/>
  <c r="AZ14" i="45" s="1"/>
  <c r="BC9" i="54"/>
  <c r="AP23" i="49"/>
  <c r="AY84" i="59"/>
  <c r="AU7" i="49"/>
  <c r="AW16" i="45"/>
  <c r="O31" i="45"/>
  <c r="N6" i="44" s="1"/>
  <c r="O32" i="45"/>
  <c r="O24" i="51"/>
  <c r="O25" i="51" s="1"/>
  <c r="O27" i="51" s="1"/>
  <c r="P4" i="51"/>
  <c r="O7" i="44"/>
  <c r="O30" i="44" s="1"/>
  <c r="AU78" i="59"/>
  <c r="AQ30" i="49"/>
  <c r="BZ6" i="53" l="1"/>
  <c r="AR5" i="49"/>
  <c r="AR17" i="49" s="1"/>
  <c r="CA14" i="52"/>
  <c r="CA4" i="53"/>
  <c r="CA15" i="53" s="1"/>
  <c r="R81" i="59"/>
  <c r="R87" i="59" s="1"/>
  <c r="P29" i="45"/>
  <c r="AE4" i="44"/>
  <c r="AS18" i="45"/>
  <c r="AT79" i="59"/>
  <c r="AP24" i="49"/>
  <c r="AU22" i="49"/>
  <c r="BB15" i="52"/>
  <c r="BC9" i="52"/>
  <c r="BC11" i="52" s="1"/>
  <c r="BB3" i="53"/>
  <c r="AY7" i="45"/>
  <c r="BA18" i="52"/>
  <c r="BA24" i="52" s="1"/>
  <c r="BA26" i="52" s="1"/>
  <c r="BA27" i="52"/>
  <c r="AU27" i="45"/>
  <c r="L13" i="43"/>
  <c r="L8" i="42" s="1"/>
  <c r="AU15" i="44"/>
  <c r="L11" i="43"/>
  <c r="AY13" i="53"/>
  <c r="AY10" i="53"/>
  <c r="BA5" i="53"/>
  <c r="BA16" i="53"/>
  <c r="AX22" i="53"/>
  <c r="AU4" i="45" s="1"/>
  <c r="L3" i="46" s="1"/>
  <c r="AX20" i="53"/>
  <c r="AX19" i="53" s="1"/>
  <c r="AZ17" i="53"/>
  <c r="AZ8" i="53"/>
  <c r="AW25" i="45"/>
  <c r="AU27" i="49" s="1"/>
  <c r="AV9" i="44"/>
  <c r="AX20" i="49"/>
  <c r="AV21" i="44"/>
  <c r="AW19" i="44"/>
  <c r="P14" i="51"/>
  <c r="P15" i="51"/>
  <c r="N16" i="44"/>
  <c r="N29" i="44" s="1"/>
  <c r="BD9" i="54"/>
  <c r="BC17" i="54"/>
  <c r="BC6" i="55" s="1"/>
  <c r="BC7" i="55" s="1"/>
  <c r="BA14" i="45" s="1"/>
  <c r="AQ23" i="49"/>
  <c r="BB6" i="52"/>
  <c r="BC2" i="52"/>
  <c r="AV82" i="59"/>
  <c r="AS4" i="49"/>
  <c r="AT17" i="45"/>
  <c r="AT5" i="45"/>
  <c r="AS5" i="49" s="1"/>
  <c r="AV78" i="59"/>
  <c r="AR30" i="49"/>
  <c r="AZ31" i="52"/>
  <c r="AZ32" i="52" s="1"/>
  <c r="AZ28" i="52"/>
  <c r="AZ29" i="52" s="1"/>
  <c r="AZ84" i="59"/>
  <c r="AV7" i="49"/>
  <c r="AX16" i="45"/>
  <c r="CA6" i="53" l="1"/>
  <c r="AS20" i="45"/>
  <c r="AS22" i="45" s="1"/>
  <c r="CB4" i="53"/>
  <c r="CB15" i="53" s="1"/>
  <c r="CB14" i="52"/>
  <c r="AV27" i="45"/>
  <c r="AV15" i="44"/>
  <c r="BA84" i="59"/>
  <c r="AW7" i="49"/>
  <c r="AY16" i="45"/>
  <c r="P31" i="45"/>
  <c r="O6" i="44" s="1"/>
  <c r="P32" i="45"/>
  <c r="AZ13" i="53"/>
  <c r="AZ10" i="53"/>
  <c r="AW82" i="59"/>
  <c r="AT4" i="49"/>
  <c r="AU17" i="45"/>
  <c r="L16" i="46" s="1"/>
  <c r="AU5" i="45"/>
  <c r="AT5" i="49" s="1"/>
  <c r="BA31" i="52"/>
  <c r="BA32" i="52" s="1"/>
  <c r="BA28" i="52"/>
  <c r="BA29" i="52" s="1"/>
  <c r="BB16" i="53"/>
  <c r="BB5" i="53"/>
  <c r="AU79" i="59"/>
  <c r="AQ24" i="49"/>
  <c r="BA17" i="53"/>
  <c r="BA8" i="53"/>
  <c r="AV22" i="49"/>
  <c r="AR23" i="49"/>
  <c r="AT11" i="45"/>
  <c r="BC6" i="52"/>
  <c r="BD2" i="52"/>
  <c r="AY20" i="49"/>
  <c r="P24" i="51"/>
  <c r="P25" i="51" s="1"/>
  <c r="P27" i="51" s="1"/>
  <c r="Q4" i="51"/>
  <c r="P7" i="44"/>
  <c r="P30" i="44" s="1"/>
  <c r="AW21" i="44"/>
  <c r="AX19" i="44"/>
  <c r="AY22" i="53"/>
  <c r="AV4" i="45" s="1"/>
  <c r="AY20" i="53"/>
  <c r="AY19" i="53" s="1"/>
  <c r="AW78" i="59"/>
  <c r="AS30" i="49"/>
  <c r="BC3" i="53"/>
  <c r="BD9" i="52"/>
  <c r="BD11" i="52" s="1"/>
  <c r="BC15" i="52"/>
  <c r="AZ7" i="45"/>
  <c r="AS17" i="49"/>
  <c r="BD17" i="54"/>
  <c r="BD6" i="55" s="1"/>
  <c r="BD7" i="55" s="1"/>
  <c r="BB14" i="45" s="1"/>
  <c r="BE9" i="54"/>
  <c r="P20" i="51"/>
  <c r="P22" i="51" s="1"/>
  <c r="Q24" i="45"/>
  <c r="AX25" i="45"/>
  <c r="AV27" i="49" s="1"/>
  <c r="AW9" i="44"/>
  <c r="BB18" i="52"/>
  <c r="BB24" i="52" s="1"/>
  <c r="BB26" i="52" s="1"/>
  <c r="BB27" i="52"/>
  <c r="AF4" i="44"/>
  <c r="CB6" i="53" l="1"/>
  <c r="L4" i="46"/>
  <c r="CC4" i="53"/>
  <c r="CC15" i="53" s="1"/>
  <c r="CC14" i="52"/>
  <c r="AS23" i="49"/>
  <c r="AW22" i="49"/>
  <c r="AX78" i="59"/>
  <c r="AT30" i="49"/>
  <c r="AG4" i="44"/>
  <c r="AY25" i="45"/>
  <c r="AW27" i="49" s="1"/>
  <c r="AX9" i="44"/>
  <c r="BC16" i="53"/>
  <c r="BC5" i="53"/>
  <c r="AX21" i="44"/>
  <c r="AY19" i="44"/>
  <c r="BD6" i="52"/>
  <c r="BE2" i="52"/>
  <c r="AU11" i="45"/>
  <c r="AZ22" i="53"/>
  <c r="AW4" i="45" s="1"/>
  <c r="AZ20" i="53"/>
  <c r="AZ19" i="53" s="1"/>
  <c r="BB31" i="52"/>
  <c r="BB32" i="52" s="1"/>
  <c r="BB28" i="52"/>
  <c r="BB29" i="52" s="1"/>
  <c r="S81" i="59"/>
  <c r="S87" i="59" s="1"/>
  <c r="Q29" i="45"/>
  <c r="BD3" i="53"/>
  <c r="BD15" i="52"/>
  <c r="BE9" i="52"/>
  <c r="BE11" i="52" s="1"/>
  <c r="BA7" i="45"/>
  <c r="Q14" i="51"/>
  <c r="U13" i="51"/>
  <c r="X13" i="51"/>
  <c r="T13" i="51"/>
  <c r="W13" i="51"/>
  <c r="S13" i="51"/>
  <c r="V13" i="51"/>
  <c r="R13" i="51"/>
  <c r="Q15" i="51"/>
  <c r="BE17" i="54"/>
  <c r="BE6" i="55" s="1"/>
  <c r="BE7" i="55" s="1"/>
  <c r="BC14" i="45" s="1"/>
  <c r="BF9" i="54"/>
  <c r="BB84" i="59"/>
  <c r="AX7" i="49"/>
  <c r="AZ16" i="45"/>
  <c r="AX82" i="59"/>
  <c r="AU4" i="49"/>
  <c r="AV17" i="45"/>
  <c r="AV5" i="45"/>
  <c r="AV11" i="45" s="1"/>
  <c r="BA10" i="53"/>
  <c r="BA13" i="53"/>
  <c r="AT17" i="49"/>
  <c r="AZ20" i="49"/>
  <c r="BC27" i="52"/>
  <c r="BC18" i="52"/>
  <c r="BC24" i="52" s="1"/>
  <c r="BC26" i="52" s="1"/>
  <c r="AT18" i="45"/>
  <c r="BB17" i="53"/>
  <c r="BB8" i="53"/>
  <c r="O16" i="44"/>
  <c r="O29" i="44" s="1"/>
  <c r="AW27" i="45"/>
  <c r="AW15" i="44"/>
  <c r="CC6" i="53" l="1"/>
  <c r="CD4" i="53"/>
  <c r="CD15" i="53" s="1"/>
  <c r="CD14" i="52"/>
  <c r="BA20" i="49"/>
  <c r="BE3" i="53"/>
  <c r="BE15" i="52"/>
  <c r="BF9" i="52"/>
  <c r="BF11" i="52" s="1"/>
  <c r="BB7" i="45"/>
  <c r="BD27" i="52"/>
  <c r="BD18" i="52"/>
  <c r="BD24" i="52" s="1"/>
  <c r="BD26" i="52" s="1"/>
  <c r="AY21" i="44"/>
  <c r="AZ19" i="44"/>
  <c r="AZ25" i="45"/>
  <c r="AX27" i="49" s="1"/>
  <c r="AY9" i="44"/>
  <c r="AT23" i="49"/>
  <c r="AX22" i="49"/>
  <c r="W33" i="49"/>
  <c r="BC28" i="52"/>
  <c r="BC29" i="52" s="1"/>
  <c r="BC31" i="52"/>
  <c r="BC32" i="52" s="1"/>
  <c r="AY78" i="59"/>
  <c r="AU30" i="49"/>
  <c r="AV79" i="59"/>
  <c r="AR24" i="49"/>
  <c r="AT20" i="45"/>
  <c r="AT22" i="45" s="1"/>
  <c r="BA20" i="53"/>
  <c r="BA19" i="53" s="1"/>
  <c r="BA22" i="53"/>
  <c r="AX4" i="45" s="1"/>
  <c r="AV18" i="45"/>
  <c r="AV20" i="45" s="1"/>
  <c r="AV22" i="45" s="1"/>
  <c r="Q24" i="51"/>
  <c r="Q25" i="51" s="1"/>
  <c r="Q27" i="51" s="1"/>
  <c r="R4" i="51"/>
  <c r="R14" i="51" s="1"/>
  <c r="Q7" i="44"/>
  <c r="Q30" i="44" s="1"/>
  <c r="V33" i="49"/>
  <c r="Q20" i="51"/>
  <c r="Q22" i="51" s="1"/>
  <c r="R24" i="45"/>
  <c r="BD16" i="53"/>
  <c r="BD5" i="53"/>
  <c r="AY82" i="59"/>
  <c r="AV4" i="49"/>
  <c r="AW17" i="45"/>
  <c r="AW5" i="45"/>
  <c r="AV5" i="49" s="1"/>
  <c r="Q32" i="45"/>
  <c r="Q31" i="45"/>
  <c r="P6" i="44" s="1"/>
  <c r="AX27" i="45"/>
  <c r="AX15" i="44"/>
  <c r="BB10" i="53"/>
  <c r="BB13" i="53"/>
  <c r="AU5" i="49"/>
  <c r="AU17" i="49" s="1"/>
  <c r="BF17" i="54"/>
  <c r="BF6" i="55" s="1"/>
  <c r="BF7" i="55" s="1"/>
  <c r="BD14" i="45" s="1"/>
  <c r="BG9" i="54"/>
  <c r="R15" i="51"/>
  <c r="BC84" i="59"/>
  <c r="AY7" i="49"/>
  <c r="BA16" i="45"/>
  <c r="AU18" i="45"/>
  <c r="L13" i="46" s="1"/>
  <c r="BE6" i="52"/>
  <c r="BF2" i="52"/>
  <c r="BC17" i="53"/>
  <c r="BC8" i="53"/>
  <c r="AH4" i="44"/>
  <c r="CD6" i="53" l="1"/>
  <c r="CE4" i="53"/>
  <c r="CE15" i="53" s="1"/>
  <c r="CE14" i="52"/>
  <c r="AW11" i="45"/>
  <c r="AW18" i="45" s="1"/>
  <c r="BA25" i="45"/>
  <c r="AY27" i="49" s="1"/>
  <c r="AZ9" i="44"/>
  <c r="BD84" i="59"/>
  <c r="AZ7" i="49"/>
  <c r="BB16" i="45"/>
  <c r="BH9" i="54"/>
  <c r="BG17" i="54"/>
  <c r="BG6" i="55" s="1"/>
  <c r="BG7" i="55" s="1"/>
  <c r="BE14" i="45" s="1"/>
  <c r="AZ78" i="59"/>
  <c r="AV30" i="49"/>
  <c r="AU23" i="49"/>
  <c r="BE16" i="53"/>
  <c r="BE5" i="53"/>
  <c r="BC13" i="53"/>
  <c r="BC10" i="53"/>
  <c r="P16" i="44"/>
  <c r="P29" i="44" s="1"/>
  <c r="AV17" i="49"/>
  <c r="R20" i="51"/>
  <c r="R22" i="51" s="1"/>
  <c r="S24" i="45"/>
  <c r="BD28" i="52"/>
  <c r="BD29" i="52" s="1"/>
  <c r="BD31" i="52"/>
  <c r="BD32" i="52" s="1"/>
  <c r="BF3" i="53"/>
  <c r="BF15" i="52"/>
  <c r="BG9" i="52"/>
  <c r="BG11" i="52" s="1"/>
  <c r="BC7" i="45"/>
  <c r="AZ82" i="59"/>
  <c r="AW4" i="49"/>
  <c r="AX17" i="45"/>
  <c r="AX5" i="45"/>
  <c r="AX11" i="45" s="1"/>
  <c r="BB20" i="49"/>
  <c r="BB22" i="53"/>
  <c r="AY4" i="45" s="1"/>
  <c r="BB20" i="53"/>
  <c r="BB19" i="53" s="1"/>
  <c r="T81" i="59"/>
  <c r="T87" i="59" s="1"/>
  <c r="R29" i="45"/>
  <c r="AW79" i="59"/>
  <c r="AS24" i="49"/>
  <c r="AU20" i="45"/>
  <c r="AU22" i="45" s="1"/>
  <c r="AI4" i="44"/>
  <c r="K3" i="43"/>
  <c r="BF6" i="52"/>
  <c r="BG2" i="52"/>
  <c r="AY22" i="49"/>
  <c r="S4" i="51"/>
  <c r="R24" i="51"/>
  <c r="R25" i="51" s="1"/>
  <c r="R27" i="51" s="1"/>
  <c r="R7" i="44"/>
  <c r="R30" i="44" s="1"/>
  <c r="AY27" i="45"/>
  <c r="AY15" i="44"/>
  <c r="BD17" i="53"/>
  <c r="BD8" i="53"/>
  <c r="AX79" i="59"/>
  <c r="AT24" i="49"/>
  <c r="AZ21" i="44"/>
  <c r="BA19" i="44"/>
  <c r="BE18" i="52"/>
  <c r="BE24" i="52" s="1"/>
  <c r="BE26" i="52" s="1"/>
  <c r="BE27" i="52"/>
  <c r="CE6" i="53" l="1"/>
  <c r="CF14" i="52"/>
  <c r="CF4" i="53"/>
  <c r="CF15" i="53" s="1"/>
  <c r="BA82" i="59"/>
  <c r="AX4" i="49"/>
  <c r="AY17" i="45"/>
  <c r="AY5" i="45"/>
  <c r="AX5" i="49" s="1"/>
  <c r="AY79" i="59"/>
  <c r="AU24" i="49"/>
  <c r="BB25" i="45"/>
  <c r="AZ27" i="49" s="1"/>
  <c r="BA9" i="44"/>
  <c r="BA21" i="44"/>
  <c r="BB19" i="44"/>
  <c r="BD10" i="53"/>
  <c r="BD13" i="53"/>
  <c r="AX18" i="45"/>
  <c r="AX20" i="45" s="1"/>
  <c r="AX22" i="45" s="1"/>
  <c r="BE84" i="59"/>
  <c r="BA7" i="49"/>
  <c r="BC16" i="45"/>
  <c r="AZ22" i="49"/>
  <c r="BG6" i="52"/>
  <c r="BH2" i="52"/>
  <c r="AJ4" i="44"/>
  <c r="AV23" i="49"/>
  <c r="BF16" i="53"/>
  <c r="BF5" i="53"/>
  <c r="BG3" i="53"/>
  <c r="BH9" i="52"/>
  <c r="BH11" i="52" s="1"/>
  <c r="BG15" i="52"/>
  <c r="BD7" i="45"/>
  <c r="BC22" i="53"/>
  <c r="AZ4" i="45" s="1"/>
  <c r="BC20" i="53"/>
  <c r="BC19" i="53" s="1"/>
  <c r="AW20" i="45"/>
  <c r="AW22" i="45" s="1"/>
  <c r="BC20" i="49"/>
  <c r="BA78" i="59"/>
  <c r="AW30" i="49"/>
  <c r="S14" i="51"/>
  <c r="S15" i="51"/>
  <c r="R32" i="45"/>
  <c r="R31" i="45"/>
  <c r="Q6" i="44" s="1"/>
  <c r="U81" i="59"/>
  <c r="U87" i="59" s="1"/>
  <c r="S29" i="45"/>
  <c r="BE31" i="52"/>
  <c r="BE32" i="52" s="1"/>
  <c r="BE28" i="52"/>
  <c r="BE29" i="52" s="1"/>
  <c r="AZ27" i="45"/>
  <c r="AZ15" i="44"/>
  <c r="AW5" i="49"/>
  <c r="AW17" i="49" s="1"/>
  <c r="BF18" i="52"/>
  <c r="BF24" i="52" s="1"/>
  <c r="BF26" i="52" s="1"/>
  <c r="BF27" i="52"/>
  <c r="BE8" i="53"/>
  <c r="BE17" i="53"/>
  <c r="BH17" i="54"/>
  <c r="BH6" i="55" s="1"/>
  <c r="BH7" i="55" s="1"/>
  <c r="BF14" i="45" s="1"/>
  <c r="BI9" i="54"/>
  <c r="CF6" i="53" l="1"/>
  <c r="CG14" i="52"/>
  <c r="CG4" i="53"/>
  <c r="CG15" i="53" s="1"/>
  <c r="AY11" i="45"/>
  <c r="AY18" i="45" s="1"/>
  <c r="BA22" i="49"/>
  <c r="AW23" i="49"/>
  <c r="BI17" i="54"/>
  <c r="BI6" i="55" s="1"/>
  <c r="BI7" i="55" s="1"/>
  <c r="BG14" i="45" s="1"/>
  <c r="BJ9" i="54"/>
  <c r="BE13" i="53"/>
  <c r="BE10" i="53"/>
  <c r="BA27" i="45"/>
  <c r="BA15" i="44"/>
  <c r="BF84" i="59"/>
  <c r="BB7" i="49"/>
  <c r="BD16" i="45"/>
  <c r="BD20" i="49"/>
  <c r="S31" i="45"/>
  <c r="R6" i="44" s="1"/>
  <c r="S32" i="45"/>
  <c r="BG27" i="52"/>
  <c r="BG18" i="52"/>
  <c r="BG24" i="52" s="1"/>
  <c r="BG26" i="52" s="1"/>
  <c r="BF17" i="53"/>
  <c r="BF8" i="53"/>
  <c r="BD20" i="53"/>
  <c r="BD19" i="53" s="1"/>
  <c r="BD22" i="53"/>
  <c r="BA4" i="45" s="1"/>
  <c r="BC25" i="45"/>
  <c r="BA27" i="49" s="1"/>
  <c r="BB9" i="44"/>
  <c r="AX17" i="49"/>
  <c r="Q16" i="44"/>
  <c r="Q29" i="44" s="1"/>
  <c r="BG16" i="53"/>
  <c r="BG5" i="53"/>
  <c r="BH6" i="52"/>
  <c r="BI2" i="52"/>
  <c r="BB21" i="44"/>
  <c r="BC19" i="44"/>
  <c r="BB78" i="59"/>
  <c r="AX30" i="49"/>
  <c r="S25" i="51"/>
  <c r="S27" i="51" s="1"/>
  <c r="S24" i="51"/>
  <c r="T4" i="51"/>
  <c r="S7" i="44"/>
  <c r="S30" i="44" s="1"/>
  <c r="BF31" i="52"/>
  <c r="BF32" i="52" s="1"/>
  <c r="BF28" i="52"/>
  <c r="BF29" i="52" s="1"/>
  <c r="S20" i="51"/>
  <c r="S22" i="51" s="1"/>
  <c r="T24" i="45"/>
  <c r="BB82" i="59"/>
  <c r="AY4" i="49"/>
  <c r="AZ17" i="45"/>
  <c r="AZ5" i="45"/>
  <c r="BH3" i="53"/>
  <c r="BH15" i="52"/>
  <c r="BI9" i="52"/>
  <c r="BI11" i="52" s="1"/>
  <c r="BE7" i="45"/>
  <c r="AK4" i="44"/>
  <c r="AZ79" i="59"/>
  <c r="AV24" i="49"/>
  <c r="CG6" i="53" l="1"/>
  <c r="CH14" i="52"/>
  <c r="CH4" i="53"/>
  <c r="CH15" i="53" s="1"/>
  <c r="BI3" i="53"/>
  <c r="BI15" i="52"/>
  <c r="BJ9" i="52"/>
  <c r="BJ11" i="52" s="1"/>
  <c r="BF7" i="45"/>
  <c r="AL4" i="44"/>
  <c r="BH27" i="52"/>
  <c r="BH18" i="52"/>
  <c r="BH24" i="52" s="1"/>
  <c r="BH26" i="52" s="1"/>
  <c r="AX23" i="49"/>
  <c r="V81" i="59"/>
  <c r="V87" i="59" s="1"/>
  <c r="T29" i="45"/>
  <c r="BJ2" i="52"/>
  <c r="BI6" i="52"/>
  <c r="BE20" i="53"/>
  <c r="BE19" i="53" s="1"/>
  <c r="BE22" i="53"/>
  <c r="BB4" i="45" s="1"/>
  <c r="BC82" i="59"/>
  <c r="AZ4" i="49"/>
  <c r="BA17" i="45"/>
  <c r="BA5" i="45"/>
  <c r="AZ5" i="49" s="1"/>
  <c r="BA79" i="59"/>
  <c r="AW24" i="49"/>
  <c r="BB27" i="45"/>
  <c r="BB15" i="44"/>
  <c r="BJ17" i="54"/>
  <c r="BJ6" i="55" s="1"/>
  <c r="BJ7" i="55" s="1"/>
  <c r="BH14" i="45" s="1"/>
  <c r="BK9" i="54"/>
  <c r="AY5" i="49"/>
  <c r="AY17" i="49" s="1"/>
  <c r="BH16" i="53"/>
  <c r="BH5" i="53"/>
  <c r="T14" i="51"/>
  <c r="T15" i="51"/>
  <c r="BG84" i="59"/>
  <c r="BC7" i="49"/>
  <c r="BE16" i="45"/>
  <c r="AZ11" i="45"/>
  <c r="BC21" i="44"/>
  <c r="BD19" i="44"/>
  <c r="BG17" i="53"/>
  <c r="BG8" i="53"/>
  <c r="R16" i="44"/>
  <c r="R29" i="44" s="1"/>
  <c r="BD25" i="45"/>
  <c r="BB27" i="49" s="1"/>
  <c r="BC9" i="44"/>
  <c r="BG28" i="52"/>
  <c r="BG29" i="52" s="1"/>
  <c r="BG31" i="52"/>
  <c r="BG32" i="52" s="1"/>
  <c r="BB22" i="49"/>
  <c r="BC78" i="59"/>
  <c r="AY30" i="49"/>
  <c r="BE20" i="49"/>
  <c r="BF10" i="53"/>
  <c r="BF13" i="53"/>
  <c r="AY20" i="45"/>
  <c r="AY22" i="45" s="1"/>
  <c r="CH6" i="53" l="1"/>
  <c r="CI14" i="52"/>
  <c r="CI4" i="53"/>
  <c r="CI15" i="53" s="1"/>
  <c r="T20" i="51"/>
  <c r="T22" i="51" s="1"/>
  <c r="U24" i="45"/>
  <c r="BE25" i="45"/>
  <c r="BC27" i="49" s="1"/>
  <c r="BD9" i="44"/>
  <c r="BG13" i="53"/>
  <c r="BG10" i="53"/>
  <c r="BD78" i="59"/>
  <c r="AZ30" i="49"/>
  <c r="BA11" i="45"/>
  <c r="BJ6" i="52"/>
  <c r="BK2" i="52"/>
  <c r="BJ3" i="53"/>
  <c r="BJ15" i="52"/>
  <c r="BK9" i="52"/>
  <c r="BK11" i="52" s="1"/>
  <c r="BG7" i="45"/>
  <c r="BL9" i="54"/>
  <c r="BK17" i="54"/>
  <c r="BK6" i="55" s="1"/>
  <c r="BK7" i="55" s="1"/>
  <c r="BI14" i="45" s="1"/>
  <c r="T31" i="45"/>
  <c r="S6" i="44" s="1"/>
  <c r="T32" i="45"/>
  <c r="BI18" i="52"/>
  <c r="BI24" i="52" s="1"/>
  <c r="BI26" i="52" s="1"/>
  <c r="BI27" i="52"/>
  <c r="BF22" i="53"/>
  <c r="BC4" i="45" s="1"/>
  <c r="BF20" i="53"/>
  <c r="BF19" i="53" s="1"/>
  <c r="AZ18" i="45"/>
  <c r="BH17" i="53"/>
  <c r="BH8" i="53"/>
  <c r="BD21" i="44"/>
  <c r="BE19" i="44"/>
  <c r="BC22" i="49"/>
  <c r="T24" i="51"/>
  <c r="T25" i="51" s="1"/>
  <c r="T27" i="51" s="1"/>
  <c r="U4" i="51"/>
  <c r="T7" i="44"/>
  <c r="T30" i="44" s="1"/>
  <c r="BF20" i="49"/>
  <c r="AY23" i="49"/>
  <c r="BH28" i="52"/>
  <c r="BH29" i="52" s="1"/>
  <c r="BH31" i="52"/>
  <c r="BH32" i="52" s="1"/>
  <c r="BI5" i="53"/>
  <c r="BI16" i="53"/>
  <c r="BC27" i="45"/>
  <c r="BC15" i="44"/>
  <c r="AZ17" i="49"/>
  <c r="BD82" i="59"/>
  <c r="BA4" i="49"/>
  <c r="BB17" i="45"/>
  <c r="BB5" i="45"/>
  <c r="AM4" i="44"/>
  <c r="BH84" i="59"/>
  <c r="BD7" i="49"/>
  <c r="BF16" i="45"/>
  <c r="CI6" i="53" l="1"/>
  <c r="CJ4" i="53"/>
  <c r="CJ15" i="53" s="1"/>
  <c r="CJ14" i="52"/>
  <c r="BA5" i="49"/>
  <c r="BA17" i="49" s="1"/>
  <c r="AZ23" i="49"/>
  <c r="BI17" i="53"/>
  <c r="BI8" i="53"/>
  <c r="BD22" i="49"/>
  <c r="AN4" i="44"/>
  <c r="BD27" i="45"/>
  <c r="BD15" i="44"/>
  <c r="BH10" i="53"/>
  <c r="BH13" i="53"/>
  <c r="BI31" i="52"/>
  <c r="BI32" i="52" s="1"/>
  <c r="BI28" i="52"/>
  <c r="BI29" i="52" s="1"/>
  <c r="BG20" i="49"/>
  <c r="BK3" i="53"/>
  <c r="BK15" i="52"/>
  <c r="BL9" i="52"/>
  <c r="BL11" i="52" s="1"/>
  <c r="BH7" i="45"/>
  <c r="BA18" i="45"/>
  <c r="U14" i="51"/>
  <c r="U15" i="51"/>
  <c r="BL17" i="54"/>
  <c r="BL6" i="55" s="1"/>
  <c r="BL7" i="55" s="1"/>
  <c r="BJ14" i="45" s="1"/>
  <c r="BM9" i="54"/>
  <c r="BJ18" i="52"/>
  <c r="BJ24" i="52" s="1"/>
  <c r="BJ26" i="52" s="1"/>
  <c r="BJ27" i="52"/>
  <c r="BK6" i="52"/>
  <c r="BL2" i="52"/>
  <c r="BG22" i="53"/>
  <c r="BD4" i="45" s="1"/>
  <c r="BG20" i="53"/>
  <c r="BG19" i="53" s="1"/>
  <c r="W81" i="59"/>
  <c r="W87" i="59" s="1"/>
  <c r="U29" i="45"/>
  <c r="BE21" i="44"/>
  <c r="BF19" i="44"/>
  <c r="BJ16" i="53"/>
  <c r="BJ5" i="53"/>
  <c r="BF25" i="45"/>
  <c r="BD27" i="49" s="1"/>
  <c r="BE9" i="44"/>
  <c r="BE78" i="59"/>
  <c r="BA30" i="49"/>
  <c r="BB11" i="45"/>
  <c r="BB79" i="59"/>
  <c r="AX24" i="49"/>
  <c r="AZ20" i="45"/>
  <c r="AZ22" i="45" s="1"/>
  <c r="BE82" i="59"/>
  <c r="BB4" i="49"/>
  <c r="BC17" i="45"/>
  <c r="BC5" i="45"/>
  <c r="BB5" i="49" s="1"/>
  <c r="S16" i="44"/>
  <c r="S29" i="44" s="1"/>
  <c r="BI84" i="59"/>
  <c r="BE7" i="49"/>
  <c r="BG16" i="45"/>
  <c r="CJ6" i="53" l="1"/>
  <c r="CK4" i="53"/>
  <c r="CK15" i="53" s="1"/>
  <c r="CK14" i="52"/>
  <c r="BC11" i="45"/>
  <c r="BJ31" i="52"/>
  <c r="BJ32" i="52" s="1"/>
  <c r="BJ28" i="52"/>
  <c r="BJ29" i="52" s="1"/>
  <c r="BC79" i="59"/>
  <c r="AY24" i="49"/>
  <c r="BA20" i="45"/>
  <c r="BA22" i="45" s="1"/>
  <c r="BK16" i="53"/>
  <c r="BK5" i="53"/>
  <c r="BF78" i="59"/>
  <c r="BB30" i="49"/>
  <c r="BA23" i="49"/>
  <c r="BB18" i="45"/>
  <c r="BG25" i="45"/>
  <c r="BE27" i="49" s="1"/>
  <c r="BF9" i="44"/>
  <c r="BE22" i="49"/>
  <c r="BB17" i="49"/>
  <c r="BJ17" i="53"/>
  <c r="BJ8" i="53"/>
  <c r="U32" i="45"/>
  <c r="U31" i="45"/>
  <c r="T6" i="44" s="1"/>
  <c r="BF82" i="59"/>
  <c r="BC4" i="49"/>
  <c r="BD17" i="45"/>
  <c r="BD5" i="45"/>
  <c r="BC5" i="49" s="1"/>
  <c r="U24" i="51"/>
  <c r="U25" i="51" s="1"/>
  <c r="U27" i="51" s="1"/>
  <c r="V4" i="51"/>
  <c r="U7" i="44"/>
  <c r="U30" i="44" s="1"/>
  <c r="BJ84" i="59"/>
  <c r="BF7" i="49"/>
  <c r="BH16" i="45"/>
  <c r="BH22" i="53"/>
  <c r="BE4" i="45" s="1"/>
  <c r="BH20" i="53"/>
  <c r="BH19" i="53" s="1"/>
  <c r="BI10" i="53"/>
  <c r="BI13" i="53"/>
  <c r="BL6" i="52"/>
  <c r="BM2" i="52"/>
  <c r="BM17" i="54"/>
  <c r="BM6" i="55" s="1"/>
  <c r="BM7" i="55" s="1"/>
  <c r="BK14" i="45" s="1"/>
  <c r="BN9" i="54"/>
  <c r="U20" i="51"/>
  <c r="U22" i="51" s="1"/>
  <c r="V24" i="45"/>
  <c r="BL3" i="53"/>
  <c r="BL15" i="52"/>
  <c r="BM9" i="52"/>
  <c r="BM11" i="52" s="1"/>
  <c r="BI7" i="45"/>
  <c r="BF21" i="44"/>
  <c r="BG19" i="44"/>
  <c r="M17" i="43"/>
  <c r="BH20" i="49"/>
  <c r="BK27" i="52"/>
  <c r="BK18" i="52"/>
  <c r="BK24" i="52" s="1"/>
  <c r="BK26" i="52" s="1"/>
  <c r="BE27" i="45"/>
  <c r="BE15" i="44"/>
  <c r="AO4" i="44"/>
  <c r="CK6" i="53" l="1"/>
  <c r="CL4" i="53"/>
  <c r="CL15" i="53" s="1"/>
  <c r="CL14" i="52"/>
  <c r="BC17" i="49"/>
  <c r="M29" i="43"/>
  <c r="M30" i="43" s="1"/>
  <c r="M4" i="50" s="1"/>
  <c r="M5" i="50" s="1"/>
  <c r="M23" i="50" s="1"/>
  <c r="M19" i="43"/>
  <c r="M12" i="42"/>
  <c r="BL27" i="52"/>
  <c r="BL18" i="52"/>
  <c r="BL24" i="52" s="1"/>
  <c r="BL26" i="52" s="1"/>
  <c r="BN17" i="54"/>
  <c r="BN6" i="55" s="1"/>
  <c r="BN7" i="55" s="1"/>
  <c r="BL14" i="45" s="1"/>
  <c r="BO9" i="54"/>
  <c r="BD11" i="45"/>
  <c r="BG82" i="59"/>
  <c r="BD4" i="49"/>
  <c r="BE17" i="45"/>
  <c r="BE5" i="45"/>
  <c r="BD5" i="49" s="1"/>
  <c r="BD79" i="59"/>
  <c r="AZ24" i="49"/>
  <c r="BB20" i="45"/>
  <c r="BB22" i="45" s="1"/>
  <c r="BG21" i="44"/>
  <c r="BH19" i="44"/>
  <c r="BL16" i="53"/>
  <c r="BL5" i="53"/>
  <c r="BI20" i="49"/>
  <c r="BI20" i="53"/>
  <c r="BI19" i="53" s="1"/>
  <c r="BI22" i="53"/>
  <c r="BF4" i="45" s="1"/>
  <c r="BF22" i="49"/>
  <c r="V14" i="51"/>
  <c r="V15" i="51"/>
  <c r="T16" i="44"/>
  <c r="T29" i="44" s="1"/>
  <c r="BH25" i="45"/>
  <c r="BF27" i="49" s="1"/>
  <c r="BG9" i="44"/>
  <c r="M9" i="43"/>
  <c r="BK17" i="53"/>
  <c r="BK8" i="53"/>
  <c r="AP4" i="44"/>
  <c r="BM3" i="53"/>
  <c r="BM15" i="52"/>
  <c r="BN9" i="52"/>
  <c r="BN11" i="52" s="1"/>
  <c r="BJ7" i="45"/>
  <c r="BJ10" i="53"/>
  <c r="BJ13" i="53"/>
  <c r="BK31" i="52"/>
  <c r="BK32" i="52" s="1"/>
  <c r="BK28" i="52"/>
  <c r="BK29" i="52" s="1"/>
  <c r="BF27" i="45"/>
  <c r="BF15" i="44"/>
  <c r="BG78" i="59"/>
  <c r="BC30" i="49"/>
  <c r="BK84" i="59"/>
  <c r="BG7" i="49"/>
  <c r="BI16" i="45"/>
  <c r="X81" i="59"/>
  <c r="X87" i="59" s="1"/>
  <c r="V29" i="45"/>
  <c r="BM6" i="52"/>
  <c r="BN2" i="52"/>
  <c r="BB23" i="49"/>
  <c r="BC18" i="45"/>
  <c r="CL6" i="53" l="1"/>
  <c r="CM4" i="53"/>
  <c r="CM15" i="53" s="1"/>
  <c r="CM14" i="52"/>
  <c r="BE11" i="45"/>
  <c r="BE18" i="45" s="1"/>
  <c r="BD17" i="49"/>
  <c r="BN15" i="52"/>
  <c r="BO9" i="52"/>
  <c r="BO11" i="52" s="1"/>
  <c r="BN3" i="53"/>
  <c r="BK7" i="45"/>
  <c r="AQ4" i="44"/>
  <c r="BH82" i="59"/>
  <c r="BE4" i="49"/>
  <c r="BF17" i="45"/>
  <c r="BF5" i="45"/>
  <c r="BE5" i="49" s="1"/>
  <c r="BL17" i="53"/>
  <c r="BL8" i="53"/>
  <c r="BD18" i="45"/>
  <c r="BL28" i="52"/>
  <c r="BL29" i="52" s="1"/>
  <c r="BL31" i="52"/>
  <c r="BL32" i="52" s="1"/>
  <c r="BE79" i="59"/>
  <c r="BA24" i="49"/>
  <c r="BC20" i="45"/>
  <c r="BC22" i="45" s="1"/>
  <c r="V32" i="45"/>
  <c r="V31" i="45"/>
  <c r="U6" i="44" s="1"/>
  <c r="U16" i="44" s="1"/>
  <c r="U29" i="44" s="1"/>
  <c r="BG27" i="45"/>
  <c r="M13" i="43"/>
  <c r="M8" i="42" s="1"/>
  <c r="BG15" i="44"/>
  <c r="M11" i="43"/>
  <c r="BJ22" i="53"/>
  <c r="BG4" i="45" s="1"/>
  <c r="BJ20" i="53"/>
  <c r="BJ19" i="53" s="1"/>
  <c r="BM18" i="52"/>
  <c r="BM24" i="52" s="1"/>
  <c r="BM26" i="52" s="1"/>
  <c r="BM27" i="52"/>
  <c r="BP9" i="54"/>
  <c r="BO17" i="54"/>
  <c r="BO6" i="55" s="1"/>
  <c r="BO7" i="55" s="1"/>
  <c r="BM14" i="45" s="1"/>
  <c r="BL84" i="59"/>
  <c r="BH7" i="49"/>
  <c r="BJ16" i="45"/>
  <c r="BK13" i="53"/>
  <c r="BK10" i="53"/>
  <c r="BN6" i="52"/>
  <c r="BO2" i="52"/>
  <c r="BG22" i="49"/>
  <c r="BH78" i="59"/>
  <c r="BD30" i="49"/>
  <c r="BM16" i="53"/>
  <c r="BM5" i="53"/>
  <c r="BI25" i="45"/>
  <c r="BG27" i="49" s="1"/>
  <c r="BH9" i="44"/>
  <c r="W4" i="51"/>
  <c r="V24" i="51"/>
  <c r="V25" i="51" s="1"/>
  <c r="V27" i="51" s="1"/>
  <c r="V7" i="44"/>
  <c r="BH21" i="44"/>
  <c r="BI19" i="44"/>
  <c r="BJ20" i="49"/>
  <c r="V20" i="51"/>
  <c r="V22" i="51" s="1"/>
  <c r="W24" i="45"/>
  <c r="BC23" i="49"/>
  <c r="CM6" i="53" l="1"/>
  <c r="CN14" i="52"/>
  <c r="CN4" i="53"/>
  <c r="CN15" i="53" s="1"/>
  <c r="W14" i="51"/>
  <c r="X24" i="45" s="1"/>
  <c r="W15" i="51"/>
  <c r="BH22" i="49"/>
  <c r="BG79" i="59"/>
  <c r="BC24" i="49"/>
  <c r="BH27" i="45"/>
  <c r="BH15" i="44"/>
  <c r="BP17" i="54"/>
  <c r="BP6" i="55" s="1"/>
  <c r="BP7" i="55" s="1"/>
  <c r="BN14" i="45" s="1"/>
  <c r="BQ9" i="54"/>
  <c r="BL10" i="53"/>
  <c r="BL13" i="53"/>
  <c r="BF11" i="45"/>
  <c r="AR4" i="44"/>
  <c r="BN18" i="52"/>
  <c r="BN24" i="52" s="1"/>
  <c r="BN26" i="52" s="1"/>
  <c r="BN27" i="52"/>
  <c r="Y81" i="59"/>
  <c r="Y87" i="59" s="1"/>
  <c r="W29" i="45"/>
  <c r="BF79" i="59"/>
  <c r="BB24" i="49"/>
  <c r="BD20" i="45"/>
  <c r="BD22" i="45" s="1"/>
  <c r="BN16" i="53"/>
  <c r="BN5" i="53"/>
  <c r="BM8" i="53"/>
  <c r="BM17" i="53"/>
  <c r="BK20" i="49"/>
  <c r="BD23" i="49"/>
  <c r="BO3" i="53"/>
  <c r="BP9" i="52"/>
  <c r="BP11" i="52" s="1"/>
  <c r="BO15" i="52"/>
  <c r="BL7" i="45"/>
  <c r="BE20" i="45"/>
  <c r="BE22" i="45" s="1"/>
  <c r="BI21" i="44"/>
  <c r="BJ19" i="44"/>
  <c r="V30" i="44"/>
  <c r="J6" i="43"/>
  <c r="V16" i="44"/>
  <c r="V29" i="44" s="1"/>
  <c r="BJ25" i="45"/>
  <c r="BH27" i="49" s="1"/>
  <c r="BI9" i="44"/>
  <c r="BO6" i="52"/>
  <c r="BP2" i="52"/>
  <c r="BK22" i="53"/>
  <c r="BH4" i="45" s="1"/>
  <c r="BK20" i="53"/>
  <c r="BK19" i="53" s="1"/>
  <c r="BM31" i="52"/>
  <c r="BM32" i="52" s="1"/>
  <c r="BM28" i="52"/>
  <c r="BM29" i="52" s="1"/>
  <c r="BI82" i="59"/>
  <c r="BF4" i="49"/>
  <c r="BG17" i="45"/>
  <c r="BG5" i="45"/>
  <c r="BF5" i="49" s="1"/>
  <c r="BI78" i="59"/>
  <c r="BE30" i="49"/>
  <c r="BE17" i="49"/>
  <c r="BM84" i="59"/>
  <c r="BI7" i="49"/>
  <c r="BK16" i="45"/>
  <c r="CN6" i="53" l="1"/>
  <c r="CO14" i="52"/>
  <c r="CO4" i="53"/>
  <c r="CO15" i="53" s="1"/>
  <c r="BK25" i="45"/>
  <c r="BI27" i="49" s="1"/>
  <c r="BJ9" i="44"/>
  <c r="BM10" i="53"/>
  <c r="BM13" i="53"/>
  <c r="W31" i="45"/>
  <c r="W32" i="45"/>
  <c r="BL20" i="49"/>
  <c r="BN17" i="53"/>
  <c r="BN8" i="53"/>
  <c r="BI27" i="45"/>
  <c r="BI15" i="44"/>
  <c r="Z81" i="59"/>
  <c r="Z87" i="59" s="1"/>
  <c r="V26" i="49"/>
  <c r="X29" i="45"/>
  <c r="BI22" i="49"/>
  <c r="BG11" i="45"/>
  <c r="BP6" i="52"/>
  <c r="BQ2" i="52"/>
  <c r="BO16" i="53"/>
  <c r="BO5" i="53"/>
  <c r="AS4" i="44"/>
  <c r="BJ78" i="59"/>
  <c r="BF30" i="49"/>
  <c r="BO27" i="52"/>
  <c r="BO18" i="52"/>
  <c r="BO24" i="52" s="1"/>
  <c r="BO26" i="52" s="1"/>
  <c r="BL20" i="53"/>
  <c r="BL19" i="53" s="1"/>
  <c r="BL22" i="53"/>
  <c r="BI4" i="45" s="1"/>
  <c r="W24" i="51"/>
  <c r="W25" i="51" s="1"/>
  <c r="W27" i="51" s="1"/>
  <c r="X4" i="51"/>
  <c r="W7" i="44"/>
  <c r="W30" i="44" s="1"/>
  <c r="BE23" i="49"/>
  <c r="BJ82" i="59"/>
  <c r="BG4" i="49"/>
  <c r="BH17" i="45"/>
  <c r="BH5" i="45"/>
  <c r="BJ21" i="44"/>
  <c r="BK19" i="44"/>
  <c r="BP3" i="53"/>
  <c r="BP15" i="52"/>
  <c r="BQ9" i="52"/>
  <c r="BQ11" i="52" s="1"/>
  <c r="BM7" i="45"/>
  <c r="BF17" i="49"/>
  <c r="J17" i="50"/>
  <c r="J27" i="43"/>
  <c r="J14" i="42"/>
  <c r="J15" i="42" s="1"/>
  <c r="J16" i="42" s="1"/>
  <c r="J18" i="42" s="1"/>
  <c r="K17" i="42" s="1"/>
  <c r="J14" i="43"/>
  <c r="J26" i="43" s="1"/>
  <c r="BN84" i="59"/>
  <c r="BJ7" i="49"/>
  <c r="BL16" i="45"/>
  <c r="BN31" i="52"/>
  <c r="BN32" i="52" s="1"/>
  <c r="BN28" i="52"/>
  <c r="BN29" i="52" s="1"/>
  <c r="BF18" i="45"/>
  <c r="BQ17" i="54"/>
  <c r="BQ6" i="55" s="1"/>
  <c r="BQ7" i="55" s="1"/>
  <c r="BO14" i="45" s="1"/>
  <c r="BR9" i="54"/>
  <c r="CO6" i="53" l="1"/>
  <c r="CP14" i="52"/>
  <c r="CP4" i="53"/>
  <c r="CP15" i="53" s="1"/>
  <c r="BO84" i="59"/>
  <c r="BK7" i="49"/>
  <c r="BM16" i="45"/>
  <c r="BQ3" i="53"/>
  <c r="BQ15" i="52"/>
  <c r="BR9" i="52"/>
  <c r="BR11" i="52" s="1"/>
  <c r="BN7" i="45"/>
  <c r="BF23" i="49"/>
  <c r="BK82" i="59"/>
  <c r="BH4" i="49"/>
  <c r="BI17" i="45"/>
  <c r="BI5" i="45"/>
  <c r="BH5" i="49" s="1"/>
  <c r="BO31" i="52"/>
  <c r="BO32" i="52" s="1"/>
  <c r="BO28" i="52"/>
  <c r="BO29" i="52" s="1"/>
  <c r="BR2" i="52"/>
  <c r="BQ6" i="52"/>
  <c r="BJ27" i="45"/>
  <c r="BJ15" i="44"/>
  <c r="BP27" i="52"/>
  <c r="BP18" i="52"/>
  <c r="BP24" i="52" s="1"/>
  <c r="BP26" i="52" s="1"/>
  <c r="AT4" i="44"/>
  <c r="BO17" i="53"/>
  <c r="BO8" i="53"/>
  <c r="X31" i="45"/>
  <c r="W6" i="44" s="1"/>
  <c r="X32" i="45"/>
  <c r="BK78" i="59"/>
  <c r="BG30" i="49"/>
  <c r="BM22" i="53"/>
  <c r="BJ4" i="45" s="1"/>
  <c r="BM20" i="53"/>
  <c r="BM19" i="53" s="1"/>
  <c r="BM20" i="49"/>
  <c r="BK21" i="44"/>
  <c r="BL19" i="44"/>
  <c r="BG5" i="49"/>
  <c r="X14" i="51"/>
  <c r="Y24" i="45" s="1"/>
  <c r="X15" i="51"/>
  <c r="BH79" i="59"/>
  <c r="BD24" i="49"/>
  <c r="BF20" i="45"/>
  <c r="BF22" i="45" s="1"/>
  <c r="J31" i="50"/>
  <c r="J33" i="50" s="1"/>
  <c r="J39" i="50" s="1"/>
  <c r="J20" i="50"/>
  <c r="J26" i="50" s="1"/>
  <c r="BL25" i="45"/>
  <c r="BJ27" i="49" s="1"/>
  <c r="BK9" i="44"/>
  <c r="BJ22" i="49"/>
  <c r="BR17" i="54"/>
  <c r="BR6" i="55" s="1"/>
  <c r="BR7" i="55" s="1"/>
  <c r="BP14" i="45" s="1"/>
  <c r="BS9" i="54"/>
  <c r="BP16" i="53"/>
  <c r="BP5" i="53"/>
  <c r="BH11" i="45"/>
  <c r="BG18" i="45"/>
  <c r="V37" i="49"/>
  <c r="V38" i="49" s="1"/>
  <c r="V40" i="49" s="1"/>
  <c r="BN10" i="53"/>
  <c r="BN13" i="53"/>
  <c r="CP6" i="53" l="1"/>
  <c r="BI11" i="45"/>
  <c r="BI18" i="45" s="1"/>
  <c r="BI20" i="45" s="1"/>
  <c r="BI22" i="45" s="1"/>
  <c r="CQ14" i="52"/>
  <c r="CQ4" i="53"/>
  <c r="CQ15" i="53" s="1"/>
  <c r="BO13" i="53"/>
  <c r="BO10" i="53"/>
  <c r="BH17" i="49"/>
  <c r="W17" i="51"/>
  <c r="W39" i="49"/>
  <c r="W23" i="44"/>
  <c r="W27" i="44" s="1"/>
  <c r="BG17" i="49"/>
  <c r="X24" i="51"/>
  <c r="X25" i="51"/>
  <c r="X27" i="51" s="1"/>
  <c r="Y4" i="51"/>
  <c r="X7" i="44"/>
  <c r="X30" i="44" s="1"/>
  <c r="BL21" i="44"/>
  <c r="BM19" i="44"/>
  <c r="BP31" i="52"/>
  <c r="BP32" i="52" s="1"/>
  <c r="BP28" i="52"/>
  <c r="BP29" i="52" s="1"/>
  <c r="BQ18" i="52"/>
  <c r="BQ24" i="52" s="1"/>
  <c r="BQ26" i="52" s="1"/>
  <c r="BQ27" i="52"/>
  <c r="BK22" i="49"/>
  <c r="BI79" i="59"/>
  <c r="BE24" i="49"/>
  <c r="BG20" i="45"/>
  <c r="BG22" i="45" s="1"/>
  <c r="BP17" i="53"/>
  <c r="BP8" i="53"/>
  <c r="BR15" i="52"/>
  <c r="BS9" i="52"/>
  <c r="BS11" i="52" s="1"/>
  <c r="BR3" i="53"/>
  <c r="BO7" i="45"/>
  <c r="BM25" i="45"/>
  <c r="BK27" i="49" s="1"/>
  <c r="BL9" i="44"/>
  <c r="AA81" i="59"/>
  <c r="AA87" i="59" s="1"/>
  <c r="W26" i="49"/>
  <c r="Y29" i="45"/>
  <c r="L3" i="43"/>
  <c r="AU4" i="44"/>
  <c r="BK27" i="45"/>
  <c r="BK15" i="44"/>
  <c r="BR6" i="52"/>
  <c r="BS2" i="52"/>
  <c r="BQ5" i="53"/>
  <c r="BQ16" i="53"/>
  <c r="BN20" i="49"/>
  <c r="BN22" i="53"/>
  <c r="BK4" i="45" s="1"/>
  <c r="BN20" i="53"/>
  <c r="BN19" i="53" s="1"/>
  <c r="BH18" i="45"/>
  <c r="BT9" i="54"/>
  <c r="BS17" i="54"/>
  <c r="BS6" i="55" s="1"/>
  <c r="BS7" i="55" s="1"/>
  <c r="BQ14" i="45" s="1"/>
  <c r="BL82" i="59"/>
  <c r="BI4" i="49"/>
  <c r="BJ17" i="45"/>
  <c r="BJ5" i="45"/>
  <c r="BJ11" i="45" s="1"/>
  <c r="W16" i="44"/>
  <c r="W29" i="44" s="1"/>
  <c r="BL78" i="59"/>
  <c r="BH30" i="49"/>
  <c r="BG23" i="49"/>
  <c r="BP84" i="59"/>
  <c r="BL7" i="49"/>
  <c r="BN16" i="45"/>
  <c r="CQ6" i="53" l="1"/>
  <c r="CR4" i="53"/>
  <c r="CR15" i="53" s="1"/>
  <c r="CR14" i="52"/>
  <c r="BM78" i="59"/>
  <c r="BI30" i="49"/>
  <c r="BR16" i="53"/>
  <c r="BR5" i="53"/>
  <c r="BM21" i="44"/>
  <c r="BN19" i="44"/>
  <c r="BI5" i="49"/>
  <c r="BI17" i="49" s="1"/>
  <c r="BJ79" i="59"/>
  <c r="BF24" i="49"/>
  <c r="BH20" i="45"/>
  <c r="BH22" i="45" s="1"/>
  <c r="BS6" i="52"/>
  <c r="BT2" i="52"/>
  <c r="Y32" i="45"/>
  <c r="Y31" i="45"/>
  <c r="X6" i="44" s="1"/>
  <c r="BN25" i="45"/>
  <c r="BL27" i="49" s="1"/>
  <c r="BM9" i="44"/>
  <c r="BS3" i="53"/>
  <c r="BT9" i="52"/>
  <c r="BT11" i="52" s="1"/>
  <c r="BS15" i="52"/>
  <c r="BP7" i="45"/>
  <c r="BK79" i="59"/>
  <c r="BG24" i="49"/>
  <c r="BL22" i="49"/>
  <c r="BM82" i="59"/>
  <c r="BJ4" i="49"/>
  <c r="BK17" i="45"/>
  <c r="BK5" i="45"/>
  <c r="BJ5" i="49" s="1"/>
  <c r="BO20" i="49"/>
  <c r="AV4" i="44"/>
  <c r="W37" i="49"/>
  <c r="W38" i="49" s="1"/>
  <c r="W40" i="49" s="1"/>
  <c r="BR18" i="52"/>
  <c r="BR24" i="52" s="1"/>
  <c r="BR26" i="52" s="1"/>
  <c r="BR27" i="52"/>
  <c r="BQ17" i="53"/>
  <c r="BQ8" i="53"/>
  <c r="BP13" i="53"/>
  <c r="BP10" i="53"/>
  <c r="BH23" i="49"/>
  <c r="BJ18" i="45"/>
  <c r="BJ20" i="45" s="1"/>
  <c r="BJ22" i="45" s="1"/>
  <c r="BT17" i="54"/>
  <c r="BT6" i="55" s="1"/>
  <c r="BT7" i="55" s="1"/>
  <c r="BR14" i="45" s="1"/>
  <c r="BU9" i="54"/>
  <c r="BL27" i="45"/>
  <c r="BL15" i="44"/>
  <c r="BQ84" i="59"/>
  <c r="BM7" i="49"/>
  <c r="BO16" i="45"/>
  <c r="BQ31" i="52"/>
  <c r="BQ32" i="52" s="1"/>
  <c r="BQ28" i="52"/>
  <c r="BQ29" i="52" s="1"/>
  <c r="Y14" i="51"/>
  <c r="Z24" i="45" s="1"/>
  <c r="Z13" i="51"/>
  <c r="Y15" i="51"/>
  <c r="AD13" i="51"/>
  <c r="AC13" i="51"/>
  <c r="AB13" i="51"/>
  <c r="BO22" i="53"/>
  <c r="BL4" i="45" s="1"/>
  <c r="BO20" i="53"/>
  <c r="BO19" i="53" s="1"/>
  <c r="CR6" i="53" l="1"/>
  <c r="CS4" i="53"/>
  <c r="CS15" i="53" s="1"/>
  <c r="CS14" i="52"/>
  <c r="BK11" i="45"/>
  <c r="BK18" i="45" s="1"/>
  <c r="AA33" i="49"/>
  <c r="BP20" i="49"/>
  <c r="BP22" i="53"/>
  <c r="BM4" i="45" s="1"/>
  <c r="BP20" i="53"/>
  <c r="BP19" i="53" s="1"/>
  <c r="AB33" i="49"/>
  <c r="AB81" i="59"/>
  <c r="AB87" i="59" s="1"/>
  <c r="X26" i="49"/>
  <c r="Z29" i="45"/>
  <c r="BM27" i="45"/>
  <c r="BM15" i="44"/>
  <c r="BL79" i="59"/>
  <c r="BH24" i="49"/>
  <c r="BQ10" i="53"/>
  <c r="BQ13" i="53"/>
  <c r="AW4" i="44"/>
  <c r="BJ17" i="49"/>
  <c r="BS16" i="53"/>
  <c r="BS5" i="53"/>
  <c r="BR17" i="53"/>
  <c r="BR8" i="53"/>
  <c r="Y33" i="49"/>
  <c r="BM22" i="49"/>
  <c r="BR31" i="52"/>
  <c r="BR32" i="52" s="1"/>
  <c r="BR28" i="52"/>
  <c r="BR29" i="52" s="1"/>
  <c r="BT3" i="53"/>
  <c r="BT15" i="52"/>
  <c r="BU9" i="52"/>
  <c r="BU11" i="52" s="1"/>
  <c r="BQ7" i="45"/>
  <c r="X16" i="44"/>
  <c r="AC33" i="49"/>
  <c r="BN78" i="59"/>
  <c r="BJ30" i="49"/>
  <c r="BR84" i="59"/>
  <c r="BN7" i="49"/>
  <c r="BP16" i="45"/>
  <c r="BO25" i="45"/>
  <c r="BM27" i="49" s="1"/>
  <c r="BN9" i="44"/>
  <c r="BT6" i="52"/>
  <c r="BU2" i="52"/>
  <c r="BN82" i="59"/>
  <c r="BK4" i="49"/>
  <c r="BL17" i="45"/>
  <c r="BL5" i="45"/>
  <c r="BL11" i="45" s="1"/>
  <c r="Y24" i="51"/>
  <c r="Y25" i="51" s="1"/>
  <c r="Y27" i="51" s="1"/>
  <c r="Z4" i="51"/>
  <c r="Y7" i="44"/>
  <c r="Y30" i="44" s="1"/>
  <c r="BU17" i="54"/>
  <c r="BU6" i="55" s="1"/>
  <c r="BU7" i="55" s="1"/>
  <c r="BS14" i="45" s="1"/>
  <c r="BV9" i="54"/>
  <c r="X17" i="51"/>
  <c r="X39" i="49"/>
  <c r="X23" i="44"/>
  <c r="X27" i="44" s="1"/>
  <c r="BI23" i="49"/>
  <c r="BS27" i="52"/>
  <c r="BS18" i="52"/>
  <c r="BS24" i="52" s="1"/>
  <c r="BS26" i="52" s="1"/>
  <c r="BN21" i="44"/>
  <c r="BO19" i="44"/>
  <c r="CS6" i="53" l="1"/>
  <c r="CT4" i="53"/>
  <c r="CT15" i="53" s="1"/>
  <c r="CT14" i="52"/>
  <c r="BL18" i="45"/>
  <c r="BL20" i="45" s="1"/>
  <c r="BL22" i="45" s="1"/>
  <c r="BS28" i="52"/>
  <c r="BS29" i="52" s="1"/>
  <c r="BS31" i="52"/>
  <c r="BS32" i="52" s="1"/>
  <c r="BU6" i="52"/>
  <c r="BV2" i="52"/>
  <c r="BN22" i="49"/>
  <c r="BU3" i="53"/>
  <c r="BU15" i="52"/>
  <c r="BV9" i="52"/>
  <c r="BV11" i="52" s="1"/>
  <c r="BR7" i="45"/>
  <c r="BM79" i="59"/>
  <c r="BI24" i="49"/>
  <c r="BR10" i="53"/>
  <c r="BR13" i="53"/>
  <c r="BS17" i="53"/>
  <c r="BS8" i="53"/>
  <c r="BN27" i="45"/>
  <c r="BN15" i="44"/>
  <c r="BP19" i="44"/>
  <c r="BO21" i="44"/>
  <c r="BK20" i="45"/>
  <c r="BK22" i="45" s="1"/>
  <c r="X29" i="44"/>
  <c r="BT27" i="52"/>
  <c r="BT18" i="52"/>
  <c r="BT24" i="52" s="1"/>
  <c r="BT26" i="52" s="1"/>
  <c r="AX4" i="44"/>
  <c r="BO78" i="59"/>
  <c r="BK30" i="49"/>
  <c r="Z14" i="51"/>
  <c r="AA24" i="45" s="1"/>
  <c r="Z11" i="51"/>
  <c r="AA10" i="45" s="1"/>
  <c r="BK5" i="49"/>
  <c r="BK17" i="49" s="1"/>
  <c r="BP25" i="45"/>
  <c r="BN27" i="49" s="1"/>
  <c r="BO9" i="44"/>
  <c r="BT16" i="53"/>
  <c r="BT5" i="53"/>
  <c r="Z32" i="45"/>
  <c r="Z31" i="45"/>
  <c r="Y6" i="44" s="1"/>
  <c r="BO82" i="59"/>
  <c r="BL4" i="49"/>
  <c r="BM17" i="45"/>
  <c r="BM5" i="45"/>
  <c r="BL5" i="49" s="1"/>
  <c r="BQ20" i="49"/>
  <c r="BV17" i="54"/>
  <c r="BV6" i="55" s="1"/>
  <c r="BV7" i="55" s="1"/>
  <c r="BT14" i="45" s="1"/>
  <c r="BW9" i="54"/>
  <c r="BJ23" i="49"/>
  <c r="BS84" i="59"/>
  <c r="BO7" i="49"/>
  <c r="BQ16" i="45"/>
  <c r="Z15" i="51"/>
  <c r="BQ20" i="53"/>
  <c r="BQ19" i="53" s="1"/>
  <c r="BQ22" i="53"/>
  <c r="BN4" i="45" s="1"/>
  <c r="X37" i="49"/>
  <c r="X38" i="49" s="1"/>
  <c r="X40" i="49" s="1"/>
  <c r="CT6" i="53" l="1"/>
  <c r="CU4" i="53"/>
  <c r="CU15" i="53" s="1"/>
  <c r="CU14" i="52"/>
  <c r="BL17" i="49"/>
  <c r="BM11" i="45"/>
  <c r="BM18" i="45" s="1"/>
  <c r="BM20" i="45" s="1"/>
  <c r="BM22" i="45" s="1"/>
  <c r="AY4" i="44"/>
  <c r="BT28" i="52"/>
  <c r="BT29" i="52" s="1"/>
  <c r="BT31" i="52"/>
  <c r="BT32" i="52" s="1"/>
  <c r="BP78" i="59"/>
  <c r="BL30" i="49"/>
  <c r="BR22" i="53"/>
  <c r="BO4" i="45" s="1"/>
  <c r="BR20" i="53"/>
  <c r="BR19" i="53" s="1"/>
  <c r="BT84" i="59"/>
  <c r="BP7" i="49"/>
  <c r="BR16" i="45"/>
  <c r="BP82" i="59"/>
  <c r="BM4" i="49"/>
  <c r="BN17" i="45"/>
  <c r="BN5" i="45"/>
  <c r="BO22" i="49"/>
  <c r="Y16" i="44"/>
  <c r="BQ19" i="44"/>
  <c r="BP21" i="44"/>
  <c r="BV15" i="52"/>
  <c r="BW9" i="52"/>
  <c r="BW11" i="52" s="1"/>
  <c r="BV3" i="53"/>
  <c r="BS7" i="45"/>
  <c r="Z25" i="51"/>
  <c r="Z27" i="51" s="1"/>
  <c r="AA4" i="51"/>
  <c r="Z24" i="51"/>
  <c r="Z7" i="44"/>
  <c r="Z30" i="44" s="1"/>
  <c r="BR20" i="49"/>
  <c r="BK23" i="49"/>
  <c r="BQ25" i="45"/>
  <c r="BO27" i="49" s="1"/>
  <c r="BP9" i="44"/>
  <c r="K9" i="46"/>
  <c r="AA11" i="45"/>
  <c r="BS13" i="53"/>
  <c r="BS10" i="53"/>
  <c r="BU18" i="52"/>
  <c r="BU24" i="52" s="1"/>
  <c r="BU26" i="52" s="1"/>
  <c r="BU27" i="52"/>
  <c r="BV6" i="52"/>
  <c r="BW2" i="52"/>
  <c r="BT17" i="53"/>
  <c r="BT8" i="53"/>
  <c r="Y17" i="51"/>
  <c r="Y39" i="49"/>
  <c r="Y23" i="44"/>
  <c r="Y27" i="44" s="1"/>
  <c r="BX9" i="54"/>
  <c r="BW17" i="54"/>
  <c r="BW6" i="55" s="1"/>
  <c r="BW7" i="55" s="1"/>
  <c r="BU14" i="45" s="1"/>
  <c r="AC81" i="59"/>
  <c r="Y26" i="49"/>
  <c r="BO27" i="45"/>
  <c r="BO15" i="44"/>
  <c r="BU16" i="53"/>
  <c r="BU5" i="53"/>
  <c r="BN79" i="59"/>
  <c r="BJ24" i="49"/>
  <c r="CU6" i="53" l="1"/>
  <c r="CV14" i="52"/>
  <c r="CV4" i="53"/>
  <c r="CV15" i="53" s="1"/>
  <c r="BU8" i="53"/>
  <c r="BU17" i="53"/>
  <c r="BU31" i="52"/>
  <c r="BU32" i="52" s="1"/>
  <c r="BU28" i="52"/>
  <c r="BU29" i="52" s="1"/>
  <c r="BS22" i="53"/>
  <c r="BP4" i="45" s="1"/>
  <c r="BS20" i="53"/>
  <c r="BS19" i="53" s="1"/>
  <c r="BW3" i="53"/>
  <c r="BX9" i="52"/>
  <c r="BX11" i="52" s="1"/>
  <c r="BW15" i="52"/>
  <c r="BT7" i="45"/>
  <c r="Y29" i="44"/>
  <c r="BM5" i="49"/>
  <c r="BM17" i="49" s="1"/>
  <c r="AA18" i="45"/>
  <c r="Z26" i="44"/>
  <c r="AA26" i="44" s="1"/>
  <c r="AB26" i="44" s="1"/>
  <c r="AC26" i="44" s="1"/>
  <c r="AD26" i="44" s="1"/>
  <c r="AE26" i="44" s="1"/>
  <c r="AF26" i="44" s="1"/>
  <c r="AG26" i="44" s="1"/>
  <c r="AH26" i="44" s="1"/>
  <c r="BO79" i="59"/>
  <c r="BK24" i="49"/>
  <c r="BV18" i="52"/>
  <c r="BV24" i="52" s="1"/>
  <c r="BV26" i="52" s="1"/>
  <c r="BV27" i="52"/>
  <c r="BL23" i="49"/>
  <c r="BP22" i="49"/>
  <c r="AZ4" i="44"/>
  <c r="BQ78" i="59"/>
  <c r="BM30" i="49"/>
  <c r="BS20" i="49"/>
  <c r="BW6" i="52"/>
  <c r="BX2" i="52"/>
  <c r="BU84" i="59"/>
  <c r="BQ7" i="49"/>
  <c r="BS16" i="45"/>
  <c r="BN11" i="45"/>
  <c r="BQ82" i="59"/>
  <c r="BN4" i="49"/>
  <c r="BO17" i="45"/>
  <c r="BO5" i="45"/>
  <c r="BN5" i="49" s="1"/>
  <c r="BP27" i="45"/>
  <c r="BP15" i="44"/>
  <c r="BX17" i="54"/>
  <c r="BX6" i="55" s="1"/>
  <c r="BX7" i="55" s="1"/>
  <c r="BV14" i="45" s="1"/>
  <c r="BY9" i="54"/>
  <c r="BT10" i="53"/>
  <c r="BT13" i="53"/>
  <c r="BR25" i="45"/>
  <c r="BP27" i="49" s="1"/>
  <c r="BQ9" i="44"/>
  <c r="AA14" i="51"/>
  <c r="AB24" i="45" s="1"/>
  <c r="AA15" i="51"/>
  <c r="BV16" i="53"/>
  <c r="BV5" i="53"/>
  <c r="BQ21" i="44"/>
  <c r="BR19" i="44"/>
  <c r="CV6" i="53" l="1"/>
  <c r="CW14" i="52"/>
  <c r="CW4" i="53"/>
  <c r="CW15" i="53" s="1"/>
  <c r="BO11" i="45"/>
  <c r="BO18" i="45" s="1"/>
  <c r="BO20" i="45" s="1"/>
  <c r="BO22" i="45" s="1"/>
  <c r="BN17" i="49"/>
  <c r="BX6" i="52"/>
  <c r="BY2" i="52"/>
  <c r="BA4" i="44"/>
  <c r="BW16" i="53"/>
  <c r="BW5" i="53"/>
  <c r="AD81" i="59"/>
  <c r="AD87" i="59" s="1"/>
  <c r="Z26" i="49"/>
  <c r="Z37" i="49" s="1"/>
  <c r="Z38" i="49" s="1"/>
  <c r="AB29" i="45"/>
  <c r="BR78" i="59"/>
  <c r="BN30" i="49"/>
  <c r="BV84" i="59"/>
  <c r="BR7" i="49"/>
  <c r="BT16" i="45"/>
  <c r="BS25" i="45"/>
  <c r="BQ27" i="49" s="1"/>
  <c r="BR9" i="44"/>
  <c r="BY17" i="54"/>
  <c r="BY6" i="55" s="1"/>
  <c r="BY7" i="55" s="1"/>
  <c r="BW14" i="45" s="1"/>
  <c r="BZ9" i="54"/>
  <c r="BM23" i="49"/>
  <c r="BN18" i="45"/>
  <c r="BV31" i="52"/>
  <c r="BV32" i="52" s="1"/>
  <c r="BV28" i="52"/>
  <c r="BV29" i="52" s="1"/>
  <c r="AI26" i="44"/>
  <c r="AJ26" i="44" s="1"/>
  <c r="AK26" i="44" s="1"/>
  <c r="AL26" i="44" s="1"/>
  <c r="AM26" i="44" s="1"/>
  <c r="AN26" i="44" s="1"/>
  <c r="AO26" i="44" s="1"/>
  <c r="AP26" i="44" s="1"/>
  <c r="AQ26" i="44" s="1"/>
  <c r="AR26" i="44" s="1"/>
  <c r="AS26" i="44" s="1"/>
  <c r="AT26" i="44" s="1"/>
  <c r="K23" i="43"/>
  <c r="K32" i="43" s="1"/>
  <c r="K33" i="43" s="1"/>
  <c r="K9" i="50" s="1"/>
  <c r="K19" i="50" s="1"/>
  <c r="BW27" i="52"/>
  <c r="BW18" i="52"/>
  <c r="BW24" i="52" s="1"/>
  <c r="BW26" i="52" s="1"/>
  <c r="BR82" i="59"/>
  <c r="BO4" i="49"/>
  <c r="BP17" i="45"/>
  <c r="BP5" i="45"/>
  <c r="BO5" i="49" s="1"/>
  <c r="BU13" i="53"/>
  <c r="BU10" i="53"/>
  <c r="BR21" i="44"/>
  <c r="N17" i="43"/>
  <c r="BS19" i="44"/>
  <c r="AA24" i="51"/>
  <c r="AA25" i="51" s="1"/>
  <c r="AA27" i="51" s="1"/>
  <c r="AB4" i="51"/>
  <c r="AA7" i="44"/>
  <c r="AA30" i="44" s="1"/>
  <c r="BT20" i="53"/>
  <c r="BT19" i="53" s="1"/>
  <c r="BT22" i="53"/>
  <c r="BQ4" i="45" s="1"/>
  <c r="BQ27" i="45"/>
  <c r="BQ15" i="44"/>
  <c r="BQ22" i="49"/>
  <c r="AC79" i="59"/>
  <c r="AC87" i="59" s="1"/>
  <c r="Y24" i="49"/>
  <c r="AA20" i="45"/>
  <c r="AA22" i="45" s="1"/>
  <c r="AA29" i="45" s="1"/>
  <c r="BV17" i="53"/>
  <c r="BV8" i="53"/>
  <c r="BT20" i="49"/>
  <c r="BX3" i="53"/>
  <c r="BX15" i="52"/>
  <c r="BY9" i="52"/>
  <c r="BY11" i="52" s="1"/>
  <c r="BU7" i="45"/>
  <c r="CW6" i="53" l="1"/>
  <c r="CX14" i="52"/>
  <c r="CX4" i="53"/>
  <c r="CX15" i="53" s="1"/>
  <c r="BO17" i="49"/>
  <c r="BY3" i="53"/>
  <c r="BY15" i="52"/>
  <c r="BZ9" i="52"/>
  <c r="BZ11" i="52" s="1"/>
  <c r="BV7" i="45"/>
  <c r="Y37" i="49"/>
  <c r="Y38" i="49" s="1"/>
  <c r="Y40" i="49" s="1"/>
  <c r="D23" i="48"/>
  <c r="BS82" i="59"/>
  <c r="BP4" i="49"/>
  <c r="BQ17" i="45"/>
  <c r="BQ5" i="45"/>
  <c r="BP5" i="49" s="1"/>
  <c r="BU20" i="49"/>
  <c r="BX27" i="52"/>
  <c r="BX18" i="52"/>
  <c r="BX24" i="52" s="1"/>
  <c r="BX26" i="52" s="1"/>
  <c r="BV10" i="53"/>
  <c r="BV13" i="53"/>
  <c r="BR27" i="45"/>
  <c r="BR15" i="44"/>
  <c r="BN23" i="49"/>
  <c r="BW28" i="52"/>
  <c r="BW29" i="52" s="1"/>
  <c r="BW31" i="52"/>
  <c r="BW32" i="52" s="1"/>
  <c r="BT25" i="45"/>
  <c r="BR27" i="49" s="1"/>
  <c r="BS9" i="44"/>
  <c r="N9" i="43"/>
  <c r="BR22" i="49"/>
  <c r="AB31" i="45"/>
  <c r="AB32" i="45"/>
  <c r="BW17" i="53"/>
  <c r="BW8" i="53"/>
  <c r="BZ2" i="52"/>
  <c r="BY6" i="52"/>
  <c r="BX16" i="53"/>
  <c r="BX5" i="53"/>
  <c r="BQ79" i="59"/>
  <c r="BM24" i="49"/>
  <c r="BS78" i="59"/>
  <c r="BO30" i="49"/>
  <c r="BS21" i="44"/>
  <c r="BT19" i="44"/>
  <c r="BU20" i="53"/>
  <c r="BU19" i="53" s="1"/>
  <c r="BU22" i="53"/>
  <c r="BR4" i="45" s="1"/>
  <c r="BW84" i="59"/>
  <c r="BS7" i="49"/>
  <c r="BU16" i="45"/>
  <c r="AA31" i="45"/>
  <c r="Z6" i="44" s="1"/>
  <c r="AA32" i="45"/>
  <c r="AB14" i="51"/>
  <c r="AC24" i="45" s="1"/>
  <c r="AB15" i="51"/>
  <c r="N19" i="43"/>
  <c r="N29" i="43"/>
  <c r="N30" i="43" s="1"/>
  <c r="N4" i="50" s="1"/>
  <c r="N5" i="50" s="1"/>
  <c r="N23" i="50" s="1"/>
  <c r="N12" i="42"/>
  <c r="BP11" i="45"/>
  <c r="AU26" i="44"/>
  <c r="AV26" i="44" s="1"/>
  <c r="AW26" i="44" s="1"/>
  <c r="AX26" i="44" s="1"/>
  <c r="AY26" i="44" s="1"/>
  <c r="AZ26" i="44" s="1"/>
  <c r="BA26" i="44" s="1"/>
  <c r="BB26" i="44" s="1"/>
  <c r="BC26" i="44" s="1"/>
  <c r="BD26" i="44" s="1"/>
  <c r="BE26" i="44" s="1"/>
  <c r="BF26" i="44" s="1"/>
  <c r="L23" i="43"/>
  <c r="L32" i="43" s="1"/>
  <c r="L33" i="43" s="1"/>
  <c r="L9" i="50" s="1"/>
  <c r="L19" i="50" s="1"/>
  <c r="BP79" i="59"/>
  <c r="BL24" i="49"/>
  <c r="BN20" i="45"/>
  <c r="BN22" i="45" s="1"/>
  <c r="BZ17" i="54"/>
  <c r="BZ6" i="55" s="1"/>
  <c r="BZ7" i="55" s="1"/>
  <c r="BX14" i="45" s="1"/>
  <c r="CA9" i="54"/>
  <c r="BB4" i="44"/>
  <c r="CX6" i="53" l="1"/>
  <c r="CY14" i="52"/>
  <c r="CY4" i="53"/>
  <c r="CY15" i="53" s="1"/>
  <c r="BQ11" i="45"/>
  <c r="BQ18" i="45" s="1"/>
  <c r="BC4" i="44"/>
  <c r="BO23" i="49"/>
  <c r="Z17" i="51"/>
  <c r="Z39" i="49"/>
  <c r="Z40" i="49" s="1"/>
  <c r="Z23" i="44"/>
  <c r="Z27" i="44" s="1"/>
  <c r="BY18" i="52"/>
  <c r="BY24" i="52" s="1"/>
  <c r="BY26" i="52" s="1"/>
  <c r="BY27" i="52"/>
  <c r="BU19" i="44"/>
  <c r="BT21" i="44"/>
  <c r="BS27" i="45"/>
  <c r="BS15" i="44"/>
  <c r="N13" i="43"/>
  <c r="N8" i="42" s="1"/>
  <c r="N11" i="43"/>
  <c r="BP17" i="49"/>
  <c r="BY5" i="53"/>
  <c r="BY16" i="53"/>
  <c r="BG26" i="44"/>
  <c r="BH26" i="44" s="1"/>
  <c r="BI26" i="44" s="1"/>
  <c r="BJ26" i="44" s="1"/>
  <c r="BK26" i="44" s="1"/>
  <c r="BL26" i="44" s="1"/>
  <c r="BM26" i="44" s="1"/>
  <c r="BN26" i="44" s="1"/>
  <c r="BO26" i="44" s="1"/>
  <c r="M23" i="43"/>
  <c r="M32" i="43" s="1"/>
  <c r="M33" i="43" s="1"/>
  <c r="M9" i="50" s="1"/>
  <c r="M19" i="50" s="1"/>
  <c r="CB9" i="54"/>
  <c r="CA17" i="54"/>
  <c r="CA6" i="55" s="1"/>
  <c r="CA7" i="55" s="1"/>
  <c r="BY14" i="45" s="1"/>
  <c r="BP18" i="45"/>
  <c r="AB24" i="51"/>
  <c r="AB25" i="51"/>
  <c r="AB27" i="51" s="1"/>
  <c r="AC4" i="51"/>
  <c r="AB7" i="44"/>
  <c r="AB30" i="44" s="1"/>
  <c r="AA6" i="44"/>
  <c r="Z16" i="44"/>
  <c r="BT82" i="59"/>
  <c r="BQ4" i="49"/>
  <c r="BR17" i="45"/>
  <c r="BR5" i="45"/>
  <c r="BQ5" i="49" s="1"/>
  <c r="BZ6" i="52"/>
  <c r="CA2" i="52"/>
  <c r="BT78" i="59"/>
  <c r="BP30" i="49"/>
  <c r="BX28" i="52"/>
  <c r="BX29" i="52" s="1"/>
  <c r="BX31" i="52"/>
  <c r="BX32" i="52" s="1"/>
  <c r="BX84" i="59"/>
  <c r="BT7" i="49"/>
  <c r="BV16" i="45"/>
  <c r="BV20" i="49"/>
  <c r="AE81" i="59"/>
  <c r="AE87" i="59" s="1"/>
  <c r="AA26" i="49"/>
  <c r="AA37" i="49" s="1"/>
  <c r="AA38" i="49" s="1"/>
  <c r="AC29" i="45"/>
  <c r="BS22" i="49"/>
  <c r="BX17" i="53"/>
  <c r="BX8" i="53"/>
  <c r="BW13" i="53"/>
  <c r="BW10" i="53"/>
  <c r="BU25" i="45"/>
  <c r="BS27" i="49" s="1"/>
  <c r="BT9" i="44"/>
  <c r="BV22" i="53"/>
  <c r="BS4" i="45" s="1"/>
  <c r="BV20" i="53"/>
  <c r="BV19" i="53" s="1"/>
  <c r="BZ3" i="53"/>
  <c r="BZ15" i="52"/>
  <c r="CA9" i="52"/>
  <c r="CA11" i="52" s="1"/>
  <c r="BW7" i="45"/>
  <c r="CY6" i="53" l="1"/>
  <c r="BP26" i="44"/>
  <c r="CZ4" i="53"/>
  <c r="CZ15" i="53" s="1"/>
  <c r="CZ14" i="52"/>
  <c r="Z29" i="44"/>
  <c r="BZ18" i="52"/>
  <c r="BZ24" i="52" s="1"/>
  <c r="BZ26" i="52" s="1"/>
  <c r="BZ27" i="52"/>
  <c r="BU82" i="59"/>
  <c r="BR4" i="49"/>
  <c r="BS17" i="45"/>
  <c r="BS5" i="45"/>
  <c r="BR5" i="49" s="1"/>
  <c r="BW22" i="53"/>
  <c r="BT4" i="45" s="1"/>
  <c r="BW20" i="53"/>
  <c r="BW19" i="53" s="1"/>
  <c r="BP23" i="49"/>
  <c r="BT22" i="49"/>
  <c r="AA16" i="44"/>
  <c r="BY31" i="52"/>
  <c r="BY32" i="52" s="1"/>
  <c r="BY28" i="52"/>
  <c r="BY29" i="52" s="1"/>
  <c r="AA17" i="51"/>
  <c r="AA39" i="49"/>
  <c r="AA40" i="49" s="1"/>
  <c r="AA23" i="44"/>
  <c r="AA27" i="44" s="1"/>
  <c r="BZ16" i="53"/>
  <c r="BZ5" i="53"/>
  <c r="BV25" i="45"/>
  <c r="BT27" i="49" s="1"/>
  <c r="BU9" i="44"/>
  <c r="BX10" i="53"/>
  <c r="BX13" i="53"/>
  <c r="AC32" i="45"/>
  <c r="AC31" i="45"/>
  <c r="AB6" i="44" s="1"/>
  <c r="BR11" i="45"/>
  <c r="BW20" i="49"/>
  <c r="BY84" i="59"/>
  <c r="BU7" i="49"/>
  <c r="BW16" i="45"/>
  <c r="BS79" i="59"/>
  <c r="BO24" i="49"/>
  <c r="BQ17" i="49"/>
  <c r="CB17" i="54"/>
  <c r="CB6" i="55" s="1"/>
  <c r="CB7" i="55" s="1"/>
  <c r="BZ14" i="45" s="1"/>
  <c r="CC9" i="54"/>
  <c r="BY17" i="53"/>
  <c r="BY8" i="53"/>
  <c r="BT27" i="45"/>
  <c r="BT15" i="44"/>
  <c r="BQ20" i="45"/>
  <c r="BQ22" i="45" s="1"/>
  <c r="BD4" i="44"/>
  <c r="CA3" i="53"/>
  <c r="CA15" i="52"/>
  <c r="CB9" i="52"/>
  <c r="CB11" i="52" s="1"/>
  <c r="BX7" i="45"/>
  <c r="CA6" i="52"/>
  <c r="CB2" i="52"/>
  <c r="AC14" i="51"/>
  <c r="AD24" i="45" s="1"/>
  <c r="AC15" i="51"/>
  <c r="BR79" i="59"/>
  <c r="BN24" i="49"/>
  <c r="BP20" i="45"/>
  <c r="BP22" i="45" s="1"/>
  <c r="BU78" i="59"/>
  <c r="BQ30" i="49"/>
  <c r="BU21" i="44"/>
  <c r="BV19" i="44"/>
  <c r="CZ6" i="53" l="1"/>
  <c r="BQ26" i="44"/>
  <c r="DA4" i="53"/>
  <c r="DA15" i="53" s="1"/>
  <c r="DA14" i="52"/>
  <c r="AB16" i="44"/>
  <c r="AC24" i="51"/>
  <c r="AC25" i="51"/>
  <c r="AC27" i="51" s="1"/>
  <c r="AD4" i="51"/>
  <c r="AC7" i="44"/>
  <c r="AC30" i="44" s="1"/>
  <c r="CA27" i="52"/>
  <c r="CA18" i="52"/>
  <c r="CA24" i="52" s="1"/>
  <c r="CA26" i="52" s="1"/>
  <c r="BE4" i="44"/>
  <c r="BV78" i="59"/>
  <c r="BR30" i="49"/>
  <c r="AF81" i="59"/>
  <c r="AF87" i="59" s="1"/>
  <c r="AB26" i="49"/>
  <c r="AB37" i="49" s="1"/>
  <c r="AB38" i="49" s="1"/>
  <c r="AD29" i="45"/>
  <c r="CA16" i="53"/>
  <c r="CA5" i="53"/>
  <c r="BY10" i="53"/>
  <c r="BY13" i="53"/>
  <c r="BU22" i="49"/>
  <c r="BX22" i="53"/>
  <c r="BU4" i="45" s="1"/>
  <c r="BX20" i="53"/>
  <c r="BX19" i="53" s="1"/>
  <c r="BZ17" i="53"/>
  <c r="BZ8" i="53"/>
  <c r="AA29" i="44"/>
  <c r="BQ23" i="49"/>
  <c r="BZ31" i="52"/>
  <c r="BZ32" i="52" s="1"/>
  <c r="BZ28" i="52"/>
  <c r="BZ29" i="52" s="1"/>
  <c r="BZ84" i="59"/>
  <c r="BV7" i="49"/>
  <c r="BX16" i="45"/>
  <c r="BR18" i="45"/>
  <c r="BS11" i="45"/>
  <c r="BV21" i="44"/>
  <c r="BW19" i="44"/>
  <c r="BX20" i="49"/>
  <c r="AB17" i="51"/>
  <c r="AB39" i="49"/>
  <c r="AB23" i="44"/>
  <c r="AB27" i="44" s="1"/>
  <c r="CB6" i="52"/>
  <c r="CC2" i="52"/>
  <c r="CB15" i="52"/>
  <c r="CC9" i="52"/>
  <c r="CC11" i="52" s="1"/>
  <c r="CB3" i="53"/>
  <c r="BY7" i="45"/>
  <c r="BU27" i="45"/>
  <c r="BU15" i="44"/>
  <c r="CC17" i="54"/>
  <c r="CC6" i="55" s="1"/>
  <c r="CC7" i="55" s="1"/>
  <c r="CA14" i="45" s="1"/>
  <c r="CD9" i="54"/>
  <c r="BW25" i="45"/>
  <c r="BU27" i="49" s="1"/>
  <c r="BV9" i="44"/>
  <c r="BV82" i="59"/>
  <c r="BS4" i="49"/>
  <c r="BT17" i="45"/>
  <c r="BT5" i="45"/>
  <c r="BT11" i="45" s="1"/>
  <c r="BR17" i="49"/>
  <c r="DA6" i="53" l="1"/>
  <c r="BR26" i="44"/>
  <c r="BS26" i="44" s="1"/>
  <c r="DB4" i="53"/>
  <c r="DB15" i="53" s="1"/>
  <c r="DB14" i="52"/>
  <c r="BR23" i="49"/>
  <c r="BX25" i="45"/>
  <c r="BV27" i="49" s="1"/>
  <c r="BW9" i="44"/>
  <c r="BV27" i="45"/>
  <c r="BV15" i="44"/>
  <c r="CC3" i="53"/>
  <c r="CC15" i="52"/>
  <c r="CD9" i="52"/>
  <c r="CD11" i="52" s="1"/>
  <c r="BZ7" i="45"/>
  <c r="BS18" i="45"/>
  <c r="BV22" i="49"/>
  <c r="AB40" i="49"/>
  <c r="CA31" i="52"/>
  <c r="CA32" i="52" s="1"/>
  <c r="CA28" i="52"/>
  <c r="CA29" i="52" s="1"/>
  <c r="BY20" i="49"/>
  <c r="CB16" i="53"/>
  <c r="CB5" i="53"/>
  <c r="N23" i="43"/>
  <c r="N32" i="43" s="1"/>
  <c r="N33" i="43" s="1"/>
  <c r="N9" i="50" s="1"/>
  <c r="N19" i="50" s="1"/>
  <c r="AD32" i="45"/>
  <c r="AD31" i="45"/>
  <c r="AC6" i="44" s="1"/>
  <c r="BW78" i="59"/>
  <c r="BS30" i="49"/>
  <c r="CB27" i="52"/>
  <c r="CB18" i="52"/>
  <c r="CB24" i="52" s="1"/>
  <c r="CB26" i="52" s="1"/>
  <c r="BT79" i="59"/>
  <c r="BP24" i="49"/>
  <c r="BR20" i="45"/>
  <c r="BR22" i="45" s="1"/>
  <c r="BZ10" i="53"/>
  <c r="BZ13" i="53"/>
  <c r="BW82" i="59"/>
  <c r="BT4" i="49"/>
  <c r="BU17" i="45"/>
  <c r="BU5" i="45"/>
  <c r="BT5" i="49" s="1"/>
  <c r="BU11" i="45"/>
  <c r="CA17" i="53"/>
  <c r="CA8" i="53"/>
  <c r="BF4" i="44"/>
  <c r="AB29" i="44"/>
  <c r="BT18" i="45"/>
  <c r="BT20" i="45" s="1"/>
  <c r="BT22" i="45" s="1"/>
  <c r="BS5" i="49"/>
  <c r="BS17" i="49" s="1"/>
  <c r="CD17" i="54"/>
  <c r="CD6" i="55" s="1"/>
  <c r="CD7" i="55" s="1"/>
  <c r="CB14" i="45" s="1"/>
  <c r="CE9" i="54"/>
  <c r="CA84" i="59"/>
  <c r="BW7" i="49"/>
  <c r="BY16" i="45"/>
  <c r="CC6" i="52"/>
  <c r="CD2" i="52"/>
  <c r="BW21" i="44"/>
  <c r="BX19" i="44"/>
  <c r="BY20" i="53"/>
  <c r="BY19" i="53" s="1"/>
  <c r="BY22" i="53"/>
  <c r="BV4" i="45" s="1"/>
  <c r="AD14" i="51"/>
  <c r="AE24" i="45" s="1"/>
  <c r="AD15" i="51"/>
  <c r="DB6" i="53" l="1"/>
  <c r="DC4" i="53"/>
  <c r="DC15" i="53" s="1"/>
  <c r="DC14" i="52"/>
  <c r="CF9" i="54"/>
  <c r="CE17" i="54"/>
  <c r="CE6" i="55" s="1"/>
  <c r="CE7" i="55" s="1"/>
  <c r="CC14" i="45" s="1"/>
  <c r="CB28" i="52"/>
  <c r="CB29" i="52" s="1"/>
  <c r="CB31" i="52"/>
  <c r="CB32" i="52" s="1"/>
  <c r="AC16" i="44"/>
  <c r="CB17" i="53"/>
  <c r="CB8" i="53"/>
  <c r="CC18" i="52"/>
  <c r="CC24" i="52" s="1"/>
  <c r="CC26" i="52" s="1"/>
  <c r="CC27" i="52"/>
  <c r="BX21" i="44"/>
  <c r="BY19" i="44"/>
  <c r="BW22" i="49"/>
  <c r="BZ20" i="49"/>
  <c r="BV79" i="59"/>
  <c r="BR24" i="49"/>
  <c r="BZ22" i="53"/>
  <c r="BW4" i="45" s="1"/>
  <c r="BZ20" i="53"/>
  <c r="BZ19" i="53" s="1"/>
  <c r="BU79" i="59"/>
  <c r="BQ24" i="49"/>
  <c r="BS20" i="45"/>
  <c r="BS22" i="45" s="1"/>
  <c r="CC16" i="53"/>
  <c r="CC5" i="53"/>
  <c r="CA13" i="53"/>
  <c r="CA10" i="53"/>
  <c r="BS23" i="49"/>
  <c r="AC17" i="51"/>
  <c r="AC39" i="49"/>
  <c r="AC23" i="44"/>
  <c r="AC27" i="44" s="1"/>
  <c r="CB84" i="59"/>
  <c r="BX7" i="49"/>
  <c r="BZ16" i="45"/>
  <c r="BW27" i="45"/>
  <c r="BW15" i="44"/>
  <c r="BY25" i="45"/>
  <c r="BW27" i="49" s="1"/>
  <c r="BX9" i="44"/>
  <c r="BG4" i="44"/>
  <c r="M3" i="43"/>
  <c r="BU18" i="45"/>
  <c r="BU20" i="45" s="1"/>
  <c r="BU22" i="45" s="1"/>
  <c r="AE4" i="51"/>
  <c r="AD24" i="51"/>
  <c r="AD25" i="51" s="1"/>
  <c r="AD27" i="51" s="1"/>
  <c r="AD7" i="44"/>
  <c r="AD30" i="44" s="1"/>
  <c r="BX82" i="59"/>
  <c r="BU4" i="49"/>
  <c r="BV17" i="45"/>
  <c r="BV5" i="45"/>
  <c r="BV11" i="45" s="1"/>
  <c r="AG81" i="59"/>
  <c r="AG87" i="59" s="1"/>
  <c r="AC26" i="49"/>
  <c r="AC37" i="49" s="1"/>
  <c r="AE29" i="45"/>
  <c r="CD6" i="52"/>
  <c r="CE2" i="52"/>
  <c r="BT17" i="49"/>
  <c r="BT26" i="44"/>
  <c r="CD15" i="52"/>
  <c r="CE9" i="52"/>
  <c r="CE11" i="52" s="1"/>
  <c r="CD3" i="53"/>
  <c r="CA7" i="45"/>
  <c r="BX78" i="59"/>
  <c r="BT30" i="49"/>
  <c r="DC6" i="53" l="1"/>
  <c r="DD14" i="52"/>
  <c r="DD4" i="53"/>
  <c r="DD15" i="53" s="1"/>
  <c r="AC29" i="44"/>
  <c r="BV18" i="45"/>
  <c r="BV20" i="45" s="1"/>
  <c r="BV22" i="45" s="1"/>
  <c r="CA22" i="53"/>
  <c r="BX4" i="45" s="1"/>
  <c r="CA20" i="53"/>
  <c r="CA19" i="53" s="1"/>
  <c r="AE31" i="45"/>
  <c r="AD6" i="44" s="1"/>
  <c r="AE32" i="45"/>
  <c r="CU13" i="51"/>
  <c r="CQ13" i="51"/>
  <c r="CM13" i="51"/>
  <c r="CI13" i="51"/>
  <c r="CE13" i="51"/>
  <c r="CA13" i="51"/>
  <c r="BW13" i="51"/>
  <c r="BS13" i="51"/>
  <c r="BO13" i="51"/>
  <c r="BK13" i="51"/>
  <c r="BG13" i="51"/>
  <c r="BC13" i="51"/>
  <c r="AY13" i="51"/>
  <c r="AU13" i="51"/>
  <c r="AQ13" i="51"/>
  <c r="AM13" i="51"/>
  <c r="AI13" i="51"/>
  <c r="AE13" i="51"/>
  <c r="CT13" i="51"/>
  <c r="CP13" i="51"/>
  <c r="CL13" i="51"/>
  <c r="CH13" i="51"/>
  <c r="CD13" i="51"/>
  <c r="BZ13" i="51"/>
  <c r="BV13" i="51"/>
  <c r="BR13" i="51"/>
  <c r="BN13" i="51"/>
  <c r="BJ13" i="51"/>
  <c r="BF13" i="51"/>
  <c r="BB13" i="51"/>
  <c r="AX13" i="51"/>
  <c r="AT13" i="51"/>
  <c r="AP13" i="51"/>
  <c r="AL13" i="51"/>
  <c r="AH13" i="51"/>
  <c r="AE14" i="51"/>
  <c r="AF24" i="45" s="1"/>
  <c r="CS13" i="51"/>
  <c r="CO13" i="51"/>
  <c r="CK13" i="51"/>
  <c r="CG13" i="51"/>
  <c r="CC13" i="51"/>
  <c r="BY13" i="51"/>
  <c r="BU13" i="51"/>
  <c r="BQ13" i="51"/>
  <c r="BM13" i="51"/>
  <c r="BI13" i="51"/>
  <c r="BE13" i="51"/>
  <c r="BA13" i="51"/>
  <c r="AW13" i="51"/>
  <c r="AS13" i="51"/>
  <c r="AO13" i="51"/>
  <c r="AK13" i="51"/>
  <c r="AG13" i="51"/>
  <c r="CV13" i="51"/>
  <c r="CR13" i="51"/>
  <c r="CN13" i="51"/>
  <c r="CJ13" i="51"/>
  <c r="CF13" i="51"/>
  <c r="CB13" i="51"/>
  <c r="BX13" i="51"/>
  <c r="BT13" i="51"/>
  <c r="BP13" i="51"/>
  <c r="BL13" i="51"/>
  <c r="BH13" i="51"/>
  <c r="BD13" i="51"/>
  <c r="AZ13" i="51"/>
  <c r="AV13" i="51"/>
  <c r="AR13" i="51"/>
  <c r="AN13" i="51"/>
  <c r="AJ13" i="51"/>
  <c r="AF13" i="51"/>
  <c r="BX27" i="45"/>
  <c r="BX15" i="44"/>
  <c r="CC8" i="53"/>
  <c r="CC17" i="53"/>
  <c r="BY21" i="44"/>
  <c r="BZ19" i="44"/>
  <c r="CA20" i="49"/>
  <c r="CC31" i="52"/>
  <c r="CC32" i="52" s="1"/>
  <c r="CC28" i="52"/>
  <c r="CC29" i="52" s="1"/>
  <c r="CE3" i="53"/>
  <c r="CF9" i="52"/>
  <c r="CF11" i="52" s="1"/>
  <c r="CE15" i="52"/>
  <c r="CB7" i="45"/>
  <c r="BU26" i="44"/>
  <c r="BY78" i="59"/>
  <c r="BU30" i="49"/>
  <c r="BY82" i="59"/>
  <c r="BV4" i="49"/>
  <c r="BW17" i="45"/>
  <c r="BW5" i="45"/>
  <c r="BV5" i="49" s="1"/>
  <c r="CB10" i="53"/>
  <c r="CB13" i="53"/>
  <c r="CF17" i="54"/>
  <c r="CF6" i="55" s="1"/>
  <c r="CF7" i="55" s="1"/>
  <c r="CD14" i="45" s="1"/>
  <c r="CG9" i="54"/>
  <c r="CC84" i="59"/>
  <c r="BY7" i="49"/>
  <c r="CA16" i="45"/>
  <c r="BW79" i="59"/>
  <c r="BS24" i="49"/>
  <c r="CD16" i="53"/>
  <c r="CD5" i="53"/>
  <c r="AC43" i="49"/>
  <c r="AC38" i="49"/>
  <c r="AC40" i="49" s="1"/>
  <c r="BU5" i="49"/>
  <c r="BU17" i="49" s="1"/>
  <c r="CD18" i="52"/>
  <c r="CD24" i="52" s="1"/>
  <c r="CD26" i="52" s="1"/>
  <c r="CD27" i="52"/>
  <c r="CE6" i="52"/>
  <c r="CF2" i="52"/>
  <c r="BT23" i="49"/>
  <c r="BH4" i="44"/>
  <c r="BZ25" i="45"/>
  <c r="BX27" i="49" s="1"/>
  <c r="BY9" i="44"/>
  <c r="BX22" i="49"/>
  <c r="DD6" i="53" l="1"/>
  <c r="DE14" i="52"/>
  <c r="DE4" i="53"/>
  <c r="DE15" i="53" s="1"/>
  <c r="CB20" i="53"/>
  <c r="CB19" i="53" s="1"/>
  <c r="CB22" i="53"/>
  <c r="BY4" i="45" s="1"/>
  <c r="CC10" i="53"/>
  <c r="CC13" i="53"/>
  <c r="BG33" i="49"/>
  <c r="CM33" i="49"/>
  <c r="AZ33" i="49"/>
  <c r="CF33" i="49"/>
  <c r="AS33" i="49"/>
  <c r="BY33" i="49"/>
  <c r="CO33" i="49"/>
  <c r="AL33" i="49"/>
  <c r="BR33" i="49"/>
  <c r="BZ82" i="59"/>
  <c r="BW4" i="49"/>
  <c r="BX17" i="45"/>
  <c r="BX5" i="45"/>
  <c r="BW5" i="49" s="1"/>
  <c r="BU23" i="49"/>
  <c r="CF3" i="53"/>
  <c r="CF15" i="52"/>
  <c r="CG9" i="52"/>
  <c r="CG11" i="52" s="1"/>
  <c r="CC7" i="45"/>
  <c r="BY27" i="45"/>
  <c r="BY15" i="44"/>
  <c r="AE33" i="49"/>
  <c r="AU33" i="49"/>
  <c r="BK33" i="49"/>
  <c r="CA33" i="49"/>
  <c r="CQ33" i="49"/>
  <c r="AN33" i="49"/>
  <c r="BD33" i="49"/>
  <c r="BT33" i="49"/>
  <c r="CJ33" i="49"/>
  <c r="AG33" i="49"/>
  <c r="AW33" i="49"/>
  <c r="BM33" i="49"/>
  <c r="CC33" i="49"/>
  <c r="CS33" i="49"/>
  <c r="AP33" i="49"/>
  <c r="BF33" i="49"/>
  <c r="BV33" i="49"/>
  <c r="CL33" i="49"/>
  <c r="BX79" i="59"/>
  <c r="BT24" i="49"/>
  <c r="AD17" i="51"/>
  <c r="AD39" i="49"/>
  <c r="AD23" i="44"/>
  <c r="AD27" i="44" s="1"/>
  <c r="BZ21" i="44"/>
  <c r="CA19" i="44"/>
  <c r="AQ33" i="49"/>
  <c r="BW33" i="49"/>
  <c r="AJ33" i="49"/>
  <c r="BP33" i="49"/>
  <c r="BI33" i="49"/>
  <c r="BB33" i="49"/>
  <c r="CF6" i="52"/>
  <c r="CG2" i="52"/>
  <c r="CD17" i="53"/>
  <c r="CD8" i="53"/>
  <c r="CG17" i="54"/>
  <c r="CG6" i="55" s="1"/>
  <c r="CG7" i="55" s="1"/>
  <c r="CE14" i="45" s="1"/>
  <c r="CH9" i="54"/>
  <c r="BW11" i="45"/>
  <c r="BV26" i="44" s="1"/>
  <c r="CE16" i="53"/>
  <c r="CE5" i="53"/>
  <c r="BZ78" i="59"/>
  <c r="BV30" i="49"/>
  <c r="AI33" i="49"/>
  <c r="AY33" i="49"/>
  <c r="BO33" i="49"/>
  <c r="CE33" i="49"/>
  <c r="CU33" i="49"/>
  <c r="AR33" i="49"/>
  <c r="BH33" i="49"/>
  <c r="BX33" i="49"/>
  <c r="CN33" i="49"/>
  <c r="AK33" i="49"/>
  <c r="BA33" i="49"/>
  <c r="BQ33" i="49"/>
  <c r="CG33" i="49"/>
  <c r="AE15" i="51"/>
  <c r="AD33" i="49"/>
  <c r="AT33" i="49"/>
  <c r="BJ33" i="49"/>
  <c r="BZ33" i="49"/>
  <c r="CP33" i="49"/>
  <c r="AD16" i="44"/>
  <c r="AD29" i="44" s="1"/>
  <c r="CA25" i="45"/>
  <c r="BY27" i="49" s="1"/>
  <c r="BZ9" i="44"/>
  <c r="CD31" i="52"/>
  <c r="CD32" i="52" s="1"/>
  <c r="CD28" i="52"/>
  <c r="CD29" i="52" s="1"/>
  <c r="CE27" i="52"/>
  <c r="CE18" i="52"/>
  <c r="CE24" i="52" s="1"/>
  <c r="CE26" i="52" s="1"/>
  <c r="AH81" i="59"/>
  <c r="AH87" i="59" s="1"/>
  <c r="AD26" i="49"/>
  <c r="AF29" i="45"/>
  <c r="CH33" i="49"/>
  <c r="BI4" i="44"/>
  <c r="BY22" i="49"/>
  <c r="CB20" i="49"/>
  <c r="BV17" i="49"/>
  <c r="CD84" i="59"/>
  <c r="BZ7" i="49"/>
  <c r="CB16" i="45"/>
  <c r="AM33" i="49"/>
  <c r="BC33" i="49"/>
  <c r="BS33" i="49"/>
  <c r="CI33" i="49"/>
  <c r="AF33" i="49"/>
  <c r="AV33" i="49"/>
  <c r="BL33" i="49"/>
  <c r="CB33" i="49"/>
  <c r="CR33" i="49"/>
  <c r="AO33" i="49"/>
  <c r="BE33" i="49"/>
  <c r="BU33" i="49"/>
  <c r="CK33" i="49"/>
  <c r="AH33" i="49"/>
  <c r="AX33" i="49"/>
  <c r="BN33" i="49"/>
  <c r="CD33" i="49"/>
  <c r="I32" i="48" s="1"/>
  <c r="CT33" i="49"/>
  <c r="DF6" i="53" l="1"/>
  <c r="DE6" i="53"/>
  <c r="BX11" i="45"/>
  <c r="BW26" i="44" s="1"/>
  <c r="BW17" i="49"/>
  <c r="DF14" i="52"/>
  <c r="DF4" i="53"/>
  <c r="DF15" i="53" s="1"/>
  <c r="AF31" i="45"/>
  <c r="AE6" i="44" s="1"/>
  <c r="AF32" i="45"/>
  <c r="CB25" i="45"/>
  <c r="BZ27" i="49" s="1"/>
  <c r="CA9" i="44"/>
  <c r="J32" i="48"/>
  <c r="CH2" i="52"/>
  <c r="CG6" i="52"/>
  <c r="CE84" i="59"/>
  <c r="CA7" i="49"/>
  <c r="CC16" i="45"/>
  <c r="CA82" i="59"/>
  <c r="BX4" i="49"/>
  <c r="BY17" i="45"/>
  <c r="BY5" i="45"/>
  <c r="BY11" i="45" s="1"/>
  <c r="H32" i="48"/>
  <c r="E32" i="48"/>
  <c r="AD37" i="49"/>
  <c r="AE25" i="51"/>
  <c r="AE27" i="51" s="1"/>
  <c r="AE24" i="51"/>
  <c r="AF4" i="51"/>
  <c r="AE7" i="44"/>
  <c r="AE30" i="44" s="1"/>
  <c r="BW18" i="45"/>
  <c r="CD10" i="53"/>
  <c r="CD13" i="53"/>
  <c r="G32" i="48"/>
  <c r="BZ27" i="45"/>
  <c r="BZ15" i="44"/>
  <c r="CG3" i="53"/>
  <c r="CG15" i="52"/>
  <c r="CH9" i="52"/>
  <c r="CH11" i="52" s="1"/>
  <c r="CD7" i="45"/>
  <c r="CC22" i="53"/>
  <c r="BZ4" i="45" s="1"/>
  <c r="CC20" i="53"/>
  <c r="CC19" i="53" s="1"/>
  <c r="BJ4" i="44"/>
  <c r="CC20" i="49"/>
  <c r="CF16" i="53"/>
  <c r="CF5" i="53"/>
  <c r="BV23" i="49"/>
  <c r="CE31" i="52"/>
  <c r="CE32" i="52" s="1"/>
  <c r="CE28" i="52"/>
  <c r="CE29" i="52" s="1"/>
  <c r="BZ22" i="49"/>
  <c r="F32" i="48"/>
  <c r="D32" i="48"/>
  <c r="CE17" i="53"/>
  <c r="CE8" i="53"/>
  <c r="CH17" i="54"/>
  <c r="CH6" i="55" s="1"/>
  <c r="CH7" i="55" s="1"/>
  <c r="CF14" i="45" s="1"/>
  <c r="CI9" i="54"/>
  <c r="CA21" i="44"/>
  <c r="CB19" i="44"/>
  <c r="CA78" i="59"/>
  <c r="BW30" i="49"/>
  <c r="CF27" i="52"/>
  <c r="CF18" i="52"/>
  <c r="CF24" i="52" s="1"/>
  <c r="CF26" i="52" s="1"/>
  <c r="BX18" i="45" l="1"/>
  <c r="BX20" i="45" s="1"/>
  <c r="BX22" i="45" s="1"/>
  <c r="BX26" i="44"/>
  <c r="CD20" i="49"/>
  <c r="CB78" i="59"/>
  <c r="BX30" i="49"/>
  <c r="CA22" i="49"/>
  <c r="CE13" i="53"/>
  <c r="CE10" i="53"/>
  <c r="CB82" i="59"/>
  <c r="BY4" i="49"/>
  <c r="BZ17" i="45"/>
  <c r="BZ5" i="45"/>
  <c r="BY5" i="49" s="1"/>
  <c r="BZ79" i="59"/>
  <c r="CG18" i="52"/>
  <c r="CG24" i="52" s="1"/>
  <c r="CG26" i="52" s="1"/>
  <c r="CG27" i="52"/>
  <c r="CD22" i="53"/>
  <c r="CA4" i="45" s="1"/>
  <c r="CD20" i="53"/>
  <c r="CD19" i="53" s="1"/>
  <c r="AD43" i="49"/>
  <c r="AD38" i="49"/>
  <c r="AD40" i="49" s="1"/>
  <c r="CH3" i="53"/>
  <c r="CH15" i="52"/>
  <c r="CI9" i="52"/>
  <c r="CI11" i="52" s="1"/>
  <c r="CE7" i="45"/>
  <c r="BY79" i="59"/>
  <c r="BU24" i="49"/>
  <c r="BW20" i="45"/>
  <c r="BW22" i="45" s="1"/>
  <c r="BW23" i="49"/>
  <c r="CF17" i="53"/>
  <c r="CF8" i="53"/>
  <c r="BK4" i="44"/>
  <c r="CG5" i="53"/>
  <c r="CG16" i="53"/>
  <c r="AF14" i="51"/>
  <c r="AG24" i="45" s="1"/>
  <c r="AF15" i="51"/>
  <c r="BY18" i="45"/>
  <c r="AE16" i="44"/>
  <c r="CF31" i="52"/>
  <c r="CF32" i="52" s="1"/>
  <c r="CF28" i="52"/>
  <c r="CF29" i="52" s="1"/>
  <c r="CB21" i="44"/>
  <c r="CC19" i="44"/>
  <c r="CJ9" i="54"/>
  <c r="CI17" i="54"/>
  <c r="CI6" i="55" s="1"/>
  <c r="CI7" i="55" s="1"/>
  <c r="CG14" i="45" s="1"/>
  <c r="CF84" i="59"/>
  <c r="CB7" i="49"/>
  <c r="CD16" i="45"/>
  <c r="CA27" i="45"/>
  <c r="CA15" i="44"/>
  <c r="BX5" i="49"/>
  <c r="BX17" i="49" s="1"/>
  <c r="CH6" i="52"/>
  <c r="CI2" i="52"/>
  <c r="CC25" i="45"/>
  <c r="CA27" i="49" s="1"/>
  <c r="CB9" i="44"/>
  <c r="BV24" i="49" l="1"/>
  <c r="BY17" i="49"/>
  <c r="BZ11" i="45"/>
  <c r="BY26" i="44" s="1"/>
  <c r="CG17" i="53"/>
  <c r="CG8" i="53"/>
  <c r="CE20" i="49"/>
  <c r="CD25" i="45"/>
  <c r="CB27" i="49" s="1"/>
  <c r="CC9" i="44"/>
  <c r="CB22" i="49"/>
  <c r="CJ17" i="54"/>
  <c r="CJ6" i="55" s="1"/>
  <c r="CJ7" i="55" s="1"/>
  <c r="CH14" i="45" s="1"/>
  <c r="CK9" i="54"/>
  <c r="AI81" i="59"/>
  <c r="AI87" i="59" s="1"/>
  <c r="AE26" i="49"/>
  <c r="AE37" i="49" s="1"/>
  <c r="AE38" i="49" s="1"/>
  <c r="AG29" i="45"/>
  <c r="BL4" i="44"/>
  <c r="CG84" i="59"/>
  <c r="CC7" i="49"/>
  <c r="CE16" i="45"/>
  <c r="CC21" i="44"/>
  <c r="CD19" i="44"/>
  <c r="CF13" i="53"/>
  <c r="CF10" i="53"/>
  <c r="CI3" i="53"/>
  <c r="CJ9" i="52"/>
  <c r="CJ11" i="52" s="1"/>
  <c r="CI15" i="52"/>
  <c r="CF7" i="45"/>
  <c r="BX23" i="49"/>
  <c r="CE22" i="53"/>
  <c r="CB4" i="45" s="1"/>
  <c r="CE20" i="53"/>
  <c r="CE19" i="53" s="1"/>
  <c r="CB27" i="45"/>
  <c r="CB15" i="44"/>
  <c r="CA79" i="59"/>
  <c r="BW24" i="49"/>
  <c r="CH18" i="52"/>
  <c r="CH24" i="52" s="1"/>
  <c r="CH26" i="52" s="1"/>
  <c r="CH27" i="52"/>
  <c r="AE17" i="51"/>
  <c r="AE39" i="49"/>
  <c r="AE23" i="44"/>
  <c r="AE27" i="44" s="1"/>
  <c r="AE29" i="44" s="1"/>
  <c r="CC82" i="59"/>
  <c r="BZ4" i="49"/>
  <c r="CA17" i="45"/>
  <c r="CA5" i="45"/>
  <c r="BZ5" i="49" s="1"/>
  <c r="BZ18" i="45"/>
  <c r="BZ20" i="45" s="1"/>
  <c r="BZ22" i="45" s="1"/>
  <c r="CI6" i="52"/>
  <c r="CJ2" i="52"/>
  <c r="CC78" i="59"/>
  <c r="BY30" i="49"/>
  <c r="AF24" i="51"/>
  <c r="AF25" i="51"/>
  <c r="AF27" i="51" s="1"/>
  <c r="AG4" i="51"/>
  <c r="AF7" i="44"/>
  <c r="AF30" i="44" s="1"/>
  <c r="BY20" i="45"/>
  <c r="BY22" i="45" s="1"/>
  <c r="CH16" i="53"/>
  <c r="CH5" i="53"/>
  <c r="CG31" i="52"/>
  <c r="CG32" i="52" s="1"/>
  <c r="CG28" i="52"/>
  <c r="CG29" i="52" s="1"/>
  <c r="CA11" i="45" l="1"/>
  <c r="BZ26" i="44" s="1"/>
  <c r="CD82" i="59"/>
  <c r="CA4" i="49"/>
  <c r="CB17" i="45"/>
  <c r="CB5" i="45"/>
  <c r="CA5" i="49" s="1"/>
  <c r="CI27" i="52"/>
  <c r="CI18" i="52"/>
  <c r="CI24" i="52" s="1"/>
  <c r="CI26" i="52" s="1"/>
  <c r="CC22" i="49"/>
  <c r="CJ6" i="52"/>
  <c r="CK2" i="52"/>
  <c r="BZ17" i="49"/>
  <c r="CJ3" i="53"/>
  <c r="CJ15" i="52"/>
  <c r="CK9" i="52"/>
  <c r="CK11" i="52" s="1"/>
  <c r="CG7" i="45"/>
  <c r="CF22" i="53"/>
  <c r="CC4" i="45" s="1"/>
  <c r="CF20" i="53"/>
  <c r="CF19" i="53" s="1"/>
  <c r="BM4" i="44"/>
  <c r="CK17" i="54"/>
  <c r="CK6" i="55" s="1"/>
  <c r="CK7" i="55" s="1"/>
  <c r="CI14" i="45" s="1"/>
  <c r="CL9" i="54"/>
  <c r="CH31" i="52"/>
  <c r="CH32" i="52" s="1"/>
  <c r="CH28" i="52"/>
  <c r="CH29" i="52" s="1"/>
  <c r="CC27" i="45"/>
  <c r="CC15" i="44"/>
  <c r="CI16" i="53"/>
  <c r="CI5" i="53"/>
  <c r="CD21" i="44"/>
  <c r="O17" i="43"/>
  <c r="CE19" i="44"/>
  <c r="AG32" i="45"/>
  <c r="AG31" i="45"/>
  <c r="AF6" i="44" s="1"/>
  <c r="CF20" i="49"/>
  <c r="CE25" i="45"/>
  <c r="CC27" i="49" s="1"/>
  <c r="CD9" i="44"/>
  <c r="CH17" i="53"/>
  <c r="CH8" i="53"/>
  <c r="AG14" i="51"/>
  <c r="AH24" i="45" s="1"/>
  <c r="AG15" i="51"/>
  <c r="CB79" i="59"/>
  <c r="BX24" i="49"/>
  <c r="BY23" i="49"/>
  <c r="CD78" i="59"/>
  <c r="BZ30" i="49"/>
  <c r="CH84" i="59"/>
  <c r="CD7" i="49"/>
  <c r="CF16" i="45"/>
  <c r="AE40" i="49"/>
  <c r="CG10" i="53"/>
  <c r="CG13" i="53"/>
  <c r="CA18" i="45" l="1"/>
  <c r="CA20" i="45" s="1"/>
  <c r="CA22" i="45" s="1"/>
  <c r="CB11" i="45"/>
  <c r="CA26" i="44" s="1"/>
  <c r="CA17" i="49"/>
  <c r="AJ81" i="59"/>
  <c r="AJ87" i="59" s="1"/>
  <c r="AF26" i="49"/>
  <c r="AF37" i="49" s="1"/>
  <c r="AF38" i="49" s="1"/>
  <c r="AH29" i="45"/>
  <c r="CG20" i="49"/>
  <c r="CJ27" i="52"/>
  <c r="CJ18" i="52"/>
  <c r="CJ24" i="52" s="1"/>
  <c r="CJ26" i="52" s="1"/>
  <c r="CK6" i="52"/>
  <c r="CL2" i="52"/>
  <c r="BZ23" i="49"/>
  <c r="CH10" i="53"/>
  <c r="CH13" i="53"/>
  <c r="CF25" i="45"/>
  <c r="CD27" i="49" s="1"/>
  <c r="CE9" i="44"/>
  <c r="O9" i="43"/>
  <c r="AF16" i="44"/>
  <c r="BN4" i="44"/>
  <c r="CE82" i="59"/>
  <c r="CB4" i="49"/>
  <c r="CC17" i="45"/>
  <c r="CC5" i="45"/>
  <c r="CB5" i="49" s="1"/>
  <c r="CJ16" i="53"/>
  <c r="CJ5" i="53"/>
  <c r="CI28" i="52"/>
  <c r="CI29" i="52" s="1"/>
  <c r="CI31" i="52"/>
  <c r="CI32" i="52" s="1"/>
  <c r="O12" i="42"/>
  <c r="O29" i="43"/>
  <c r="O30" i="43" s="1"/>
  <c r="O4" i="50" s="1"/>
  <c r="O5" i="50" s="1"/>
  <c r="O23" i="50" s="1"/>
  <c r="O19" i="43"/>
  <c r="CG20" i="53"/>
  <c r="CG19" i="53" s="1"/>
  <c r="CG22" i="53"/>
  <c r="CD4" i="45" s="1"/>
  <c r="CD22" i="49"/>
  <c r="CI17" i="53"/>
  <c r="CI8" i="53"/>
  <c r="CD27" i="45"/>
  <c r="CD15" i="44"/>
  <c r="CI84" i="59"/>
  <c r="CE7" i="49"/>
  <c r="CG16" i="45"/>
  <c r="AF17" i="51"/>
  <c r="AF39" i="49"/>
  <c r="AF23" i="44"/>
  <c r="AF27" i="44" s="1"/>
  <c r="AG24" i="51"/>
  <c r="AG25" i="51"/>
  <c r="AG27" i="51" s="1"/>
  <c r="AH4" i="51"/>
  <c r="AG7" i="44"/>
  <c r="AG30" i="44" s="1"/>
  <c r="CF19" i="44"/>
  <c r="CE21" i="44"/>
  <c r="CE78" i="59"/>
  <c r="CA30" i="49"/>
  <c r="CL17" i="54"/>
  <c r="CL6" i="55" s="1"/>
  <c r="CL7" i="55" s="1"/>
  <c r="CJ14" i="45" s="1"/>
  <c r="CM9" i="54"/>
  <c r="CK3" i="53"/>
  <c r="CK15" i="52"/>
  <c r="CL9" i="52"/>
  <c r="CL11" i="52" s="1"/>
  <c r="CH7" i="45"/>
  <c r="BY24" i="49" l="1"/>
  <c r="CB18" i="45"/>
  <c r="CB20" i="45" s="1"/>
  <c r="CB22" i="45" s="1"/>
  <c r="CC79" i="59"/>
  <c r="CC11" i="45"/>
  <c r="CC18" i="45" s="1"/>
  <c r="CC20" i="45" s="1"/>
  <c r="CC22" i="45" s="1"/>
  <c r="CB17" i="49"/>
  <c r="CK16" i="53"/>
  <c r="CK5" i="53"/>
  <c r="CN9" i="54"/>
  <c r="CM17" i="54"/>
  <c r="CM6" i="55" s="1"/>
  <c r="CM7" i="55" s="1"/>
  <c r="CK14" i="45" s="1"/>
  <c r="AH14" i="51"/>
  <c r="AI24" i="45" s="1"/>
  <c r="AH15" i="51"/>
  <c r="CL15" i="52"/>
  <c r="CM9" i="52"/>
  <c r="CM11" i="52" s="1"/>
  <c r="CL3" i="53"/>
  <c r="CI7" i="45"/>
  <c r="AF29" i="44"/>
  <c r="AH32" i="45"/>
  <c r="AH31" i="45"/>
  <c r="AG6" i="44" s="1"/>
  <c r="CF78" i="59"/>
  <c r="CB30" i="49"/>
  <c r="CJ17" i="53"/>
  <c r="CJ8" i="53"/>
  <c r="CJ84" i="59"/>
  <c r="CF7" i="49"/>
  <c r="CH16" i="45"/>
  <c r="CH20" i="49"/>
  <c r="CG19" i="44"/>
  <c r="CF21" i="44"/>
  <c r="CK18" i="52"/>
  <c r="CK24" i="52" s="1"/>
  <c r="CK26" i="52" s="1"/>
  <c r="CK27" i="52"/>
  <c r="CE27" i="45"/>
  <c r="O13" i="43"/>
  <c r="O8" i="42" s="1"/>
  <c r="CE15" i="44"/>
  <c r="O11" i="43"/>
  <c r="CF82" i="59"/>
  <c r="CC4" i="49"/>
  <c r="CD17" i="45"/>
  <c r="CD5" i="45"/>
  <c r="CC5" i="49" s="1"/>
  <c r="BO4" i="44"/>
  <c r="CH22" i="53"/>
  <c r="CE4" i="45" s="1"/>
  <c r="CH20" i="53"/>
  <c r="CH19" i="53" s="1"/>
  <c r="AF40" i="49"/>
  <c r="CJ28" i="52"/>
  <c r="CJ29" i="52" s="1"/>
  <c r="CJ31" i="52"/>
  <c r="CJ32" i="52" s="1"/>
  <c r="CE22" i="49"/>
  <c r="CA23" i="49"/>
  <c r="CI13" i="53"/>
  <c r="CI10" i="53"/>
  <c r="CG25" i="45"/>
  <c r="CE27" i="49" s="1"/>
  <c r="CF9" i="44"/>
  <c r="CL6" i="52"/>
  <c r="CM2" i="52"/>
  <c r="CB26" i="44" l="1"/>
  <c r="BZ24" i="49"/>
  <c r="CD79" i="59"/>
  <c r="CC17" i="49"/>
  <c r="CJ10" i="53"/>
  <c r="CJ13" i="53"/>
  <c r="AG16" i="44"/>
  <c r="CK84" i="59"/>
  <c r="CG7" i="49"/>
  <c r="CI16" i="45"/>
  <c r="AI4" i="51"/>
  <c r="AH24" i="51"/>
  <c r="AH25" i="51" s="1"/>
  <c r="AH27" i="51" s="1"/>
  <c r="AH7" i="44"/>
  <c r="CN17" i="54"/>
  <c r="CN6" i="55" s="1"/>
  <c r="CN7" i="55" s="1"/>
  <c r="CL14" i="45" s="1"/>
  <c r="CO9" i="54"/>
  <c r="CB23" i="49"/>
  <c r="BP4" i="44"/>
  <c r="CD11" i="45"/>
  <c r="CF27" i="45"/>
  <c r="CF15" i="44"/>
  <c r="CG21" i="44"/>
  <c r="CH19" i="44"/>
  <c r="CF22" i="49"/>
  <c r="CL16" i="53"/>
  <c r="CL5" i="53"/>
  <c r="AK81" i="59"/>
  <c r="AK87" i="59" s="1"/>
  <c r="AG26" i="49"/>
  <c r="AI29" i="45"/>
  <c r="CE79" i="59"/>
  <c r="CA24" i="49"/>
  <c r="CM3" i="53"/>
  <c r="CN9" i="52"/>
  <c r="CN11" i="52" s="1"/>
  <c r="CM15" i="52"/>
  <c r="CJ7" i="45"/>
  <c r="CK17" i="53"/>
  <c r="CK8" i="53"/>
  <c r="CH25" i="45"/>
  <c r="CF27" i="49" s="1"/>
  <c r="CG9" i="44"/>
  <c r="CM6" i="52"/>
  <c r="CN2" i="52"/>
  <c r="CI22" i="53"/>
  <c r="CF4" i="45" s="1"/>
  <c r="CI20" i="53"/>
  <c r="CI19" i="53" s="1"/>
  <c r="AG17" i="51"/>
  <c r="AG39" i="49"/>
  <c r="AG23" i="44"/>
  <c r="AG27" i="44" s="1"/>
  <c r="CG82" i="59"/>
  <c r="CD4" i="49"/>
  <c r="CE17" i="45"/>
  <c r="CE5" i="45"/>
  <c r="CD5" i="49" s="1"/>
  <c r="CG78" i="59"/>
  <c r="CC30" i="49"/>
  <c r="CK31" i="52"/>
  <c r="CK32" i="52" s="1"/>
  <c r="CK28" i="52"/>
  <c r="CK29" i="52" s="1"/>
  <c r="CL18" i="52"/>
  <c r="CL24" i="52" s="1"/>
  <c r="CL26" i="52" s="1"/>
  <c r="CL27" i="52"/>
  <c r="CI20" i="49"/>
  <c r="CC26" i="44" l="1"/>
  <c r="CE11" i="45"/>
  <c r="CL31" i="52"/>
  <c r="CL32" i="52" s="1"/>
  <c r="CL28" i="52"/>
  <c r="CL29" i="52" s="1"/>
  <c r="CM16" i="53"/>
  <c r="CM5" i="53"/>
  <c r="CL8" i="53"/>
  <c r="CL17" i="53"/>
  <c r="CH21" i="44"/>
  <c r="CI19" i="44"/>
  <c r="CH78" i="59"/>
  <c r="CD30" i="49"/>
  <c r="CO17" i="54"/>
  <c r="CO6" i="55" s="1"/>
  <c r="CO7" i="55" s="1"/>
  <c r="CM14" i="45" s="1"/>
  <c r="CP9" i="54"/>
  <c r="AI14" i="51"/>
  <c r="AJ24" i="45" s="1"/>
  <c r="AI15" i="51"/>
  <c r="CH82" i="59"/>
  <c r="CE4" i="49"/>
  <c r="CF17" i="45"/>
  <c r="CF5" i="45"/>
  <c r="CF11" i="45" s="1"/>
  <c r="CI25" i="45"/>
  <c r="CG27" i="49" s="1"/>
  <c r="CH9" i="44"/>
  <c r="CL84" i="59"/>
  <c r="CH7" i="49"/>
  <c r="CJ16" i="45"/>
  <c r="AI32" i="45"/>
  <c r="CD18" i="45"/>
  <c r="CJ20" i="49"/>
  <c r="AG29" i="44"/>
  <c r="CD17" i="49"/>
  <c r="CN6" i="52"/>
  <c r="CO2" i="52"/>
  <c r="CM27" i="52"/>
  <c r="CM18" i="52"/>
  <c r="CM24" i="52" s="1"/>
  <c r="CM26" i="52" s="1"/>
  <c r="AH30" i="44"/>
  <c r="K6" i="43"/>
  <c r="CG22" i="49"/>
  <c r="CC23" i="49"/>
  <c r="CK13" i="53"/>
  <c r="CK10" i="53"/>
  <c r="CN3" i="53"/>
  <c r="CN15" i="52"/>
  <c r="CO9" i="52"/>
  <c r="CO11" i="52" s="1"/>
  <c r="CK7" i="45"/>
  <c r="CG27" i="45"/>
  <c r="CG15" i="44"/>
  <c r="BQ4" i="44"/>
  <c r="CJ20" i="53"/>
  <c r="CJ19" i="53" s="1"/>
  <c r="CJ22" i="53"/>
  <c r="CG4" i="45" s="1"/>
  <c r="CD26" i="44" l="1"/>
  <c r="CE26" i="44" s="1"/>
  <c r="CE18" i="45"/>
  <c r="CE20" i="45" s="1"/>
  <c r="CE22" i="45" s="1"/>
  <c r="CF18" i="45"/>
  <c r="CH27" i="45"/>
  <c r="CH15" i="44"/>
  <c r="CM84" i="59"/>
  <c r="CI7" i="49"/>
  <c r="CK16" i="45"/>
  <c r="CI78" i="59"/>
  <c r="CE30" i="49"/>
  <c r="CO3" i="53"/>
  <c r="CO15" i="52"/>
  <c r="CP9" i="52"/>
  <c r="CP11" i="52" s="1"/>
  <c r="CL7" i="45"/>
  <c r="CK20" i="53"/>
  <c r="CK19" i="53" s="1"/>
  <c r="CK22" i="53"/>
  <c r="CH4" i="45" s="1"/>
  <c r="CP17" i="54"/>
  <c r="CP6" i="55" s="1"/>
  <c r="CP7" i="55" s="1"/>
  <c r="CN14" i="45" s="1"/>
  <c r="CQ9" i="54"/>
  <c r="CL10" i="53"/>
  <c r="CL13" i="53"/>
  <c r="CP2" i="52"/>
  <c r="CO6" i="52"/>
  <c r="BR4" i="44"/>
  <c r="CN27" i="52"/>
  <c r="CN18" i="52"/>
  <c r="CN24" i="52" s="1"/>
  <c r="CN26" i="52" s="1"/>
  <c r="CF79" i="59"/>
  <c r="CB24" i="49"/>
  <c r="CD20" i="45"/>
  <c r="CD22" i="45" s="1"/>
  <c r="CK20" i="49"/>
  <c r="CI21" i="44"/>
  <c r="CJ19" i="44"/>
  <c r="O23" i="43"/>
  <c r="O32" i="43" s="1"/>
  <c r="O33" i="43" s="1"/>
  <c r="O9" i="50" s="1"/>
  <c r="O19" i="50" s="1"/>
  <c r="CI82" i="59"/>
  <c r="CF4" i="49"/>
  <c r="CG17" i="45"/>
  <c r="CG5" i="45"/>
  <c r="CF5" i="49" s="1"/>
  <c r="CN16" i="53"/>
  <c r="CN5" i="53"/>
  <c r="CJ25" i="45"/>
  <c r="CH27" i="49" s="1"/>
  <c r="CI9" i="44"/>
  <c r="CE5" i="49"/>
  <c r="AI25" i="51"/>
  <c r="AI27" i="51" s="1"/>
  <c r="AI24" i="51"/>
  <c r="AJ4" i="51"/>
  <c r="AI7" i="44"/>
  <c r="AI30" i="44" s="1"/>
  <c r="CM17" i="53"/>
  <c r="CM8" i="53"/>
  <c r="K17" i="50"/>
  <c r="K27" i="43"/>
  <c r="K14" i="42"/>
  <c r="K15" i="42" s="1"/>
  <c r="CM28" i="52"/>
  <c r="CM29" i="52" s="1"/>
  <c r="CM31" i="52"/>
  <c r="CM32" i="52" s="1"/>
  <c r="CH22" i="49"/>
  <c r="CD23" i="49"/>
  <c r="CF20" i="45"/>
  <c r="CF22" i="45" s="1"/>
  <c r="AL81" i="59"/>
  <c r="AL87" i="59" s="1"/>
  <c r="AH26" i="49"/>
  <c r="AJ29" i="45"/>
  <c r="CG79" i="59" l="1"/>
  <c r="CC24" i="49"/>
  <c r="CK19" i="44"/>
  <c r="CJ21" i="44"/>
  <c r="CO5" i="53"/>
  <c r="CO16" i="53"/>
  <c r="AH37" i="49"/>
  <c r="AH38" i="49" s="1"/>
  <c r="CM13" i="53"/>
  <c r="CM10" i="53"/>
  <c r="CN17" i="53"/>
  <c r="CN8" i="53"/>
  <c r="CE23" i="49"/>
  <c r="CR9" i="54"/>
  <c r="CQ17" i="54"/>
  <c r="CQ6" i="55" s="1"/>
  <c r="CQ7" i="55" s="1"/>
  <c r="CO14" i="45" s="1"/>
  <c r="CN84" i="59"/>
  <c r="CJ7" i="49"/>
  <c r="CL16" i="45"/>
  <c r="K31" i="50"/>
  <c r="CN28" i="52"/>
  <c r="CN29" i="52" s="1"/>
  <c r="CN31" i="52"/>
  <c r="CN32" i="52" s="1"/>
  <c r="CP6" i="52"/>
  <c r="CQ2" i="52"/>
  <c r="CL20" i="49"/>
  <c r="CJ82" i="59"/>
  <c r="CG4" i="49"/>
  <c r="CH17" i="45"/>
  <c r="CH5" i="45"/>
  <c r="CH11" i="45" s="1"/>
  <c r="CP3" i="53"/>
  <c r="CP15" i="52"/>
  <c r="CQ9" i="52"/>
  <c r="CQ11" i="52" s="1"/>
  <c r="CM7" i="45"/>
  <c r="CI27" i="45"/>
  <c r="CI15" i="44"/>
  <c r="AJ14" i="51"/>
  <c r="AK24" i="45" s="1"/>
  <c r="AJ15" i="51"/>
  <c r="CF17" i="49"/>
  <c r="AJ31" i="45"/>
  <c r="AJ32" i="45"/>
  <c r="CK25" i="45"/>
  <c r="CI27" i="49" s="1"/>
  <c r="CJ9" i="44"/>
  <c r="CG11" i="45"/>
  <c r="CF26" i="44" s="1"/>
  <c r="BS4" i="44"/>
  <c r="N3" i="43"/>
  <c r="CL22" i="53"/>
  <c r="CI4" i="45" s="1"/>
  <c r="CL20" i="53"/>
  <c r="CL19" i="53" s="1"/>
  <c r="CE17" i="49"/>
  <c r="CO18" i="52"/>
  <c r="CO24" i="52" s="1"/>
  <c r="CO26" i="52" s="1"/>
  <c r="CO27" i="52"/>
  <c r="CI22" i="49"/>
  <c r="CJ78" i="59"/>
  <c r="CF30" i="49"/>
  <c r="CH79" i="59"/>
  <c r="CD24" i="49"/>
  <c r="CG26" i="44" l="1"/>
  <c r="CK82" i="59"/>
  <c r="CH4" i="49"/>
  <c r="CI17" i="45"/>
  <c r="CI5" i="45"/>
  <c r="CH5" i="49" s="1"/>
  <c r="CP16" i="53"/>
  <c r="CP5" i="53"/>
  <c r="CQ3" i="53"/>
  <c r="CQ15" i="52"/>
  <c r="CR9" i="52"/>
  <c r="CR11" i="52" s="1"/>
  <c r="CN7" i="45"/>
  <c r="CF23" i="49"/>
  <c r="CM22" i="53"/>
  <c r="CJ4" i="45" s="1"/>
  <c r="CM20" i="53"/>
  <c r="CM19" i="53" s="1"/>
  <c r="CO8" i="53"/>
  <c r="CO17" i="53"/>
  <c r="CO31" i="52"/>
  <c r="CO32" i="52" s="1"/>
  <c r="CO28" i="52"/>
  <c r="CO29" i="52" s="1"/>
  <c r="BT4" i="44"/>
  <c r="CJ27" i="45"/>
  <c r="CJ15" i="44"/>
  <c r="CP18" i="52"/>
  <c r="CP24" i="52" s="1"/>
  <c r="CP26" i="52" s="1"/>
  <c r="CP27" i="52"/>
  <c r="CH18" i="45"/>
  <c r="CH20" i="45" s="1"/>
  <c r="CH22" i="45" s="1"/>
  <c r="CN10" i="53"/>
  <c r="CN13" i="53"/>
  <c r="CG18" i="45"/>
  <c r="CM20" i="49"/>
  <c r="CK21" i="44"/>
  <c r="CL19" i="44"/>
  <c r="AJ24" i="51"/>
  <c r="AJ25" i="51" s="1"/>
  <c r="AJ27" i="51" s="1"/>
  <c r="AK4" i="51"/>
  <c r="AJ7" i="44"/>
  <c r="AJ30" i="44" s="1"/>
  <c r="CK78" i="59"/>
  <c r="CG30" i="49"/>
  <c r="CQ6" i="52"/>
  <c r="CR2" i="52"/>
  <c r="CL25" i="45"/>
  <c r="CJ27" i="49" s="1"/>
  <c r="CK9" i="44"/>
  <c r="AM81" i="59"/>
  <c r="AM87" i="59" s="1"/>
  <c r="AI26" i="49"/>
  <c r="AK29" i="45"/>
  <c r="CO84" i="59"/>
  <c r="CK7" i="49"/>
  <c r="CM16" i="45"/>
  <c r="CG5" i="49"/>
  <c r="CG17" i="49" s="1"/>
  <c r="CJ22" i="49"/>
  <c r="CR17" i="54"/>
  <c r="CR6" i="55" s="1"/>
  <c r="CR7" i="55" s="1"/>
  <c r="CP14" i="45" s="1"/>
  <c r="CS9" i="54"/>
  <c r="CK22" i="49" l="1"/>
  <c r="BU4" i="44"/>
  <c r="CL82" i="59"/>
  <c r="CI4" i="49"/>
  <c r="CJ17" i="45"/>
  <c r="CJ5" i="45"/>
  <c r="CJ11" i="45" s="1"/>
  <c r="CQ27" i="52"/>
  <c r="CQ18" i="52"/>
  <c r="CQ24" i="52" s="1"/>
  <c r="CQ26" i="52" s="1"/>
  <c r="CH17" i="49"/>
  <c r="AK14" i="51"/>
  <c r="AL24" i="45" s="1"/>
  <c r="AK15" i="51"/>
  <c r="CL21" i="44"/>
  <c r="CM19" i="44"/>
  <c r="CJ79" i="59"/>
  <c r="CF24" i="49"/>
  <c r="CK27" i="45"/>
  <c r="CK15" i="44"/>
  <c r="CO10" i="53"/>
  <c r="CO13" i="53"/>
  <c r="CQ16" i="53"/>
  <c r="CQ5" i="53"/>
  <c r="AI37" i="49"/>
  <c r="AI38" i="49" s="1"/>
  <c r="CN22" i="53"/>
  <c r="CK4" i="45" s="1"/>
  <c r="CN20" i="53"/>
  <c r="CN19" i="53" s="1"/>
  <c r="CL78" i="59"/>
  <c r="CH30" i="49"/>
  <c r="CP84" i="59"/>
  <c r="CL7" i="49"/>
  <c r="CN16" i="45"/>
  <c r="CP17" i="53"/>
  <c r="CP8" i="53"/>
  <c r="CG23" i="49"/>
  <c r="CS17" i="54"/>
  <c r="CS6" i="55" s="1"/>
  <c r="CS7" i="55" s="1"/>
  <c r="CQ14" i="45" s="1"/>
  <c r="CT9" i="54"/>
  <c r="CN20" i="49"/>
  <c r="AK32" i="45"/>
  <c r="AK31" i="45"/>
  <c r="CM25" i="45"/>
  <c r="CK27" i="49" s="1"/>
  <c r="CL9" i="44"/>
  <c r="CR6" i="52"/>
  <c r="CS2" i="52"/>
  <c r="CI79" i="59"/>
  <c r="CE24" i="49"/>
  <c r="CG20" i="45"/>
  <c r="CG22" i="45" s="1"/>
  <c r="CP31" i="52"/>
  <c r="CP32" i="52" s="1"/>
  <c r="CP28" i="52"/>
  <c r="CP29" i="52" s="1"/>
  <c r="CR3" i="53"/>
  <c r="CR15" i="52"/>
  <c r="CS9" i="52"/>
  <c r="CS11" i="52" s="1"/>
  <c r="CO7" i="45"/>
  <c r="CI11" i="45"/>
  <c r="CP10" i="53" l="1"/>
  <c r="CP13" i="53"/>
  <c r="CL27" i="45"/>
  <c r="CL15" i="44"/>
  <c r="CM21" i="44"/>
  <c r="CN19" i="44"/>
  <c r="CJ18" i="45"/>
  <c r="CJ20" i="45" s="1"/>
  <c r="CJ22" i="45" s="1"/>
  <c r="CS3" i="53"/>
  <c r="CS15" i="52"/>
  <c r="CT9" i="52"/>
  <c r="CT11" i="52" s="1"/>
  <c r="CP7" i="45"/>
  <c r="CS6" i="52"/>
  <c r="CT2" i="52"/>
  <c r="CT17" i="54"/>
  <c r="CT6" i="55" s="1"/>
  <c r="CT7" i="55" s="1"/>
  <c r="CR14" i="45" s="1"/>
  <c r="CU9" i="54"/>
  <c r="CR27" i="52"/>
  <c r="CR18" i="52"/>
  <c r="CR24" i="52" s="1"/>
  <c r="CR26" i="52" s="1"/>
  <c r="CO20" i="49"/>
  <c r="CM82" i="59"/>
  <c r="CJ4" i="49"/>
  <c r="CK17" i="45"/>
  <c r="CK5" i="45"/>
  <c r="CJ5" i="49" s="1"/>
  <c r="CM78" i="59"/>
  <c r="CI30" i="49"/>
  <c r="CI5" i="49"/>
  <c r="CI17" i="49" s="1"/>
  <c r="BV4" i="44"/>
  <c r="CI18" i="45"/>
  <c r="CH26" i="44"/>
  <c r="CI26" i="44" s="1"/>
  <c r="CR16" i="53"/>
  <c r="CR5" i="53"/>
  <c r="CN25" i="45"/>
  <c r="CL27" i="49" s="1"/>
  <c r="CM9" i="44"/>
  <c r="CL22" i="49"/>
  <c r="CQ17" i="53"/>
  <c r="CQ8" i="53"/>
  <c r="CO20" i="53"/>
  <c r="CO19" i="53" s="1"/>
  <c r="CO22" i="53"/>
  <c r="CL4" i="45" s="1"/>
  <c r="AK24" i="51"/>
  <c r="AK25" i="51"/>
  <c r="AK27" i="51" s="1"/>
  <c r="AL4" i="51"/>
  <c r="AK7" i="44"/>
  <c r="AK30" i="44" s="1"/>
  <c r="CH23" i="49"/>
  <c r="CQ84" i="59"/>
  <c r="CM7" i="49"/>
  <c r="CO16" i="45"/>
  <c r="AN81" i="59"/>
  <c r="AN87" i="59" s="1"/>
  <c r="AJ26" i="49"/>
  <c r="AL29" i="45"/>
  <c r="CQ31" i="52"/>
  <c r="CQ32" i="52" s="1"/>
  <c r="CQ28" i="52"/>
  <c r="CQ29" i="52" s="1"/>
  <c r="CK11" i="45" l="1"/>
  <c r="CJ26" i="44" s="1"/>
  <c r="AL14" i="51"/>
  <c r="AM24" i="45" s="1"/>
  <c r="AL15" i="51"/>
  <c r="CN82" i="59"/>
  <c r="CK4" i="49"/>
  <c r="CL17" i="45"/>
  <c r="CL5" i="45"/>
  <c r="CT6" i="52"/>
  <c r="CU2" i="52"/>
  <c r="CS18" i="52"/>
  <c r="CS24" i="52" s="1"/>
  <c r="CS26" i="52" s="1"/>
  <c r="CS27" i="52"/>
  <c r="CL79" i="59"/>
  <c r="CH24" i="49"/>
  <c r="CN78" i="59"/>
  <c r="CJ30" i="49"/>
  <c r="CM22" i="49"/>
  <c r="CR17" i="53"/>
  <c r="CR8" i="53"/>
  <c r="CK79" i="59"/>
  <c r="CG24" i="49"/>
  <c r="CI20" i="45"/>
  <c r="CI22" i="45" s="1"/>
  <c r="CR28" i="52"/>
  <c r="CR29" i="52" s="1"/>
  <c r="CR31" i="52"/>
  <c r="CR32" i="52" s="1"/>
  <c r="CS16" i="53"/>
  <c r="CS5" i="53"/>
  <c r="CN21" i="44"/>
  <c r="CO19" i="44"/>
  <c r="AL32" i="45"/>
  <c r="AL31" i="45"/>
  <c r="CQ13" i="53"/>
  <c r="CQ10" i="53"/>
  <c r="CO25" i="45"/>
  <c r="CM27" i="49" s="1"/>
  <c r="CN9" i="44"/>
  <c r="CI23" i="49"/>
  <c r="CV9" i="54"/>
  <c r="CU17" i="54"/>
  <c r="CU6" i="55" s="1"/>
  <c r="CU7" i="55" s="1"/>
  <c r="CS14" i="45" s="1"/>
  <c r="CR84" i="59"/>
  <c r="CN7" i="49"/>
  <c r="CP16" i="45"/>
  <c r="CP22" i="53"/>
  <c r="CM4" i="45" s="1"/>
  <c r="CP20" i="53"/>
  <c r="CP19" i="53" s="1"/>
  <c r="AJ37" i="49"/>
  <c r="AJ38" i="49" s="1"/>
  <c r="BW4" i="44"/>
  <c r="CJ17" i="49"/>
  <c r="CP20" i="49"/>
  <c r="CT3" i="53"/>
  <c r="CT15" i="52"/>
  <c r="CU9" i="52"/>
  <c r="CU11" i="52" s="1"/>
  <c r="CQ7" i="45"/>
  <c r="CM27" i="45"/>
  <c r="CM15" i="44"/>
  <c r="CK18" i="45" l="1"/>
  <c r="CK20" i="45" s="1"/>
  <c r="CK22" i="45" s="1"/>
  <c r="CR10" i="53"/>
  <c r="CR13" i="53"/>
  <c r="CK5" i="49"/>
  <c r="CK17" i="49" s="1"/>
  <c r="CO82" i="59"/>
  <c r="CL4" i="49"/>
  <c r="CM17" i="45"/>
  <c r="CM5" i="45"/>
  <c r="CL5" i="49" s="1"/>
  <c r="CS17" i="53"/>
  <c r="CS8" i="53"/>
  <c r="CS31" i="52"/>
  <c r="CS32" i="52" s="1"/>
  <c r="CS28" i="52"/>
  <c r="CS29" i="52" s="1"/>
  <c r="CJ23" i="49"/>
  <c r="AL25" i="51"/>
  <c r="AL27" i="51" s="1"/>
  <c r="AM4" i="51"/>
  <c r="AL24" i="51"/>
  <c r="AL7" i="44"/>
  <c r="AL30" i="44" s="1"/>
  <c r="CN27" i="45"/>
  <c r="CN15" i="44"/>
  <c r="CT18" i="52"/>
  <c r="CT24" i="52" s="1"/>
  <c r="CT26" i="52" s="1"/>
  <c r="CT27" i="52"/>
  <c r="CO78" i="59"/>
  <c r="CK30" i="49"/>
  <c r="CT16" i="53"/>
  <c r="CT5" i="53"/>
  <c r="CS84" i="59"/>
  <c r="CO7" i="49"/>
  <c r="CQ16" i="45"/>
  <c r="CU3" i="53"/>
  <c r="CV9" i="52"/>
  <c r="CV11" i="52" s="1"/>
  <c r="CU15" i="52"/>
  <c r="CR7" i="45"/>
  <c r="BX4" i="44"/>
  <c r="CQ20" i="49"/>
  <c r="CQ22" i="53"/>
  <c r="CN4" i="45" s="1"/>
  <c r="CQ20" i="53"/>
  <c r="CQ19" i="53" s="1"/>
  <c r="CL11" i="45"/>
  <c r="CK26" i="44" s="1"/>
  <c r="AO81" i="59"/>
  <c r="AO87" i="59" s="1"/>
  <c r="AK26" i="49"/>
  <c r="AM29" i="45"/>
  <c r="CN22" i="49"/>
  <c r="CV17" i="54"/>
  <c r="CV6" i="55" s="1"/>
  <c r="CV7" i="55" s="1"/>
  <c r="CT14" i="45" s="1"/>
  <c r="CW9" i="54"/>
  <c r="CP25" i="45"/>
  <c r="CN27" i="49" s="1"/>
  <c r="CO9" i="44"/>
  <c r="CO21" i="44"/>
  <c r="CP19" i="44"/>
  <c r="CU6" i="52"/>
  <c r="CV2" i="52"/>
  <c r="CI24" i="49" l="1"/>
  <c r="CM79" i="59"/>
  <c r="CL17" i="49"/>
  <c r="CQ25" i="45"/>
  <c r="CO27" i="49" s="1"/>
  <c r="CP9" i="44"/>
  <c r="AK37" i="49"/>
  <c r="AK38" i="49" s="1"/>
  <c r="CU27" i="52"/>
  <c r="CU18" i="52"/>
  <c r="CU24" i="52" s="1"/>
  <c r="CU26" i="52" s="1"/>
  <c r="CP78" i="59"/>
  <c r="CL30" i="49"/>
  <c r="CR20" i="53"/>
  <c r="CR19" i="53" s="1"/>
  <c r="CR22" i="53"/>
  <c r="CO4" i="45" s="1"/>
  <c r="CP82" i="59"/>
  <c r="CM4" i="49"/>
  <c r="CN17" i="45"/>
  <c r="CN5" i="45"/>
  <c r="CM5" i="49" s="1"/>
  <c r="CV15" i="52"/>
  <c r="CW9" i="52"/>
  <c r="CW11" i="52" s="1"/>
  <c r="CV3" i="53"/>
  <c r="CS7" i="45"/>
  <c r="CT31" i="52"/>
  <c r="CT32" i="52" s="1"/>
  <c r="CT28" i="52"/>
  <c r="CT29" i="52" s="1"/>
  <c r="CP21" i="44"/>
  <c r="P17" i="43"/>
  <c r="CQ19" i="44"/>
  <c r="CW17" i="54"/>
  <c r="CW6" i="55" s="1"/>
  <c r="CW7" i="55" s="1"/>
  <c r="CU14" i="45" s="1"/>
  <c r="CX9" i="54"/>
  <c r="CL18" i="45"/>
  <c r="BY4" i="44"/>
  <c r="CU16" i="53"/>
  <c r="CU5" i="53"/>
  <c r="CK23" i="49"/>
  <c r="CV6" i="52"/>
  <c r="CW2" i="52"/>
  <c r="CR20" i="49"/>
  <c r="AM31" i="45"/>
  <c r="AM32" i="45"/>
  <c r="CT84" i="59"/>
  <c r="CP7" i="49"/>
  <c r="CR16" i="45"/>
  <c r="CO22" i="49"/>
  <c r="CT17" i="53"/>
  <c r="CT8" i="53"/>
  <c r="CO27" i="45"/>
  <c r="CO15" i="44"/>
  <c r="AM14" i="51"/>
  <c r="AN24" i="45" s="1"/>
  <c r="AM15" i="51"/>
  <c r="CS10" i="53"/>
  <c r="CS13" i="53"/>
  <c r="CM11" i="45"/>
  <c r="CN11" i="45" l="1"/>
  <c r="CN18" i="45" s="1"/>
  <c r="CN20" i="45" s="1"/>
  <c r="CN22" i="45" s="1"/>
  <c r="CM17" i="49"/>
  <c r="CM18" i="45"/>
  <c r="CQ78" i="59"/>
  <c r="CM30" i="49"/>
  <c r="CX2" i="52"/>
  <c r="CW6" i="52"/>
  <c r="CX17" i="54"/>
  <c r="CX6" i="55" s="1"/>
  <c r="CX7" i="55" s="1"/>
  <c r="CV14" i="45" s="1"/>
  <c r="CY9" i="54"/>
  <c r="CY17" i="54" s="1"/>
  <c r="CY6" i="55" s="1"/>
  <c r="CV27" i="52"/>
  <c r="CV18" i="52"/>
  <c r="CV24" i="52" s="1"/>
  <c r="CV26" i="52" s="1"/>
  <c r="CQ82" i="59"/>
  <c r="CN4" i="49"/>
  <c r="CO17" i="45"/>
  <c r="CO5" i="45"/>
  <c r="CN5" i="49" s="1"/>
  <c r="CU17" i="53"/>
  <c r="CU8" i="53"/>
  <c r="CN79" i="59"/>
  <c r="CJ24" i="49"/>
  <c r="CL20" i="45"/>
  <c r="CL22" i="45" s="1"/>
  <c r="CS20" i="49"/>
  <c r="CU84" i="59"/>
  <c r="CQ7" i="49"/>
  <c r="CS16" i="45"/>
  <c r="CS22" i="53"/>
  <c r="CP4" i="45" s="1"/>
  <c r="CS20" i="53"/>
  <c r="CS19" i="53" s="1"/>
  <c r="AM25" i="51"/>
  <c r="AM27" i="51" s="1"/>
  <c r="AM24" i="51"/>
  <c r="AN4" i="51"/>
  <c r="AM7" i="44"/>
  <c r="AM30" i="44" s="1"/>
  <c r="AP81" i="59"/>
  <c r="AP87" i="59" s="1"/>
  <c r="AL26" i="49"/>
  <c r="AL37" i="49" s="1"/>
  <c r="AL38" i="49" s="1"/>
  <c r="AN29" i="45"/>
  <c r="CT10" i="53"/>
  <c r="CT13" i="53"/>
  <c r="CQ21" i="44"/>
  <c r="CR19" i="44"/>
  <c r="CV16" i="53"/>
  <c r="CV5" i="53"/>
  <c r="CU31" i="52"/>
  <c r="CU32" i="52" s="1"/>
  <c r="CU28" i="52"/>
  <c r="CU29" i="52" s="1"/>
  <c r="CR25" i="45"/>
  <c r="CP27" i="49" s="1"/>
  <c r="CQ9" i="44"/>
  <c r="P9" i="43"/>
  <c r="CP27" i="45"/>
  <c r="CP15" i="44"/>
  <c r="CP22" i="49"/>
  <c r="BZ4" i="44"/>
  <c r="CL26" i="44"/>
  <c r="P29" i="43"/>
  <c r="P30" i="43" s="1"/>
  <c r="P4" i="50" s="1"/>
  <c r="P5" i="50" s="1"/>
  <c r="P23" i="50" s="1"/>
  <c r="P12" i="42"/>
  <c r="P19" i="43"/>
  <c r="CW3" i="53"/>
  <c r="CW15" i="52"/>
  <c r="CX9" i="52"/>
  <c r="CX11" i="52" s="1"/>
  <c r="CT7" i="45"/>
  <c r="CL23" i="49"/>
  <c r="CO11" i="45" l="1"/>
  <c r="CO18" i="45" s="1"/>
  <c r="CM26" i="44"/>
  <c r="CN17" i="49"/>
  <c r="AN31" i="45"/>
  <c r="AN32" i="45"/>
  <c r="AN14" i="51"/>
  <c r="AO24" i="45" s="1"/>
  <c r="AN15" i="51"/>
  <c r="CM23" i="49"/>
  <c r="CT20" i="49"/>
  <c r="CV84" i="59"/>
  <c r="CR7" i="49"/>
  <c r="CT16" i="45"/>
  <c r="CA4" i="44"/>
  <c r="CS25" i="45"/>
  <c r="CQ27" i="49" s="1"/>
  <c r="CR9" i="44"/>
  <c r="CV17" i="53"/>
  <c r="CV8" i="53"/>
  <c r="CR82" i="59"/>
  <c r="CO4" i="49"/>
  <c r="CP17" i="45"/>
  <c r="CP5" i="45"/>
  <c r="CO5" i="49" s="1"/>
  <c r="CV31" i="52"/>
  <c r="CV32" i="52" s="1"/>
  <c r="CV28" i="52"/>
  <c r="CV29" i="52" s="1"/>
  <c r="CT22" i="53"/>
  <c r="CQ4" i="45" s="1"/>
  <c r="CT20" i="53"/>
  <c r="CT19" i="53" s="1"/>
  <c r="CP79" i="59"/>
  <c r="CL24" i="49"/>
  <c r="CW5" i="53"/>
  <c r="CW16" i="53"/>
  <c r="CX15" i="52"/>
  <c r="CY9" i="52"/>
  <c r="CY11" i="52" s="1"/>
  <c r="CX3" i="53"/>
  <c r="CU7" i="45"/>
  <c r="CQ27" i="45"/>
  <c r="P13" i="43"/>
  <c r="P8" i="42" s="1"/>
  <c r="CQ15" i="44"/>
  <c r="P11" i="43"/>
  <c r="CW18" i="52"/>
  <c r="CW24" i="52" s="1"/>
  <c r="CW26" i="52" s="1"/>
  <c r="CW27" i="52"/>
  <c r="CR78" i="59"/>
  <c r="CN30" i="49"/>
  <c r="CS19" i="44"/>
  <c r="CR21" i="44"/>
  <c r="CQ22" i="49"/>
  <c r="CU13" i="53"/>
  <c r="CU10" i="53"/>
  <c r="CZ6" i="55"/>
  <c r="CY7" i="55"/>
  <c r="CW14" i="45" s="1"/>
  <c r="CX6" i="52"/>
  <c r="CY2" i="52"/>
  <c r="CO79" i="59"/>
  <c r="CK24" i="49"/>
  <c r="CM20" i="45"/>
  <c r="CM22" i="45" s="1"/>
  <c r="CN26" i="44" l="1"/>
  <c r="CO17" i="49"/>
  <c r="DA6" i="55"/>
  <c r="CZ7" i="55"/>
  <c r="CS21" i="44"/>
  <c r="CT19" i="44"/>
  <c r="CW31" i="52"/>
  <c r="CW32" i="52" s="1"/>
  <c r="CW28" i="52"/>
  <c r="CW29" i="52" s="1"/>
  <c r="CX16" i="53"/>
  <c r="CX5" i="53"/>
  <c r="CY6" i="52"/>
  <c r="CZ2" i="52"/>
  <c r="CS78" i="59"/>
  <c r="CO30" i="49"/>
  <c r="CY3" i="53"/>
  <c r="CZ9" i="52"/>
  <c r="CZ11" i="52" s="1"/>
  <c r="CY15" i="52"/>
  <c r="CV7" i="45"/>
  <c r="CW17" i="53"/>
  <c r="CW8" i="53"/>
  <c r="CQ79" i="59"/>
  <c r="CM24" i="49"/>
  <c r="CT25" i="45"/>
  <c r="CR27" i="49" s="1"/>
  <c r="CS9" i="44"/>
  <c r="CR22" i="49"/>
  <c r="CX18" i="52"/>
  <c r="CX24" i="52" s="1"/>
  <c r="CX26" i="52" s="1"/>
  <c r="CX27" i="52"/>
  <c r="CN23" i="49"/>
  <c r="CB4" i="44"/>
  <c r="AN24" i="51"/>
  <c r="AN25" i="51"/>
  <c r="AN27" i="51" s="1"/>
  <c r="AO4" i="51"/>
  <c r="AN7" i="44"/>
  <c r="AN30" i="44" s="1"/>
  <c r="CU22" i="53"/>
  <c r="CR4" i="45" s="1"/>
  <c r="CU20" i="53"/>
  <c r="CU19" i="53" s="1"/>
  <c r="CU20" i="49"/>
  <c r="K13" i="46"/>
  <c r="M13" i="46"/>
  <c r="N13" i="46"/>
  <c r="O13" i="46"/>
  <c r="CR27" i="45"/>
  <c r="CR15" i="44"/>
  <c r="CW84" i="59"/>
  <c r="CS7" i="49"/>
  <c r="CU16" i="45"/>
  <c r="CS82" i="59"/>
  <c r="CP4" i="49"/>
  <c r="CQ17" i="45"/>
  <c r="CQ5" i="45"/>
  <c r="CP5" i="49" s="1"/>
  <c r="CP11" i="45"/>
  <c r="CV13" i="53"/>
  <c r="CV10" i="53"/>
  <c r="CO20" i="45"/>
  <c r="CO22" i="45" s="1"/>
  <c r="AQ81" i="59"/>
  <c r="AQ87" i="59" s="1"/>
  <c r="AM26" i="49"/>
  <c r="AM37" i="49" s="1"/>
  <c r="AM38" i="49" s="1"/>
  <c r="AO29" i="45"/>
  <c r="CC4" i="44" l="1"/>
  <c r="CU25" i="45"/>
  <c r="CS27" i="49" s="1"/>
  <c r="CT9" i="44"/>
  <c r="CY27" i="52"/>
  <c r="CY18" i="52"/>
  <c r="CY24" i="52" s="1"/>
  <c r="CY26" i="52" s="1"/>
  <c r="CX17" i="53"/>
  <c r="CX8" i="53"/>
  <c r="CT21" i="44"/>
  <c r="CU19" i="44"/>
  <c r="CP18" i="45"/>
  <c r="CO26" i="44"/>
  <c r="CP17" i="49"/>
  <c r="CS27" i="45"/>
  <c r="CS15" i="44"/>
  <c r="K18" i="46"/>
  <c r="K3" i="42" s="1"/>
  <c r="K9" i="42" s="1"/>
  <c r="K16" i="42" s="1"/>
  <c r="K18" i="42" s="1"/>
  <c r="L17" i="42" s="1"/>
  <c r="CW10" i="53"/>
  <c r="CW13" i="53"/>
  <c r="CZ3" i="53"/>
  <c r="CZ15" i="52"/>
  <c r="DA9" i="52"/>
  <c r="DA11" i="52" s="1"/>
  <c r="CW7" i="45"/>
  <c r="CU7" i="49" s="1"/>
  <c r="CZ6" i="52"/>
  <c r="DA2" i="52"/>
  <c r="AO32" i="45"/>
  <c r="AO31" i="45"/>
  <c r="CO23" i="49"/>
  <c r="CS22" i="49"/>
  <c r="CT78" i="59"/>
  <c r="CP30" i="49"/>
  <c r="AO14" i="51"/>
  <c r="AP24" i="45" s="1"/>
  <c r="AO15" i="51"/>
  <c r="CY16" i="53"/>
  <c r="CY5" i="53"/>
  <c r="CV22" i="53"/>
  <c r="CS4" i="45" s="1"/>
  <c r="CV20" i="53"/>
  <c r="CV19" i="53" s="1"/>
  <c r="CQ11" i="45"/>
  <c r="D19" i="48"/>
  <c r="E19" i="48"/>
  <c r="F19" i="48"/>
  <c r="G19" i="48"/>
  <c r="H19" i="48"/>
  <c r="I19" i="48"/>
  <c r="J19" i="48"/>
  <c r="CT82" i="59"/>
  <c r="CQ4" i="49"/>
  <c r="CR17" i="45"/>
  <c r="CR5" i="45"/>
  <c r="CR11" i="45" s="1"/>
  <c r="CX31" i="52"/>
  <c r="CX32" i="52" s="1"/>
  <c r="CX28" i="52"/>
  <c r="CX29" i="52" s="1"/>
  <c r="CX84" i="59"/>
  <c r="CT7" i="49"/>
  <c r="CV16" i="45"/>
  <c r="Q6" i="46"/>
  <c r="DB6" i="55"/>
  <c r="DA7" i="55"/>
  <c r="CR18" i="45" l="1"/>
  <c r="CR20" i="45" s="1"/>
  <c r="CR22" i="45" s="1"/>
  <c r="CP23" i="49"/>
  <c r="CQ18" i="45"/>
  <c r="P13" i="46" s="1"/>
  <c r="CZ16" i="53"/>
  <c r="CZ5" i="53"/>
  <c r="CP26" i="44"/>
  <c r="CY28" i="52"/>
  <c r="CY29" i="52" s="1"/>
  <c r="CY31" i="52"/>
  <c r="CY32" i="52" s="1"/>
  <c r="CD4" i="44"/>
  <c r="AO24" i="51"/>
  <c r="AO25" i="51" s="1"/>
  <c r="AO27" i="51" s="1"/>
  <c r="AP4" i="51"/>
  <c r="AO7" i="44"/>
  <c r="AO30" i="44" s="1"/>
  <c r="CY84" i="59"/>
  <c r="CW16" i="45"/>
  <c r="M6" i="46"/>
  <c r="N6" i="46"/>
  <c r="O6" i="46"/>
  <c r="P6" i="46"/>
  <c r="CW20" i="53"/>
  <c r="CW19" i="53" s="1"/>
  <c r="CW22" i="53"/>
  <c r="CT4" i="45" s="1"/>
  <c r="CR79" i="59"/>
  <c r="CN24" i="49"/>
  <c r="CP20" i="45"/>
  <c r="CP22" i="45" s="1"/>
  <c r="CX10" i="53"/>
  <c r="CX13" i="53"/>
  <c r="CY17" i="53"/>
  <c r="CY8" i="53"/>
  <c r="AR81" i="59"/>
  <c r="AR87" i="59" s="1"/>
  <c r="AN26" i="49"/>
  <c r="AN37" i="49" s="1"/>
  <c r="AN38" i="49" s="1"/>
  <c r="AP29" i="45"/>
  <c r="DA3" i="53"/>
  <c r="DA15" i="52"/>
  <c r="DB9" i="52"/>
  <c r="DB11" i="52" s="1"/>
  <c r="CT27" i="45"/>
  <c r="CT15" i="44"/>
  <c r="CV25" i="45"/>
  <c r="CT27" i="49" s="1"/>
  <c r="CU9" i="44"/>
  <c r="CT22" i="49"/>
  <c r="DC6" i="55"/>
  <c r="DB7" i="55"/>
  <c r="E6" i="48"/>
  <c r="F6" i="48"/>
  <c r="G6" i="48"/>
  <c r="H6" i="48"/>
  <c r="I6" i="48"/>
  <c r="J6" i="48"/>
  <c r="CQ5" i="49"/>
  <c r="CU82" i="59"/>
  <c r="CR4" i="49"/>
  <c r="CS17" i="45"/>
  <c r="CS5" i="45"/>
  <c r="CR5" i="49" s="1"/>
  <c r="DA6" i="52"/>
  <c r="DB2" i="52"/>
  <c r="CZ27" i="52"/>
  <c r="CZ18" i="52"/>
  <c r="CZ24" i="52" s="1"/>
  <c r="CZ26" i="52" s="1"/>
  <c r="CU78" i="59"/>
  <c r="CQ30" i="49"/>
  <c r="CU21" i="44"/>
  <c r="CV19" i="44"/>
  <c r="R6" i="46" l="1"/>
  <c r="DA18" i="52"/>
  <c r="DA24" i="52" s="1"/>
  <c r="DA26" i="52" s="1"/>
  <c r="DA27" i="52"/>
  <c r="CX22" i="53"/>
  <c r="CU4" i="45" s="1"/>
  <c r="CX20" i="53"/>
  <c r="CX19" i="53" s="1"/>
  <c r="CZ17" i="53"/>
  <c r="CZ8" i="53"/>
  <c r="CS79" i="59"/>
  <c r="CO24" i="49"/>
  <c r="CQ20" i="45"/>
  <c r="CQ22" i="45" s="1"/>
  <c r="CZ28" i="52"/>
  <c r="CZ29" i="52" s="1"/>
  <c r="CZ31" i="52"/>
  <c r="CZ32" i="52" s="1"/>
  <c r="DB6" i="52"/>
  <c r="DC2" i="52"/>
  <c r="CQ23" i="49"/>
  <c r="CU27" i="45"/>
  <c r="CU15" i="44"/>
  <c r="DA16" i="53"/>
  <c r="DA5" i="53"/>
  <c r="CV78" i="59"/>
  <c r="CR30" i="49"/>
  <c r="CY13" i="53"/>
  <c r="CY10" i="53"/>
  <c r="CV82" i="59"/>
  <c r="CS4" i="49"/>
  <c r="CT17" i="45"/>
  <c r="CT5" i="45"/>
  <c r="CS5" i="49" s="1"/>
  <c r="CU22" i="49"/>
  <c r="J21" i="48" s="1"/>
  <c r="M15" i="46"/>
  <c r="N15" i="46"/>
  <c r="O15" i="46"/>
  <c r="P15" i="46"/>
  <c r="Q15" i="46"/>
  <c r="AP14" i="51"/>
  <c r="AQ24" i="45" s="1"/>
  <c r="AP15" i="51"/>
  <c r="CE4" i="44"/>
  <c r="O3" i="43"/>
  <c r="CV21" i="44"/>
  <c r="CW19" i="44"/>
  <c r="CR17" i="49"/>
  <c r="CW25" i="45"/>
  <c r="CU27" i="49" s="1"/>
  <c r="CV9" i="44"/>
  <c r="CS11" i="45"/>
  <c r="DD6" i="55"/>
  <c r="DC7" i="55"/>
  <c r="DB15" i="52"/>
  <c r="DC9" i="52"/>
  <c r="DC11" i="52" s="1"/>
  <c r="DB3" i="53"/>
  <c r="AP32" i="45"/>
  <c r="AP31" i="45"/>
  <c r="CQ17" i="49"/>
  <c r="CQ26" i="44"/>
  <c r="P23" i="43"/>
  <c r="P32" i="43" s="1"/>
  <c r="P33" i="43" s="1"/>
  <c r="P9" i="50" s="1"/>
  <c r="P19" i="50" s="1"/>
  <c r="CT79" i="59"/>
  <c r="CP24" i="49"/>
  <c r="R15" i="46" l="1"/>
  <c r="CR26" i="44"/>
  <c r="CW21" i="44"/>
  <c r="CX19" i="44"/>
  <c r="CS17" i="49"/>
  <c r="CV27" i="45"/>
  <c r="CV15" i="44"/>
  <c r="DB16" i="53"/>
  <c r="DB5" i="53"/>
  <c r="CX25" i="45"/>
  <c r="CW9" i="44"/>
  <c r="CF4" i="44"/>
  <c r="CY22" i="53"/>
  <c r="CV4" i="45" s="1"/>
  <c r="CY20" i="53"/>
  <c r="CY19" i="53" s="1"/>
  <c r="CW78" i="59"/>
  <c r="CS30" i="49"/>
  <c r="CZ10" i="53"/>
  <c r="CZ13" i="53"/>
  <c r="CW82" i="59"/>
  <c r="CT4" i="49"/>
  <c r="CU17" i="45"/>
  <c r="CU5" i="45"/>
  <c r="CT5" i="49" s="1"/>
  <c r="DB18" i="52"/>
  <c r="DB24" i="52" s="1"/>
  <c r="DB26" i="52" s="1"/>
  <c r="DB27" i="52"/>
  <c r="AQ4" i="51"/>
  <c r="AP24" i="51"/>
  <c r="AP25" i="51" s="1"/>
  <c r="AP27" i="51" s="1"/>
  <c r="AP7" i="44"/>
  <c r="AP30" i="44" s="1"/>
  <c r="CR23" i="49"/>
  <c r="DA8" i="53"/>
  <c r="DA17" i="53"/>
  <c r="DC6" i="52"/>
  <c r="DD2" i="52"/>
  <c r="DE6" i="55"/>
  <c r="DE7" i="55" s="1"/>
  <c r="DD7" i="55"/>
  <c r="DC3" i="53"/>
  <c r="DD9" i="52"/>
  <c r="DD11" i="52" s="1"/>
  <c r="DC15" i="52"/>
  <c r="CS18" i="45"/>
  <c r="AS81" i="59"/>
  <c r="AS87" i="59" s="1"/>
  <c r="AO26" i="49"/>
  <c r="AO37" i="49" s="1"/>
  <c r="AO38" i="49" s="1"/>
  <c r="AQ29" i="45"/>
  <c r="E21" i="48"/>
  <c r="F21" i="48"/>
  <c r="G21" i="48"/>
  <c r="H21" i="48"/>
  <c r="I21" i="48"/>
  <c r="CT11" i="45"/>
  <c r="DA31" i="52"/>
  <c r="DA32" i="52" s="1"/>
  <c r="DA28" i="52"/>
  <c r="DA29" i="52" s="1"/>
  <c r="CS26" i="44" l="1"/>
  <c r="CU79" i="59"/>
  <c r="CQ24" i="49"/>
  <c r="CS20" i="45"/>
  <c r="CS22" i="45" s="1"/>
  <c r="DC16" i="53"/>
  <c r="DC5" i="53"/>
  <c r="CT17" i="49"/>
  <c r="CY25" i="45"/>
  <c r="CX9" i="44"/>
  <c r="DA13" i="53"/>
  <c r="DA10" i="53"/>
  <c r="AQ14" i="51"/>
  <c r="AR24" i="45" s="1"/>
  <c r="AQ15" i="51"/>
  <c r="CV27" i="49"/>
  <c r="CW27" i="45"/>
  <c r="CW15" i="44"/>
  <c r="DC27" i="52"/>
  <c r="DC18" i="52"/>
  <c r="DC24" i="52" s="1"/>
  <c r="DC26" i="52" s="1"/>
  <c r="DD6" i="52"/>
  <c r="DE2" i="52"/>
  <c r="CS23" i="49"/>
  <c r="CZ20" i="53"/>
  <c r="CZ19" i="53" s="1"/>
  <c r="CZ22" i="53"/>
  <c r="CW4" i="45" s="1"/>
  <c r="CX82" i="59"/>
  <c r="CV17" i="45"/>
  <c r="CV5" i="45"/>
  <c r="CV11" i="45" s="1"/>
  <c r="Q3" i="46"/>
  <c r="CG4" i="44"/>
  <c r="DB17" i="53"/>
  <c r="DB8" i="53"/>
  <c r="CX78" i="59"/>
  <c r="CT30" i="49"/>
  <c r="CT18" i="45"/>
  <c r="AQ31" i="45"/>
  <c r="AQ32" i="45"/>
  <c r="DD3" i="53"/>
  <c r="DD15" i="52"/>
  <c r="DE9" i="52"/>
  <c r="DE11" i="52" s="1"/>
  <c r="DB31" i="52"/>
  <c r="DB32" i="52" s="1"/>
  <c r="DB28" i="52"/>
  <c r="DB29" i="52" s="1"/>
  <c r="CU11" i="45"/>
  <c r="CX21" i="44"/>
  <c r="CY19" i="44"/>
  <c r="DB10" i="53" l="1"/>
  <c r="DB13" i="53"/>
  <c r="CV18" i="45"/>
  <c r="CV20" i="45" s="1"/>
  <c r="CV22" i="45" s="1"/>
  <c r="CX27" i="45"/>
  <c r="CX15" i="44"/>
  <c r="DA20" i="53"/>
  <c r="DA19" i="53" s="1"/>
  <c r="DA22" i="53"/>
  <c r="CW27" i="49"/>
  <c r="DC17" i="53"/>
  <c r="DC8" i="53"/>
  <c r="DE3" i="53"/>
  <c r="DE15" i="52"/>
  <c r="DF9" i="52"/>
  <c r="DF11" i="52" s="1"/>
  <c r="CY21" i="44"/>
  <c r="CZ19" i="44"/>
  <c r="CU18" i="45"/>
  <c r="DD27" i="52"/>
  <c r="DD18" i="52"/>
  <c r="DD24" i="52" s="1"/>
  <c r="DD26" i="52" s="1"/>
  <c r="CH4" i="44"/>
  <c r="DC28" i="52"/>
  <c r="DC29" i="52" s="1"/>
  <c r="DC31" i="52"/>
  <c r="DC32" i="52" s="1"/>
  <c r="CY78" i="59"/>
  <c r="CU30" i="49"/>
  <c r="AQ24" i="51"/>
  <c r="AQ25" i="51" s="1"/>
  <c r="AQ27" i="51" s="1"/>
  <c r="AR4" i="51"/>
  <c r="AQ7" i="44"/>
  <c r="AQ30" i="44" s="1"/>
  <c r="DD16" i="53"/>
  <c r="DD5" i="53"/>
  <c r="CV79" i="59"/>
  <c r="CR24" i="49"/>
  <c r="CT20" i="45"/>
  <c r="CT22" i="45" s="1"/>
  <c r="CT23" i="49"/>
  <c r="CY82" i="59"/>
  <c r="CW17" i="45"/>
  <c r="CW5" i="45"/>
  <c r="K3" i="46"/>
  <c r="M3" i="46"/>
  <c r="N3" i="46"/>
  <c r="O3" i="46"/>
  <c r="P3" i="46"/>
  <c r="DF2" i="52"/>
  <c r="DF6" i="52" s="1"/>
  <c r="DE6" i="52"/>
  <c r="AT81" i="59"/>
  <c r="AT87" i="59" s="1"/>
  <c r="AP26" i="49"/>
  <c r="AP37" i="49" s="1"/>
  <c r="AP38" i="49" s="1"/>
  <c r="AR29" i="45"/>
  <c r="CU4" i="49"/>
  <c r="CZ25" i="45"/>
  <c r="CY9" i="44"/>
  <c r="CT26" i="44"/>
  <c r="CU26" i="44" s="1"/>
  <c r="R3" i="46" l="1"/>
  <c r="AR31" i="45"/>
  <c r="AR32" i="45"/>
  <c r="L10" i="46"/>
  <c r="M4" i="46"/>
  <c r="N4" i="46"/>
  <c r="O4" i="46"/>
  <c r="O10" i="46" s="1"/>
  <c r="P4" i="46"/>
  <c r="P10" i="46" s="1"/>
  <c r="Q4" i="46"/>
  <c r="Q10" i="46" s="1"/>
  <c r="DD17" i="53"/>
  <c r="DD8" i="53"/>
  <c r="DA19" i="44"/>
  <c r="CZ21" i="44"/>
  <c r="DE5" i="53"/>
  <c r="DE16" i="53"/>
  <c r="CU23" i="49"/>
  <c r="M16" i="46"/>
  <c r="N16" i="46"/>
  <c r="N18" i="46" s="1"/>
  <c r="N3" i="42" s="1"/>
  <c r="N9" i="42" s="1"/>
  <c r="O16" i="46"/>
  <c r="O18" i="46" s="1"/>
  <c r="O3" i="42" s="1"/>
  <c r="O9" i="42" s="1"/>
  <c r="P16" i="46"/>
  <c r="P18" i="46" s="1"/>
  <c r="P3" i="42" s="1"/>
  <c r="P9" i="42" s="1"/>
  <c r="Q16" i="46"/>
  <c r="AR14" i="51"/>
  <c r="AS24" i="45" s="1"/>
  <c r="AR15" i="51"/>
  <c r="CU5" i="49"/>
  <c r="CU17" i="49" s="1"/>
  <c r="DD28" i="52"/>
  <c r="DD29" i="52" s="1"/>
  <c r="DD31" i="52"/>
  <c r="DD32" i="52" s="1"/>
  <c r="CY27" i="45"/>
  <c r="CY15" i="44"/>
  <c r="CX79" i="59"/>
  <c r="CT24" i="49"/>
  <c r="K10" i="46"/>
  <c r="K20" i="46" s="1"/>
  <c r="CI4" i="44"/>
  <c r="DF3" i="53"/>
  <c r="DF15" i="52"/>
  <c r="DC13" i="53"/>
  <c r="DC10" i="53"/>
  <c r="CV30" i="49"/>
  <c r="CV37" i="49" s="1"/>
  <c r="CV38" i="49" s="1"/>
  <c r="CX29" i="45"/>
  <c r="DB22" i="53"/>
  <c r="DB20" i="53"/>
  <c r="DB19" i="53" s="1"/>
  <c r="E3" i="48"/>
  <c r="F3" i="48"/>
  <c r="G3" i="48"/>
  <c r="H3" i="48"/>
  <c r="I3" i="48"/>
  <c r="J3" i="48"/>
  <c r="DA25" i="45"/>
  <c r="CZ9" i="44"/>
  <c r="CX27" i="49"/>
  <c r="N10" i="46"/>
  <c r="CW11" i="45"/>
  <c r="CW79" i="59"/>
  <c r="CS24" i="49"/>
  <c r="CU20" i="45"/>
  <c r="CU22" i="45" s="1"/>
  <c r="DE18" i="52"/>
  <c r="DE24" i="52" s="1"/>
  <c r="DE26" i="52" s="1"/>
  <c r="DE27" i="52"/>
  <c r="H9" i="13" l="1"/>
  <c r="P58" i="46"/>
  <c r="D9" i="13"/>
  <c r="L58" i="46"/>
  <c r="G9" i="13"/>
  <c r="O58" i="46"/>
  <c r="F9" i="13"/>
  <c r="N58" i="46"/>
  <c r="I9" i="13"/>
  <c r="Q58" i="46"/>
  <c r="Q70" i="46" s="1"/>
  <c r="M18" i="46"/>
  <c r="M3" i="42" s="1"/>
  <c r="M9" i="42" s="1"/>
  <c r="R16" i="46"/>
  <c r="M10" i="46"/>
  <c r="R4" i="46"/>
  <c r="R10" i="46" s="1"/>
  <c r="B21" i="41" s="1"/>
  <c r="P20" i="46"/>
  <c r="O20" i="46"/>
  <c r="N20" i="46"/>
  <c r="CY27" i="49"/>
  <c r="CW18" i="45"/>
  <c r="DB25" i="45"/>
  <c r="DA9" i="44"/>
  <c r="AR24" i="51"/>
  <c r="AR25" i="51"/>
  <c r="AR27" i="51" s="1"/>
  <c r="AS4" i="51"/>
  <c r="AR7" i="44"/>
  <c r="AR30" i="44" s="1"/>
  <c r="DA21" i="44"/>
  <c r="DB19" i="44"/>
  <c r="AU81" i="59"/>
  <c r="AU87" i="59" s="1"/>
  <c r="AQ26" i="49"/>
  <c r="AQ37" i="49" s="1"/>
  <c r="AQ38" i="49" s="1"/>
  <c r="AS29" i="45"/>
  <c r="L18" i="46"/>
  <c r="L3" i="42" s="1"/>
  <c r="L9" i="42" s="1"/>
  <c r="DD10" i="53"/>
  <c r="DD13" i="53"/>
  <c r="DC22" i="53"/>
  <c r="DC20" i="53"/>
  <c r="DC19" i="53" s="1"/>
  <c r="CJ4" i="44"/>
  <c r="CZ27" i="45"/>
  <c r="CZ15" i="44"/>
  <c r="DE31" i="52"/>
  <c r="DE32" i="52" s="1"/>
  <c r="DE28" i="52"/>
  <c r="DE29" i="52" s="1"/>
  <c r="CX32" i="45"/>
  <c r="CX31" i="45"/>
  <c r="DF18" i="52"/>
  <c r="DF24" i="52" s="1"/>
  <c r="DF26" i="52" s="1"/>
  <c r="DF27" i="52"/>
  <c r="CW30" i="49"/>
  <c r="CW37" i="49" s="1"/>
  <c r="CW38" i="49" s="1"/>
  <c r="CY29" i="45"/>
  <c r="E22" i="48"/>
  <c r="F22" i="48"/>
  <c r="G22" i="48"/>
  <c r="H22" i="48"/>
  <c r="I22" i="48"/>
  <c r="DE8" i="53"/>
  <c r="DE17" i="53"/>
  <c r="CV26" i="44"/>
  <c r="CW26" i="44" s="1"/>
  <c r="CX26" i="44" s="1"/>
  <c r="CY26" i="44" s="1"/>
  <c r="CZ26" i="44" s="1"/>
  <c r="DA26" i="44" s="1"/>
  <c r="DB26" i="44" s="1"/>
  <c r="Q23" i="43" s="1"/>
  <c r="Q32" i="43" s="1"/>
  <c r="Q33" i="43" s="1"/>
  <c r="Q9" i="50" s="1"/>
  <c r="Q19" i="50" s="1"/>
  <c r="DF16" i="53"/>
  <c r="DF5" i="53"/>
  <c r="E4" i="48"/>
  <c r="E16" i="48" s="1"/>
  <c r="F4" i="48"/>
  <c r="F16" i="48" s="1"/>
  <c r="G4" i="48"/>
  <c r="G16" i="48" s="1"/>
  <c r="H4" i="48"/>
  <c r="H16" i="48" s="1"/>
  <c r="I4" i="48"/>
  <c r="I16" i="48" s="1"/>
  <c r="J4" i="48"/>
  <c r="J16" i="48" s="1"/>
  <c r="J22" i="48"/>
  <c r="O70" i="46" l="1"/>
  <c r="P70" i="46"/>
  <c r="P19" i="46"/>
  <c r="P59" i="46"/>
  <c r="G10" i="75"/>
  <c r="G12" i="75" s="1"/>
  <c r="O59" i="46"/>
  <c r="F10" i="75"/>
  <c r="F12" i="75" s="1"/>
  <c r="N59" i="46"/>
  <c r="E10" i="75"/>
  <c r="E12" i="75" s="1"/>
  <c r="E9" i="13"/>
  <c r="M58" i="46"/>
  <c r="M70" i="46" s="1"/>
  <c r="F11" i="13"/>
  <c r="N19" i="46"/>
  <c r="G11" i="13"/>
  <c r="O19" i="46"/>
  <c r="M20" i="46"/>
  <c r="P8" i="50"/>
  <c r="P10" i="50" s="1"/>
  <c r="P11" i="50" s="1"/>
  <c r="P32" i="50" s="1"/>
  <c r="P33" i="50" s="1"/>
  <c r="H11" i="13"/>
  <c r="L20" i="46"/>
  <c r="AS32" i="45"/>
  <c r="AS31" i="45"/>
  <c r="DF17" i="53"/>
  <c r="DF8" i="53"/>
  <c r="L16" i="48"/>
  <c r="DE10" i="53"/>
  <c r="DE13" i="53"/>
  <c r="CY31" i="45"/>
  <c r="CY32" i="45"/>
  <c r="DF31" i="52"/>
  <c r="DF32" i="52" s="1"/>
  <c r="DF28" i="52"/>
  <c r="DF29" i="52" s="1"/>
  <c r="DA27" i="45"/>
  <c r="DA15" i="44"/>
  <c r="DC25" i="45"/>
  <c r="DB9" i="44"/>
  <c r="Q9" i="43" s="1"/>
  <c r="CK4" i="44"/>
  <c r="CY79" i="59"/>
  <c r="CU24" i="49"/>
  <c r="Q13" i="46"/>
  <c r="R13" i="46" s="1"/>
  <c r="CW20" i="45"/>
  <c r="CW22" i="45" s="1"/>
  <c r="CX30" i="49"/>
  <c r="CX37" i="49" s="1"/>
  <c r="CX38" i="49" s="1"/>
  <c r="CZ29" i="45"/>
  <c r="DD22" i="53"/>
  <c r="DD20" i="53"/>
  <c r="DD19" i="53" s="1"/>
  <c r="DB21" i="44"/>
  <c r="Q17" i="43"/>
  <c r="AS14" i="51"/>
  <c r="AT24" i="45" s="1"/>
  <c r="AS15" i="51"/>
  <c r="CZ27" i="49"/>
  <c r="N70" i="46" l="1"/>
  <c r="E13" i="75"/>
  <c r="E14" i="75" s="1"/>
  <c r="E16" i="75" s="1"/>
  <c r="E21" i="75" s="1"/>
  <c r="E28" i="75" s="1"/>
  <c r="G13" i="75"/>
  <c r="G14" i="75" s="1"/>
  <c r="G16" i="75" s="1"/>
  <c r="G21" i="75" s="1"/>
  <c r="G28" i="75" s="1"/>
  <c r="M59" i="46"/>
  <c r="D10" i="75"/>
  <c r="D12" i="75" s="1"/>
  <c r="N61" i="46"/>
  <c r="N67" i="46"/>
  <c r="P61" i="46"/>
  <c r="P67" i="46"/>
  <c r="O67" i="46"/>
  <c r="O61" i="46"/>
  <c r="D11" i="13"/>
  <c r="L59" i="46"/>
  <c r="C10" i="75"/>
  <c r="C12" i="75" s="1"/>
  <c r="F13" i="75"/>
  <c r="F14" i="75" s="1"/>
  <c r="F16" i="75" s="1"/>
  <c r="F21" i="75" s="1"/>
  <c r="F28" i="75" s="1"/>
  <c r="E11" i="13"/>
  <c r="M19" i="46"/>
  <c r="CL4" i="44"/>
  <c r="DA27" i="49"/>
  <c r="K22" i="46"/>
  <c r="DE20" i="53"/>
  <c r="DE19" i="53" s="1"/>
  <c r="DE22" i="53"/>
  <c r="DB27" i="45"/>
  <c r="DB15" i="44"/>
  <c r="AV81" i="59"/>
  <c r="AV87" i="59" s="1"/>
  <c r="AR26" i="49"/>
  <c r="AR37" i="49" s="1"/>
  <c r="AR38" i="49" s="1"/>
  <c r="AT29" i="45"/>
  <c r="Q18" i="46"/>
  <c r="R18" i="46"/>
  <c r="B22" i="41" s="1"/>
  <c r="CY30" i="49"/>
  <c r="CY37" i="49" s="1"/>
  <c r="CY38" i="49" s="1"/>
  <c r="DA29" i="45"/>
  <c r="CZ31" i="45"/>
  <c r="CZ32" i="45"/>
  <c r="AS24" i="51"/>
  <c r="AS25" i="51" s="1"/>
  <c r="AS27" i="51" s="1"/>
  <c r="AT4" i="51"/>
  <c r="AS7" i="44"/>
  <c r="AS30" i="44" s="1"/>
  <c r="DF10" i="53"/>
  <c r="DF13" i="53"/>
  <c r="Q29" i="43"/>
  <c r="Q30" i="43" s="1"/>
  <c r="Q4" i="50" s="1"/>
  <c r="Q5" i="50" s="1"/>
  <c r="Q23" i="50" s="1"/>
  <c r="Q12" i="42"/>
  <c r="Q19" i="43"/>
  <c r="E23" i="48"/>
  <c r="F23" i="48"/>
  <c r="G23" i="48"/>
  <c r="H23" i="48"/>
  <c r="I23" i="48"/>
  <c r="J23" i="48"/>
  <c r="C13" i="75" l="1"/>
  <c r="C14" i="75" s="1"/>
  <c r="C16" i="75" s="1"/>
  <c r="C21" i="75" s="1"/>
  <c r="C28" i="75" s="1"/>
  <c r="N68" i="46"/>
  <c r="O68" i="46"/>
  <c r="L67" i="46"/>
  <c r="L61" i="46"/>
  <c r="D13" i="75"/>
  <c r="D14" i="75" s="1"/>
  <c r="D16" i="75" s="1"/>
  <c r="D21" i="75" s="1"/>
  <c r="D28" i="75" s="1"/>
  <c r="P68" i="46"/>
  <c r="M61" i="46"/>
  <c r="M67" i="46"/>
  <c r="DA32" i="45"/>
  <c r="DA31" i="45"/>
  <c r="AT32" i="45"/>
  <c r="AT31" i="45"/>
  <c r="CZ30" i="49"/>
  <c r="CZ37" i="49" s="1"/>
  <c r="CZ38" i="49" s="1"/>
  <c r="DB29" i="45"/>
  <c r="CM4" i="44"/>
  <c r="K36" i="50"/>
  <c r="K38" i="50" s="1"/>
  <c r="K28" i="46"/>
  <c r="K24" i="42"/>
  <c r="K29" i="42" s="1"/>
  <c r="K30" i="42" s="1"/>
  <c r="K23" i="46"/>
  <c r="DF22" i="53"/>
  <c r="DF20" i="53"/>
  <c r="DF19" i="53" s="1"/>
  <c r="AT14" i="51"/>
  <c r="AU24" i="45" s="1"/>
  <c r="AT15" i="51"/>
  <c r="Q3" i="42"/>
  <c r="Q9" i="42" s="1"/>
  <c r="Q20" i="46"/>
  <c r="DC27" i="45"/>
  <c r="Q13" i="43"/>
  <c r="Q8" i="42" s="1"/>
  <c r="Q11" i="43"/>
  <c r="D26" i="48"/>
  <c r="E26" i="48"/>
  <c r="F26" i="48"/>
  <c r="G26" i="48"/>
  <c r="H26" i="48"/>
  <c r="I26" i="48"/>
  <c r="J26" i="48"/>
  <c r="Q59" i="46" l="1"/>
  <c r="H10" i="75"/>
  <c r="H12" i="75" s="1"/>
  <c r="H13" i="75" s="1"/>
  <c r="H14" i="75" s="1"/>
  <c r="H16" i="75" s="1"/>
  <c r="H21" i="75" s="1"/>
  <c r="H28" i="75" s="1"/>
  <c r="C30" i="75" s="1"/>
  <c r="C35" i="75" s="1"/>
  <c r="L68" i="46"/>
  <c r="M68" i="46"/>
  <c r="I11" i="13"/>
  <c r="Q19" i="46"/>
  <c r="DA30" i="49"/>
  <c r="L22" i="46"/>
  <c r="L62" i="46" s="1"/>
  <c r="L63" i="46" s="1"/>
  <c r="DC29" i="45"/>
  <c r="CN4" i="44"/>
  <c r="R20" i="46"/>
  <c r="AU4" i="51"/>
  <c r="AT24" i="51"/>
  <c r="AT25" i="51" s="1"/>
  <c r="AT27" i="51" s="1"/>
  <c r="AT7" i="44"/>
  <c r="DB32" i="45"/>
  <c r="DB31" i="45"/>
  <c r="AW81" i="59"/>
  <c r="AW87" i="59" s="1"/>
  <c r="AS26" i="49"/>
  <c r="AU29" i="45"/>
  <c r="K39" i="46"/>
  <c r="Q61" i="46" l="1"/>
  <c r="Q67" i="46"/>
  <c r="AU32" i="45"/>
  <c r="AU14" i="51"/>
  <c r="AV24" i="45" s="1"/>
  <c r="AU15" i="51"/>
  <c r="K49" i="46"/>
  <c r="K41" i="46"/>
  <c r="K43" i="46" s="1"/>
  <c r="DC32" i="45"/>
  <c r="L36" i="50"/>
  <c r="L28" i="46"/>
  <c r="L24" i="42"/>
  <c r="L29" i="42" s="1"/>
  <c r="L23" i="46"/>
  <c r="AT30" i="44"/>
  <c r="L6" i="43"/>
  <c r="CO4" i="44"/>
  <c r="D29" i="48"/>
  <c r="E29" i="48"/>
  <c r="F29" i="48"/>
  <c r="G29" i="48"/>
  <c r="H29" i="48"/>
  <c r="I29" i="48"/>
  <c r="J29" i="48"/>
  <c r="Q68" i="46" l="1"/>
  <c r="L39" i="46"/>
  <c r="K44" i="46"/>
  <c r="K46" i="46"/>
  <c r="K45" i="46"/>
  <c r="CP4" i="44"/>
  <c r="AU25" i="51"/>
  <c r="AU27" i="51" s="1"/>
  <c r="AU24" i="51"/>
  <c r="AV4" i="51"/>
  <c r="AU7" i="44"/>
  <c r="AU30" i="44" s="1"/>
  <c r="AX81" i="59"/>
  <c r="AX87" i="59" s="1"/>
  <c r="AT26" i="49"/>
  <c r="AV29" i="45"/>
  <c r="L24" i="50"/>
  <c r="L27" i="43"/>
  <c r="L14" i="42"/>
  <c r="L15" i="42" s="1"/>
  <c r="L16" i="42" s="1"/>
  <c r="L18" i="42" s="1"/>
  <c r="M17" i="42" s="1"/>
  <c r="L28" i="42"/>
  <c r="L30" i="42" s="1"/>
  <c r="K50" i="46"/>
  <c r="K24" i="46"/>
  <c r="AI30" i="45" l="1"/>
  <c r="K8" i="50"/>
  <c r="K10" i="50" s="1"/>
  <c r="K11" i="50" s="1"/>
  <c r="K25" i="46"/>
  <c r="AV31" i="45"/>
  <c r="AV32" i="45"/>
  <c r="P3" i="43"/>
  <c r="CQ4" i="44"/>
  <c r="AT37" i="49"/>
  <c r="AT38" i="49" s="1"/>
  <c r="AV14" i="51"/>
  <c r="AW24" i="45" s="1"/>
  <c r="AV15" i="51"/>
  <c r="L49" i="46"/>
  <c r="L41" i="46"/>
  <c r="L43" i="46" s="1"/>
  <c r="L45" i="46" s="1"/>
  <c r="L37" i="50"/>
  <c r="L38" i="50" s="1"/>
  <c r="L25" i="50"/>
  <c r="AY81" i="59" l="1"/>
  <c r="AY87" i="59" s="1"/>
  <c r="AU26" i="49"/>
  <c r="AW29" i="45"/>
  <c r="K26" i="46"/>
  <c r="K23" i="42"/>
  <c r="K25" i="42" s="1"/>
  <c r="K18" i="50"/>
  <c r="K20" i="50" s="1"/>
  <c r="K26" i="50" s="1"/>
  <c r="L44" i="46"/>
  <c r="L46" i="46"/>
  <c r="K32" i="50"/>
  <c r="K33" i="50" s="1"/>
  <c r="K39" i="50" s="1"/>
  <c r="AV24" i="51"/>
  <c r="AV25" i="51" s="1"/>
  <c r="AV27" i="51" s="1"/>
  <c r="AW4" i="51"/>
  <c r="AV7" i="44"/>
  <c r="AV30" i="44" s="1"/>
  <c r="CR4" i="44"/>
  <c r="L50" i="46"/>
  <c r="L24" i="46"/>
  <c r="L64" i="46" s="1"/>
  <c r="L65" i="46" s="1"/>
  <c r="L69" i="46" s="1"/>
  <c r="AG31" i="49"/>
  <c r="AI31" i="45"/>
  <c r="AH6" i="44" s="1"/>
  <c r="D30" i="48" l="1"/>
  <c r="AG37" i="49"/>
  <c r="AG38" i="49" s="1"/>
  <c r="AG40" i="49" s="1"/>
  <c r="CS4" i="44"/>
  <c r="AW32" i="45"/>
  <c r="AW31" i="45"/>
  <c r="AW14" i="51"/>
  <c r="AX24" i="45" s="1"/>
  <c r="AW15" i="51"/>
  <c r="AU37" i="49"/>
  <c r="AU38" i="49" s="1"/>
  <c r="AU30" i="45"/>
  <c r="L8" i="50"/>
  <c r="L10" i="50" s="1"/>
  <c r="L11" i="50" s="1"/>
  <c r="L32" i="50" s="1"/>
  <c r="L33" i="50" s="1"/>
  <c r="L39" i="50" s="1"/>
  <c r="L25" i="46"/>
  <c r="AI6" i="44"/>
  <c r="K5" i="43"/>
  <c r="AH16" i="44"/>
  <c r="L26" i="46" l="1"/>
  <c r="L23" i="42"/>
  <c r="L25" i="42" s="1"/>
  <c r="L18" i="50"/>
  <c r="L20" i="50" s="1"/>
  <c r="L26" i="50" s="1"/>
  <c r="AW24" i="51"/>
  <c r="AW25" i="51"/>
  <c r="AW27" i="51" s="1"/>
  <c r="AX4" i="51"/>
  <c r="AW7" i="44"/>
  <c r="AW30" i="44" s="1"/>
  <c r="CT4" i="44"/>
  <c r="K35" i="43"/>
  <c r="K14" i="43"/>
  <c r="AS31" i="49"/>
  <c r="AU31" i="45"/>
  <c r="AZ81" i="59"/>
  <c r="AZ87" i="59" s="1"/>
  <c r="AV26" i="49"/>
  <c r="AX29" i="45"/>
  <c r="AJ6" i="44"/>
  <c r="AI16" i="44"/>
  <c r="AH17" i="51"/>
  <c r="AH39" i="49"/>
  <c r="AH40" i="49" s="1"/>
  <c r="AH23" i="44"/>
  <c r="CU4" i="44" l="1"/>
  <c r="AX32" i="45"/>
  <c r="AX31" i="45"/>
  <c r="E30" i="48"/>
  <c r="AS37" i="49"/>
  <c r="AS38" i="49" s="1"/>
  <c r="L31" i="42"/>
  <c r="K21" i="43"/>
  <c r="K24" i="43" s="1"/>
  <c r="K26" i="43" s="1"/>
  <c r="AH27" i="44"/>
  <c r="AH29" i="44" s="1"/>
  <c r="AK6" i="44"/>
  <c r="AJ16" i="44"/>
  <c r="AX14" i="51"/>
  <c r="AY24" i="45" s="1"/>
  <c r="AX15" i="51"/>
  <c r="AI17" i="51"/>
  <c r="AI39" i="49"/>
  <c r="AI40" i="49" s="1"/>
  <c r="AI23" i="44"/>
  <c r="AI27" i="44" s="1"/>
  <c r="AI29" i="44" s="1"/>
  <c r="AV37" i="49"/>
  <c r="AV38" i="49" s="1"/>
  <c r="BA81" i="59" l="1"/>
  <c r="BA87" i="59" s="1"/>
  <c r="AW26" i="49"/>
  <c r="AY29" i="45"/>
  <c r="AJ17" i="51"/>
  <c r="AJ39" i="49"/>
  <c r="AJ40" i="49" s="1"/>
  <c r="AJ23" i="44"/>
  <c r="AJ27" i="44" s="1"/>
  <c r="AJ29" i="44" s="1"/>
  <c r="AL6" i="44"/>
  <c r="AK16" i="44"/>
  <c r="AX25" i="51"/>
  <c r="AX27" i="51" s="1"/>
  <c r="AY4" i="51"/>
  <c r="AX24" i="51"/>
  <c r="AX7" i="44"/>
  <c r="AX30" i="44" s="1"/>
  <c r="CV4" i="44"/>
  <c r="AY31" i="45" l="1"/>
  <c r="AY32" i="45"/>
  <c r="CW4" i="44"/>
  <c r="AM6" i="44"/>
  <c r="AL16" i="44"/>
  <c r="AK17" i="51"/>
  <c r="AK39" i="49"/>
  <c r="AK40" i="49" s="1"/>
  <c r="AK23" i="44"/>
  <c r="AK27" i="44" s="1"/>
  <c r="AK29" i="44" s="1"/>
  <c r="AW37" i="49"/>
  <c r="AW38" i="49" s="1"/>
  <c r="AY14" i="51"/>
  <c r="AZ24" i="45" s="1"/>
  <c r="AY15" i="51"/>
  <c r="CX4" i="44" l="1"/>
  <c r="CW30" i="44"/>
  <c r="AL17" i="51"/>
  <c r="AL39" i="49"/>
  <c r="AL40" i="49" s="1"/>
  <c r="AL23" i="44"/>
  <c r="AL27" i="44" s="1"/>
  <c r="AL29" i="44" s="1"/>
  <c r="AY24" i="51"/>
  <c r="AY25" i="51" s="1"/>
  <c r="AY27" i="51" s="1"/>
  <c r="AZ4" i="51"/>
  <c r="AY7" i="44"/>
  <c r="AY30" i="44" s="1"/>
  <c r="BB81" i="59"/>
  <c r="BB87" i="59" s="1"/>
  <c r="AX26" i="49"/>
  <c r="AX37" i="49" s="1"/>
  <c r="AX38" i="49" s="1"/>
  <c r="AZ29" i="45"/>
  <c r="AN6" i="44"/>
  <c r="AM16" i="44"/>
  <c r="AZ31" i="45" l="1"/>
  <c r="AZ32" i="45"/>
  <c r="CY4" i="44"/>
  <c r="CX30" i="44"/>
  <c r="AO6" i="44"/>
  <c r="AN16" i="44"/>
  <c r="AZ14" i="51"/>
  <c r="BA24" i="45" s="1"/>
  <c r="AZ15" i="51"/>
  <c r="AM17" i="51"/>
  <c r="AM39" i="49"/>
  <c r="AM40" i="49" s="1"/>
  <c r="AM23" i="44"/>
  <c r="AM27" i="44" s="1"/>
  <c r="AM29" i="44" s="1"/>
  <c r="CZ4" i="44" l="1"/>
  <c r="CY30" i="44"/>
  <c r="AZ24" i="51"/>
  <c r="AZ25" i="51" s="1"/>
  <c r="AZ27" i="51" s="1"/>
  <c r="BA4" i="51"/>
  <c r="AZ7" i="44"/>
  <c r="AZ30" i="44" s="1"/>
  <c r="BC81" i="59"/>
  <c r="BC87" i="59" s="1"/>
  <c r="AY26" i="49"/>
  <c r="AY37" i="49" s="1"/>
  <c r="AY38" i="49" s="1"/>
  <c r="BA29" i="45"/>
  <c r="AP6" i="44"/>
  <c r="AO16" i="44"/>
  <c r="AN17" i="51"/>
  <c r="AN39" i="49"/>
  <c r="AN40" i="49" s="1"/>
  <c r="AN23" i="44"/>
  <c r="AN27" i="44" s="1"/>
  <c r="AN29" i="44" s="1"/>
  <c r="AQ6" i="44" l="1"/>
  <c r="AP16" i="44"/>
  <c r="AO17" i="51"/>
  <c r="AO39" i="49"/>
  <c r="AO40" i="49" s="1"/>
  <c r="AO23" i="44"/>
  <c r="AO27" i="44" s="1"/>
  <c r="AO29" i="44" s="1"/>
  <c r="BA32" i="45"/>
  <c r="BA31" i="45"/>
  <c r="BA14" i="51"/>
  <c r="BB24" i="45" s="1"/>
  <c r="BA15" i="51"/>
  <c r="DA4" i="44"/>
  <c r="CZ30" i="44"/>
  <c r="AP17" i="51" l="1"/>
  <c r="AP39" i="49"/>
  <c r="AP40" i="49" s="1"/>
  <c r="AP23" i="44"/>
  <c r="AP27" i="44" s="1"/>
  <c r="AP29" i="44" s="1"/>
  <c r="BD81" i="59"/>
  <c r="BD87" i="59" s="1"/>
  <c r="AZ26" i="49"/>
  <c r="AZ37" i="49" s="1"/>
  <c r="AZ38" i="49" s="1"/>
  <c r="BB29" i="45"/>
  <c r="DB4" i="44"/>
  <c r="DA30" i="44"/>
  <c r="BA24" i="51"/>
  <c r="BA25" i="51"/>
  <c r="BA27" i="51" s="1"/>
  <c r="BB4" i="51"/>
  <c r="BA7" i="44"/>
  <c r="BA30" i="44" s="1"/>
  <c r="AR6" i="44"/>
  <c r="AQ16" i="44"/>
  <c r="AQ17" i="51" l="1"/>
  <c r="AQ39" i="49"/>
  <c r="AQ40" i="49" s="1"/>
  <c r="AQ23" i="44"/>
  <c r="AQ27" i="44" s="1"/>
  <c r="AQ29" i="44" s="1"/>
  <c r="AS6" i="44"/>
  <c r="AR16" i="44"/>
  <c r="BB32" i="45"/>
  <c r="BB31" i="45"/>
  <c r="BB14" i="51"/>
  <c r="BC24" i="45" s="1"/>
  <c r="BB15" i="51"/>
  <c r="Q3" i="43"/>
  <c r="DB30" i="44"/>
  <c r="BC4" i="51" l="1"/>
  <c r="BB24" i="51"/>
  <c r="BB25" i="51" s="1"/>
  <c r="BB27" i="51" s="1"/>
  <c r="BB7" i="44"/>
  <c r="BB30" i="44" s="1"/>
  <c r="AR17" i="51"/>
  <c r="AR39" i="49"/>
  <c r="AR40" i="49" s="1"/>
  <c r="AR23" i="44"/>
  <c r="AR27" i="44" s="1"/>
  <c r="AR29" i="44" s="1"/>
  <c r="BE81" i="59"/>
  <c r="BE87" i="59" s="1"/>
  <c r="BA26" i="49"/>
  <c r="BA37" i="49" s="1"/>
  <c r="BA38" i="49" s="1"/>
  <c r="BC29" i="45"/>
  <c r="AT6" i="44"/>
  <c r="AS16" i="44"/>
  <c r="Q27" i="43"/>
  <c r="L5" i="43" l="1"/>
  <c r="AU6" i="44"/>
  <c r="AT16" i="44"/>
  <c r="BC31" i="45"/>
  <c r="BC32" i="45"/>
  <c r="AS17" i="51"/>
  <c r="AS39" i="49"/>
  <c r="AS40" i="49" s="1"/>
  <c r="AS23" i="44"/>
  <c r="AS27" i="44" s="1"/>
  <c r="AS29" i="44" s="1"/>
  <c r="BC14" i="51"/>
  <c r="BD24" i="45" s="1"/>
  <c r="BC15" i="51"/>
  <c r="BD4" i="51" l="1"/>
  <c r="BC24" i="51"/>
  <c r="BC25" i="51" s="1"/>
  <c r="BC27" i="51" s="1"/>
  <c r="BC7" i="44"/>
  <c r="BC30" i="44" s="1"/>
  <c r="AT17" i="51"/>
  <c r="AT39" i="49"/>
  <c r="AT40" i="49" s="1"/>
  <c r="AT23" i="44"/>
  <c r="BF81" i="59"/>
  <c r="BF87" i="59" s="1"/>
  <c r="BB26" i="49"/>
  <c r="BB37" i="49" s="1"/>
  <c r="BB38" i="49" s="1"/>
  <c r="BD29" i="45"/>
  <c r="AV6" i="44"/>
  <c r="AU16" i="44"/>
  <c r="L14" i="43"/>
  <c r="L35" i="43"/>
  <c r="AU17" i="51" l="1"/>
  <c r="AU39" i="49"/>
  <c r="AU40" i="49" s="1"/>
  <c r="AU23" i="44"/>
  <c r="AU27" i="44" s="1"/>
  <c r="AU29" i="44" s="1"/>
  <c r="BD14" i="51"/>
  <c r="BE24" i="45" s="1"/>
  <c r="BD15" i="51"/>
  <c r="AW6" i="44"/>
  <c r="AV16" i="44"/>
  <c r="BD31" i="45"/>
  <c r="BD32" i="45"/>
  <c r="L21" i="43"/>
  <c r="L24" i="43" s="1"/>
  <c r="L26" i="43" s="1"/>
  <c r="AT27" i="44"/>
  <c r="AT29" i="44" s="1"/>
  <c r="AX6" i="44" l="1"/>
  <c r="AW16" i="44"/>
  <c r="AV17" i="51"/>
  <c r="AV39" i="49"/>
  <c r="AV40" i="49" s="1"/>
  <c r="AV23" i="44"/>
  <c r="AV27" i="44" s="1"/>
  <c r="AV29" i="44" s="1"/>
  <c r="BD24" i="51"/>
  <c r="BD25" i="51"/>
  <c r="BD27" i="51" s="1"/>
  <c r="BE4" i="51"/>
  <c r="BD7" i="44"/>
  <c r="BD30" i="44" s="1"/>
  <c r="BG81" i="59"/>
  <c r="BG87" i="59" s="1"/>
  <c r="BC26" i="49"/>
  <c r="BC37" i="49" s="1"/>
  <c r="BC38" i="49" s="1"/>
  <c r="BE29" i="45"/>
  <c r="BE32" i="45" l="1"/>
  <c r="BE31" i="45"/>
  <c r="BE14" i="51"/>
  <c r="BF24" i="45" s="1"/>
  <c r="BE15" i="51"/>
  <c r="AW17" i="51"/>
  <c r="AW39" i="49"/>
  <c r="AW40" i="49" s="1"/>
  <c r="AW23" i="44"/>
  <c r="AW27" i="44" s="1"/>
  <c r="AW29" i="44" s="1"/>
  <c r="AY6" i="44"/>
  <c r="AX16" i="44"/>
  <c r="BH81" i="59" l="1"/>
  <c r="BH87" i="59" s="1"/>
  <c r="BD26" i="49"/>
  <c r="BD37" i="49" s="1"/>
  <c r="BD38" i="49" s="1"/>
  <c r="BF29" i="45"/>
  <c r="AX17" i="51"/>
  <c r="AX39" i="49"/>
  <c r="AX40" i="49" s="1"/>
  <c r="AX23" i="44"/>
  <c r="AX27" i="44" s="1"/>
  <c r="AX29" i="44" s="1"/>
  <c r="AZ6" i="44"/>
  <c r="AY16" i="44"/>
  <c r="BE24" i="51"/>
  <c r="BE25" i="51"/>
  <c r="BE27" i="51" s="1"/>
  <c r="BF4" i="51"/>
  <c r="BE7" i="44"/>
  <c r="BE30" i="44" s="1"/>
  <c r="BA6" i="44" l="1"/>
  <c r="AZ16" i="44"/>
  <c r="BF32" i="45"/>
  <c r="BF31" i="45"/>
  <c r="AY17" i="51"/>
  <c r="AY39" i="49"/>
  <c r="AY40" i="49" s="1"/>
  <c r="AY23" i="44"/>
  <c r="AY27" i="44" s="1"/>
  <c r="AY29" i="44" s="1"/>
  <c r="BF14" i="51"/>
  <c r="BG24" i="45" s="1"/>
  <c r="BF15" i="51"/>
  <c r="BG4" i="51" l="1"/>
  <c r="BF24" i="51"/>
  <c r="BF25" i="51" s="1"/>
  <c r="BF27" i="51" s="1"/>
  <c r="BF7" i="44"/>
  <c r="AZ17" i="51"/>
  <c r="AZ39" i="49"/>
  <c r="AZ40" i="49" s="1"/>
  <c r="AZ23" i="44"/>
  <c r="AZ27" i="44" s="1"/>
  <c r="AZ29" i="44" s="1"/>
  <c r="BI81" i="59"/>
  <c r="BI87" i="59" s="1"/>
  <c r="BE26" i="49"/>
  <c r="BG29" i="45"/>
  <c r="BB6" i="44"/>
  <c r="BA16" i="44"/>
  <c r="BC6" i="44" l="1"/>
  <c r="BB16" i="44"/>
  <c r="BF30" i="44"/>
  <c r="M6" i="43"/>
  <c r="BG32" i="45"/>
  <c r="BA17" i="51"/>
  <c r="BA39" i="49"/>
  <c r="BA40" i="49" s="1"/>
  <c r="BA23" i="44"/>
  <c r="BA27" i="44" s="1"/>
  <c r="BA29" i="44" s="1"/>
  <c r="BG14" i="51"/>
  <c r="BH24" i="45" s="1"/>
  <c r="BG15" i="51"/>
  <c r="M24" i="50" l="1"/>
  <c r="M27" i="43"/>
  <c r="M14" i="42"/>
  <c r="M15" i="42" s="1"/>
  <c r="M16" i="42" s="1"/>
  <c r="M18" i="42" s="1"/>
  <c r="N17" i="42" s="1"/>
  <c r="M28" i="42"/>
  <c r="BG25" i="51"/>
  <c r="BG27" i="51" s="1"/>
  <c r="BH4" i="51"/>
  <c r="BG24" i="51"/>
  <c r="BG7" i="44"/>
  <c r="BG30" i="44" s="1"/>
  <c r="BJ81" i="59"/>
  <c r="BJ87" i="59" s="1"/>
  <c r="BF26" i="49"/>
  <c r="BH29" i="45"/>
  <c r="BB17" i="51"/>
  <c r="BB39" i="49"/>
  <c r="BB40" i="49" s="1"/>
  <c r="BB23" i="44"/>
  <c r="BB27" i="44" s="1"/>
  <c r="BB29" i="44" s="1"/>
  <c r="BD6" i="44"/>
  <c r="BC16" i="44"/>
  <c r="BC17" i="51" l="1"/>
  <c r="BC39" i="49"/>
  <c r="BC40" i="49" s="1"/>
  <c r="BC23" i="44"/>
  <c r="BC27" i="44" s="1"/>
  <c r="BC29" i="44" s="1"/>
  <c r="BF37" i="49"/>
  <c r="BF38" i="49" s="1"/>
  <c r="BH14" i="51"/>
  <c r="BI24" i="45" s="1"/>
  <c r="BH15" i="51"/>
  <c r="BE6" i="44"/>
  <c r="BD16" i="44"/>
  <c r="BH31" i="45"/>
  <c r="BH32" i="45"/>
  <c r="M37" i="50"/>
  <c r="M25" i="50"/>
  <c r="BH24" i="51" l="1"/>
  <c r="BH25" i="51"/>
  <c r="BH27" i="51" s="1"/>
  <c r="BI4" i="51"/>
  <c r="BH7" i="44"/>
  <c r="BH30" i="44" s="1"/>
  <c r="BK81" i="59"/>
  <c r="BK87" i="59" s="1"/>
  <c r="BG26" i="49"/>
  <c r="BI29" i="45"/>
  <c r="BD17" i="51"/>
  <c r="BD39" i="49"/>
  <c r="BD40" i="49" s="1"/>
  <c r="BD23" i="44"/>
  <c r="BD27" i="44" s="1"/>
  <c r="BD29" i="44" s="1"/>
  <c r="BE16" i="44"/>
  <c r="BI32" i="45" l="1"/>
  <c r="BI31" i="45"/>
  <c r="BE17" i="51"/>
  <c r="BE39" i="49"/>
  <c r="BE23" i="44"/>
  <c r="BE27" i="44" s="1"/>
  <c r="BE29" i="44" s="1"/>
  <c r="BG37" i="49"/>
  <c r="BG38" i="49" s="1"/>
  <c r="BI14" i="51"/>
  <c r="BJ24" i="45" s="1"/>
  <c r="BI15" i="51"/>
  <c r="BL81" i="59" l="1"/>
  <c r="BL87" i="59" s="1"/>
  <c r="BH26" i="49"/>
  <c r="BJ29" i="45"/>
  <c r="BI24" i="51"/>
  <c r="BI25" i="51"/>
  <c r="BI27" i="51" s="1"/>
  <c r="BJ4" i="51"/>
  <c r="BI7" i="44"/>
  <c r="BI30" i="44" s="1"/>
  <c r="BJ14" i="51" l="1"/>
  <c r="BK24" i="45" s="1"/>
  <c r="BJ15" i="51"/>
  <c r="BJ32" i="45"/>
  <c r="BJ31" i="45"/>
  <c r="BH37" i="49"/>
  <c r="BH38" i="49" s="1"/>
  <c r="BK4" i="51" l="1"/>
  <c r="BJ24" i="51"/>
  <c r="BJ25" i="51" s="1"/>
  <c r="BJ27" i="51" s="1"/>
  <c r="BJ7" i="44"/>
  <c r="BJ30" i="44" s="1"/>
  <c r="BM81" i="59"/>
  <c r="BM87" i="59" s="1"/>
  <c r="BI26" i="49"/>
  <c r="BK29" i="45"/>
  <c r="BK31" i="45" l="1"/>
  <c r="BK32" i="45"/>
  <c r="BI37" i="49"/>
  <c r="BI38" i="49" s="1"/>
  <c r="BK14" i="51"/>
  <c r="BL24" i="45" s="1"/>
  <c r="BK15" i="51"/>
  <c r="BL4" i="51" l="1"/>
  <c r="BK24" i="51"/>
  <c r="BK25" i="51" s="1"/>
  <c r="BK27" i="51" s="1"/>
  <c r="BK7" i="44"/>
  <c r="BK30" i="44" s="1"/>
  <c r="BN81" i="59"/>
  <c r="BN87" i="59" s="1"/>
  <c r="BJ26" i="49"/>
  <c r="BJ37" i="49" s="1"/>
  <c r="BJ38" i="49" s="1"/>
  <c r="BL29" i="45"/>
  <c r="BL31" i="45" l="1"/>
  <c r="BL32" i="45"/>
  <c r="BL14" i="51"/>
  <c r="BM24" i="45" s="1"/>
  <c r="BL15" i="51"/>
  <c r="BO81" i="59" l="1"/>
  <c r="BO87" i="59" s="1"/>
  <c r="BK26" i="49"/>
  <c r="BK37" i="49" s="1"/>
  <c r="BK38" i="49" s="1"/>
  <c r="BM29" i="45"/>
  <c r="BL24" i="51"/>
  <c r="BL25" i="51" s="1"/>
  <c r="BL27" i="51" s="1"/>
  <c r="BM4" i="51"/>
  <c r="BL7" i="44"/>
  <c r="BL30" i="44" s="1"/>
  <c r="BM32" i="45" l="1"/>
  <c r="BM31" i="45"/>
  <c r="BM14" i="51"/>
  <c r="BN24" i="45" s="1"/>
  <c r="BM15" i="51"/>
  <c r="BM24" i="51" l="1"/>
  <c r="BM25" i="51"/>
  <c r="BM27" i="51" s="1"/>
  <c r="BN4" i="51"/>
  <c r="BM7" i="44"/>
  <c r="BM30" i="44" s="1"/>
  <c r="BP81" i="59"/>
  <c r="BP87" i="59" s="1"/>
  <c r="BL26" i="49"/>
  <c r="BL37" i="49" s="1"/>
  <c r="BL38" i="49" s="1"/>
  <c r="BN29" i="45"/>
  <c r="BN32" i="45" l="1"/>
  <c r="BN31" i="45"/>
  <c r="BN14" i="51"/>
  <c r="BO24" i="45" s="1"/>
  <c r="BN15" i="51"/>
  <c r="BO4" i="51" l="1"/>
  <c r="BN24" i="51"/>
  <c r="BN25" i="51" s="1"/>
  <c r="BN27" i="51" s="1"/>
  <c r="BN7" i="44"/>
  <c r="BN30" i="44" s="1"/>
  <c r="BQ81" i="59"/>
  <c r="BQ87" i="59" s="1"/>
  <c r="BM26" i="49"/>
  <c r="BM37" i="49" s="1"/>
  <c r="BM38" i="49" s="1"/>
  <c r="BO29" i="45"/>
  <c r="BO31" i="45" l="1"/>
  <c r="BO32" i="45"/>
  <c r="BO14" i="51"/>
  <c r="BP24" i="45" s="1"/>
  <c r="BO15" i="51"/>
  <c r="BR81" i="59" l="1"/>
  <c r="BR87" i="59" s="1"/>
  <c r="BN26" i="49"/>
  <c r="BN37" i="49" s="1"/>
  <c r="BN38" i="49" s="1"/>
  <c r="BP29" i="45"/>
  <c r="BO25" i="51"/>
  <c r="BO27" i="51" s="1"/>
  <c r="BP4" i="51"/>
  <c r="BO24" i="51"/>
  <c r="BO7" i="44"/>
  <c r="BO30" i="44" s="1"/>
  <c r="BP31" i="45" l="1"/>
  <c r="BP32" i="45"/>
  <c r="BP14" i="51"/>
  <c r="BQ24" i="45" s="1"/>
  <c r="BP15" i="51"/>
  <c r="BS81" i="59" l="1"/>
  <c r="BS87" i="59" s="1"/>
  <c r="BO26" i="49"/>
  <c r="BO37" i="49" s="1"/>
  <c r="BO38" i="49" s="1"/>
  <c r="BQ29" i="45"/>
  <c r="BP24" i="51"/>
  <c r="BP25" i="51" s="1"/>
  <c r="BP27" i="51" s="1"/>
  <c r="BQ4" i="51"/>
  <c r="BP7" i="44"/>
  <c r="BP30" i="44" s="1"/>
  <c r="BQ32" i="45" l="1"/>
  <c r="BQ31" i="45"/>
  <c r="BQ14" i="51"/>
  <c r="BR24" i="45" s="1"/>
  <c r="BQ15" i="51"/>
  <c r="BT81" i="59" l="1"/>
  <c r="BT87" i="59" s="1"/>
  <c r="BP26" i="49"/>
  <c r="BP37" i="49" s="1"/>
  <c r="BP38" i="49" s="1"/>
  <c r="BR29" i="45"/>
  <c r="BQ24" i="51"/>
  <c r="BQ25" i="51" s="1"/>
  <c r="BQ27" i="51" s="1"/>
  <c r="BR4" i="51"/>
  <c r="BQ7" i="44"/>
  <c r="BQ30" i="44" s="1"/>
  <c r="BR32" i="45" l="1"/>
  <c r="BR31" i="45"/>
  <c r="BR14" i="51"/>
  <c r="BS24" i="45" s="1"/>
  <c r="BR15" i="51"/>
  <c r="BS4" i="51" l="1"/>
  <c r="BR24" i="51"/>
  <c r="BR25" i="51" s="1"/>
  <c r="BR27" i="51" s="1"/>
  <c r="BR7" i="44"/>
  <c r="BU81" i="59"/>
  <c r="BU87" i="59" s="1"/>
  <c r="BQ26" i="49"/>
  <c r="BS29" i="45"/>
  <c r="BS32" i="45" l="1"/>
  <c r="BS14" i="51"/>
  <c r="BT24" i="45" s="1"/>
  <c r="BS15" i="51"/>
  <c r="BR30" i="44"/>
  <c r="N6" i="43"/>
  <c r="N24" i="50" l="1"/>
  <c r="N27" i="43"/>
  <c r="N14" i="42"/>
  <c r="N15" i="42" s="1"/>
  <c r="N16" i="42" s="1"/>
  <c r="N18" i="42" s="1"/>
  <c r="O17" i="42" s="1"/>
  <c r="N28" i="42"/>
  <c r="BV81" i="59"/>
  <c r="BV87" i="59" s="1"/>
  <c r="BR26" i="49"/>
  <c r="BT29" i="45"/>
  <c r="BT4" i="51"/>
  <c r="BS24" i="51"/>
  <c r="BS25" i="51" s="1"/>
  <c r="BS27" i="51" s="1"/>
  <c r="BS7" i="44"/>
  <c r="BS30" i="44" s="1"/>
  <c r="BT14" i="51" l="1"/>
  <c r="BU24" i="45" s="1"/>
  <c r="BT15" i="51"/>
  <c r="BR37" i="49"/>
  <c r="BR38" i="49" s="1"/>
  <c r="BT31" i="45"/>
  <c r="BT32" i="45"/>
  <c r="N37" i="50"/>
  <c r="N25" i="50"/>
  <c r="BT24" i="51" l="1"/>
  <c r="BT25" i="51"/>
  <c r="BT27" i="51" s="1"/>
  <c r="BU4" i="51"/>
  <c r="BT7" i="44"/>
  <c r="BT30" i="44" s="1"/>
  <c r="BW81" i="59"/>
  <c r="BW87" i="59" s="1"/>
  <c r="BS26" i="49"/>
  <c r="BU29" i="45"/>
  <c r="BU32" i="45" l="1"/>
  <c r="BU31" i="45"/>
  <c r="BS37" i="49"/>
  <c r="BS38" i="49" s="1"/>
  <c r="BU14" i="51"/>
  <c r="BV24" i="45" s="1"/>
  <c r="BU15" i="51"/>
  <c r="BU24" i="51" l="1"/>
  <c r="BU25" i="51"/>
  <c r="BU27" i="51" s="1"/>
  <c r="BV4" i="51"/>
  <c r="BU7" i="44"/>
  <c r="BU30" i="44" s="1"/>
  <c r="BX81" i="59"/>
  <c r="BX87" i="59" s="1"/>
  <c r="BT26" i="49"/>
  <c r="BV29" i="45"/>
  <c r="BT37" i="49" l="1"/>
  <c r="BT38" i="49" s="1"/>
  <c r="BV32" i="45"/>
  <c r="BV31" i="45"/>
  <c r="BV14" i="51"/>
  <c r="BW24" i="45" s="1"/>
  <c r="BV15" i="51"/>
  <c r="BW4" i="51" l="1"/>
  <c r="BV24" i="51"/>
  <c r="BV25" i="51" s="1"/>
  <c r="BV27" i="51" s="1"/>
  <c r="BV7" i="44"/>
  <c r="BV30" i="44" s="1"/>
  <c r="BY81" i="59"/>
  <c r="BY87" i="59" s="1"/>
  <c r="BU26" i="49"/>
  <c r="BW29" i="45"/>
  <c r="BW31" i="45" l="1"/>
  <c r="BW32" i="45"/>
  <c r="BU37" i="49"/>
  <c r="BU38" i="49" s="1"/>
  <c r="BW14" i="51"/>
  <c r="BX24" i="45" s="1"/>
  <c r="BW15" i="51"/>
  <c r="BX4" i="51" l="1"/>
  <c r="BW24" i="51"/>
  <c r="BW25" i="51" s="1"/>
  <c r="BW27" i="51" s="1"/>
  <c r="BW7" i="44"/>
  <c r="BW30" i="44" s="1"/>
  <c r="BZ81" i="59"/>
  <c r="BZ87" i="59" s="1"/>
  <c r="BV26" i="49"/>
  <c r="BV37" i="49" s="1"/>
  <c r="BV38" i="49" s="1"/>
  <c r="BX29" i="45"/>
  <c r="BX14" i="51" l="1"/>
  <c r="BY24" i="45" s="1"/>
  <c r="BX15" i="51"/>
  <c r="BX31" i="45"/>
  <c r="BX32" i="45"/>
  <c r="CA81" i="59" l="1"/>
  <c r="CA87" i="59" s="1"/>
  <c r="BW26" i="49"/>
  <c r="BW37" i="49" s="1"/>
  <c r="BW38" i="49" s="1"/>
  <c r="BY29" i="45"/>
  <c r="BX24" i="51"/>
  <c r="BX25" i="51" s="1"/>
  <c r="BX27" i="51" s="1"/>
  <c r="BY4" i="51"/>
  <c r="BX7" i="44"/>
  <c r="BX30" i="44" s="1"/>
  <c r="BY32" i="45" l="1"/>
  <c r="BY31" i="45"/>
  <c r="BY14" i="51"/>
  <c r="BZ24" i="45" s="1"/>
  <c r="BY15" i="51"/>
  <c r="CB81" i="59" l="1"/>
  <c r="CB87" i="59" s="1"/>
  <c r="BX26" i="49"/>
  <c r="BX37" i="49" s="1"/>
  <c r="BX38" i="49" s="1"/>
  <c r="BZ29" i="45"/>
  <c r="BY24" i="51"/>
  <c r="BY25" i="51" s="1"/>
  <c r="BY27" i="51" s="1"/>
  <c r="BZ4" i="51"/>
  <c r="BY7" i="44"/>
  <c r="BY30" i="44" s="1"/>
  <c r="BZ32" i="45" l="1"/>
  <c r="BZ31" i="45"/>
  <c r="BZ14" i="51"/>
  <c r="CA24" i="45" s="1"/>
  <c r="BZ15" i="51"/>
  <c r="CC81" i="59" l="1"/>
  <c r="CC87" i="59" s="1"/>
  <c r="BY26" i="49"/>
  <c r="BY37" i="49" s="1"/>
  <c r="BY38" i="49" s="1"/>
  <c r="CA29" i="45"/>
  <c r="BZ25" i="51"/>
  <c r="BZ27" i="51" s="1"/>
  <c r="CA4" i="51"/>
  <c r="BZ24" i="51"/>
  <c r="BZ7" i="44"/>
  <c r="BZ30" i="44" s="1"/>
  <c r="CA31" i="45" l="1"/>
  <c r="CA32" i="45"/>
  <c r="CA14" i="51"/>
  <c r="CB24" i="45" s="1"/>
  <c r="CA15" i="51"/>
  <c r="CD81" i="59" l="1"/>
  <c r="CD87" i="59" s="1"/>
  <c r="BZ26" i="49"/>
  <c r="BZ37" i="49" s="1"/>
  <c r="BZ38" i="49" s="1"/>
  <c r="CB29" i="45"/>
  <c r="CB4" i="51"/>
  <c r="CA24" i="51"/>
  <c r="CA25" i="51" s="1"/>
  <c r="CA27" i="51" s="1"/>
  <c r="CA7" i="44"/>
  <c r="CA30" i="44" s="1"/>
  <c r="CB31" i="45" l="1"/>
  <c r="CB32" i="45"/>
  <c r="CB14" i="51"/>
  <c r="CC24" i="45" s="1"/>
  <c r="CB15" i="51"/>
  <c r="CE81" i="59" l="1"/>
  <c r="CE87" i="59" s="1"/>
  <c r="CA26" i="49"/>
  <c r="CA37" i="49" s="1"/>
  <c r="CA38" i="49" s="1"/>
  <c r="CC29" i="45"/>
  <c r="CB24" i="51"/>
  <c r="CB25" i="51"/>
  <c r="CB27" i="51" s="1"/>
  <c r="CC4" i="51"/>
  <c r="CB7" i="44"/>
  <c r="CB30" i="44" s="1"/>
  <c r="CC14" i="51" l="1"/>
  <c r="CD24" i="45" s="1"/>
  <c r="CC15" i="51"/>
  <c r="CC32" i="45"/>
  <c r="CC31" i="45"/>
  <c r="CC24" i="51" l="1"/>
  <c r="CC25" i="51"/>
  <c r="CC27" i="51" s="1"/>
  <c r="CD4" i="51"/>
  <c r="CC7" i="44"/>
  <c r="CC30" i="44" s="1"/>
  <c r="CF81" i="59"/>
  <c r="CF87" i="59" s="1"/>
  <c r="CB26" i="49"/>
  <c r="CB37" i="49" s="1"/>
  <c r="CB38" i="49" s="1"/>
  <c r="CD29" i="45"/>
  <c r="CD32" i="45" l="1"/>
  <c r="CD31" i="45"/>
  <c r="CD14" i="51"/>
  <c r="CE24" i="45" s="1"/>
  <c r="CD15" i="51"/>
  <c r="CD25" i="51" l="1"/>
  <c r="CD27" i="51" s="1"/>
  <c r="CE4" i="51"/>
  <c r="CD24" i="51"/>
  <c r="CD7" i="44"/>
  <c r="CG81" i="59"/>
  <c r="CG87" i="59" s="1"/>
  <c r="CC26" i="49"/>
  <c r="CE29" i="45"/>
  <c r="CD30" i="44" l="1"/>
  <c r="O6" i="43"/>
  <c r="CE32" i="45"/>
  <c r="CE14" i="51"/>
  <c r="CF24" i="45" s="1"/>
  <c r="CE15" i="51"/>
  <c r="O24" i="50" l="1"/>
  <c r="O14" i="42"/>
  <c r="O15" i="42" s="1"/>
  <c r="O16" i="42" s="1"/>
  <c r="O18" i="42" s="1"/>
  <c r="P17" i="42" s="1"/>
  <c r="O27" i="43"/>
  <c r="O28" i="42"/>
  <c r="CF4" i="51"/>
  <c r="CE24" i="51"/>
  <c r="CE25" i="51" s="1"/>
  <c r="CE27" i="51" s="1"/>
  <c r="CE7" i="44"/>
  <c r="CE30" i="44" s="1"/>
  <c r="CH81" i="59"/>
  <c r="CH87" i="59" s="1"/>
  <c r="CD26" i="49"/>
  <c r="CF29" i="45"/>
  <c r="CF31" i="45" l="1"/>
  <c r="CF32" i="45"/>
  <c r="CD37" i="49"/>
  <c r="CD38" i="49" s="1"/>
  <c r="CF14" i="51"/>
  <c r="CG24" i="45" s="1"/>
  <c r="CF15" i="51"/>
  <c r="O37" i="50"/>
  <c r="O25" i="50"/>
  <c r="CF24" i="51" l="1"/>
  <c r="CF25" i="51"/>
  <c r="CF27" i="51" s="1"/>
  <c r="CG4" i="51"/>
  <c r="CF7" i="44"/>
  <c r="CF30" i="44" s="1"/>
  <c r="CI81" i="59"/>
  <c r="CI87" i="59" s="1"/>
  <c r="CE26" i="49"/>
  <c r="CG29" i="45"/>
  <c r="CG32" i="45" l="1"/>
  <c r="CG31" i="45"/>
  <c r="CG14" i="51"/>
  <c r="CH24" i="45" s="1"/>
  <c r="CG15" i="51"/>
  <c r="CE37" i="49"/>
  <c r="CE38" i="49" s="1"/>
  <c r="CJ81" i="59" l="1"/>
  <c r="CJ87" i="59" s="1"/>
  <c r="CF26" i="49"/>
  <c r="CH29" i="45"/>
  <c r="CG24" i="51"/>
  <c r="CG25" i="51" s="1"/>
  <c r="CG27" i="51" s="1"/>
  <c r="CH4" i="51"/>
  <c r="CG7" i="44"/>
  <c r="CG30" i="44" s="1"/>
  <c r="CH14" i="51" l="1"/>
  <c r="CI24" i="45" s="1"/>
  <c r="CH15" i="51"/>
  <c r="CH32" i="45"/>
  <c r="CH31" i="45"/>
  <c r="CF37" i="49"/>
  <c r="CF38" i="49" s="1"/>
  <c r="CI4" i="51" l="1"/>
  <c r="CH24" i="51"/>
  <c r="CH25" i="51" s="1"/>
  <c r="CH27" i="51" s="1"/>
  <c r="CH7" i="44"/>
  <c r="CH30" i="44" s="1"/>
  <c r="CK81" i="59"/>
  <c r="CK87" i="59" s="1"/>
  <c r="CG26" i="49"/>
  <c r="CI29" i="45"/>
  <c r="CI31" i="45" l="1"/>
  <c r="CI32" i="45"/>
  <c r="CG37" i="49"/>
  <c r="CG38" i="49" s="1"/>
  <c r="CI14" i="51"/>
  <c r="CJ24" i="45" s="1"/>
  <c r="CI15" i="51"/>
  <c r="CJ4" i="51" l="1"/>
  <c r="CI24" i="51"/>
  <c r="CI25" i="51" s="1"/>
  <c r="CI27" i="51" s="1"/>
  <c r="CI7" i="44"/>
  <c r="CI30" i="44" s="1"/>
  <c r="CL81" i="59"/>
  <c r="CL87" i="59" s="1"/>
  <c r="CH26" i="49"/>
  <c r="CH37" i="49" s="1"/>
  <c r="CH38" i="49" s="1"/>
  <c r="CJ29" i="45"/>
  <c r="CJ31" i="45" l="1"/>
  <c r="CJ32" i="45"/>
  <c r="CJ14" i="51"/>
  <c r="CK24" i="45" s="1"/>
  <c r="CJ15" i="51"/>
  <c r="CM81" i="59" l="1"/>
  <c r="CM87" i="59" s="1"/>
  <c r="CI26" i="49"/>
  <c r="CI37" i="49" s="1"/>
  <c r="CI38" i="49" s="1"/>
  <c r="CK29" i="45"/>
  <c r="CJ24" i="51"/>
  <c r="CJ25" i="51" s="1"/>
  <c r="CJ27" i="51" s="1"/>
  <c r="CK4" i="51"/>
  <c r="CJ7" i="44"/>
  <c r="CJ30" i="44" s="1"/>
  <c r="CK32" i="45" l="1"/>
  <c r="CK31" i="45"/>
  <c r="CK14" i="51"/>
  <c r="CL24" i="45" s="1"/>
  <c r="CK15" i="51"/>
  <c r="CK24" i="51" l="1"/>
  <c r="CK25" i="51"/>
  <c r="CK27" i="51" s="1"/>
  <c r="CL4" i="51"/>
  <c r="CK7" i="44"/>
  <c r="CK30" i="44" s="1"/>
  <c r="CN81" i="59"/>
  <c r="CN87" i="59" s="1"/>
  <c r="CJ26" i="49"/>
  <c r="CJ37" i="49" s="1"/>
  <c r="CJ38" i="49" s="1"/>
  <c r="CL29" i="45"/>
  <c r="CL32" i="45" l="1"/>
  <c r="CL31" i="45"/>
  <c r="CL14" i="51"/>
  <c r="CM24" i="45" s="1"/>
  <c r="CL15" i="51"/>
  <c r="CM4" i="51" l="1"/>
  <c r="CL24" i="51"/>
  <c r="CL25" i="51" s="1"/>
  <c r="CL27" i="51" s="1"/>
  <c r="CL7" i="44"/>
  <c r="CL30" i="44" s="1"/>
  <c r="CO81" i="59"/>
  <c r="CO87" i="59" s="1"/>
  <c r="CK26" i="49"/>
  <c r="CK37" i="49" s="1"/>
  <c r="CK38" i="49" s="1"/>
  <c r="CM29" i="45"/>
  <c r="CM31" i="45" l="1"/>
  <c r="CM32" i="45"/>
  <c r="CM14" i="51"/>
  <c r="CN24" i="45" s="1"/>
  <c r="CM15" i="51"/>
  <c r="CP81" i="59" l="1"/>
  <c r="CP87" i="59" s="1"/>
  <c r="CL26" i="49"/>
  <c r="CL37" i="49" s="1"/>
  <c r="CL38" i="49" s="1"/>
  <c r="CN29" i="45"/>
  <c r="CM25" i="51"/>
  <c r="CM27" i="51" s="1"/>
  <c r="CN4" i="51"/>
  <c r="CM24" i="51"/>
  <c r="CM7" i="44"/>
  <c r="CM30" i="44" s="1"/>
  <c r="CN31" i="45" l="1"/>
  <c r="CN32" i="45"/>
  <c r="CN14" i="51"/>
  <c r="CO24" i="45" s="1"/>
  <c r="CN15" i="51"/>
  <c r="CQ81" i="59" l="1"/>
  <c r="CQ87" i="59" s="1"/>
  <c r="CM26" i="49"/>
  <c r="CM37" i="49" s="1"/>
  <c r="CM38" i="49" s="1"/>
  <c r="CO29" i="45"/>
  <c r="CN24" i="51"/>
  <c r="CN25" i="51" s="1"/>
  <c r="CN27" i="51" s="1"/>
  <c r="CO4" i="51"/>
  <c r="CN7" i="44"/>
  <c r="CN30" i="44" s="1"/>
  <c r="CO32" i="45" l="1"/>
  <c r="CO31" i="45"/>
  <c r="CO14" i="51"/>
  <c r="CP24" i="45" s="1"/>
  <c r="CO15" i="51"/>
  <c r="CR81" i="59" l="1"/>
  <c r="CR87" i="59" s="1"/>
  <c r="CN26" i="49"/>
  <c r="CN37" i="49" s="1"/>
  <c r="CN38" i="49" s="1"/>
  <c r="CP29" i="45"/>
  <c r="CO24" i="51"/>
  <c r="CO25" i="51" s="1"/>
  <c r="CO27" i="51" s="1"/>
  <c r="CP4" i="51"/>
  <c r="CO7" i="44"/>
  <c r="CO30" i="44" s="1"/>
  <c r="CP32" i="45" l="1"/>
  <c r="CP31" i="45"/>
  <c r="CP14" i="51"/>
  <c r="CQ24" i="45" s="1"/>
  <c r="CP15" i="51"/>
  <c r="CS81" i="59" l="1"/>
  <c r="CS87" i="59" s="1"/>
  <c r="CO26" i="49"/>
  <c r="CO37" i="49" s="1"/>
  <c r="CO38" i="49" s="1"/>
  <c r="CQ29" i="45"/>
  <c r="CP25" i="51"/>
  <c r="CP27" i="51" s="1"/>
  <c r="CQ4" i="51"/>
  <c r="CP24" i="51"/>
  <c r="CP7" i="44"/>
  <c r="CP30" i="44" l="1"/>
  <c r="P6" i="43"/>
  <c r="CQ31" i="45"/>
  <c r="CQ32" i="45"/>
  <c r="CQ14" i="51"/>
  <c r="CR24" i="45" s="1"/>
  <c r="CQ15" i="51"/>
  <c r="CR4" i="51" l="1"/>
  <c r="CQ24" i="51"/>
  <c r="CQ25" i="51" s="1"/>
  <c r="CQ27" i="51" s="1"/>
  <c r="CQ7" i="44"/>
  <c r="CQ30" i="44" s="1"/>
  <c r="CT81" i="59"/>
  <c r="CT87" i="59" s="1"/>
  <c r="CP26" i="49"/>
  <c r="CR29" i="45"/>
  <c r="P24" i="50"/>
  <c r="Q14" i="42"/>
  <c r="Q15" i="42" s="1"/>
  <c r="Q16" i="42" s="1"/>
  <c r="Q18" i="42" s="1"/>
  <c r="P27" i="43"/>
  <c r="P14" i="42"/>
  <c r="P15" i="42" s="1"/>
  <c r="P16" i="42" s="1"/>
  <c r="P18" i="42" s="1"/>
  <c r="Q17" i="42" s="1"/>
  <c r="Q28" i="42"/>
  <c r="Q24" i="50"/>
  <c r="P28" i="42"/>
  <c r="CP37" i="49" l="1"/>
  <c r="CP38" i="49" s="1"/>
  <c r="CR14" i="51"/>
  <c r="CS24" i="45" s="1"/>
  <c r="CR15" i="51"/>
  <c r="CR31" i="45"/>
  <c r="CR32" i="45"/>
  <c r="Q37" i="50"/>
  <c r="Q25" i="50"/>
  <c r="P37" i="50"/>
  <c r="P25" i="50"/>
  <c r="CR24" i="51" l="1"/>
  <c r="CR25" i="51"/>
  <c r="CR27" i="51" s="1"/>
  <c r="CS4" i="51"/>
  <c r="CR7" i="44"/>
  <c r="CR30" i="44" s="1"/>
  <c r="CU81" i="59"/>
  <c r="CU87" i="59" s="1"/>
  <c r="CQ26" i="49"/>
  <c r="CS29" i="45"/>
  <c r="CS32" i="45" l="1"/>
  <c r="CS31" i="45"/>
  <c r="CS14" i="51"/>
  <c r="CT24" i="45" s="1"/>
  <c r="CS15" i="51"/>
  <c r="CQ37" i="49"/>
  <c r="CQ38" i="49" s="1"/>
  <c r="CS24" i="51" l="1"/>
  <c r="CS25" i="51"/>
  <c r="CS27" i="51" s="1"/>
  <c r="CT4" i="51"/>
  <c r="CS7" i="44"/>
  <c r="CS30" i="44" s="1"/>
  <c r="CV81" i="59"/>
  <c r="CV87" i="59" s="1"/>
  <c r="CR26" i="49"/>
  <c r="CT29" i="45"/>
  <c r="CT32" i="45" l="1"/>
  <c r="CT31" i="45"/>
  <c r="CT14" i="51"/>
  <c r="CU24" i="45" s="1"/>
  <c r="CT15" i="51"/>
  <c r="CR37" i="49"/>
  <c r="CR38" i="49" s="1"/>
  <c r="CU4" i="51" l="1"/>
  <c r="CT24" i="51"/>
  <c r="CT25" i="51" s="1"/>
  <c r="CT27" i="51" s="1"/>
  <c r="CT7" i="44"/>
  <c r="CT30" i="44" s="1"/>
  <c r="CW81" i="59"/>
  <c r="CW87" i="59" s="1"/>
  <c r="CS26" i="49"/>
  <c r="CU29" i="45"/>
  <c r="CU31" i="45" l="1"/>
  <c r="CU32" i="45"/>
  <c r="CS37" i="49"/>
  <c r="CS38" i="49" s="1"/>
  <c r="CU14" i="51"/>
  <c r="CV24" i="45" s="1"/>
  <c r="CU15" i="51"/>
  <c r="CV4" i="51" l="1"/>
  <c r="CU24" i="51"/>
  <c r="CU25" i="51" s="1"/>
  <c r="CU27" i="51" s="1"/>
  <c r="CU7" i="44"/>
  <c r="CU30" i="44" s="1"/>
  <c r="CX81" i="59"/>
  <c r="CX87" i="59" s="1"/>
  <c r="CT26" i="49"/>
  <c r="CT37" i="49" s="1"/>
  <c r="CT38" i="49" s="1"/>
  <c r="CV29" i="45"/>
  <c r="CV14" i="51" l="1"/>
  <c r="CW24" i="45" s="1"/>
  <c r="CV15" i="51"/>
  <c r="CV31" i="45"/>
  <c r="CV32" i="45"/>
  <c r="CY81" i="59" l="1"/>
  <c r="CY87" i="59" s="1"/>
  <c r="CU26" i="49"/>
  <c r="CW29" i="45"/>
  <c r="M22" i="46"/>
  <c r="M62" i="46" s="1"/>
  <c r="M63" i="46" s="1"/>
  <c r="N22" i="46"/>
  <c r="N62" i="46" s="1"/>
  <c r="N63" i="46" s="1"/>
  <c r="O22" i="46"/>
  <c r="O62" i="46" s="1"/>
  <c r="O63" i="46" s="1"/>
  <c r="P22" i="46"/>
  <c r="P62" i="46" s="1"/>
  <c r="P63" i="46" s="1"/>
  <c r="P65" i="46" s="1"/>
  <c r="P69" i="46" s="1"/>
  <c r="Q22" i="46"/>
  <c r="Q62" i="46" s="1"/>
  <c r="Q63" i="46" s="1"/>
  <c r="CV24" i="51"/>
  <c r="CV25" i="51"/>
  <c r="CV27" i="51" s="1"/>
  <c r="CV7" i="44"/>
  <c r="CV30" i="44" s="1"/>
  <c r="M36" i="50" l="1"/>
  <c r="M38" i="50" s="1"/>
  <c r="M28" i="46"/>
  <c r="M24" i="42"/>
  <c r="M29" i="42" s="1"/>
  <c r="M30" i="42" s="1"/>
  <c r="M23" i="46"/>
  <c r="R22" i="46"/>
  <c r="R23" i="46" s="1"/>
  <c r="P36" i="50"/>
  <c r="P38" i="50" s="1"/>
  <c r="P39" i="50" s="1"/>
  <c r="P28" i="46"/>
  <c r="P24" i="42"/>
  <c r="P29" i="42" s="1"/>
  <c r="P30" i="42" s="1"/>
  <c r="P23" i="46"/>
  <c r="CW32" i="45"/>
  <c r="CW31" i="45"/>
  <c r="O36" i="50"/>
  <c r="O38" i="50" s="1"/>
  <c r="O28" i="46"/>
  <c r="O24" i="42"/>
  <c r="O29" i="42" s="1"/>
  <c r="O30" i="42" s="1"/>
  <c r="O23" i="46"/>
  <c r="D25" i="48"/>
  <c r="D36" i="48" s="1"/>
  <c r="D37" i="48" s="1"/>
  <c r="D39" i="48" s="1"/>
  <c r="E25" i="48"/>
  <c r="E36" i="48" s="1"/>
  <c r="E37" i="48" s="1"/>
  <c r="CU37" i="49"/>
  <c r="CU38" i="49" s="1"/>
  <c r="F25" i="48"/>
  <c r="G25" i="48"/>
  <c r="H25" i="48"/>
  <c r="I25" i="48"/>
  <c r="I36" i="48" s="1"/>
  <c r="I37" i="48" s="1"/>
  <c r="J25" i="48"/>
  <c r="Q36" i="50"/>
  <c r="Q38" i="50" s="1"/>
  <c r="Q28" i="46"/>
  <c r="Q24" i="42"/>
  <c r="Q29" i="42" s="1"/>
  <c r="Q30" i="42" s="1"/>
  <c r="Q23" i="46"/>
  <c r="N36" i="50"/>
  <c r="N38" i="50" s="1"/>
  <c r="N28" i="46"/>
  <c r="N24" i="42"/>
  <c r="N29" i="42" s="1"/>
  <c r="N30" i="42" s="1"/>
  <c r="N23" i="46"/>
  <c r="D41" i="48" l="1"/>
  <c r="E38" i="48"/>
  <c r="E39" i="48" s="1"/>
  <c r="M39" i="46"/>
  <c r="N39" i="46"/>
  <c r="Q39" i="46"/>
  <c r="O39" i="46"/>
  <c r="P25" i="46"/>
  <c r="P39" i="46"/>
  <c r="P41" i="46" l="1"/>
  <c r="P43" i="46" s="1"/>
  <c r="Q41" i="46"/>
  <c r="Q43" i="46" s="1"/>
  <c r="M49" i="46"/>
  <c r="M41" i="46"/>
  <c r="M43" i="46" s="1"/>
  <c r="R39" i="46"/>
  <c r="R41" i="46" s="1"/>
  <c r="R43" i="46" s="1"/>
  <c r="P23" i="42"/>
  <c r="P25" i="42" s="1"/>
  <c r="P31" i="42" s="1"/>
  <c r="P18" i="50"/>
  <c r="P20" i="50" s="1"/>
  <c r="P26" i="50" s="1"/>
  <c r="F38" i="48"/>
  <c r="E41" i="48"/>
  <c r="O41" i="46"/>
  <c r="O43" i="46" s="1"/>
  <c r="N41" i="46"/>
  <c r="N43" i="46" s="1"/>
  <c r="N44" i="46" l="1"/>
  <c r="Q44" i="46"/>
  <c r="O44" i="46"/>
  <c r="M44" i="46"/>
  <c r="M46" i="46"/>
  <c r="M45" i="46"/>
  <c r="P44" i="46"/>
  <c r="M50" i="46"/>
  <c r="M24" i="46"/>
  <c r="M64" i="46" s="1"/>
  <c r="M65" i="46" s="1"/>
  <c r="M69" i="46" s="1"/>
  <c r="BG30" i="45" l="1"/>
  <c r="M8" i="50"/>
  <c r="M10" i="50" s="1"/>
  <c r="M11" i="50" s="1"/>
  <c r="M32" i="50" s="1"/>
  <c r="M33" i="50" s="1"/>
  <c r="M39" i="50" s="1"/>
  <c r="M25" i="46"/>
  <c r="N45" i="46"/>
  <c r="N49" i="46"/>
  <c r="N46" i="46"/>
  <c r="O45" i="46" l="1"/>
  <c r="O49" i="46"/>
  <c r="O46" i="46"/>
  <c r="M26" i="46"/>
  <c r="M23" i="42"/>
  <c r="M25" i="42" s="1"/>
  <c r="M18" i="50"/>
  <c r="M20" i="50" s="1"/>
  <c r="M26" i="50" s="1"/>
  <c r="N50" i="46"/>
  <c r="N24" i="46"/>
  <c r="N64" i="46" s="1"/>
  <c r="N65" i="46" s="1"/>
  <c r="N69" i="46" s="1"/>
  <c r="BE31" i="49"/>
  <c r="BG31" i="45"/>
  <c r="BF6" i="44" s="1"/>
  <c r="M5" i="43" l="1"/>
  <c r="BG6" i="44"/>
  <c r="BF16" i="44"/>
  <c r="BS30" i="45"/>
  <c r="N8" i="50"/>
  <c r="N10" i="50" s="1"/>
  <c r="N11" i="50" s="1"/>
  <c r="N32" i="50" s="1"/>
  <c r="N33" i="50" s="1"/>
  <c r="N39" i="50" s="1"/>
  <c r="N25" i="46"/>
  <c r="O50" i="46"/>
  <c r="O24" i="46"/>
  <c r="O64" i="46" s="1"/>
  <c r="O65" i="46" s="1"/>
  <c r="O69" i="46" s="1"/>
  <c r="F30" i="48"/>
  <c r="F36" i="48" s="1"/>
  <c r="F37" i="48" s="1"/>
  <c r="F39" i="48" s="1"/>
  <c r="BE37" i="49"/>
  <c r="BE38" i="49" s="1"/>
  <c r="BE40" i="49" s="1"/>
  <c r="M31" i="42"/>
  <c r="Q45" i="46"/>
  <c r="P45" i="46"/>
  <c r="P49" i="46"/>
  <c r="Q49" i="46"/>
  <c r="P46" i="46"/>
  <c r="Q46" i="46"/>
  <c r="P50" i="46" l="1"/>
  <c r="G38" i="48"/>
  <c r="Q50" i="46"/>
  <c r="Q24" i="46"/>
  <c r="Q64" i="46" s="1"/>
  <c r="Q65" i="46" s="1"/>
  <c r="Q69" i="46" s="1"/>
  <c r="BQ31" i="49"/>
  <c r="BS31" i="45"/>
  <c r="CE30" i="45"/>
  <c r="O8" i="50"/>
  <c r="O10" i="50" s="1"/>
  <c r="O11" i="50" s="1"/>
  <c r="O32" i="50" s="1"/>
  <c r="O33" i="50" s="1"/>
  <c r="O39" i="50" s="1"/>
  <c r="O25" i="46"/>
  <c r="BF17" i="51"/>
  <c r="BF39" i="49"/>
  <c r="BF40" i="49" s="1"/>
  <c r="BF23" i="44"/>
  <c r="N26" i="46"/>
  <c r="N23" i="42"/>
  <c r="N25" i="42" s="1"/>
  <c r="N18" i="50"/>
  <c r="N20" i="50" s="1"/>
  <c r="N26" i="50" s="1"/>
  <c r="BH6" i="44"/>
  <c r="BG16" i="44"/>
  <c r="M14" i="43"/>
  <c r="M35" i="43"/>
  <c r="BG17" i="51" l="1"/>
  <c r="BG39" i="49"/>
  <c r="BG40" i="49" s="1"/>
  <c r="BG23" i="44"/>
  <c r="BG27" i="44" s="1"/>
  <c r="BG29" i="44" s="1"/>
  <c r="DC30" i="45"/>
  <c r="R24" i="46"/>
  <c r="R25" i="46" s="1"/>
  <c r="B24" i="41" s="1"/>
  <c r="B23" i="41" s="1"/>
  <c r="Q8" i="50"/>
  <c r="Q10" i="50" s="1"/>
  <c r="Q11" i="50" s="1"/>
  <c r="Q25" i="46"/>
  <c r="N31" i="42"/>
  <c r="O26" i="46"/>
  <c r="P26" i="46" s="1"/>
  <c r="O23" i="42"/>
  <c r="O25" i="42" s="1"/>
  <c r="O31" i="42" s="1"/>
  <c r="O18" i="50"/>
  <c r="O20" i="50" s="1"/>
  <c r="O26" i="50" s="1"/>
  <c r="CC31" i="49"/>
  <c r="CE31" i="45"/>
  <c r="BI6" i="44"/>
  <c r="BH16" i="44"/>
  <c r="M21" i="43"/>
  <c r="BF27" i="44"/>
  <c r="BF29" i="44" s="1"/>
  <c r="G30" i="48"/>
  <c r="G36" i="48" s="1"/>
  <c r="G37" i="48" s="1"/>
  <c r="G39" i="48" s="1"/>
  <c r="BQ37" i="49"/>
  <c r="BQ38" i="49" s="1"/>
  <c r="M24" i="43" l="1"/>
  <c r="M26" i="43" s="1"/>
  <c r="F41" i="48"/>
  <c r="H30" i="48"/>
  <c r="H36" i="48" s="1"/>
  <c r="H37" i="48" s="1"/>
  <c r="CC37" i="49"/>
  <c r="CC38" i="49" s="1"/>
  <c r="Q26" i="46"/>
  <c r="Q23" i="42"/>
  <c r="Q25" i="42" s="1"/>
  <c r="Q31" i="42" s="1"/>
  <c r="Q18" i="50"/>
  <c r="Q20" i="50" s="1"/>
  <c r="Q26" i="50" s="1"/>
  <c r="B27" i="50" s="1"/>
  <c r="B20" i="41" s="1"/>
  <c r="DA31" i="49"/>
  <c r="DC31" i="45"/>
  <c r="Q32" i="50"/>
  <c r="Q33" i="50" s="1"/>
  <c r="Q39" i="50" s="1"/>
  <c r="B40" i="50" s="1"/>
  <c r="C12" i="50"/>
  <c r="B19" i="41" s="1"/>
  <c r="BH17" i="51"/>
  <c r="BH39" i="49"/>
  <c r="BH40" i="49" s="1"/>
  <c r="BH23" i="44"/>
  <c r="BH27" i="44" s="1"/>
  <c r="BH29" i="44" s="1"/>
  <c r="H38" i="48"/>
  <c r="BJ6" i="44"/>
  <c r="BI16" i="44"/>
  <c r="H39" i="48" l="1"/>
  <c r="I38" i="48" s="1"/>
  <c r="I39" i="48" s="1"/>
  <c r="B32" i="42"/>
  <c r="J30" i="48"/>
  <c r="J36" i="48" s="1"/>
  <c r="J37" i="48" s="1"/>
  <c r="DA37" i="49"/>
  <c r="DA38" i="49" s="1"/>
  <c r="BK6" i="44"/>
  <c r="BJ16" i="44"/>
  <c r="BI17" i="51"/>
  <c r="BI39" i="49"/>
  <c r="BI40" i="49" s="1"/>
  <c r="BI23" i="44"/>
  <c r="BI27" i="44" s="1"/>
  <c r="BI29" i="44" s="1"/>
  <c r="BL6" i="44" l="1"/>
  <c r="BK16" i="44"/>
  <c r="J38" i="48"/>
  <c r="J39" i="48" s="1"/>
  <c r="BJ17" i="51"/>
  <c r="BJ39" i="49"/>
  <c r="BJ40" i="49" s="1"/>
  <c r="BJ23" i="44"/>
  <c r="BJ27" i="44" s="1"/>
  <c r="BJ29" i="44" s="1"/>
  <c r="BK17" i="51" l="1"/>
  <c r="BK39" i="49"/>
  <c r="BK40" i="49" s="1"/>
  <c r="BK23" i="44"/>
  <c r="BK27" i="44" s="1"/>
  <c r="BK29" i="44" s="1"/>
  <c r="BM6" i="44"/>
  <c r="BL16" i="44"/>
  <c r="BL17" i="51" l="1"/>
  <c r="BL39" i="49"/>
  <c r="BL40" i="49" s="1"/>
  <c r="BL23" i="44"/>
  <c r="BL27" i="44" s="1"/>
  <c r="BL29" i="44" s="1"/>
  <c r="BN6" i="44"/>
  <c r="BM16" i="44"/>
  <c r="BO6" i="44" l="1"/>
  <c r="BN16" i="44"/>
  <c r="BM17" i="51"/>
  <c r="BM39" i="49"/>
  <c r="BM40" i="49" s="1"/>
  <c r="BM23" i="44"/>
  <c r="BM27" i="44" s="1"/>
  <c r="BM29" i="44" s="1"/>
  <c r="BN17" i="51" l="1"/>
  <c r="BN39" i="49"/>
  <c r="BN40" i="49" s="1"/>
  <c r="BN23" i="44"/>
  <c r="BN27" i="44" s="1"/>
  <c r="BN29" i="44" s="1"/>
  <c r="BP6" i="44"/>
  <c r="BO16" i="44"/>
  <c r="BO17" i="51" l="1"/>
  <c r="BO39" i="49"/>
  <c r="BO40" i="49" s="1"/>
  <c r="BO23" i="44"/>
  <c r="BO27" i="44" s="1"/>
  <c r="BO29" i="44" s="1"/>
  <c r="BQ6" i="44"/>
  <c r="BP16" i="44"/>
  <c r="BP17" i="51" l="1"/>
  <c r="BP39" i="49"/>
  <c r="BP40" i="49" s="1"/>
  <c r="BP23" i="44"/>
  <c r="BP27" i="44" s="1"/>
  <c r="BP29" i="44" s="1"/>
  <c r="BR6" i="44"/>
  <c r="BQ16" i="44"/>
  <c r="BQ17" i="51" l="1"/>
  <c r="BQ39" i="49"/>
  <c r="BQ40" i="49" s="1"/>
  <c r="BQ23" i="44"/>
  <c r="BQ27" i="44" s="1"/>
  <c r="BQ29" i="44" s="1"/>
  <c r="N5" i="43"/>
  <c r="BS6" i="44"/>
  <c r="BR16" i="44"/>
  <c r="BT6" i="44" l="1"/>
  <c r="BS16" i="44"/>
  <c r="BR17" i="51"/>
  <c r="BR39" i="49"/>
  <c r="BR40" i="49" s="1"/>
  <c r="BR23" i="44"/>
  <c r="N14" i="43"/>
  <c r="N35" i="43"/>
  <c r="N21" i="43" l="1"/>
  <c r="BR27" i="44"/>
  <c r="BR29" i="44" s="1"/>
  <c r="BU6" i="44"/>
  <c r="BT16" i="44"/>
  <c r="BS17" i="51"/>
  <c r="BS39" i="49"/>
  <c r="BS40" i="49" s="1"/>
  <c r="BS23" i="44"/>
  <c r="BS27" i="44" s="1"/>
  <c r="BS29" i="44" s="1"/>
  <c r="BT17" i="51" l="1"/>
  <c r="BT39" i="49"/>
  <c r="BT40" i="49" s="1"/>
  <c r="BT23" i="44"/>
  <c r="BT27" i="44" s="1"/>
  <c r="BT29" i="44" s="1"/>
  <c r="N24" i="43"/>
  <c r="N26" i="43" s="1"/>
  <c r="G41" i="48"/>
  <c r="BV6" i="44"/>
  <c r="BU16" i="44"/>
  <c r="BW6" i="44" l="1"/>
  <c r="BV16" i="44"/>
  <c r="BU17" i="51"/>
  <c r="BU39" i="49"/>
  <c r="BU40" i="49" s="1"/>
  <c r="BU23" i="44"/>
  <c r="BU27" i="44" s="1"/>
  <c r="BU29" i="44" s="1"/>
  <c r="BX6" i="44" l="1"/>
  <c r="BW16" i="44"/>
  <c r="BV17" i="51"/>
  <c r="BV39" i="49"/>
  <c r="BV40" i="49" s="1"/>
  <c r="BV23" i="44"/>
  <c r="BV27" i="44" s="1"/>
  <c r="BV29" i="44" s="1"/>
  <c r="BY6" i="44" l="1"/>
  <c r="BX16" i="44"/>
  <c r="BW17" i="51"/>
  <c r="BW39" i="49"/>
  <c r="BW40" i="49" s="1"/>
  <c r="BW23" i="44"/>
  <c r="BW27" i="44" s="1"/>
  <c r="BW29" i="44" s="1"/>
  <c r="BZ6" i="44" l="1"/>
  <c r="BY16" i="44"/>
  <c r="BX17" i="51"/>
  <c r="BX39" i="49"/>
  <c r="BX40" i="49" s="1"/>
  <c r="BX23" i="44"/>
  <c r="BX27" i="44" s="1"/>
  <c r="BX29" i="44" s="1"/>
  <c r="CA6" i="44" l="1"/>
  <c r="BZ16" i="44"/>
  <c r="BY17" i="51"/>
  <c r="BY39" i="49"/>
  <c r="BY40" i="49" s="1"/>
  <c r="BY23" i="44"/>
  <c r="BY27" i="44" s="1"/>
  <c r="BY29" i="44" s="1"/>
  <c r="CB6" i="44" l="1"/>
  <c r="CA16" i="44"/>
  <c r="BZ17" i="51"/>
  <c r="BZ39" i="49"/>
  <c r="BZ40" i="49" s="1"/>
  <c r="BZ23" i="44"/>
  <c r="BZ27" i="44" s="1"/>
  <c r="BZ29" i="44" s="1"/>
  <c r="CC6" i="44" l="1"/>
  <c r="CB16" i="44"/>
  <c r="CA17" i="51"/>
  <c r="CA39" i="49"/>
  <c r="CA40" i="49" s="1"/>
  <c r="CA23" i="44"/>
  <c r="CA27" i="44" s="1"/>
  <c r="CA29" i="44" s="1"/>
  <c r="CD6" i="44" l="1"/>
  <c r="CC16" i="44"/>
  <c r="CB17" i="51"/>
  <c r="CB39" i="49"/>
  <c r="CB40" i="49" s="1"/>
  <c r="CB23" i="44"/>
  <c r="CB27" i="44" s="1"/>
  <c r="CB29" i="44" s="1"/>
  <c r="CE6" i="44" l="1"/>
  <c r="O5" i="43"/>
  <c r="CD16" i="44"/>
  <c r="CC17" i="51"/>
  <c r="CC39" i="49"/>
  <c r="CC40" i="49" s="1"/>
  <c r="CC23" i="44"/>
  <c r="CC27" i="44" s="1"/>
  <c r="CC29" i="44" s="1"/>
  <c r="O35" i="43" l="1"/>
  <c r="O14" i="43"/>
  <c r="CD17" i="51"/>
  <c r="CD39" i="49"/>
  <c r="CD40" i="49" s="1"/>
  <c r="CD23" i="44"/>
  <c r="CF6" i="44"/>
  <c r="CE16" i="44"/>
  <c r="O21" i="43" l="1"/>
  <c r="CD27" i="44"/>
  <c r="CD29" i="44" s="1"/>
  <c r="CG6" i="44"/>
  <c r="CF16" i="44"/>
  <c r="CE17" i="51"/>
  <c r="CE39" i="49"/>
  <c r="CE40" i="49" s="1"/>
  <c r="CE23" i="44"/>
  <c r="CE27" i="44" s="1"/>
  <c r="CE29" i="44" s="1"/>
  <c r="CF17" i="51" l="1"/>
  <c r="CF39" i="49"/>
  <c r="CF40" i="49" s="1"/>
  <c r="CF23" i="44"/>
  <c r="CF27" i="44" s="1"/>
  <c r="CF29" i="44" s="1"/>
  <c r="O24" i="43"/>
  <c r="O26" i="43" s="1"/>
  <c r="H41" i="48"/>
  <c r="CH6" i="44"/>
  <c r="CG16" i="44"/>
  <c r="CI6" i="44" l="1"/>
  <c r="CH16" i="44"/>
  <c r="CG17" i="51"/>
  <c r="CG39" i="49"/>
  <c r="CG40" i="49" s="1"/>
  <c r="CG23" i="44"/>
  <c r="CG27" i="44" s="1"/>
  <c r="CG29" i="44" s="1"/>
  <c r="CH17" i="51" l="1"/>
  <c r="CH39" i="49"/>
  <c r="CH40" i="49" s="1"/>
  <c r="CH23" i="44"/>
  <c r="CH27" i="44" s="1"/>
  <c r="CH29" i="44" s="1"/>
  <c r="CJ6" i="44"/>
  <c r="CI16" i="44"/>
  <c r="CI17" i="51" l="1"/>
  <c r="CI39" i="49"/>
  <c r="CI40" i="49" s="1"/>
  <c r="CI23" i="44"/>
  <c r="CI27" i="44" s="1"/>
  <c r="CI29" i="44" s="1"/>
  <c r="CK6" i="44"/>
  <c r="CJ16" i="44"/>
  <c r="CJ17" i="51" l="1"/>
  <c r="CJ39" i="49"/>
  <c r="CJ40" i="49" s="1"/>
  <c r="CJ23" i="44"/>
  <c r="CJ27" i="44" s="1"/>
  <c r="CJ29" i="44" s="1"/>
  <c r="CL6" i="44"/>
  <c r="CK16" i="44"/>
  <c r="CK17" i="51" l="1"/>
  <c r="CK39" i="49"/>
  <c r="CK40" i="49" s="1"/>
  <c r="CK23" i="44"/>
  <c r="CK27" i="44" s="1"/>
  <c r="CK29" i="44" s="1"/>
  <c r="CM6" i="44"/>
  <c r="CL16" i="44"/>
  <c r="CL17" i="51" l="1"/>
  <c r="CL39" i="49"/>
  <c r="CL40" i="49" s="1"/>
  <c r="CL23" i="44"/>
  <c r="CL27" i="44" s="1"/>
  <c r="CL29" i="44" s="1"/>
  <c r="CN6" i="44"/>
  <c r="CM16" i="44"/>
  <c r="CM17" i="51" l="1"/>
  <c r="CM39" i="49"/>
  <c r="CM40" i="49" s="1"/>
  <c r="CM23" i="44"/>
  <c r="CM27" i="44" s="1"/>
  <c r="CM29" i="44" s="1"/>
  <c r="CO6" i="44"/>
  <c r="CN16" i="44"/>
  <c r="CN17" i="51" l="1"/>
  <c r="CN39" i="49"/>
  <c r="CN40" i="49" s="1"/>
  <c r="CN23" i="44"/>
  <c r="CN27" i="44" s="1"/>
  <c r="CN29" i="44" s="1"/>
  <c r="CP6" i="44"/>
  <c r="CO16" i="44"/>
  <c r="CO17" i="51" l="1"/>
  <c r="CO39" i="49"/>
  <c r="CO40" i="49" s="1"/>
  <c r="CO23" i="44"/>
  <c r="CO27" i="44" s="1"/>
  <c r="CO29" i="44" s="1"/>
  <c r="P5" i="43"/>
  <c r="CQ6" i="44"/>
  <c r="CP16" i="44"/>
  <c r="CR6" i="44" l="1"/>
  <c r="CQ16" i="44"/>
  <c r="CP17" i="51"/>
  <c r="CP39" i="49"/>
  <c r="CP40" i="49" s="1"/>
  <c r="CP23" i="44"/>
  <c r="P14" i="43"/>
  <c r="P35" i="43"/>
  <c r="CS6" i="44" l="1"/>
  <c r="CR16" i="44"/>
  <c r="P21" i="43"/>
  <c r="CP27" i="44"/>
  <c r="CP29" i="44" s="1"/>
  <c r="CQ17" i="51"/>
  <c r="CQ39" i="49"/>
  <c r="CQ40" i="49" s="1"/>
  <c r="CQ23" i="44"/>
  <c r="CQ27" i="44" s="1"/>
  <c r="CQ29" i="44" s="1"/>
  <c r="CR17" i="51" l="1"/>
  <c r="CR39" i="49"/>
  <c r="CR40" i="49" s="1"/>
  <c r="CR23" i="44"/>
  <c r="CR27" i="44" s="1"/>
  <c r="CR29" i="44" s="1"/>
  <c r="CT6" i="44"/>
  <c r="CS16" i="44"/>
  <c r="P24" i="43"/>
  <c r="P26" i="43" s="1"/>
  <c r="I41" i="48"/>
  <c r="CS17" i="51" l="1"/>
  <c r="CS39" i="49"/>
  <c r="CS40" i="49" s="1"/>
  <c r="CS23" i="44"/>
  <c r="CS27" i="44" s="1"/>
  <c r="CS29" i="44" s="1"/>
  <c r="CU6" i="44"/>
  <c r="CT16" i="44"/>
  <c r="CT17" i="51" l="1"/>
  <c r="CT39" i="49"/>
  <c r="CT40" i="49" s="1"/>
  <c r="CT23" i="44"/>
  <c r="CT27" i="44" s="1"/>
  <c r="CT29" i="44" s="1"/>
  <c r="CV6" i="44"/>
  <c r="CU16" i="44"/>
  <c r="CU17" i="51" l="1"/>
  <c r="CU39" i="49"/>
  <c r="CU40" i="49" s="1"/>
  <c r="CU23" i="44"/>
  <c r="CU27" i="44" s="1"/>
  <c r="CU29" i="44" s="1"/>
  <c r="CW6" i="44"/>
  <c r="CV16" i="44"/>
  <c r="CV17" i="51" l="1"/>
  <c r="CV39" i="49"/>
  <c r="CV40" i="49" s="1"/>
  <c r="CV23" i="44"/>
  <c r="CV27" i="44" s="1"/>
  <c r="CV29" i="44" s="1"/>
  <c r="CX6" i="44"/>
  <c r="CW16" i="44"/>
  <c r="CW39" i="49" l="1"/>
  <c r="CW40" i="49" s="1"/>
  <c r="CW23" i="44"/>
  <c r="CW27" i="44" s="1"/>
  <c r="CW29" i="44" s="1"/>
  <c r="CY6" i="44"/>
  <c r="CX16" i="44"/>
  <c r="CZ6" i="44" l="1"/>
  <c r="CY16" i="44"/>
  <c r="CX39" i="49"/>
  <c r="CX40" i="49" s="1"/>
  <c r="CX23" i="44"/>
  <c r="CX27" i="44" s="1"/>
  <c r="CX29" i="44" s="1"/>
  <c r="CY39" i="49" l="1"/>
  <c r="CY40" i="49" s="1"/>
  <c r="CY23" i="44"/>
  <c r="CY27" i="44" s="1"/>
  <c r="CY29" i="44" s="1"/>
  <c r="DA6" i="44"/>
  <c r="CZ16" i="44"/>
  <c r="DB6" i="44" l="1"/>
  <c r="DA16" i="44"/>
  <c r="CZ39" i="49"/>
  <c r="CZ40" i="49" s="1"/>
  <c r="CZ23" i="44"/>
  <c r="CZ27" i="44" s="1"/>
  <c r="CZ29" i="44" s="1"/>
  <c r="DA39" i="49" l="1"/>
  <c r="DA40" i="49" s="1"/>
  <c r="DA23" i="44"/>
  <c r="DA27" i="44" s="1"/>
  <c r="DA29" i="44" s="1"/>
  <c r="Q5" i="43"/>
  <c r="DB16" i="44"/>
  <c r="Q35" i="43" l="1"/>
  <c r="Q14" i="43"/>
  <c r="DB23" i="44"/>
  <c r="J40" i="48"/>
  <c r="Q21" i="43" l="1"/>
  <c r="DB27" i="44"/>
  <c r="DB29" i="44" s="1"/>
  <c r="Q24" i="43" l="1"/>
  <c r="Q26" i="43" s="1"/>
  <c r="J41" i="48"/>
  <c r="AI13" i="9" l="1"/>
  <c r="AI12" i="9"/>
  <c r="AI11" i="9"/>
  <c r="AI10" i="9"/>
  <c r="AI9" i="9"/>
  <c r="D20" i="13" l="1"/>
  <c r="E20" i="13" s="1"/>
  <c r="F8" i="13" l="1"/>
  <c r="F20" i="13" s="1"/>
  <c r="C44" i="13"/>
  <c r="C35" i="13" s="1"/>
  <c r="G8" i="13" l="1"/>
  <c r="H8" i="13" s="1"/>
  <c r="G20" i="13" l="1"/>
  <c r="H20" i="13" s="1"/>
  <c r="I20" i="13" s="1"/>
  <c r="D8" i="21" l="1"/>
  <c r="V13" i="9"/>
  <c r="J13" i="9"/>
  <c r="AO10" i="20"/>
  <c r="W13" i="9" l="1"/>
  <c r="AH13" i="9"/>
  <c r="G27" i="21" l="1"/>
  <c r="G26" i="21"/>
  <c r="C27" i="21"/>
  <c r="C26" i="21"/>
  <c r="K18" i="21"/>
  <c r="K17" i="21"/>
  <c r="G19" i="21"/>
  <c r="D4" i="21"/>
  <c r="AR1252" i="20"/>
  <c r="AQ1252" i="20"/>
  <c r="AR1251" i="20"/>
  <c r="AQ1251" i="20"/>
  <c r="AR1250" i="20"/>
  <c r="AQ1250" i="20"/>
  <c r="AR1249" i="20"/>
  <c r="AQ1249" i="20"/>
  <c r="AR1248" i="20"/>
  <c r="AQ1248" i="20"/>
  <c r="AR1247" i="20"/>
  <c r="AQ1247" i="20"/>
  <c r="AR1246" i="20"/>
  <c r="AQ1246" i="20"/>
  <c r="AR1245" i="20"/>
  <c r="AQ1245" i="20"/>
  <c r="AR1244" i="20"/>
  <c r="AQ1244" i="20"/>
  <c r="AR1243" i="20"/>
  <c r="AQ1243" i="20"/>
  <c r="AR1242" i="20"/>
  <c r="AQ1242" i="20"/>
  <c r="AR1241" i="20"/>
  <c r="AQ1241" i="20"/>
  <c r="AR1240" i="20"/>
  <c r="AQ1240" i="20"/>
  <c r="AR1239" i="20"/>
  <c r="AQ1239" i="20"/>
  <c r="AR1238" i="20"/>
  <c r="AQ1238" i="20"/>
  <c r="AR1237" i="20"/>
  <c r="AQ1237" i="20"/>
  <c r="AR1236" i="20"/>
  <c r="AQ1236" i="20"/>
  <c r="AR1235" i="20"/>
  <c r="AQ1235" i="20"/>
  <c r="AR1234" i="20"/>
  <c r="AQ1234" i="20"/>
  <c r="AR1233" i="20"/>
  <c r="AQ1233" i="20"/>
  <c r="AR1232" i="20"/>
  <c r="AQ1232" i="20"/>
  <c r="AR1231" i="20"/>
  <c r="AQ1231" i="20"/>
  <c r="AR1230" i="20"/>
  <c r="AQ1230" i="20"/>
  <c r="AR1229" i="20"/>
  <c r="AQ1229" i="20"/>
  <c r="AR1228" i="20"/>
  <c r="AQ1228" i="20"/>
  <c r="AR1227" i="20"/>
  <c r="AQ1227" i="20"/>
  <c r="AR1226" i="20"/>
  <c r="AQ1226" i="20"/>
  <c r="AR1225" i="20"/>
  <c r="AQ1225" i="20"/>
  <c r="AR1224" i="20"/>
  <c r="AQ1224" i="20"/>
  <c r="AR1223" i="20"/>
  <c r="AQ1223" i="20"/>
  <c r="AR1222" i="20"/>
  <c r="AQ1222" i="20"/>
  <c r="AR1221" i="20"/>
  <c r="AQ1221" i="20"/>
  <c r="AR1220" i="20"/>
  <c r="AQ1220" i="20"/>
  <c r="AR1219" i="20"/>
  <c r="AQ1219" i="20"/>
  <c r="AR1218" i="20"/>
  <c r="AQ1218" i="20"/>
  <c r="AR1217" i="20"/>
  <c r="AQ1217" i="20"/>
  <c r="AR1216" i="20"/>
  <c r="AQ1216" i="20"/>
  <c r="AR1215" i="20"/>
  <c r="AQ1215" i="20"/>
  <c r="AR1214" i="20"/>
  <c r="AQ1214" i="20"/>
  <c r="AR1213" i="20"/>
  <c r="AQ1213" i="20"/>
  <c r="AR1212" i="20"/>
  <c r="AQ1212" i="20"/>
  <c r="AR1211" i="20"/>
  <c r="AQ1211" i="20"/>
  <c r="AR1210" i="20"/>
  <c r="AQ1210" i="20"/>
  <c r="AR1209" i="20"/>
  <c r="AQ1209" i="20"/>
  <c r="AR1208" i="20"/>
  <c r="AQ1208" i="20"/>
  <c r="AR1207" i="20"/>
  <c r="AQ1207" i="20"/>
  <c r="AR1206" i="20"/>
  <c r="AQ1206" i="20"/>
  <c r="AR1205" i="20"/>
  <c r="AQ1205" i="20"/>
  <c r="AR1204" i="20"/>
  <c r="AQ1204" i="20"/>
  <c r="AR1203" i="20"/>
  <c r="AQ1203" i="20"/>
  <c r="AR1202" i="20"/>
  <c r="AQ1202" i="20"/>
  <c r="AR1201" i="20"/>
  <c r="AQ1201" i="20"/>
  <c r="AR1200" i="20"/>
  <c r="AQ1200" i="20"/>
  <c r="AR1199" i="20"/>
  <c r="AQ1199" i="20"/>
  <c r="AR1198" i="20"/>
  <c r="AQ1198" i="20"/>
  <c r="AR1197" i="20"/>
  <c r="AQ1197" i="20"/>
  <c r="AR1196" i="20"/>
  <c r="AQ1196" i="20"/>
  <c r="AR1195" i="20"/>
  <c r="AQ1195" i="20"/>
  <c r="AR1194" i="20"/>
  <c r="AQ1194" i="20"/>
  <c r="AR1193" i="20"/>
  <c r="AQ1193" i="20"/>
  <c r="AR1192" i="20"/>
  <c r="AQ1192" i="20"/>
  <c r="AR1191" i="20"/>
  <c r="AQ1191" i="20"/>
  <c r="AR1190" i="20"/>
  <c r="AQ1190" i="20"/>
  <c r="AR1189" i="20"/>
  <c r="AQ1189" i="20"/>
  <c r="AR1188" i="20"/>
  <c r="AQ1188" i="20"/>
  <c r="AR1187" i="20"/>
  <c r="AQ1187" i="20"/>
  <c r="AR1186" i="20"/>
  <c r="AQ1186" i="20"/>
  <c r="AR1185" i="20"/>
  <c r="AQ1185" i="20"/>
  <c r="AR1184" i="20"/>
  <c r="AQ1184" i="20"/>
  <c r="AR1183" i="20"/>
  <c r="AQ1183" i="20"/>
  <c r="AR1182" i="20"/>
  <c r="AQ1182" i="20"/>
  <c r="AR1181" i="20"/>
  <c r="AQ1181" i="20"/>
  <c r="AR1180" i="20"/>
  <c r="AQ1180" i="20"/>
  <c r="AR1179" i="20"/>
  <c r="AQ1179" i="20"/>
  <c r="AR1178" i="20"/>
  <c r="AQ1178" i="20"/>
  <c r="AR1177" i="20"/>
  <c r="AQ1177" i="20"/>
  <c r="AR1176" i="20"/>
  <c r="AQ1176" i="20"/>
  <c r="AR1175" i="20"/>
  <c r="AQ1175" i="20"/>
  <c r="AR1174" i="20"/>
  <c r="AQ1174" i="20"/>
  <c r="AR1173" i="20"/>
  <c r="AQ1173" i="20"/>
  <c r="AR1172" i="20"/>
  <c r="AQ1172" i="20"/>
  <c r="AR1171" i="20"/>
  <c r="AQ1171" i="20"/>
  <c r="AR1170" i="20"/>
  <c r="AQ1170" i="20"/>
  <c r="AR1169" i="20"/>
  <c r="AQ1169" i="20"/>
  <c r="AR1168" i="20"/>
  <c r="AQ1168" i="20"/>
  <c r="AR1167" i="20"/>
  <c r="AQ1167" i="20"/>
  <c r="AR1166" i="20"/>
  <c r="AQ1166" i="20"/>
  <c r="AR1165" i="20"/>
  <c r="AQ1165" i="20"/>
  <c r="AR1164" i="20"/>
  <c r="AQ1164" i="20"/>
  <c r="AR1163" i="20"/>
  <c r="AQ1163" i="20"/>
  <c r="AR1162" i="20"/>
  <c r="AQ1162" i="20"/>
  <c r="AR1161" i="20"/>
  <c r="AQ1161" i="20"/>
  <c r="AR1160" i="20"/>
  <c r="AQ1160" i="20"/>
  <c r="AR1159" i="20"/>
  <c r="AQ1159" i="20"/>
  <c r="AR1158" i="20"/>
  <c r="AQ1158" i="20"/>
  <c r="AR1157" i="20"/>
  <c r="AQ1157" i="20"/>
  <c r="AR1156" i="20"/>
  <c r="AQ1156" i="20"/>
  <c r="AR1155" i="20"/>
  <c r="AQ1155" i="20"/>
  <c r="AR1154" i="20"/>
  <c r="AQ1154" i="20"/>
  <c r="AR1153" i="20"/>
  <c r="AQ1153" i="20"/>
  <c r="AR1152" i="20"/>
  <c r="AQ1152" i="20"/>
  <c r="AR1151" i="20"/>
  <c r="AQ1151" i="20"/>
  <c r="AR1150" i="20"/>
  <c r="AQ1150" i="20"/>
  <c r="AR1149" i="20"/>
  <c r="AQ1149" i="20"/>
  <c r="AR1148" i="20"/>
  <c r="AQ1148" i="20"/>
  <c r="AR1147" i="20"/>
  <c r="AQ1147" i="20"/>
  <c r="AR1146" i="20"/>
  <c r="AQ1146" i="20"/>
  <c r="AR1145" i="20"/>
  <c r="AQ1145" i="20"/>
  <c r="AR1144" i="20"/>
  <c r="AQ1144" i="20"/>
  <c r="AR1143" i="20"/>
  <c r="AQ1143" i="20"/>
  <c r="AR1142" i="20"/>
  <c r="AQ1142" i="20"/>
  <c r="AR1141" i="20"/>
  <c r="AQ1141" i="20"/>
  <c r="AR1140" i="20"/>
  <c r="AQ1140" i="20"/>
  <c r="AR1139" i="20"/>
  <c r="AQ1139" i="20"/>
  <c r="AR1138" i="20"/>
  <c r="AQ1138" i="20"/>
  <c r="AR1137" i="20"/>
  <c r="AQ1137" i="20"/>
  <c r="AR1136" i="20"/>
  <c r="AQ1136" i="20"/>
  <c r="AR1135" i="20"/>
  <c r="AQ1135" i="20"/>
  <c r="AR1134" i="20"/>
  <c r="AQ1134" i="20"/>
  <c r="AR1133" i="20"/>
  <c r="AQ1133" i="20"/>
  <c r="AR1132" i="20"/>
  <c r="AQ1132" i="20"/>
  <c r="AR1131" i="20"/>
  <c r="AQ1131" i="20"/>
  <c r="AR1130" i="20"/>
  <c r="AQ1130" i="20"/>
  <c r="AR1129" i="20"/>
  <c r="AQ1129" i="20"/>
  <c r="AR1128" i="20"/>
  <c r="AQ1128" i="20"/>
  <c r="AR1127" i="20"/>
  <c r="AQ1127" i="20"/>
  <c r="AR1126" i="20"/>
  <c r="AQ1126" i="20"/>
  <c r="AR1125" i="20"/>
  <c r="AQ1125" i="20"/>
  <c r="AR1124" i="20"/>
  <c r="AQ1124" i="20"/>
  <c r="AR1123" i="20"/>
  <c r="AQ1123" i="20"/>
  <c r="AR1122" i="20"/>
  <c r="AQ1122" i="20"/>
  <c r="AR1121" i="20"/>
  <c r="AQ1121" i="20"/>
  <c r="AR1120" i="20"/>
  <c r="AQ1120" i="20"/>
  <c r="AR1119" i="20"/>
  <c r="AQ1119" i="20"/>
  <c r="AR1118" i="20"/>
  <c r="AQ1118" i="20"/>
  <c r="AR1117" i="20"/>
  <c r="AQ1117" i="20"/>
  <c r="AR1116" i="20"/>
  <c r="AQ1116" i="20"/>
  <c r="AR1115" i="20"/>
  <c r="AQ1115" i="20"/>
  <c r="AR1114" i="20"/>
  <c r="AQ1114" i="20"/>
  <c r="AR1113" i="20"/>
  <c r="AQ1113" i="20"/>
  <c r="AR1112" i="20"/>
  <c r="AQ1112" i="20"/>
  <c r="AR1111" i="20"/>
  <c r="AQ1111" i="20"/>
  <c r="AR1110" i="20"/>
  <c r="AQ1110" i="20"/>
  <c r="AR1109" i="20"/>
  <c r="AQ1109" i="20"/>
  <c r="AR1108" i="20"/>
  <c r="AQ1108" i="20"/>
  <c r="AR1107" i="20"/>
  <c r="AQ1107" i="20"/>
  <c r="AR1106" i="20"/>
  <c r="AQ1106" i="20"/>
  <c r="AR1105" i="20"/>
  <c r="AQ1105" i="20"/>
  <c r="AR1104" i="20"/>
  <c r="AQ1104" i="20"/>
  <c r="AR1103" i="20"/>
  <c r="AQ1103" i="20"/>
  <c r="AR1102" i="20"/>
  <c r="AQ1102" i="20"/>
  <c r="AR1101" i="20"/>
  <c r="AQ1101" i="20"/>
  <c r="AR1100" i="20"/>
  <c r="AQ1100" i="20"/>
  <c r="AR1099" i="20"/>
  <c r="AQ1099" i="20"/>
  <c r="AR1098" i="20"/>
  <c r="AQ1098" i="20"/>
  <c r="AR1097" i="20"/>
  <c r="AQ1097" i="20"/>
  <c r="AR1096" i="20"/>
  <c r="AQ1096" i="20"/>
  <c r="AR1095" i="20"/>
  <c r="AQ1095" i="20"/>
  <c r="AR1094" i="20"/>
  <c r="AQ1094" i="20"/>
  <c r="AR1093" i="20"/>
  <c r="AQ1093" i="20"/>
  <c r="AR1092" i="20"/>
  <c r="AQ1092" i="20"/>
  <c r="AR1091" i="20"/>
  <c r="AQ1091" i="20"/>
  <c r="AR1090" i="20"/>
  <c r="AQ1090" i="20"/>
  <c r="AR1089" i="20"/>
  <c r="AQ1089" i="20"/>
  <c r="AR1088" i="20"/>
  <c r="AQ1088" i="20"/>
  <c r="AR1087" i="20"/>
  <c r="AQ1087" i="20"/>
  <c r="AR1086" i="20"/>
  <c r="AQ1086" i="20"/>
  <c r="AR1085" i="20"/>
  <c r="AQ1085" i="20"/>
  <c r="AR1084" i="20"/>
  <c r="AQ1084" i="20"/>
  <c r="AR1083" i="20"/>
  <c r="AQ1083" i="20"/>
  <c r="AR1082" i="20"/>
  <c r="AQ1082" i="20"/>
  <c r="AR1081" i="20"/>
  <c r="AQ1081" i="20"/>
  <c r="AR1080" i="20"/>
  <c r="AQ1080" i="20"/>
  <c r="AR1079" i="20"/>
  <c r="AQ1079" i="20"/>
  <c r="AR1078" i="20"/>
  <c r="AQ1078" i="20"/>
  <c r="AR1077" i="20"/>
  <c r="AQ1077" i="20"/>
  <c r="AR1076" i="20"/>
  <c r="AQ1076" i="20"/>
  <c r="AR1075" i="20"/>
  <c r="AQ1075" i="20"/>
  <c r="AR1074" i="20"/>
  <c r="AQ1074" i="20"/>
  <c r="AR1073" i="20"/>
  <c r="AQ1073" i="20"/>
  <c r="AR1072" i="20"/>
  <c r="AQ1072" i="20"/>
  <c r="AR1071" i="20"/>
  <c r="AQ1071" i="20"/>
  <c r="AR1070" i="20"/>
  <c r="AQ1070" i="20"/>
  <c r="AR1069" i="20"/>
  <c r="AQ1069" i="20"/>
  <c r="AR1068" i="20"/>
  <c r="AQ1068" i="20"/>
  <c r="AR1067" i="20"/>
  <c r="AQ1067" i="20"/>
  <c r="AR1066" i="20"/>
  <c r="AQ1066" i="20"/>
  <c r="AR1065" i="20"/>
  <c r="AQ1065" i="20"/>
  <c r="AR1064" i="20"/>
  <c r="AQ1064" i="20"/>
  <c r="AR1063" i="20"/>
  <c r="AQ1063" i="20"/>
  <c r="AR1062" i="20"/>
  <c r="AQ1062" i="20"/>
  <c r="AR1061" i="20"/>
  <c r="AQ1061" i="20"/>
  <c r="AR1060" i="20"/>
  <c r="AQ1060" i="20"/>
  <c r="AR1059" i="20"/>
  <c r="AQ1059" i="20"/>
  <c r="AR1058" i="20"/>
  <c r="AQ1058" i="20"/>
  <c r="AR1057" i="20"/>
  <c r="AQ1057" i="20"/>
  <c r="AR1056" i="20"/>
  <c r="AQ1056" i="20"/>
  <c r="AR1055" i="20"/>
  <c r="AQ1055" i="20"/>
  <c r="AR1054" i="20"/>
  <c r="AQ1054" i="20"/>
  <c r="AR1053" i="20"/>
  <c r="AQ1053" i="20"/>
  <c r="AR1052" i="20"/>
  <c r="AQ1052" i="20"/>
  <c r="AR1051" i="20"/>
  <c r="AQ1051" i="20"/>
  <c r="AR1050" i="20"/>
  <c r="AQ1050" i="20"/>
  <c r="AR1049" i="20"/>
  <c r="AQ1049" i="20"/>
  <c r="AR1048" i="20"/>
  <c r="AQ1048" i="20"/>
  <c r="AR1047" i="20"/>
  <c r="AQ1047" i="20"/>
  <c r="AR1046" i="20"/>
  <c r="AQ1046" i="20"/>
  <c r="AR1045" i="20"/>
  <c r="AQ1045" i="20"/>
  <c r="AR1044" i="20"/>
  <c r="AQ1044" i="20"/>
  <c r="AR1043" i="20"/>
  <c r="AQ1043" i="20"/>
  <c r="AR1042" i="20"/>
  <c r="AQ1042" i="20"/>
  <c r="AR1041" i="20"/>
  <c r="AQ1041" i="20"/>
  <c r="AR1040" i="20"/>
  <c r="AQ1040" i="20"/>
  <c r="AR1039" i="20"/>
  <c r="AQ1039" i="20"/>
  <c r="AR1038" i="20"/>
  <c r="AQ1038" i="20"/>
  <c r="AR1037" i="20"/>
  <c r="AQ1037" i="20"/>
  <c r="AR1036" i="20"/>
  <c r="AQ1036" i="20"/>
  <c r="AR1035" i="20"/>
  <c r="AQ1035" i="20"/>
  <c r="AR1034" i="20"/>
  <c r="AQ1034" i="20"/>
  <c r="AR1033" i="20"/>
  <c r="AQ1033" i="20"/>
  <c r="AR1032" i="20"/>
  <c r="AQ1032" i="20"/>
  <c r="AR1031" i="20"/>
  <c r="AQ1031" i="20"/>
  <c r="AR1030" i="20"/>
  <c r="AQ1030" i="20"/>
  <c r="AR1029" i="20"/>
  <c r="AQ1029" i="20"/>
  <c r="AR1028" i="20"/>
  <c r="AQ1028" i="20"/>
  <c r="AR1027" i="20"/>
  <c r="AQ1027" i="20"/>
  <c r="AR1026" i="20"/>
  <c r="AQ1026" i="20"/>
  <c r="AR1025" i="20"/>
  <c r="AQ1025" i="20"/>
  <c r="AR1024" i="20"/>
  <c r="AQ1024" i="20"/>
  <c r="AR1023" i="20"/>
  <c r="AQ1023" i="20"/>
  <c r="AR1022" i="20"/>
  <c r="AQ1022" i="20"/>
  <c r="AR1021" i="20"/>
  <c r="AQ1021" i="20"/>
  <c r="AR1020" i="20"/>
  <c r="AQ1020" i="20"/>
  <c r="AR1019" i="20"/>
  <c r="AQ1019" i="20"/>
  <c r="AR1018" i="20"/>
  <c r="AQ1018" i="20"/>
  <c r="AR1017" i="20"/>
  <c r="AQ1017" i="20"/>
  <c r="AR1016" i="20"/>
  <c r="AQ1016" i="20"/>
  <c r="AR1015" i="20"/>
  <c r="AQ1015" i="20"/>
  <c r="AR1014" i="20"/>
  <c r="AQ1014" i="20"/>
  <c r="AR1013" i="20"/>
  <c r="AQ1013" i="20"/>
  <c r="AR1012" i="20"/>
  <c r="AQ1012" i="20"/>
  <c r="AR1011" i="20"/>
  <c r="AQ1011" i="20"/>
  <c r="AR1010" i="20"/>
  <c r="AQ1010" i="20"/>
  <c r="AR1009" i="20"/>
  <c r="AQ1009" i="20"/>
  <c r="AR1008" i="20"/>
  <c r="AQ1008" i="20"/>
  <c r="AR1007" i="20"/>
  <c r="AQ1007" i="20"/>
  <c r="AR1006" i="20"/>
  <c r="AQ1006" i="20"/>
  <c r="AR1005" i="20"/>
  <c r="AQ1005" i="20"/>
  <c r="AR1004" i="20"/>
  <c r="AQ1004" i="20"/>
  <c r="AR1003" i="20"/>
  <c r="AQ1003" i="20"/>
  <c r="AR1002" i="20"/>
  <c r="AQ1002" i="20"/>
  <c r="AR1001" i="20"/>
  <c r="AQ1001" i="20"/>
  <c r="AR1000" i="20"/>
  <c r="AQ1000" i="20"/>
  <c r="AR999" i="20"/>
  <c r="AQ999" i="20"/>
  <c r="AR998" i="20"/>
  <c r="AQ998" i="20"/>
  <c r="AR997" i="20"/>
  <c r="AQ997" i="20"/>
  <c r="AR996" i="20"/>
  <c r="AQ996" i="20"/>
  <c r="AR995" i="20"/>
  <c r="AQ995" i="20"/>
  <c r="AR994" i="20"/>
  <c r="AQ994" i="20"/>
  <c r="AR993" i="20"/>
  <c r="AQ993" i="20"/>
  <c r="AR992" i="20"/>
  <c r="AQ992" i="20"/>
  <c r="AR991" i="20"/>
  <c r="AQ991" i="20"/>
  <c r="AR990" i="20"/>
  <c r="AQ990" i="20"/>
  <c r="AR989" i="20"/>
  <c r="AQ989" i="20"/>
  <c r="AR988" i="20"/>
  <c r="AQ988" i="20"/>
  <c r="AR987" i="20"/>
  <c r="AQ987" i="20"/>
  <c r="AR986" i="20"/>
  <c r="AQ986" i="20"/>
  <c r="AR985" i="20"/>
  <c r="AQ985" i="20"/>
  <c r="AR984" i="20"/>
  <c r="AQ984" i="20"/>
  <c r="AR983" i="20"/>
  <c r="AQ983" i="20"/>
  <c r="AR982" i="20"/>
  <c r="AQ982" i="20"/>
  <c r="AR981" i="20"/>
  <c r="AQ981" i="20"/>
  <c r="AR980" i="20"/>
  <c r="AQ980" i="20"/>
  <c r="AR979" i="20"/>
  <c r="AQ979" i="20"/>
  <c r="AR978" i="20"/>
  <c r="AQ978" i="20"/>
  <c r="AR977" i="20"/>
  <c r="AQ977" i="20"/>
  <c r="AR976" i="20"/>
  <c r="AQ976" i="20"/>
  <c r="AR975" i="20"/>
  <c r="AQ975" i="20"/>
  <c r="AR974" i="20"/>
  <c r="AQ974" i="20"/>
  <c r="AR973" i="20"/>
  <c r="AQ973" i="20"/>
  <c r="AR972" i="20"/>
  <c r="AQ972" i="20"/>
  <c r="AR971" i="20"/>
  <c r="AQ971" i="20"/>
  <c r="AR970" i="20"/>
  <c r="AQ970" i="20"/>
  <c r="AR969" i="20"/>
  <c r="AQ969" i="20"/>
  <c r="AR968" i="20"/>
  <c r="AQ968" i="20"/>
  <c r="AR967" i="20"/>
  <c r="AQ967" i="20"/>
  <c r="AR966" i="20"/>
  <c r="AQ966" i="20"/>
  <c r="AR965" i="20"/>
  <c r="AQ965" i="20"/>
  <c r="AR964" i="20"/>
  <c r="AQ964" i="20"/>
  <c r="AR963" i="20"/>
  <c r="AQ963" i="20"/>
  <c r="AR962" i="20"/>
  <c r="AQ962" i="20"/>
  <c r="AR961" i="20"/>
  <c r="AQ961" i="20"/>
  <c r="AR960" i="20"/>
  <c r="AQ960" i="20"/>
  <c r="AR959" i="20"/>
  <c r="AQ959" i="20"/>
  <c r="AR958" i="20"/>
  <c r="AQ958" i="20"/>
  <c r="AR957" i="20"/>
  <c r="AQ957" i="20"/>
  <c r="AR956" i="20"/>
  <c r="AQ956" i="20"/>
  <c r="AR955" i="20"/>
  <c r="AQ955" i="20"/>
  <c r="AR954" i="20"/>
  <c r="AQ954" i="20"/>
  <c r="AR953" i="20"/>
  <c r="AQ953" i="20"/>
  <c r="AR952" i="20"/>
  <c r="AQ952" i="20"/>
  <c r="AR951" i="20"/>
  <c r="AQ951" i="20"/>
  <c r="AR950" i="20"/>
  <c r="AQ950" i="20"/>
  <c r="AR949" i="20"/>
  <c r="AQ949" i="20"/>
  <c r="AR948" i="20"/>
  <c r="AQ948" i="20"/>
  <c r="AR947" i="20"/>
  <c r="AQ947" i="20"/>
  <c r="AR946" i="20"/>
  <c r="AQ946" i="20"/>
  <c r="AR945" i="20"/>
  <c r="AQ945" i="20"/>
  <c r="AR944" i="20"/>
  <c r="AQ944" i="20"/>
  <c r="AR943" i="20"/>
  <c r="AQ943" i="20"/>
  <c r="AR942" i="20"/>
  <c r="AQ942" i="20"/>
  <c r="AR941" i="20"/>
  <c r="AQ941" i="20"/>
  <c r="AR940" i="20"/>
  <c r="AQ940" i="20"/>
  <c r="AR939" i="20"/>
  <c r="AQ939" i="20"/>
  <c r="AR938" i="20"/>
  <c r="AQ938" i="20"/>
  <c r="AR937" i="20"/>
  <c r="AQ937" i="20"/>
  <c r="AR936" i="20"/>
  <c r="AQ936" i="20"/>
  <c r="AR935" i="20"/>
  <c r="AQ935" i="20"/>
  <c r="AR934" i="20"/>
  <c r="AQ934" i="20"/>
  <c r="AR933" i="20"/>
  <c r="AQ933" i="20"/>
  <c r="AR932" i="20"/>
  <c r="AQ932" i="20"/>
  <c r="AR931" i="20"/>
  <c r="AQ931" i="20"/>
  <c r="AR930" i="20"/>
  <c r="AQ930" i="20"/>
  <c r="AR929" i="20"/>
  <c r="AQ929" i="20"/>
  <c r="AR928" i="20"/>
  <c r="AQ928" i="20"/>
  <c r="AR927" i="20"/>
  <c r="AQ927" i="20"/>
  <c r="AR926" i="20"/>
  <c r="AQ926" i="20"/>
  <c r="AR925" i="20"/>
  <c r="AQ925" i="20"/>
  <c r="AR924" i="20"/>
  <c r="AQ924" i="20"/>
  <c r="AR923" i="20"/>
  <c r="AQ923" i="20"/>
  <c r="AR922" i="20"/>
  <c r="AQ922" i="20"/>
  <c r="AR921" i="20"/>
  <c r="AQ921" i="20"/>
  <c r="AR920" i="20"/>
  <c r="AQ920" i="20"/>
  <c r="AR919" i="20"/>
  <c r="AQ919" i="20"/>
  <c r="AR918" i="20"/>
  <c r="AQ918" i="20"/>
  <c r="AR917" i="20"/>
  <c r="AQ917" i="20"/>
  <c r="AR916" i="20"/>
  <c r="AQ916" i="20"/>
  <c r="AR915" i="20"/>
  <c r="AQ915" i="20"/>
  <c r="AR914" i="20"/>
  <c r="AQ914" i="20"/>
  <c r="AR913" i="20"/>
  <c r="AQ913" i="20"/>
  <c r="AR912" i="20"/>
  <c r="AQ912" i="20"/>
  <c r="AR911" i="20"/>
  <c r="AQ911" i="20"/>
  <c r="AR910" i="20"/>
  <c r="AQ910" i="20"/>
  <c r="AR909" i="20"/>
  <c r="AQ909" i="20"/>
  <c r="AR908" i="20"/>
  <c r="AQ908" i="20"/>
  <c r="AR907" i="20"/>
  <c r="AQ907" i="20"/>
  <c r="AR906" i="20"/>
  <c r="AQ906" i="20"/>
  <c r="AR905" i="20"/>
  <c r="AQ905" i="20"/>
  <c r="AR904" i="20"/>
  <c r="AQ904" i="20"/>
  <c r="AR903" i="20"/>
  <c r="AQ903" i="20"/>
  <c r="AR902" i="20"/>
  <c r="AQ902" i="20"/>
  <c r="AR901" i="20"/>
  <c r="AQ901" i="20"/>
  <c r="AR900" i="20"/>
  <c r="AQ900" i="20"/>
  <c r="AR899" i="20"/>
  <c r="AQ899" i="20"/>
  <c r="AR898" i="20"/>
  <c r="AQ898" i="20"/>
  <c r="AR897" i="20"/>
  <c r="AQ897" i="20"/>
  <c r="AR896" i="20"/>
  <c r="AQ896" i="20"/>
  <c r="AR895" i="20"/>
  <c r="AQ895" i="20"/>
  <c r="AR894" i="20"/>
  <c r="AQ894" i="20"/>
  <c r="AR893" i="20"/>
  <c r="AQ893" i="20"/>
  <c r="AR892" i="20"/>
  <c r="AQ892" i="20"/>
  <c r="AR891" i="20"/>
  <c r="AQ891" i="20"/>
  <c r="AR890" i="20"/>
  <c r="AQ890" i="20"/>
  <c r="AR889" i="20"/>
  <c r="AQ889" i="20"/>
  <c r="AR888" i="20"/>
  <c r="AQ888" i="20"/>
  <c r="AR887" i="20"/>
  <c r="AQ887" i="20"/>
  <c r="AR886" i="20"/>
  <c r="AQ886" i="20"/>
  <c r="AR885" i="20"/>
  <c r="AQ885" i="20"/>
  <c r="AR884" i="20"/>
  <c r="AQ884" i="20"/>
  <c r="AR883" i="20"/>
  <c r="AQ883" i="20"/>
  <c r="AR882" i="20"/>
  <c r="AQ882" i="20"/>
  <c r="AR881" i="20"/>
  <c r="AQ881" i="20"/>
  <c r="AR880" i="20"/>
  <c r="AQ880" i="20"/>
  <c r="AR879" i="20"/>
  <c r="AQ879" i="20"/>
  <c r="AR878" i="20"/>
  <c r="AQ878" i="20"/>
  <c r="AR877" i="20"/>
  <c r="AQ877" i="20"/>
  <c r="AR876" i="20"/>
  <c r="AQ876" i="20"/>
  <c r="AR875" i="20"/>
  <c r="AQ875" i="20"/>
  <c r="AR874" i="20"/>
  <c r="AQ874" i="20"/>
  <c r="AR873" i="20"/>
  <c r="AQ873" i="20"/>
  <c r="AR872" i="20"/>
  <c r="AQ872" i="20"/>
  <c r="AR871" i="20"/>
  <c r="AQ871" i="20"/>
  <c r="AR870" i="20"/>
  <c r="AQ870" i="20"/>
  <c r="AR869" i="20"/>
  <c r="AQ869" i="20"/>
  <c r="AR868" i="20"/>
  <c r="AQ868" i="20"/>
  <c r="AR867" i="20"/>
  <c r="AQ867" i="20"/>
  <c r="AR866" i="20"/>
  <c r="AQ866" i="20"/>
  <c r="AR865" i="20"/>
  <c r="AQ865" i="20"/>
  <c r="AR864" i="20"/>
  <c r="AQ864" i="20"/>
  <c r="AR863" i="20"/>
  <c r="AQ863" i="20"/>
  <c r="AR862" i="20"/>
  <c r="AQ862" i="20"/>
  <c r="AR861" i="20"/>
  <c r="AQ861" i="20"/>
  <c r="AR860" i="20"/>
  <c r="AQ860" i="20"/>
  <c r="AR859" i="20"/>
  <c r="AQ859" i="20"/>
  <c r="AR858" i="20"/>
  <c r="AQ858" i="20"/>
  <c r="AR857" i="20"/>
  <c r="AQ857" i="20"/>
  <c r="AR856" i="20"/>
  <c r="AQ856" i="20"/>
  <c r="AR855" i="20"/>
  <c r="AQ855" i="20"/>
  <c r="AR854" i="20"/>
  <c r="AQ854" i="20"/>
  <c r="AR853" i="20"/>
  <c r="AQ853" i="20"/>
  <c r="AR852" i="20"/>
  <c r="AQ852" i="20"/>
  <c r="AR851" i="20"/>
  <c r="AQ851" i="20"/>
  <c r="AR850" i="20"/>
  <c r="AQ850" i="20"/>
  <c r="AR849" i="20"/>
  <c r="AQ849" i="20"/>
  <c r="AR848" i="20"/>
  <c r="AQ848" i="20"/>
  <c r="AR847" i="20"/>
  <c r="AQ847" i="20"/>
  <c r="AR846" i="20"/>
  <c r="AQ846" i="20"/>
  <c r="AR845" i="20"/>
  <c r="AQ845" i="20"/>
  <c r="AR844" i="20"/>
  <c r="AQ844" i="20"/>
  <c r="AR843" i="20"/>
  <c r="AQ843" i="20"/>
  <c r="AR842" i="20"/>
  <c r="AQ842" i="20"/>
  <c r="AR841" i="20"/>
  <c r="AQ841" i="20"/>
  <c r="AR840" i="20"/>
  <c r="AQ840" i="20"/>
  <c r="AR839" i="20"/>
  <c r="AQ839" i="20"/>
  <c r="AR838" i="20"/>
  <c r="AQ838" i="20"/>
  <c r="AR837" i="20"/>
  <c r="AQ837" i="20"/>
  <c r="AR836" i="20"/>
  <c r="AQ836" i="20"/>
  <c r="AR835" i="20"/>
  <c r="AQ835" i="20"/>
  <c r="AR834" i="20"/>
  <c r="AQ834" i="20"/>
  <c r="AR833" i="20"/>
  <c r="AQ833" i="20"/>
  <c r="AR832" i="20"/>
  <c r="AQ832" i="20"/>
  <c r="AR831" i="20"/>
  <c r="AQ831" i="20"/>
  <c r="AR830" i="20"/>
  <c r="AQ830" i="20"/>
  <c r="AR829" i="20"/>
  <c r="AQ829" i="20"/>
  <c r="AR828" i="20"/>
  <c r="AQ828" i="20"/>
  <c r="AR827" i="20"/>
  <c r="AQ827" i="20"/>
  <c r="AR826" i="20"/>
  <c r="AQ826" i="20"/>
  <c r="AR825" i="20"/>
  <c r="AQ825" i="20"/>
  <c r="AR824" i="20"/>
  <c r="AQ824" i="20"/>
  <c r="AR823" i="20"/>
  <c r="AQ823" i="20"/>
  <c r="AR822" i="20"/>
  <c r="AQ822" i="20"/>
  <c r="AR821" i="20"/>
  <c r="AQ821" i="20"/>
  <c r="AR820" i="20"/>
  <c r="AQ820" i="20"/>
  <c r="AR819" i="20"/>
  <c r="AQ819" i="20"/>
  <c r="AR818" i="20"/>
  <c r="AQ818" i="20"/>
  <c r="AR817" i="20"/>
  <c r="AQ817" i="20"/>
  <c r="AR816" i="20"/>
  <c r="AQ816" i="20"/>
  <c r="AR815" i="20"/>
  <c r="AQ815" i="20"/>
  <c r="AR814" i="20"/>
  <c r="AQ814" i="20"/>
  <c r="AR813" i="20"/>
  <c r="AQ813" i="20"/>
  <c r="AR812" i="20"/>
  <c r="AQ812" i="20"/>
  <c r="AR811" i="20"/>
  <c r="AQ811" i="20"/>
  <c r="AR810" i="20"/>
  <c r="AQ810" i="20"/>
  <c r="AR809" i="20"/>
  <c r="AQ809" i="20"/>
  <c r="AR808" i="20"/>
  <c r="AQ808" i="20"/>
  <c r="AR807" i="20"/>
  <c r="AQ807" i="20"/>
  <c r="AR806" i="20"/>
  <c r="AQ806" i="20"/>
  <c r="AR805" i="20"/>
  <c r="AQ805" i="20"/>
  <c r="AR804" i="20"/>
  <c r="AQ804" i="20"/>
  <c r="AR803" i="20"/>
  <c r="AQ803" i="20"/>
  <c r="AR802" i="20"/>
  <c r="AQ802" i="20"/>
  <c r="AR801" i="20"/>
  <c r="AQ801" i="20"/>
  <c r="AR800" i="20"/>
  <c r="AQ800" i="20"/>
  <c r="AR799" i="20"/>
  <c r="AQ799" i="20"/>
  <c r="AR798" i="20"/>
  <c r="AQ798" i="20"/>
  <c r="AR797" i="20"/>
  <c r="AQ797" i="20"/>
  <c r="AR796" i="20"/>
  <c r="AQ796" i="20"/>
  <c r="AR795" i="20"/>
  <c r="AQ795" i="20"/>
  <c r="AR794" i="20"/>
  <c r="AQ794" i="20"/>
  <c r="AR793" i="20"/>
  <c r="AQ793" i="20"/>
  <c r="AR792" i="20"/>
  <c r="AQ792" i="20"/>
  <c r="AR791" i="20"/>
  <c r="AQ791" i="20"/>
  <c r="AR790" i="20"/>
  <c r="AQ790" i="20"/>
  <c r="AR789" i="20"/>
  <c r="AQ789" i="20"/>
  <c r="AR788" i="20"/>
  <c r="AQ788" i="20"/>
  <c r="AR787" i="20"/>
  <c r="AQ787" i="20"/>
  <c r="AR786" i="20"/>
  <c r="AQ786" i="20"/>
  <c r="AR785" i="20"/>
  <c r="AQ785" i="20"/>
  <c r="AR784" i="20"/>
  <c r="AQ784" i="20"/>
  <c r="AR783" i="20"/>
  <c r="AQ783" i="20"/>
  <c r="AR782" i="20"/>
  <c r="AQ782" i="20"/>
  <c r="AR781" i="20"/>
  <c r="AQ781" i="20"/>
  <c r="AR780" i="20"/>
  <c r="AQ780" i="20"/>
  <c r="AR779" i="20"/>
  <c r="AQ779" i="20"/>
  <c r="AR778" i="20"/>
  <c r="AQ778" i="20"/>
  <c r="AR777" i="20"/>
  <c r="AQ777" i="20"/>
  <c r="AR776" i="20"/>
  <c r="AQ776" i="20"/>
  <c r="AR775" i="20"/>
  <c r="AQ775" i="20"/>
  <c r="AR774" i="20"/>
  <c r="AQ774" i="20"/>
  <c r="AR773" i="20"/>
  <c r="AQ773" i="20"/>
  <c r="AR772" i="20"/>
  <c r="AQ772" i="20"/>
  <c r="AR771" i="20"/>
  <c r="AQ771" i="20"/>
  <c r="AR770" i="20"/>
  <c r="AQ770" i="20"/>
  <c r="AR769" i="20"/>
  <c r="AQ769" i="20"/>
  <c r="AR768" i="20"/>
  <c r="AQ768" i="20"/>
  <c r="AR767" i="20"/>
  <c r="AQ767" i="20"/>
  <c r="AR766" i="20"/>
  <c r="AQ766" i="20"/>
  <c r="AR765" i="20"/>
  <c r="AQ765" i="20"/>
  <c r="AR764" i="20"/>
  <c r="AQ764" i="20"/>
  <c r="AR763" i="20"/>
  <c r="AQ763" i="20"/>
  <c r="AR762" i="20"/>
  <c r="AQ762" i="20"/>
  <c r="AR761" i="20"/>
  <c r="AQ761" i="20"/>
  <c r="AR760" i="20"/>
  <c r="AQ760" i="20"/>
  <c r="AR759" i="20"/>
  <c r="AQ759" i="20"/>
  <c r="AR758" i="20"/>
  <c r="AQ758" i="20"/>
  <c r="AR757" i="20"/>
  <c r="AQ757" i="20"/>
  <c r="AR756" i="20"/>
  <c r="AQ756" i="20"/>
  <c r="AR755" i="20"/>
  <c r="AQ755" i="20"/>
  <c r="AR754" i="20"/>
  <c r="AQ754" i="20"/>
  <c r="AR753" i="20"/>
  <c r="AQ753" i="20"/>
  <c r="AR752" i="20"/>
  <c r="AQ752" i="20"/>
  <c r="AR751" i="20"/>
  <c r="AQ751" i="20"/>
  <c r="AR750" i="20"/>
  <c r="AQ750" i="20"/>
  <c r="AR749" i="20"/>
  <c r="AQ749" i="20"/>
  <c r="AR748" i="20"/>
  <c r="AQ748" i="20"/>
  <c r="AR747" i="20"/>
  <c r="AQ747" i="20"/>
  <c r="AR746" i="20"/>
  <c r="AQ746" i="20"/>
  <c r="AR745" i="20"/>
  <c r="AQ745" i="20"/>
  <c r="AR744" i="20"/>
  <c r="AQ744" i="20"/>
  <c r="AR743" i="20"/>
  <c r="AQ743" i="20"/>
  <c r="AR742" i="20"/>
  <c r="AQ742" i="20"/>
  <c r="AR741" i="20"/>
  <c r="AQ741" i="20"/>
  <c r="AR740" i="20"/>
  <c r="AQ740" i="20"/>
  <c r="AR739" i="20"/>
  <c r="AQ739" i="20"/>
  <c r="AR738" i="20"/>
  <c r="AQ738" i="20"/>
  <c r="AR737" i="20"/>
  <c r="AQ737" i="20"/>
  <c r="AR736" i="20"/>
  <c r="AQ736" i="20"/>
  <c r="AR735" i="20"/>
  <c r="AQ735" i="20"/>
  <c r="AR734" i="20"/>
  <c r="AQ734" i="20"/>
  <c r="AR733" i="20"/>
  <c r="AQ733" i="20"/>
  <c r="AR732" i="20"/>
  <c r="AQ732" i="20"/>
  <c r="AR731" i="20"/>
  <c r="AQ731" i="20"/>
  <c r="AR730" i="20"/>
  <c r="AQ730" i="20"/>
  <c r="AR729" i="20"/>
  <c r="AQ729" i="20"/>
  <c r="AR728" i="20"/>
  <c r="AQ728" i="20"/>
  <c r="AR727" i="20"/>
  <c r="AQ727" i="20"/>
  <c r="AR726" i="20"/>
  <c r="AQ726" i="20"/>
  <c r="AR725" i="20"/>
  <c r="AQ725" i="20"/>
  <c r="AR724" i="20"/>
  <c r="AQ724" i="20"/>
  <c r="AR723" i="20"/>
  <c r="AQ723" i="20"/>
  <c r="AR722" i="20"/>
  <c r="AQ722" i="20"/>
  <c r="AR721" i="20"/>
  <c r="AQ721" i="20"/>
  <c r="AR720" i="20"/>
  <c r="AQ720" i="20"/>
  <c r="AR719" i="20"/>
  <c r="AQ719" i="20"/>
  <c r="AR718" i="20"/>
  <c r="AQ718" i="20"/>
  <c r="AR717" i="20"/>
  <c r="AQ717" i="20"/>
  <c r="AR716" i="20"/>
  <c r="AQ716" i="20"/>
  <c r="AR715" i="20"/>
  <c r="AQ715" i="20"/>
  <c r="AR714" i="20"/>
  <c r="AQ714" i="20"/>
  <c r="AR713" i="20"/>
  <c r="AQ713" i="20"/>
  <c r="AR712" i="20"/>
  <c r="AQ712" i="20"/>
  <c r="AR711" i="20"/>
  <c r="AQ711" i="20"/>
  <c r="AR710" i="20"/>
  <c r="AQ710" i="20"/>
  <c r="AR709" i="20"/>
  <c r="AQ709" i="20"/>
  <c r="AR708" i="20"/>
  <c r="AQ708" i="20"/>
  <c r="AR707" i="20"/>
  <c r="AQ707" i="20"/>
  <c r="AR706" i="20"/>
  <c r="AQ706" i="20"/>
  <c r="AR705" i="20"/>
  <c r="AQ705" i="20"/>
  <c r="AR704" i="20"/>
  <c r="AQ704" i="20"/>
  <c r="AR703" i="20"/>
  <c r="AQ703" i="20"/>
  <c r="AR702" i="20"/>
  <c r="AQ702" i="20"/>
  <c r="AR701" i="20"/>
  <c r="AQ701" i="20"/>
  <c r="AR700" i="20"/>
  <c r="AQ700" i="20"/>
  <c r="AR699" i="20"/>
  <c r="AQ699" i="20"/>
  <c r="AR698" i="20"/>
  <c r="AQ698" i="20"/>
  <c r="AR697" i="20"/>
  <c r="AQ697" i="20"/>
  <c r="AR696" i="20"/>
  <c r="AQ696" i="20"/>
  <c r="AR695" i="20"/>
  <c r="AQ695" i="20"/>
  <c r="AR694" i="20"/>
  <c r="AQ694" i="20"/>
  <c r="AR693" i="20"/>
  <c r="AQ693" i="20"/>
  <c r="AR692" i="20"/>
  <c r="AQ692" i="20"/>
  <c r="AR691" i="20"/>
  <c r="AQ691" i="20"/>
  <c r="AR690" i="20"/>
  <c r="AQ690" i="20"/>
  <c r="AR689" i="20"/>
  <c r="AQ689" i="20"/>
  <c r="AR688" i="20"/>
  <c r="AQ688" i="20"/>
  <c r="AR687" i="20"/>
  <c r="AQ687" i="20"/>
  <c r="AR686" i="20"/>
  <c r="AQ686" i="20"/>
  <c r="AR685" i="20"/>
  <c r="AQ685" i="20"/>
  <c r="AR684" i="20"/>
  <c r="AQ684" i="20"/>
  <c r="AR683" i="20"/>
  <c r="AQ683" i="20"/>
  <c r="AR682" i="20"/>
  <c r="AQ682" i="20"/>
  <c r="AR681" i="20"/>
  <c r="AQ681" i="20"/>
  <c r="AR680" i="20"/>
  <c r="AQ680" i="20"/>
  <c r="AR679" i="20"/>
  <c r="AQ679" i="20"/>
  <c r="AR678" i="20"/>
  <c r="AQ678" i="20"/>
  <c r="AR677" i="20"/>
  <c r="AQ677" i="20"/>
  <c r="AR676" i="20"/>
  <c r="AQ676" i="20"/>
  <c r="AR675" i="20"/>
  <c r="AQ675" i="20"/>
  <c r="AR674" i="20"/>
  <c r="AQ674" i="20"/>
  <c r="AR673" i="20"/>
  <c r="AQ673" i="20"/>
  <c r="AR672" i="20"/>
  <c r="AQ672" i="20"/>
  <c r="AR671" i="20"/>
  <c r="AQ671" i="20"/>
  <c r="AR670" i="20"/>
  <c r="AQ670" i="20"/>
  <c r="AR669" i="20"/>
  <c r="AQ669" i="20"/>
  <c r="AR668" i="20"/>
  <c r="AQ668" i="20"/>
  <c r="AR667" i="20"/>
  <c r="AQ667" i="20"/>
  <c r="AR666" i="20"/>
  <c r="AQ666" i="20"/>
  <c r="AR665" i="20"/>
  <c r="AQ665" i="20"/>
  <c r="AR664" i="20"/>
  <c r="AQ664" i="20"/>
  <c r="AR663" i="20"/>
  <c r="AQ663" i="20"/>
  <c r="AR662" i="20"/>
  <c r="AQ662" i="20"/>
  <c r="AR661" i="20"/>
  <c r="AQ661" i="20"/>
  <c r="AR660" i="20"/>
  <c r="AQ660" i="20"/>
  <c r="AR659" i="20"/>
  <c r="AQ659" i="20"/>
  <c r="AR658" i="20"/>
  <c r="AQ658" i="20"/>
  <c r="AR657" i="20"/>
  <c r="AQ657" i="20"/>
  <c r="AR656" i="20"/>
  <c r="AQ656" i="20"/>
  <c r="AR655" i="20"/>
  <c r="AQ655" i="20"/>
  <c r="AR654" i="20"/>
  <c r="AQ654" i="20"/>
  <c r="AR653" i="20"/>
  <c r="AQ653" i="20"/>
  <c r="AR652" i="20"/>
  <c r="AQ652" i="20"/>
  <c r="AR651" i="20"/>
  <c r="AQ651" i="20"/>
  <c r="AR650" i="20"/>
  <c r="AQ650" i="20"/>
  <c r="AR649" i="20"/>
  <c r="AQ649" i="20"/>
  <c r="AR648" i="20"/>
  <c r="AQ648" i="20"/>
  <c r="AR647" i="20"/>
  <c r="AQ647" i="20"/>
  <c r="AR646" i="20"/>
  <c r="AQ646" i="20"/>
  <c r="AR645" i="20"/>
  <c r="AQ645" i="20"/>
  <c r="AR644" i="20"/>
  <c r="AQ644" i="20"/>
  <c r="AR643" i="20"/>
  <c r="AQ643" i="20"/>
  <c r="AR642" i="20"/>
  <c r="AQ642" i="20"/>
  <c r="AR641" i="20"/>
  <c r="AQ641" i="20"/>
  <c r="AR640" i="20"/>
  <c r="AQ640" i="20"/>
  <c r="AR639" i="20"/>
  <c r="AQ639" i="20"/>
  <c r="AR638" i="20"/>
  <c r="AQ638" i="20"/>
  <c r="AR637" i="20"/>
  <c r="AQ637" i="20"/>
  <c r="AR636" i="20"/>
  <c r="AQ636" i="20"/>
  <c r="AR635" i="20"/>
  <c r="AQ635" i="20"/>
  <c r="AR634" i="20"/>
  <c r="AQ634" i="20"/>
  <c r="AR633" i="20"/>
  <c r="AQ633" i="20"/>
  <c r="AR632" i="20"/>
  <c r="AQ632" i="20"/>
  <c r="AR631" i="20"/>
  <c r="AQ631" i="20"/>
  <c r="AR630" i="20"/>
  <c r="AQ630" i="20"/>
  <c r="AR629" i="20"/>
  <c r="AQ629" i="20"/>
  <c r="AR628" i="20"/>
  <c r="AQ628" i="20"/>
  <c r="AR627" i="20"/>
  <c r="AQ627" i="20"/>
  <c r="AR626" i="20"/>
  <c r="AQ626" i="20"/>
  <c r="AR625" i="20"/>
  <c r="AQ625" i="20"/>
  <c r="AR624" i="20"/>
  <c r="AQ624" i="20"/>
  <c r="AR623" i="20"/>
  <c r="AQ623" i="20"/>
  <c r="AR622" i="20"/>
  <c r="AQ622" i="20"/>
  <c r="AR621" i="20"/>
  <c r="AQ621" i="20"/>
  <c r="AR620" i="20"/>
  <c r="AQ620" i="20"/>
  <c r="AR619" i="20"/>
  <c r="AQ619" i="20"/>
  <c r="AR618" i="20"/>
  <c r="AQ618" i="20"/>
  <c r="AR617" i="20"/>
  <c r="AQ617" i="20"/>
  <c r="AR616" i="20"/>
  <c r="AQ616" i="20"/>
  <c r="AR615" i="20"/>
  <c r="AQ615" i="20"/>
  <c r="AR614" i="20"/>
  <c r="AQ614" i="20"/>
  <c r="AR613" i="20"/>
  <c r="AQ613" i="20"/>
  <c r="AR612" i="20"/>
  <c r="AQ612" i="20"/>
  <c r="AR611" i="20"/>
  <c r="AQ611" i="20"/>
  <c r="AR610" i="20"/>
  <c r="AQ610" i="20"/>
  <c r="AR609" i="20"/>
  <c r="AQ609" i="20"/>
  <c r="AR608" i="20"/>
  <c r="AQ608" i="20"/>
  <c r="AR607" i="20"/>
  <c r="AQ607" i="20"/>
  <c r="AR606" i="20"/>
  <c r="AQ606" i="20"/>
  <c r="AR605" i="20"/>
  <c r="AQ605" i="20"/>
  <c r="AR604" i="20"/>
  <c r="AQ604" i="20"/>
  <c r="AR603" i="20"/>
  <c r="AQ603" i="20"/>
  <c r="AR602" i="20"/>
  <c r="AQ602" i="20"/>
  <c r="AR601" i="20"/>
  <c r="AQ601" i="20"/>
  <c r="AR600" i="20"/>
  <c r="AQ600" i="20"/>
  <c r="AR599" i="20"/>
  <c r="AQ599" i="20"/>
  <c r="AR598" i="20"/>
  <c r="AQ598" i="20"/>
  <c r="AR597" i="20"/>
  <c r="AQ597" i="20"/>
  <c r="AR596" i="20"/>
  <c r="AQ596" i="20"/>
  <c r="AR595" i="20"/>
  <c r="AQ595" i="20"/>
  <c r="AR594" i="20"/>
  <c r="AQ594" i="20"/>
  <c r="AR593" i="20"/>
  <c r="AQ593" i="20"/>
  <c r="AR592" i="20"/>
  <c r="AQ592" i="20"/>
  <c r="AR591" i="20"/>
  <c r="AQ591" i="20"/>
  <c r="AR590" i="20"/>
  <c r="AQ590" i="20"/>
  <c r="AR589" i="20"/>
  <c r="AQ589" i="20"/>
  <c r="AR588" i="20"/>
  <c r="AQ588" i="20"/>
  <c r="AR587" i="20"/>
  <c r="AQ587" i="20"/>
  <c r="AR586" i="20"/>
  <c r="AQ586" i="20"/>
  <c r="AR585" i="20"/>
  <c r="AQ585" i="20"/>
  <c r="AR584" i="20"/>
  <c r="AQ584" i="20"/>
  <c r="AR583" i="20"/>
  <c r="AQ583" i="20"/>
  <c r="AR582" i="20"/>
  <c r="AQ582" i="20"/>
  <c r="AR581" i="20"/>
  <c r="AQ581" i="20"/>
  <c r="AR580" i="20"/>
  <c r="AQ580" i="20"/>
  <c r="AR579" i="20"/>
  <c r="AQ579" i="20"/>
  <c r="AR578" i="20"/>
  <c r="AQ578" i="20"/>
  <c r="AR577" i="20"/>
  <c r="AQ577" i="20"/>
  <c r="AR576" i="20"/>
  <c r="AQ576" i="20"/>
  <c r="AR575" i="20"/>
  <c r="AQ575" i="20"/>
  <c r="AR574" i="20"/>
  <c r="AQ574" i="20"/>
  <c r="AR573" i="20"/>
  <c r="AQ573" i="20"/>
  <c r="AR572" i="20"/>
  <c r="AQ572" i="20"/>
  <c r="AR571" i="20"/>
  <c r="AQ571" i="20"/>
  <c r="AR570" i="20"/>
  <c r="AQ570" i="20"/>
  <c r="AR569" i="20"/>
  <c r="AQ569" i="20"/>
  <c r="AR568" i="20"/>
  <c r="AQ568" i="20"/>
  <c r="AR567" i="20"/>
  <c r="AQ567" i="20"/>
  <c r="AR566" i="20"/>
  <c r="AQ566" i="20"/>
  <c r="AR565" i="20"/>
  <c r="AQ565" i="20"/>
  <c r="AR564" i="20"/>
  <c r="AQ564" i="20"/>
  <c r="AR563" i="20"/>
  <c r="AQ563" i="20"/>
  <c r="AR562" i="20"/>
  <c r="AQ562" i="20"/>
  <c r="AR561" i="20"/>
  <c r="AQ561" i="20"/>
  <c r="AR560" i="20"/>
  <c r="AQ560" i="20"/>
  <c r="AR559" i="20"/>
  <c r="AQ559" i="20"/>
  <c r="AR558" i="20"/>
  <c r="AQ558" i="20"/>
  <c r="AR557" i="20"/>
  <c r="AQ557" i="20"/>
  <c r="AR556" i="20"/>
  <c r="AQ556" i="20"/>
  <c r="AR555" i="20"/>
  <c r="AQ555" i="20"/>
  <c r="AR554" i="20"/>
  <c r="AQ554" i="20"/>
  <c r="AR553" i="20"/>
  <c r="AQ553" i="20"/>
  <c r="AR552" i="20"/>
  <c r="AQ552" i="20"/>
  <c r="AR551" i="20"/>
  <c r="AQ551" i="20"/>
  <c r="AR550" i="20"/>
  <c r="AQ550" i="20"/>
  <c r="AR549" i="20"/>
  <c r="AQ549" i="20"/>
  <c r="AR548" i="20"/>
  <c r="AQ548" i="20"/>
  <c r="AR547" i="20"/>
  <c r="AQ547" i="20"/>
  <c r="AR546" i="20"/>
  <c r="AQ546" i="20"/>
  <c r="AR545" i="20"/>
  <c r="AQ545" i="20"/>
  <c r="AR544" i="20"/>
  <c r="AQ544" i="20"/>
  <c r="AR543" i="20"/>
  <c r="AQ543" i="20"/>
  <c r="AR542" i="20"/>
  <c r="AQ542" i="20"/>
  <c r="AR541" i="20"/>
  <c r="AQ541" i="20"/>
  <c r="AR540" i="20"/>
  <c r="AQ540" i="20"/>
  <c r="AR539" i="20"/>
  <c r="AQ539" i="20"/>
  <c r="AR538" i="20"/>
  <c r="AQ538" i="20"/>
  <c r="AR537" i="20"/>
  <c r="AQ537" i="20"/>
  <c r="AR536" i="20"/>
  <c r="AQ536" i="20"/>
  <c r="AR535" i="20"/>
  <c r="AQ535" i="20"/>
  <c r="AR534" i="20"/>
  <c r="AQ534" i="20"/>
  <c r="AR533" i="20"/>
  <c r="AQ533" i="20"/>
  <c r="AR532" i="20"/>
  <c r="AQ532" i="20"/>
  <c r="AR531" i="20"/>
  <c r="AQ531" i="20"/>
  <c r="AR530" i="20"/>
  <c r="AQ530" i="20"/>
  <c r="AR529" i="20"/>
  <c r="AQ529" i="20"/>
  <c r="AR528" i="20"/>
  <c r="AQ528" i="20"/>
  <c r="AR527" i="20"/>
  <c r="AQ527" i="20"/>
  <c r="AR526" i="20"/>
  <c r="AQ526" i="20"/>
  <c r="AR525" i="20"/>
  <c r="AQ525" i="20"/>
  <c r="AR524" i="20"/>
  <c r="AQ524" i="20"/>
  <c r="AR523" i="20"/>
  <c r="AQ523" i="20"/>
  <c r="AR522" i="20"/>
  <c r="AQ522" i="20"/>
  <c r="AR521" i="20"/>
  <c r="AQ521" i="20"/>
  <c r="AR520" i="20"/>
  <c r="AQ520" i="20"/>
  <c r="AR519" i="20"/>
  <c r="AQ519" i="20"/>
  <c r="AR518" i="20"/>
  <c r="AQ518" i="20"/>
  <c r="AR517" i="20"/>
  <c r="AQ517" i="20"/>
  <c r="AR516" i="20"/>
  <c r="AQ516" i="20"/>
  <c r="AR515" i="20"/>
  <c r="AQ515" i="20"/>
  <c r="AR514" i="20"/>
  <c r="AQ514" i="20"/>
  <c r="AR513" i="20"/>
  <c r="AQ513" i="20"/>
  <c r="AR512" i="20"/>
  <c r="AQ512" i="20"/>
  <c r="AR511" i="20"/>
  <c r="AQ511" i="20"/>
  <c r="AR510" i="20"/>
  <c r="AQ510" i="20"/>
  <c r="AR509" i="20"/>
  <c r="AQ509" i="20"/>
  <c r="AR508" i="20"/>
  <c r="AQ508" i="20"/>
  <c r="AR507" i="20"/>
  <c r="AQ507" i="20"/>
  <c r="AR506" i="20"/>
  <c r="AQ506" i="20"/>
  <c r="AR505" i="20"/>
  <c r="AQ505" i="20"/>
  <c r="AR504" i="20"/>
  <c r="AQ504" i="20"/>
  <c r="AR503" i="20"/>
  <c r="AQ503" i="20"/>
  <c r="AR502" i="20"/>
  <c r="AQ502" i="20"/>
  <c r="AR501" i="20"/>
  <c r="AQ501" i="20"/>
  <c r="AR500" i="20"/>
  <c r="AQ500" i="20"/>
  <c r="AR499" i="20"/>
  <c r="AQ499" i="20"/>
  <c r="AR498" i="20"/>
  <c r="AQ498" i="20"/>
  <c r="AR497" i="20"/>
  <c r="AQ497" i="20"/>
  <c r="AR496" i="20"/>
  <c r="AQ496" i="20"/>
  <c r="AR495" i="20"/>
  <c r="AQ495" i="20"/>
  <c r="AR494" i="20"/>
  <c r="AQ494" i="20"/>
  <c r="AR493" i="20"/>
  <c r="AQ493" i="20"/>
  <c r="AR492" i="20"/>
  <c r="AQ492" i="20"/>
  <c r="AR491" i="20"/>
  <c r="AQ491" i="20"/>
  <c r="AR490" i="20"/>
  <c r="AQ490" i="20"/>
  <c r="AR489" i="20"/>
  <c r="AQ489" i="20"/>
  <c r="AR488" i="20"/>
  <c r="AQ488" i="20"/>
  <c r="AR487" i="20"/>
  <c r="AQ487" i="20"/>
  <c r="AR486" i="20"/>
  <c r="AQ486" i="20"/>
  <c r="AR485" i="20"/>
  <c r="AQ485" i="20"/>
  <c r="AR484" i="20"/>
  <c r="AQ484" i="20"/>
  <c r="AR483" i="20"/>
  <c r="AQ483" i="20"/>
  <c r="AR482" i="20"/>
  <c r="AQ482" i="20"/>
  <c r="AR481" i="20"/>
  <c r="AQ481" i="20"/>
  <c r="AR480" i="20"/>
  <c r="AQ480" i="20"/>
  <c r="AR479" i="20"/>
  <c r="AQ479" i="20"/>
  <c r="AR478" i="20"/>
  <c r="AQ478" i="20"/>
  <c r="AR477" i="20"/>
  <c r="AQ477" i="20"/>
  <c r="AR476" i="20"/>
  <c r="AQ476" i="20"/>
  <c r="AR475" i="20"/>
  <c r="AQ475" i="20"/>
  <c r="AR474" i="20"/>
  <c r="AQ474" i="20"/>
  <c r="AR473" i="20"/>
  <c r="AQ473" i="20"/>
  <c r="AR472" i="20"/>
  <c r="AQ472" i="20"/>
  <c r="AR471" i="20"/>
  <c r="AQ471" i="20"/>
  <c r="AR470" i="20"/>
  <c r="AQ470" i="20"/>
  <c r="AR469" i="20"/>
  <c r="AQ469" i="20"/>
  <c r="AR468" i="20"/>
  <c r="AQ468" i="20"/>
  <c r="AR467" i="20"/>
  <c r="AQ467" i="20"/>
  <c r="AR466" i="20"/>
  <c r="AQ466" i="20"/>
  <c r="AR465" i="20"/>
  <c r="AQ465" i="20"/>
  <c r="AR464" i="20"/>
  <c r="AQ464" i="20"/>
  <c r="AR463" i="20"/>
  <c r="AQ463" i="20"/>
  <c r="AR462" i="20"/>
  <c r="AQ462" i="20"/>
  <c r="AR461" i="20"/>
  <c r="AQ461" i="20"/>
  <c r="AR460" i="20"/>
  <c r="AQ460" i="20"/>
  <c r="AR459" i="20"/>
  <c r="AQ459" i="20"/>
  <c r="AR458" i="20"/>
  <c r="AQ458" i="20"/>
  <c r="AR457" i="20"/>
  <c r="AQ457" i="20"/>
  <c r="AR456" i="20"/>
  <c r="AQ456" i="20"/>
  <c r="AR455" i="20"/>
  <c r="AQ455" i="20"/>
  <c r="AR454" i="20"/>
  <c r="AQ454" i="20"/>
  <c r="AR453" i="20"/>
  <c r="AQ453" i="20"/>
  <c r="AR452" i="20"/>
  <c r="AQ452" i="20"/>
  <c r="AR451" i="20"/>
  <c r="AQ451" i="20"/>
  <c r="AR450" i="20"/>
  <c r="AQ450" i="20"/>
  <c r="AR449" i="20"/>
  <c r="AQ449" i="20"/>
  <c r="AR448" i="20"/>
  <c r="AQ448" i="20"/>
  <c r="AR447" i="20"/>
  <c r="AQ447" i="20"/>
  <c r="AR446" i="20"/>
  <c r="AQ446" i="20"/>
  <c r="AR445" i="20"/>
  <c r="AQ445" i="20"/>
  <c r="AR444" i="20"/>
  <c r="AQ444" i="20"/>
  <c r="AR443" i="20"/>
  <c r="AQ443" i="20"/>
  <c r="AR442" i="20"/>
  <c r="AQ442" i="20"/>
  <c r="AR441" i="20"/>
  <c r="AQ441" i="20"/>
  <c r="AR440" i="20"/>
  <c r="AQ440" i="20"/>
  <c r="AR439" i="20"/>
  <c r="AQ439" i="20"/>
  <c r="AR438" i="20"/>
  <c r="AQ438" i="20"/>
  <c r="AR437" i="20"/>
  <c r="AQ437" i="20"/>
  <c r="AR436" i="20"/>
  <c r="AQ436" i="20"/>
  <c r="AR435" i="20"/>
  <c r="AQ435" i="20"/>
  <c r="AR434" i="20"/>
  <c r="AQ434" i="20"/>
  <c r="AR433" i="20"/>
  <c r="AQ433" i="20"/>
  <c r="AR432" i="20"/>
  <c r="AQ432" i="20"/>
  <c r="AR431" i="20"/>
  <c r="AQ431" i="20"/>
  <c r="AR430" i="20"/>
  <c r="AQ430" i="20"/>
  <c r="AR429" i="20"/>
  <c r="AQ429" i="20"/>
  <c r="AR428" i="20"/>
  <c r="AQ428" i="20"/>
  <c r="AR427" i="20"/>
  <c r="AQ427" i="20"/>
  <c r="AR426" i="20"/>
  <c r="AQ426" i="20"/>
  <c r="AR425" i="20"/>
  <c r="AQ425" i="20"/>
  <c r="AR424" i="20"/>
  <c r="AQ424" i="20"/>
  <c r="AR423" i="20"/>
  <c r="AQ423" i="20"/>
  <c r="AR422" i="20"/>
  <c r="AQ422" i="20"/>
  <c r="AR421" i="20"/>
  <c r="AQ421" i="20"/>
  <c r="AR420" i="20"/>
  <c r="AQ420" i="20"/>
  <c r="AR419" i="20"/>
  <c r="AQ419" i="20"/>
  <c r="AR418" i="20"/>
  <c r="AQ418" i="20"/>
  <c r="AR417" i="20"/>
  <c r="AQ417" i="20"/>
  <c r="AR416" i="20"/>
  <c r="AQ416" i="20"/>
  <c r="AR415" i="20"/>
  <c r="AQ415" i="20"/>
  <c r="AR414" i="20"/>
  <c r="AQ414" i="20"/>
  <c r="AR413" i="20"/>
  <c r="AQ413" i="20"/>
  <c r="AR412" i="20"/>
  <c r="AQ412" i="20"/>
  <c r="AR411" i="20"/>
  <c r="AQ411" i="20"/>
  <c r="AR410" i="20"/>
  <c r="AQ410" i="20"/>
  <c r="AR409" i="20"/>
  <c r="AQ409" i="20"/>
  <c r="AR408" i="20"/>
  <c r="AQ408" i="20"/>
  <c r="AR407" i="20"/>
  <c r="AQ407" i="20"/>
  <c r="AR406" i="20"/>
  <c r="AQ406" i="20"/>
  <c r="AR405" i="20"/>
  <c r="AQ405" i="20"/>
  <c r="AR404" i="20"/>
  <c r="AQ404" i="20"/>
  <c r="AR403" i="20"/>
  <c r="AQ403" i="20"/>
  <c r="AR402" i="20"/>
  <c r="AQ402" i="20"/>
  <c r="AR401" i="20"/>
  <c r="AQ401" i="20"/>
  <c r="AR400" i="20"/>
  <c r="AQ400" i="20"/>
  <c r="AR399" i="20"/>
  <c r="AQ399" i="20"/>
  <c r="AR398" i="20"/>
  <c r="AQ398" i="20"/>
  <c r="AR397" i="20"/>
  <c r="AQ397" i="20"/>
  <c r="AR396" i="20"/>
  <c r="AQ396" i="20"/>
  <c r="AR395" i="20"/>
  <c r="AQ395" i="20"/>
  <c r="AR394" i="20"/>
  <c r="AQ394" i="20"/>
  <c r="AR393" i="20"/>
  <c r="AQ393" i="20"/>
  <c r="AR392" i="20"/>
  <c r="AQ392" i="20"/>
  <c r="AR391" i="20"/>
  <c r="AQ391" i="20"/>
  <c r="AR390" i="20"/>
  <c r="AQ390" i="20"/>
  <c r="AR389" i="20"/>
  <c r="AQ389" i="20"/>
  <c r="AR388" i="20"/>
  <c r="AQ388" i="20"/>
  <c r="AR387" i="20"/>
  <c r="AQ387" i="20"/>
  <c r="AR386" i="20"/>
  <c r="AQ386" i="20"/>
  <c r="AR385" i="20"/>
  <c r="AQ385" i="20"/>
  <c r="AR384" i="20"/>
  <c r="AQ384" i="20"/>
  <c r="AR383" i="20"/>
  <c r="AQ383" i="20"/>
  <c r="AR382" i="20"/>
  <c r="AQ382" i="20"/>
  <c r="AR381" i="20"/>
  <c r="AQ381" i="20"/>
  <c r="AR380" i="20"/>
  <c r="AQ380" i="20"/>
  <c r="AR379" i="20"/>
  <c r="AQ379" i="20"/>
  <c r="AR378" i="20"/>
  <c r="AQ378" i="20"/>
  <c r="AR377" i="20"/>
  <c r="AQ377" i="20"/>
  <c r="AR376" i="20"/>
  <c r="AQ376" i="20"/>
  <c r="AR375" i="20"/>
  <c r="AQ375" i="20"/>
  <c r="AR374" i="20"/>
  <c r="AQ374" i="20"/>
  <c r="AR373" i="20"/>
  <c r="AQ373" i="20"/>
  <c r="AR372" i="20"/>
  <c r="AQ372" i="20"/>
  <c r="AR371" i="20"/>
  <c r="AQ371" i="20"/>
  <c r="AR370" i="20"/>
  <c r="AQ370" i="20"/>
  <c r="AR369" i="20"/>
  <c r="AQ369" i="20"/>
  <c r="AR368" i="20"/>
  <c r="AQ368" i="20"/>
  <c r="AR367" i="20"/>
  <c r="AQ367" i="20"/>
  <c r="AR366" i="20"/>
  <c r="AQ366" i="20"/>
  <c r="AR365" i="20"/>
  <c r="AQ365" i="20"/>
  <c r="AR364" i="20"/>
  <c r="AQ364" i="20"/>
  <c r="AR363" i="20"/>
  <c r="AQ363" i="20"/>
  <c r="AR362" i="20"/>
  <c r="AQ362" i="20"/>
  <c r="AR361" i="20"/>
  <c r="AQ361" i="20"/>
  <c r="AR360" i="20"/>
  <c r="AQ360" i="20"/>
  <c r="AR359" i="20"/>
  <c r="AQ359" i="20"/>
  <c r="AR358" i="20"/>
  <c r="AQ358" i="20"/>
  <c r="AR357" i="20"/>
  <c r="AQ357" i="20"/>
  <c r="AR356" i="20"/>
  <c r="AQ356" i="20"/>
  <c r="AR355" i="20"/>
  <c r="AQ355" i="20"/>
  <c r="AR354" i="20"/>
  <c r="AQ354" i="20"/>
  <c r="AR353" i="20"/>
  <c r="AQ353" i="20"/>
  <c r="AR352" i="20"/>
  <c r="AQ352" i="20"/>
  <c r="AR351" i="20"/>
  <c r="AQ351" i="20"/>
  <c r="AR350" i="20"/>
  <c r="AQ350" i="20"/>
  <c r="AR349" i="20"/>
  <c r="AQ349" i="20"/>
  <c r="AR348" i="20"/>
  <c r="AQ348" i="20"/>
  <c r="AR347" i="20"/>
  <c r="AQ347" i="20"/>
  <c r="AR346" i="20"/>
  <c r="AQ346" i="20"/>
  <c r="AR345" i="20"/>
  <c r="AQ345" i="20"/>
  <c r="AR344" i="20"/>
  <c r="AQ344" i="20"/>
  <c r="AR343" i="20"/>
  <c r="AQ343" i="20"/>
  <c r="AR342" i="20"/>
  <c r="AQ342" i="20"/>
  <c r="AR341" i="20"/>
  <c r="AQ341" i="20"/>
  <c r="AR340" i="20"/>
  <c r="AQ340" i="20"/>
  <c r="AR339" i="20"/>
  <c r="AQ339" i="20"/>
  <c r="AR338" i="20"/>
  <c r="AQ338" i="20"/>
  <c r="AR337" i="20"/>
  <c r="AQ337" i="20"/>
  <c r="AR336" i="20"/>
  <c r="AQ336" i="20"/>
  <c r="AR335" i="20"/>
  <c r="AQ335" i="20"/>
  <c r="AR334" i="20"/>
  <c r="AQ334" i="20"/>
  <c r="AR333" i="20"/>
  <c r="AQ333" i="20"/>
  <c r="AR332" i="20"/>
  <c r="AQ332" i="20"/>
  <c r="AR331" i="20"/>
  <c r="AQ331" i="20"/>
  <c r="AR330" i="20"/>
  <c r="AQ330" i="20"/>
  <c r="AR329" i="20"/>
  <c r="AQ329" i="20"/>
  <c r="AR328" i="20"/>
  <c r="AQ328" i="20"/>
  <c r="AR327" i="20"/>
  <c r="AQ327" i="20"/>
  <c r="AR326" i="20"/>
  <c r="AQ326" i="20"/>
  <c r="AR325" i="20"/>
  <c r="AQ325" i="20"/>
  <c r="AR324" i="20"/>
  <c r="AQ324" i="20"/>
  <c r="AR323" i="20"/>
  <c r="AQ323" i="20"/>
  <c r="AR322" i="20"/>
  <c r="AQ322" i="20"/>
  <c r="AR321" i="20"/>
  <c r="AQ321" i="20"/>
  <c r="AR320" i="20"/>
  <c r="AQ320" i="20"/>
  <c r="AR319" i="20"/>
  <c r="AQ319" i="20"/>
  <c r="AR318" i="20"/>
  <c r="AQ318" i="20"/>
  <c r="AR317" i="20"/>
  <c r="AQ317" i="20"/>
  <c r="AR316" i="20"/>
  <c r="AQ316" i="20"/>
  <c r="AR315" i="20"/>
  <c r="AQ315" i="20"/>
  <c r="AR314" i="20"/>
  <c r="AQ314" i="20"/>
  <c r="AR313" i="20"/>
  <c r="AQ313" i="20"/>
  <c r="AR312" i="20"/>
  <c r="AQ312" i="20"/>
  <c r="AR311" i="20"/>
  <c r="AQ311" i="20"/>
  <c r="AR310" i="20"/>
  <c r="AQ310" i="20"/>
  <c r="AR309" i="20"/>
  <c r="AQ309" i="20"/>
  <c r="AR308" i="20"/>
  <c r="AQ308" i="20"/>
  <c r="AR307" i="20"/>
  <c r="AQ307" i="20"/>
  <c r="AR306" i="20"/>
  <c r="AQ306" i="20"/>
  <c r="AR305" i="20"/>
  <c r="AQ305" i="20"/>
  <c r="AR304" i="20"/>
  <c r="AQ304" i="20"/>
  <c r="AR303" i="20"/>
  <c r="AQ303" i="20"/>
  <c r="AR302" i="20"/>
  <c r="AQ302" i="20"/>
  <c r="AR301" i="20"/>
  <c r="AQ301" i="20"/>
  <c r="AR300" i="20"/>
  <c r="AQ300" i="20"/>
  <c r="AR299" i="20"/>
  <c r="AQ299" i="20"/>
  <c r="AR298" i="20"/>
  <c r="AQ298" i="20"/>
  <c r="AR297" i="20"/>
  <c r="AQ297" i="20"/>
  <c r="AR296" i="20"/>
  <c r="AQ296" i="20"/>
  <c r="AR295" i="20"/>
  <c r="AQ295" i="20"/>
  <c r="AR294" i="20"/>
  <c r="AQ294" i="20"/>
  <c r="AR293" i="20"/>
  <c r="AQ293" i="20"/>
  <c r="AR292" i="20"/>
  <c r="AQ292" i="20"/>
  <c r="AR291" i="20"/>
  <c r="AQ291" i="20"/>
  <c r="AR290" i="20"/>
  <c r="AQ290" i="20"/>
  <c r="AR289" i="20"/>
  <c r="AQ289" i="20"/>
  <c r="AR288" i="20"/>
  <c r="AQ288" i="20"/>
  <c r="AR287" i="20"/>
  <c r="AQ287" i="20"/>
  <c r="AR286" i="20"/>
  <c r="AQ286" i="20"/>
  <c r="AR285" i="20"/>
  <c r="AQ285" i="20"/>
  <c r="AR284" i="20"/>
  <c r="AQ284" i="20"/>
  <c r="AR283" i="20"/>
  <c r="AQ283" i="20"/>
  <c r="AR282" i="20"/>
  <c r="AQ282" i="20"/>
  <c r="AR281" i="20"/>
  <c r="AQ281" i="20"/>
  <c r="AR280" i="20"/>
  <c r="AQ280" i="20"/>
  <c r="AR279" i="20"/>
  <c r="AQ279" i="20"/>
  <c r="AR278" i="20"/>
  <c r="AQ278" i="20"/>
  <c r="AR277" i="20"/>
  <c r="AQ277" i="20"/>
  <c r="AR276" i="20"/>
  <c r="AQ276" i="20"/>
  <c r="AR275" i="20"/>
  <c r="AQ275" i="20"/>
  <c r="AR274" i="20"/>
  <c r="AQ274" i="20"/>
  <c r="AR273" i="20"/>
  <c r="AQ273" i="20"/>
  <c r="AR272" i="20"/>
  <c r="AQ272" i="20"/>
  <c r="AR271" i="20"/>
  <c r="AQ271" i="20"/>
  <c r="AR270" i="20"/>
  <c r="AQ270" i="20"/>
  <c r="AR269" i="20"/>
  <c r="AQ269" i="20"/>
  <c r="AR268" i="20"/>
  <c r="AQ268" i="20"/>
  <c r="AR267" i="20"/>
  <c r="AQ267" i="20"/>
  <c r="AR266" i="20"/>
  <c r="AQ266" i="20"/>
  <c r="AR265" i="20"/>
  <c r="AQ265" i="20"/>
  <c r="AR264" i="20"/>
  <c r="AQ264" i="20"/>
  <c r="AR263" i="20"/>
  <c r="AQ263" i="20"/>
  <c r="AR262" i="20"/>
  <c r="AQ262" i="20"/>
  <c r="AR261" i="20"/>
  <c r="AQ261" i="20"/>
  <c r="AR260" i="20"/>
  <c r="AQ260" i="20"/>
  <c r="AR259" i="20"/>
  <c r="AQ259" i="20"/>
  <c r="AR258" i="20"/>
  <c r="AQ258" i="20"/>
  <c r="AR257" i="20"/>
  <c r="AQ257" i="20"/>
  <c r="AR256" i="20"/>
  <c r="AQ256" i="20"/>
  <c r="AR255" i="20"/>
  <c r="AQ255" i="20"/>
  <c r="AR254" i="20"/>
  <c r="AQ254" i="20"/>
  <c r="AR253" i="20"/>
  <c r="AQ253" i="20"/>
  <c r="AR252" i="20"/>
  <c r="AQ252" i="20"/>
  <c r="AR251" i="20"/>
  <c r="AQ251" i="20"/>
  <c r="AR250" i="20"/>
  <c r="AQ250" i="20"/>
  <c r="AR249" i="20"/>
  <c r="AQ249" i="20"/>
  <c r="AR248" i="20"/>
  <c r="AQ248" i="20"/>
  <c r="AR247" i="20"/>
  <c r="AQ247" i="20"/>
  <c r="AR246" i="20"/>
  <c r="AQ246" i="20"/>
  <c r="AR245" i="20"/>
  <c r="AQ245" i="20"/>
  <c r="AR244" i="20"/>
  <c r="AQ244" i="20"/>
  <c r="AR243" i="20"/>
  <c r="AQ243" i="20"/>
  <c r="AR242" i="20"/>
  <c r="AQ242" i="20"/>
  <c r="AR241" i="20"/>
  <c r="AQ241" i="20"/>
  <c r="AR240" i="20"/>
  <c r="AQ240" i="20"/>
  <c r="AR239" i="20"/>
  <c r="AQ239" i="20"/>
  <c r="AR238" i="20"/>
  <c r="AQ238" i="20"/>
  <c r="AR237" i="20"/>
  <c r="AQ237" i="20"/>
  <c r="AR236" i="20"/>
  <c r="AQ236" i="20"/>
  <c r="AR235" i="20"/>
  <c r="AQ235" i="20"/>
  <c r="AR234" i="20"/>
  <c r="AQ234" i="20"/>
  <c r="AR233" i="20"/>
  <c r="AQ233" i="20"/>
  <c r="AR232" i="20"/>
  <c r="AQ232" i="20"/>
  <c r="AR231" i="20"/>
  <c r="AQ231" i="20"/>
  <c r="AR230" i="20"/>
  <c r="AQ230" i="20"/>
  <c r="AR229" i="20"/>
  <c r="AQ229" i="20"/>
  <c r="AR228" i="20"/>
  <c r="AQ228" i="20"/>
  <c r="AR227" i="20"/>
  <c r="AQ227" i="20"/>
  <c r="AR226" i="20"/>
  <c r="AQ226" i="20"/>
  <c r="AR225" i="20"/>
  <c r="AQ225" i="20"/>
  <c r="AR224" i="20"/>
  <c r="AQ224" i="20"/>
  <c r="AR223" i="20"/>
  <c r="AQ223" i="20"/>
  <c r="AR222" i="20"/>
  <c r="AQ222" i="20"/>
  <c r="AR221" i="20"/>
  <c r="AQ221" i="20"/>
  <c r="AR220" i="20"/>
  <c r="AQ220" i="20"/>
  <c r="AR219" i="20"/>
  <c r="AQ219" i="20"/>
  <c r="AR218" i="20"/>
  <c r="AQ218" i="20"/>
  <c r="AR217" i="20"/>
  <c r="AQ217" i="20"/>
  <c r="AR216" i="20"/>
  <c r="AQ216" i="20"/>
  <c r="AR215" i="20"/>
  <c r="AQ215" i="20"/>
  <c r="AR214" i="20"/>
  <c r="AQ214" i="20"/>
  <c r="AR213" i="20"/>
  <c r="AQ213" i="20"/>
  <c r="AR212" i="20"/>
  <c r="AQ212" i="20"/>
  <c r="AR211" i="20"/>
  <c r="AQ211" i="20"/>
  <c r="AR210" i="20"/>
  <c r="AQ210" i="20"/>
  <c r="AR209" i="20"/>
  <c r="AQ209" i="20"/>
  <c r="AR208" i="20"/>
  <c r="AQ208" i="20"/>
  <c r="AR207" i="20"/>
  <c r="AQ207" i="20"/>
  <c r="AR206" i="20"/>
  <c r="AQ206" i="20"/>
  <c r="AR205" i="20"/>
  <c r="AQ205" i="20"/>
  <c r="AR204" i="20"/>
  <c r="AQ204" i="20"/>
  <c r="AR203" i="20"/>
  <c r="AQ203" i="20"/>
  <c r="AR202" i="20"/>
  <c r="AQ202" i="20"/>
  <c r="AR201" i="20"/>
  <c r="AQ201" i="20"/>
  <c r="AR200" i="20"/>
  <c r="AQ200" i="20"/>
  <c r="AR199" i="20"/>
  <c r="AQ199" i="20"/>
  <c r="AR198" i="20"/>
  <c r="AQ198" i="20"/>
  <c r="AR197" i="20"/>
  <c r="AQ197" i="20"/>
  <c r="AR196" i="20"/>
  <c r="AQ196" i="20"/>
  <c r="AR195" i="20"/>
  <c r="AQ195" i="20"/>
  <c r="AR194" i="20"/>
  <c r="AQ194" i="20"/>
  <c r="AR193" i="20"/>
  <c r="AQ193" i="20"/>
  <c r="AR192" i="20"/>
  <c r="AQ192" i="20"/>
  <c r="AR191" i="20"/>
  <c r="AQ191" i="20"/>
  <c r="AR190" i="20"/>
  <c r="AQ190" i="20"/>
  <c r="AR189" i="20"/>
  <c r="AQ189" i="20"/>
  <c r="AR188" i="20"/>
  <c r="AQ188" i="20"/>
  <c r="AR187" i="20"/>
  <c r="AQ187" i="20"/>
  <c r="AR186" i="20"/>
  <c r="AQ186" i="20"/>
  <c r="AR185" i="20"/>
  <c r="AQ185" i="20"/>
  <c r="AR184" i="20"/>
  <c r="AQ184" i="20"/>
  <c r="AR183" i="20"/>
  <c r="AQ183" i="20"/>
  <c r="AR182" i="20"/>
  <c r="AQ182" i="20"/>
  <c r="AR181" i="20"/>
  <c r="AQ181" i="20"/>
  <c r="AR180" i="20"/>
  <c r="AQ180" i="20"/>
  <c r="AR179" i="20"/>
  <c r="AQ179" i="20"/>
  <c r="AR178" i="20"/>
  <c r="AQ178" i="20"/>
  <c r="AR177" i="20"/>
  <c r="AQ177" i="20"/>
  <c r="AR176" i="20"/>
  <c r="AQ176" i="20"/>
  <c r="AR175" i="20"/>
  <c r="AQ175" i="20"/>
  <c r="AR174" i="20"/>
  <c r="AQ174" i="20"/>
  <c r="AR173" i="20"/>
  <c r="AQ173" i="20"/>
  <c r="AR172" i="20"/>
  <c r="AQ172" i="20"/>
  <c r="AR171" i="20"/>
  <c r="AQ171" i="20"/>
  <c r="AR170" i="20"/>
  <c r="AQ170" i="20"/>
  <c r="AR169" i="20"/>
  <c r="AQ169" i="20"/>
  <c r="AR168" i="20"/>
  <c r="AQ168" i="20"/>
  <c r="AR167" i="20"/>
  <c r="AQ167" i="20"/>
  <c r="AR166" i="20"/>
  <c r="AQ166" i="20"/>
  <c r="AR165" i="20"/>
  <c r="AQ165" i="20"/>
  <c r="AR164" i="20"/>
  <c r="AQ164" i="20"/>
  <c r="AR163" i="20"/>
  <c r="AQ163" i="20"/>
  <c r="AR162" i="20"/>
  <c r="AQ162" i="20"/>
  <c r="AR161" i="20"/>
  <c r="AQ161" i="20"/>
  <c r="AR160" i="20"/>
  <c r="AQ160" i="20"/>
  <c r="AR159" i="20"/>
  <c r="AQ159" i="20"/>
  <c r="AR158" i="20"/>
  <c r="AQ158" i="20"/>
  <c r="AR157" i="20"/>
  <c r="AQ157" i="20"/>
  <c r="AR156" i="20"/>
  <c r="AQ156" i="20"/>
  <c r="AR155" i="20"/>
  <c r="AQ155" i="20"/>
  <c r="AR154" i="20"/>
  <c r="AQ154" i="20"/>
  <c r="AR153" i="20"/>
  <c r="AQ153" i="20"/>
  <c r="AR152" i="20"/>
  <c r="AQ152" i="20"/>
  <c r="AR151" i="20"/>
  <c r="AQ151" i="20"/>
  <c r="AR150" i="20"/>
  <c r="AQ150" i="20"/>
  <c r="AR149" i="20"/>
  <c r="AQ149" i="20"/>
  <c r="AR148" i="20"/>
  <c r="AQ148" i="20"/>
  <c r="AR147" i="20"/>
  <c r="AQ147" i="20"/>
  <c r="AR146" i="20"/>
  <c r="AQ146" i="20"/>
  <c r="AR145" i="20"/>
  <c r="AQ145" i="20"/>
  <c r="AR144" i="20"/>
  <c r="AQ144" i="20"/>
  <c r="AR143" i="20"/>
  <c r="AQ143" i="20"/>
  <c r="AR142" i="20"/>
  <c r="AQ142" i="20"/>
  <c r="AR141" i="20"/>
  <c r="AQ141" i="20"/>
  <c r="AR140" i="20"/>
  <c r="AQ140" i="20"/>
  <c r="AR139" i="20"/>
  <c r="AQ139" i="20"/>
  <c r="AR138" i="20"/>
  <c r="AQ138" i="20"/>
  <c r="AR137" i="20"/>
  <c r="AQ137" i="20"/>
  <c r="AR136" i="20"/>
  <c r="AQ136" i="20"/>
  <c r="AR135" i="20"/>
  <c r="AQ135" i="20"/>
  <c r="AR134" i="20"/>
  <c r="AQ134" i="20"/>
  <c r="AR133" i="20"/>
  <c r="AQ133" i="20"/>
  <c r="AR132" i="20"/>
  <c r="AQ132" i="20"/>
  <c r="AR131" i="20"/>
  <c r="AQ131" i="20"/>
  <c r="AR130" i="20"/>
  <c r="AQ130" i="20"/>
  <c r="AR129" i="20"/>
  <c r="AQ129" i="20"/>
  <c r="AR128" i="20"/>
  <c r="AQ128" i="20"/>
  <c r="AR127" i="20"/>
  <c r="AQ127" i="20"/>
  <c r="AR126" i="20"/>
  <c r="AQ126" i="20"/>
  <c r="AR125" i="20"/>
  <c r="AQ125" i="20"/>
  <c r="AR124" i="20"/>
  <c r="AQ124" i="20"/>
  <c r="AR123" i="20"/>
  <c r="AQ123" i="20"/>
  <c r="AR122" i="20"/>
  <c r="AQ122" i="20"/>
  <c r="AR121" i="20"/>
  <c r="AQ121" i="20"/>
  <c r="AR120" i="20"/>
  <c r="AQ120" i="20"/>
  <c r="AR119" i="20"/>
  <c r="AQ119" i="20"/>
  <c r="AR118" i="20"/>
  <c r="AQ118" i="20"/>
  <c r="AR117" i="20"/>
  <c r="AQ117" i="20"/>
  <c r="AR116" i="20"/>
  <c r="AQ116" i="20"/>
  <c r="AR115" i="20"/>
  <c r="AQ115" i="20"/>
  <c r="AR114" i="20"/>
  <c r="AQ114" i="20"/>
  <c r="AR113" i="20"/>
  <c r="AQ113" i="20"/>
  <c r="AR112" i="20"/>
  <c r="AQ112" i="20"/>
  <c r="AR111" i="20"/>
  <c r="AQ111" i="20"/>
  <c r="AR110" i="20"/>
  <c r="AQ110" i="20"/>
  <c r="AR109" i="20"/>
  <c r="AQ109" i="20"/>
  <c r="AR108" i="20"/>
  <c r="AQ108" i="20"/>
  <c r="AR107" i="20"/>
  <c r="AQ107" i="20"/>
  <c r="AR106" i="20"/>
  <c r="AQ106" i="20"/>
  <c r="AR105" i="20"/>
  <c r="AQ105" i="20"/>
  <c r="AR104" i="20"/>
  <c r="AQ104" i="20"/>
  <c r="AR103" i="20"/>
  <c r="AQ103" i="20"/>
  <c r="AR102" i="20"/>
  <c r="AQ102" i="20"/>
  <c r="AR101" i="20"/>
  <c r="AQ101" i="20"/>
  <c r="AR100" i="20"/>
  <c r="AQ100" i="20"/>
  <c r="AR99" i="20"/>
  <c r="AQ99" i="20"/>
  <c r="AR98" i="20"/>
  <c r="AQ98" i="20"/>
  <c r="AR97" i="20"/>
  <c r="AQ97" i="20"/>
  <c r="AR96" i="20"/>
  <c r="AQ96" i="20"/>
  <c r="AR95" i="20"/>
  <c r="AQ95" i="20"/>
  <c r="AR94" i="20"/>
  <c r="AQ94" i="20"/>
  <c r="AR93" i="20"/>
  <c r="AQ93" i="20"/>
  <c r="AR92" i="20"/>
  <c r="AQ92" i="20"/>
  <c r="AR91" i="20"/>
  <c r="AQ91" i="20"/>
  <c r="AR90" i="20"/>
  <c r="AQ90" i="20"/>
  <c r="AR89" i="20"/>
  <c r="AQ89" i="20"/>
  <c r="AR88" i="20"/>
  <c r="AQ88" i="20"/>
  <c r="AR87" i="20"/>
  <c r="AQ87" i="20"/>
  <c r="AR86" i="20"/>
  <c r="AQ86" i="20"/>
  <c r="AR85" i="20"/>
  <c r="AQ85" i="20"/>
  <c r="AR84" i="20"/>
  <c r="AQ84" i="20"/>
  <c r="AR83" i="20"/>
  <c r="AQ83" i="20"/>
  <c r="AR82" i="20"/>
  <c r="AQ82" i="20"/>
  <c r="AR81" i="20"/>
  <c r="AQ81" i="20"/>
  <c r="AR80" i="20"/>
  <c r="AQ80" i="20"/>
  <c r="AR79" i="20"/>
  <c r="AQ79" i="20"/>
  <c r="AR78" i="20"/>
  <c r="AQ78" i="20"/>
  <c r="AR77" i="20"/>
  <c r="AQ77" i="20"/>
  <c r="AR76" i="20"/>
  <c r="AQ76" i="20"/>
  <c r="AR75" i="20"/>
  <c r="AQ75" i="20"/>
  <c r="AR74" i="20"/>
  <c r="AQ74" i="20"/>
  <c r="AR73" i="20"/>
  <c r="AQ73" i="20"/>
  <c r="AR72" i="20"/>
  <c r="AQ72" i="20"/>
  <c r="AR71" i="20"/>
  <c r="AQ71" i="20"/>
  <c r="AR70" i="20"/>
  <c r="AQ70" i="20"/>
  <c r="AR69" i="20"/>
  <c r="AQ69" i="20"/>
  <c r="AR68" i="20"/>
  <c r="AQ68" i="20"/>
  <c r="AR67" i="20"/>
  <c r="AQ67" i="20"/>
  <c r="AR66" i="20"/>
  <c r="AQ66" i="20"/>
  <c r="AR65" i="20"/>
  <c r="AQ65" i="20"/>
  <c r="AR64" i="20"/>
  <c r="AQ64" i="20"/>
  <c r="AR63" i="20"/>
  <c r="AQ63" i="20"/>
  <c r="AR62" i="20"/>
  <c r="AQ62" i="20"/>
  <c r="AR61" i="20"/>
  <c r="AQ61" i="20"/>
  <c r="AR60" i="20"/>
  <c r="AQ60" i="20"/>
  <c r="AR59" i="20"/>
  <c r="AQ59" i="20"/>
  <c r="AR58" i="20"/>
  <c r="AQ58" i="20"/>
  <c r="AR57" i="20"/>
  <c r="AQ57" i="20"/>
  <c r="AR56" i="20"/>
  <c r="AQ56" i="20"/>
  <c r="AR55" i="20"/>
  <c r="AQ55" i="20"/>
  <c r="AR54" i="20"/>
  <c r="AQ54" i="20"/>
  <c r="AR53" i="20"/>
  <c r="AQ53" i="20"/>
  <c r="AR52" i="20"/>
  <c r="AQ52" i="20"/>
  <c r="AR51" i="20"/>
  <c r="AQ51" i="20"/>
  <c r="AR50" i="20"/>
  <c r="AQ50" i="20"/>
  <c r="AR49" i="20"/>
  <c r="AQ49" i="20"/>
  <c r="AR48" i="20"/>
  <c r="AQ48" i="20"/>
  <c r="AR47" i="20"/>
  <c r="AQ47" i="20"/>
  <c r="AR46" i="20"/>
  <c r="AQ46" i="20"/>
  <c r="AR45" i="20"/>
  <c r="AQ45" i="20"/>
  <c r="AR44" i="20"/>
  <c r="AQ44" i="20"/>
  <c r="AR43" i="20"/>
  <c r="AQ43" i="20"/>
  <c r="AR42" i="20"/>
  <c r="AQ42" i="20"/>
  <c r="AR41" i="20"/>
  <c r="AQ41" i="20"/>
  <c r="AR40" i="20"/>
  <c r="AQ40" i="20"/>
  <c r="AR39" i="20"/>
  <c r="AQ39" i="20"/>
  <c r="AR38" i="20"/>
  <c r="AQ38" i="20"/>
  <c r="AR37" i="20"/>
  <c r="AQ37" i="20"/>
  <c r="AR36" i="20"/>
  <c r="AQ36" i="20"/>
  <c r="AR35" i="20"/>
  <c r="AQ35" i="20"/>
  <c r="AR34" i="20"/>
  <c r="AQ34" i="20"/>
  <c r="AR33" i="20"/>
  <c r="AQ33" i="20"/>
  <c r="AR32" i="20"/>
  <c r="AQ32" i="20"/>
  <c r="AR31" i="20"/>
  <c r="AQ31" i="20"/>
  <c r="AR30" i="20"/>
  <c r="AQ30" i="20"/>
  <c r="AR29" i="20"/>
  <c r="AQ29" i="20"/>
  <c r="AR28" i="20"/>
  <c r="AQ28" i="20"/>
  <c r="AR27" i="20"/>
  <c r="AQ27" i="20"/>
  <c r="AR26" i="20"/>
  <c r="AQ26" i="20"/>
  <c r="AR25" i="20"/>
  <c r="AQ25" i="20"/>
  <c r="AR24" i="20"/>
  <c r="AQ24" i="20"/>
  <c r="AR23" i="20"/>
  <c r="AQ23" i="20"/>
  <c r="AR22" i="20"/>
  <c r="AQ22" i="20"/>
  <c r="AR21" i="20"/>
  <c r="AQ21" i="20"/>
  <c r="AR20" i="20"/>
  <c r="AQ20" i="20"/>
  <c r="AR19" i="20"/>
  <c r="AQ19" i="20"/>
  <c r="AR18" i="20"/>
  <c r="AQ18" i="20"/>
  <c r="AR17" i="20"/>
  <c r="AQ17" i="20"/>
  <c r="AR16" i="20"/>
  <c r="AQ16" i="20"/>
  <c r="AR15" i="20"/>
  <c r="AQ15" i="20"/>
  <c r="AR14" i="20"/>
  <c r="AQ14" i="20"/>
  <c r="AF10" i="20"/>
  <c r="AI1229" i="20"/>
  <c r="AH1229" i="20"/>
  <c r="AI1228" i="20"/>
  <c r="AH1228" i="20"/>
  <c r="AI1227" i="20"/>
  <c r="AH1227" i="20"/>
  <c r="AI1226" i="20"/>
  <c r="AH1226" i="20"/>
  <c r="AI1225" i="20"/>
  <c r="AH1225" i="20"/>
  <c r="AI1224" i="20"/>
  <c r="AH1224" i="20"/>
  <c r="AI1223" i="20"/>
  <c r="AH1223" i="20"/>
  <c r="AI1222" i="20"/>
  <c r="AH1222" i="20"/>
  <c r="AI1221" i="20"/>
  <c r="AH1221" i="20"/>
  <c r="AI1220" i="20"/>
  <c r="AH1220" i="20"/>
  <c r="AI1219" i="20"/>
  <c r="AH1219" i="20"/>
  <c r="AI1218" i="20"/>
  <c r="AH1218" i="20"/>
  <c r="AI1217" i="20"/>
  <c r="AH1217" i="20"/>
  <c r="AI1216" i="20"/>
  <c r="AH1216" i="20"/>
  <c r="AI1215" i="20"/>
  <c r="AH1215" i="20"/>
  <c r="AI1214" i="20"/>
  <c r="AH1214" i="20"/>
  <c r="AI1213" i="20"/>
  <c r="AH1213" i="20"/>
  <c r="AI1212" i="20"/>
  <c r="AH1212" i="20"/>
  <c r="AI1211" i="20"/>
  <c r="AH1211" i="20"/>
  <c r="AI1210" i="20"/>
  <c r="AH1210" i="20"/>
  <c r="AI1209" i="20"/>
  <c r="AH1209" i="20"/>
  <c r="AI1208" i="20"/>
  <c r="AH1208" i="20"/>
  <c r="AI1207" i="20"/>
  <c r="AH1207" i="20"/>
  <c r="AI1206" i="20"/>
  <c r="AH1206" i="20"/>
  <c r="AI1205" i="20"/>
  <c r="AH1205" i="20"/>
  <c r="AI1204" i="20"/>
  <c r="AH1204" i="20"/>
  <c r="AI1203" i="20"/>
  <c r="AH1203" i="20"/>
  <c r="AI1202" i="20"/>
  <c r="AH1202" i="20"/>
  <c r="AI1201" i="20"/>
  <c r="AH1201" i="20"/>
  <c r="AI1200" i="20"/>
  <c r="AH1200" i="20"/>
  <c r="AI1199" i="20"/>
  <c r="AH1199" i="20"/>
  <c r="AI1198" i="20"/>
  <c r="AH1198" i="20"/>
  <c r="AI1197" i="20"/>
  <c r="AH1197" i="20"/>
  <c r="AI1196" i="20"/>
  <c r="AH1196" i="20"/>
  <c r="AI1195" i="20"/>
  <c r="AH1195" i="20"/>
  <c r="AI1194" i="20"/>
  <c r="AH1194" i="20"/>
  <c r="AI1193" i="20"/>
  <c r="AH1193" i="20"/>
  <c r="AI1192" i="20"/>
  <c r="AH1192" i="20"/>
  <c r="AI1191" i="20"/>
  <c r="AH1191" i="20"/>
  <c r="AI1190" i="20"/>
  <c r="AH1190" i="20"/>
  <c r="AI1189" i="20"/>
  <c r="AH1189" i="20"/>
  <c r="AI1188" i="20"/>
  <c r="AH1188" i="20"/>
  <c r="AI1187" i="20"/>
  <c r="AH1187" i="20"/>
  <c r="AI1186" i="20"/>
  <c r="AH1186" i="20"/>
  <c r="AI1185" i="20"/>
  <c r="AH1185" i="20"/>
  <c r="AI1184" i="20"/>
  <c r="AH1184" i="20"/>
  <c r="AI1183" i="20"/>
  <c r="AH1183" i="20"/>
  <c r="AI1182" i="20"/>
  <c r="AH1182" i="20"/>
  <c r="AI1181" i="20"/>
  <c r="AH1181" i="20"/>
  <c r="AI1180" i="20"/>
  <c r="AH1180" i="20"/>
  <c r="AI1179" i="20"/>
  <c r="AH1179" i="20"/>
  <c r="AI1178" i="20"/>
  <c r="AH1178" i="20"/>
  <c r="AI1177" i="20"/>
  <c r="AH1177" i="20"/>
  <c r="AI1176" i="20"/>
  <c r="AH1176" i="20"/>
  <c r="AI1175" i="20"/>
  <c r="AH1175" i="20"/>
  <c r="AI1174" i="20"/>
  <c r="AH1174" i="20"/>
  <c r="AI1173" i="20"/>
  <c r="AH1173" i="20"/>
  <c r="AI1172" i="20"/>
  <c r="AH1172" i="20"/>
  <c r="AI1171" i="20"/>
  <c r="AH1171" i="20"/>
  <c r="AI1170" i="20"/>
  <c r="AH1170" i="20"/>
  <c r="AI1169" i="20"/>
  <c r="AH1169" i="20"/>
  <c r="AI1168" i="20"/>
  <c r="AH1168" i="20"/>
  <c r="AI1167" i="20"/>
  <c r="AH1167" i="20"/>
  <c r="AI1166" i="20"/>
  <c r="AH1166" i="20"/>
  <c r="AI1165" i="20"/>
  <c r="AH1165" i="20"/>
  <c r="AI1164" i="20"/>
  <c r="AH1164" i="20"/>
  <c r="AI1163" i="20"/>
  <c r="AH1163" i="20"/>
  <c r="AI1162" i="20"/>
  <c r="AH1162" i="20"/>
  <c r="AI1161" i="20"/>
  <c r="AH1161" i="20"/>
  <c r="AI1160" i="20"/>
  <c r="AH1160" i="20"/>
  <c r="AI1159" i="20"/>
  <c r="AH1159" i="20"/>
  <c r="AI1158" i="20"/>
  <c r="AH1158" i="20"/>
  <c r="AI1157" i="20"/>
  <c r="AH1157" i="20"/>
  <c r="AI1156" i="20"/>
  <c r="AH1156" i="20"/>
  <c r="AI1155" i="20"/>
  <c r="AH1155" i="20"/>
  <c r="AI1154" i="20"/>
  <c r="AH1154" i="20"/>
  <c r="AI1153" i="20"/>
  <c r="AH1153" i="20"/>
  <c r="AI1152" i="20"/>
  <c r="AH1152" i="20"/>
  <c r="AI1151" i="20"/>
  <c r="AH1151" i="20"/>
  <c r="AI1150" i="20"/>
  <c r="AH1150" i="20"/>
  <c r="AI1149" i="20"/>
  <c r="AH1149" i="20"/>
  <c r="AI1148" i="20"/>
  <c r="AH1148" i="20"/>
  <c r="AI1147" i="20"/>
  <c r="AH1147" i="20"/>
  <c r="AI1146" i="20"/>
  <c r="AH1146" i="20"/>
  <c r="AI1145" i="20"/>
  <c r="AH1145" i="20"/>
  <c r="AI1144" i="20"/>
  <c r="AH1144" i="20"/>
  <c r="AI1143" i="20"/>
  <c r="AH1143" i="20"/>
  <c r="AI1142" i="20"/>
  <c r="AH1142" i="20"/>
  <c r="AI1141" i="20"/>
  <c r="AH1141" i="20"/>
  <c r="AI1140" i="20"/>
  <c r="AH1140" i="20"/>
  <c r="AI1139" i="20"/>
  <c r="AH1139" i="20"/>
  <c r="AI1138" i="20"/>
  <c r="AH1138" i="20"/>
  <c r="AI1137" i="20"/>
  <c r="AH1137" i="20"/>
  <c r="AI1136" i="20"/>
  <c r="AH1136" i="20"/>
  <c r="AI1135" i="20"/>
  <c r="AH1135" i="20"/>
  <c r="AI1134" i="20"/>
  <c r="AH1134" i="20"/>
  <c r="AI1133" i="20"/>
  <c r="AH1133" i="20"/>
  <c r="AI1132" i="20"/>
  <c r="AH1132" i="20"/>
  <c r="AI1131" i="20"/>
  <c r="AH1131" i="20"/>
  <c r="AI1130" i="20"/>
  <c r="AH1130" i="20"/>
  <c r="AI1129" i="20"/>
  <c r="AH1129" i="20"/>
  <c r="AI1128" i="20"/>
  <c r="AH1128" i="20"/>
  <c r="AI1127" i="20"/>
  <c r="AH1127" i="20"/>
  <c r="AI1126" i="20"/>
  <c r="AH1126" i="20"/>
  <c r="AI1125" i="20"/>
  <c r="AH1125" i="20"/>
  <c r="AI1124" i="20"/>
  <c r="AH1124" i="20"/>
  <c r="AI1123" i="20"/>
  <c r="AH1123" i="20"/>
  <c r="AI1122" i="20"/>
  <c r="AH1122" i="20"/>
  <c r="AI1121" i="20"/>
  <c r="AH1121" i="20"/>
  <c r="AI1120" i="20"/>
  <c r="AH1120" i="20"/>
  <c r="AI1119" i="20"/>
  <c r="AH1119" i="20"/>
  <c r="AI1118" i="20"/>
  <c r="AH1118" i="20"/>
  <c r="AI1117" i="20"/>
  <c r="AH1117" i="20"/>
  <c r="AI1116" i="20"/>
  <c r="AH1116" i="20"/>
  <c r="AI1115" i="20"/>
  <c r="AH1115" i="20"/>
  <c r="AI1114" i="20"/>
  <c r="AH1114" i="20"/>
  <c r="AI1113" i="20"/>
  <c r="AH1113" i="20"/>
  <c r="AI1112" i="20"/>
  <c r="AH1112" i="20"/>
  <c r="AI1111" i="20"/>
  <c r="AH1111" i="20"/>
  <c r="AI1110" i="20"/>
  <c r="AH1110" i="20"/>
  <c r="AI1109" i="20"/>
  <c r="AH1109" i="20"/>
  <c r="AI1108" i="20"/>
  <c r="AH1108" i="20"/>
  <c r="AI1107" i="20"/>
  <c r="AH1107" i="20"/>
  <c r="AI1106" i="20"/>
  <c r="AH1106" i="20"/>
  <c r="AI1105" i="20"/>
  <c r="AH1105" i="20"/>
  <c r="AI1104" i="20"/>
  <c r="AH1104" i="20"/>
  <c r="AI1103" i="20"/>
  <c r="AH1103" i="20"/>
  <c r="AI1102" i="20"/>
  <c r="AH1102" i="20"/>
  <c r="AI1101" i="20"/>
  <c r="AH1101" i="20"/>
  <c r="AI1100" i="20"/>
  <c r="AH1100" i="20"/>
  <c r="AI1099" i="20"/>
  <c r="AH1099" i="20"/>
  <c r="AI1098" i="20"/>
  <c r="AH1098" i="20"/>
  <c r="AI1097" i="20"/>
  <c r="AH1097" i="20"/>
  <c r="AI1096" i="20"/>
  <c r="AH1096" i="20"/>
  <c r="AI1095" i="20"/>
  <c r="AH1095" i="20"/>
  <c r="AI1094" i="20"/>
  <c r="AH1094" i="20"/>
  <c r="AI1093" i="20"/>
  <c r="AH1093" i="20"/>
  <c r="AI1092" i="20"/>
  <c r="AH1092" i="20"/>
  <c r="AI1091" i="20"/>
  <c r="AH1091" i="20"/>
  <c r="AI1090" i="20"/>
  <c r="AH1090" i="20"/>
  <c r="AI1089" i="20"/>
  <c r="AH1089" i="20"/>
  <c r="AI1088" i="20"/>
  <c r="AH1088" i="20"/>
  <c r="AI1087" i="20"/>
  <c r="AH1087" i="20"/>
  <c r="AI1086" i="20"/>
  <c r="AH1086" i="20"/>
  <c r="AI1085" i="20"/>
  <c r="AH1085" i="20"/>
  <c r="AI1084" i="20"/>
  <c r="AH1084" i="20"/>
  <c r="AI1083" i="20"/>
  <c r="AH1083" i="20"/>
  <c r="AI1082" i="20"/>
  <c r="AH1082" i="20"/>
  <c r="AI1081" i="20"/>
  <c r="AH1081" i="20"/>
  <c r="AI1080" i="20"/>
  <c r="AH1080" i="20"/>
  <c r="AI1079" i="20"/>
  <c r="AH1079" i="20"/>
  <c r="AI1078" i="20"/>
  <c r="AH1078" i="20"/>
  <c r="AI1077" i="20"/>
  <c r="AH1077" i="20"/>
  <c r="AI1076" i="20"/>
  <c r="AH1076" i="20"/>
  <c r="AI1075" i="20"/>
  <c r="AH1075" i="20"/>
  <c r="AI1074" i="20"/>
  <c r="AH1074" i="20"/>
  <c r="AI1073" i="20"/>
  <c r="AH1073" i="20"/>
  <c r="AI1072" i="20"/>
  <c r="AH1072" i="20"/>
  <c r="AI1071" i="20"/>
  <c r="AH1071" i="20"/>
  <c r="AI1070" i="20"/>
  <c r="AH1070" i="20"/>
  <c r="AI1069" i="20"/>
  <c r="AH1069" i="20"/>
  <c r="AI1068" i="20"/>
  <c r="AH1068" i="20"/>
  <c r="AI1067" i="20"/>
  <c r="AH1067" i="20"/>
  <c r="AI1066" i="20"/>
  <c r="AH1066" i="20"/>
  <c r="AI1065" i="20"/>
  <c r="AH1065" i="20"/>
  <c r="AI1064" i="20"/>
  <c r="AH1064" i="20"/>
  <c r="AI1063" i="20"/>
  <c r="AH1063" i="20"/>
  <c r="AI1062" i="20"/>
  <c r="AH1062" i="20"/>
  <c r="AI1061" i="20"/>
  <c r="AH1061" i="20"/>
  <c r="AI1060" i="20"/>
  <c r="AH1060" i="20"/>
  <c r="AI1059" i="20"/>
  <c r="AH1059" i="20"/>
  <c r="AI1058" i="20"/>
  <c r="AH1058" i="20"/>
  <c r="AI1057" i="20"/>
  <c r="AH1057" i="20"/>
  <c r="AI1056" i="20"/>
  <c r="AH1056" i="20"/>
  <c r="AI1055" i="20"/>
  <c r="AH1055" i="20"/>
  <c r="AI1054" i="20"/>
  <c r="AH1054" i="20"/>
  <c r="AI1053" i="20"/>
  <c r="AH1053" i="20"/>
  <c r="AI1052" i="20"/>
  <c r="AH1052" i="20"/>
  <c r="AI1051" i="20"/>
  <c r="AH1051" i="20"/>
  <c r="AI1050" i="20"/>
  <c r="AH1050" i="20"/>
  <c r="AI1049" i="20"/>
  <c r="AH1049" i="20"/>
  <c r="AI1048" i="20"/>
  <c r="AH1048" i="20"/>
  <c r="AI1047" i="20"/>
  <c r="AH1047" i="20"/>
  <c r="AI1046" i="20"/>
  <c r="AH1046" i="20"/>
  <c r="AI1045" i="20"/>
  <c r="AH1045" i="20"/>
  <c r="AI1044" i="20"/>
  <c r="AH1044" i="20"/>
  <c r="AI1043" i="20"/>
  <c r="AH1043" i="20"/>
  <c r="AI1042" i="20"/>
  <c r="AH1042" i="20"/>
  <c r="AI1041" i="20"/>
  <c r="AH1041" i="20"/>
  <c r="AI1040" i="20"/>
  <c r="AH1040" i="20"/>
  <c r="AI1039" i="20"/>
  <c r="AH1039" i="20"/>
  <c r="AI1038" i="20"/>
  <c r="AH1038" i="20"/>
  <c r="AI1037" i="20"/>
  <c r="AH1037" i="20"/>
  <c r="AI1036" i="20"/>
  <c r="AH1036" i="20"/>
  <c r="AI1035" i="20"/>
  <c r="AH1035" i="20"/>
  <c r="AI1034" i="20"/>
  <c r="AH1034" i="20"/>
  <c r="AI1033" i="20"/>
  <c r="AH1033" i="20"/>
  <c r="AI1032" i="20"/>
  <c r="AH1032" i="20"/>
  <c r="AI1031" i="20"/>
  <c r="AH1031" i="20"/>
  <c r="AI1030" i="20"/>
  <c r="AH1030" i="20"/>
  <c r="AI1029" i="20"/>
  <c r="AH1029" i="20"/>
  <c r="AI1028" i="20"/>
  <c r="AH1028" i="20"/>
  <c r="AI1027" i="20"/>
  <c r="AH1027" i="20"/>
  <c r="AI1026" i="20"/>
  <c r="AH1026" i="20"/>
  <c r="AI1025" i="20"/>
  <c r="AH1025" i="20"/>
  <c r="AI1024" i="20"/>
  <c r="AH1024" i="20"/>
  <c r="AI1023" i="20"/>
  <c r="AH1023" i="20"/>
  <c r="AI1022" i="20"/>
  <c r="AH1022" i="20"/>
  <c r="AI1021" i="20"/>
  <c r="AH1021" i="20"/>
  <c r="AI1020" i="20"/>
  <c r="AH1020" i="20"/>
  <c r="AI1019" i="20"/>
  <c r="AH1019" i="20"/>
  <c r="AI1018" i="20"/>
  <c r="AH1018" i="20"/>
  <c r="AI1017" i="20"/>
  <c r="AH1017" i="20"/>
  <c r="AI1016" i="20"/>
  <c r="AH1016" i="20"/>
  <c r="AI1015" i="20"/>
  <c r="AH1015" i="20"/>
  <c r="AI1014" i="20"/>
  <c r="AH1014" i="20"/>
  <c r="AI1013" i="20"/>
  <c r="AH1013" i="20"/>
  <c r="AI1012" i="20"/>
  <c r="AH1012" i="20"/>
  <c r="AI1011" i="20"/>
  <c r="AH1011" i="20"/>
  <c r="AI1010" i="20"/>
  <c r="AH1010" i="20"/>
  <c r="AI1009" i="20"/>
  <c r="AH1009" i="20"/>
  <c r="AI1008" i="20"/>
  <c r="AH1008" i="20"/>
  <c r="AI1007" i="20"/>
  <c r="AH1007" i="20"/>
  <c r="AI1006" i="20"/>
  <c r="AH1006" i="20"/>
  <c r="AI1005" i="20"/>
  <c r="AH1005" i="20"/>
  <c r="AI1004" i="20"/>
  <c r="AH1004" i="20"/>
  <c r="AI1003" i="20"/>
  <c r="AH1003" i="20"/>
  <c r="AI1002" i="20"/>
  <c r="AH1002" i="20"/>
  <c r="AI1001" i="20"/>
  <c r="AH1001" i="20"/>
  <c r="AI1000" i="20"/>
  <c r="AH1000" i="20"/>
  <c r="AI999" i="20"/>
  <c r="AH999" i="20"/>
  <c r="AI998" i="20"/>
  <c r="AH998" i="20"/>
  <c r="AI997" i="20"/>
  <c r="AH997" i="20"/>
  <c r="AI996" i="20"/>
  <c r="AH996" i="20"/>
  <c r="AI995" i="20"/>
  <c r="AH995" i="20"/>
  <c r="AI994" i="20"/>
  <c r="AH994" i="20"/>
  <c r="AI993" i="20"/>
  <c r="AH993" i="20"/>
  <c r="AI992" i="20"/>
  <c r="AH992" i="20"/>
  <c r="AI991" i="20"/>
  <c r="AH991" i="20"/>
  <c r="AI990" i="20"/>
  <c r="AH990" i="20"/>
  <c r="AI989" i="20"/>
  <c r="AH989" i="20"/>
  <c r="AI988" i="20"/>
  <c r="AH988" i="20"/>
  <c r="AI987" i="20"/>
  <c r="AH987" i="20"/>
  <c r="AI986" i="20"/>
  <c r="AH986" i="20"/>
  <c r="AI985" i="20"/>
  <c r="AH985" i="20"/>
  <c r="AI984" i="20"/>
  <c r="AH984" i="20"/>
  <c r="AI983" i="20"/>
  <c r="AH983" i="20"/>
  <c r="AI982" i="20"/>
  <c r="AH982" i="20"/>
  <c r="AI981" i="20"/>
  <c r="AH981" i="20"/>
  <c r="AI980" i="20"/>
  <c r="AH980" i="20"/>
  <c r="AI979" i="20"/>
  <c r="AH979" i="20"/>
  <c r="AI978" i="20"/>
  <c r="AH978" i="20"/>
  <c r="AI977" i="20"/>
  <c r="AH977" i="20"/>
  <c r="AI976" i="20"/>
  <c r="AH976" i="20"/>
  <c r="AI975" i="20"/>
  <c r="AH975" i="20"/>
  <c r="AI974" i="20"/>
  <c r="AH974" i="20"/>
  <c r="AI973" i="20"/>
  <c r="AH973" i="20"/>
  <c r="AI972" i="20"/>
  <c r="AH972" i="20"/>
  <c r="AI971" i="20"/>
  <c r="AH971" i="20"/>
  <c r="AI970" i="20"/>
  <c r="AH970" i="20"/>
  <c r="AI969" i="20"/>
  <c r="AH969" i="20"/>
  <c r="AI968" i="20"/>
  <c r="AH968" i="20"/>
  <c r="AI967" i="20"/>
  <c r="AH967" i="20"/>
  <c r="AI966" i="20"/>
  <c r="AH966" i="20"/>
  <c r="AI965" i="20"/>
  <c r="AH965" i="20"/>
  <c r="AI964" i="20"/>
  <c r="AH964" i="20"/>
  <c r="AI963" i="20"/>
  <c r="AH963" i="20"/>
  <c r="AI962" i="20"/>
  <c r="AH962" i="20"/>
  <c r="AI961" i="20"/>
  <c r="AH961" i="20"/>
  <c r="AI960" i="20"/>
  <c r="AH960" i="20"/>
  <c r="AI959" i="20"/>
  <c r="AH959" i="20"/>
  <c r="AI958" i="20"/>
  <c r="AH958" i="20"/>
  <c r="AI957" i="20"/>
  <c r="AH957" i="20"/>
  <c r="AI956" i="20"/>
  <c r="AH956" i="20"/>
  <c r="AI955" i="20"/>
  <c r="AH955" i="20"/>
  <c r="AI954" i="20"/>
  <c r="AH954" i="20"/>
  <c r="AI953" i="20"/>
  <c r="AH953" i="20"/>
  <c r="AI952" i="20"/>
  <c r="AH952" i="20"/>
  <c r="AI951" i="20"/>
  <c r="AH951" i="20"/>
  <c r="AI950" i="20"/>
  <c r="AH950" i="20"/>
  <c r="AI949" i="20"/>
  <c r="AH949" i="20"/>
  <c r="AI948" i="20"/>
  <c r="AH948" i="20"/>
  <c r="AI947" i="20"/>
  <c r="AH947" i="20"/>
  <c r="AI946" i="20"/>
  <c r="AH946" i="20"/>
  <c r="AI945" i="20"/>
  <c r="AH945" i="20"/>
  <c r="AI944" i="20"/>
  <c r="AH944" i="20"/>
  <c r="AI943" i="20"/>
  <c r="AH943" i="20"/>
  <c r="AI942" i="20"/>
  <c r="AH942" i="20"/>
  <c r="AI941" i="20"/>
  <c r="AH941" i="20"/>
  <c r="AI940" i="20"/>
  <c r="AH940" i="20"/>
  <c r="AI939" i="20"/>
  <c r="AH939" i="20"/>
  <c r="AI938" i="20"/>
  <c r="AH938" i="20"/>
  <c r="AI937" i="20"/>
  <c r="AH937" i="20"/>
  <c r="AI936" i="20"/>
  <c r="AH936" i="20"/>
  <c r="AI935" i="20"/>
  <c r="AH935" i="20"/>
  <c r="AI934" i="20"/>
  <c r="AH934" i="20"/>
  <c r="AI933" i="20"/>
  <c r="AH933" i="20"/>
  <c r="AI932" i="20"/>
  <c r="AH932" i="20"/>
  <c r="AI931" i="20"/>
  <c r="AH931" i="20"/>
  <c r="AI930" i="20"/>
  <c r="AH930" i="20"/>
  <c r="AI929" i="20"/>
  <c r="AH929" i="20"/>
  <c r="AI928" i="20"/>
  <c r="AH928" i="20"/>
  <c r="AI927" i="20"/>
  <c r="AH927" i="20"/>
  <c r="AI926" i="20"/>
  <c r="AH926" i="20"/>
  <c r="AI925" i="20"/>
  <c r="AH925" i="20"/>
  <c r="AI924" i="20"/>
  <c r="AH924" i="20"/>
  <c r="AI923" i="20"/>
  <c r="AH923" i="20"/>
  <c r="AI922" i="20"/>
  <c r="AH922" i="20"/>
  <c r="AI921" i="20"/>
  <c r="AH921" i="20"/>
  <c r="AI920" i="20"/>
  <c r="AH920" i="20"/>
  <c r="AI919" i="20"/>
  <c r="AH919" i="20"/>
  <c r="AI918" i="20"/>
  <c r="AH918" i="20"/>
  <c r="AI917" i="20"/>
  <c r="AH917" i="20"/>
  <c r="AI916" i="20"/>
  <c r="AH916" i="20"/>
  <c r="AI915" i="20"/>
  <c r="AH915" i="20"/>
  <c r="AI914" i="20"/>
  <c r="AH914" i="20"/>
  <c r="AI913" i="20"/>
  <c r="AH913" i="20"/>
  <c r="AI912" i="20"/>
  <c r="AH912" i="20"/>
  <c r="AI911" i="20"/>
  <c r="AH911" i="20"/>
  <c r="AI910" i="20"/>
  <c r="AH910" i="20"/>
  <c r="AI909" i="20"/>
  <c r="AH909" i="20"/>
  <c r="AI908" i="20"/>
  <c r="AH908" i="20"/>
  <c r="AI907" i="20"/>
  <c r="AH907" i="20"/>
  <c r="AI906" i="20"/>
  <c r="AH906" i="20"/>
  <c r="AI905" i="20"/>
  <c r="AH905" i="20"/>
  <c r="AI904" i="20"/>
  <c r="AH904" i="20"/>
  <c r="AI903" i="20"/>
  <c r="AH903" i="20"/>
  <c r="AI902" i="20"/>
  <c r="AH902" i="20"/>
  <c r="AI901" i="20"/>
  <c r="AH901" i="20"/>
  <c r="AI900" i="20"/>
  <c r="AH900" i="20"/>
  <c r="AI899" i="20"/>
  <c r="AH899" i="20"/>
  <c r="AI898" i="20"/>
  <c r="AH898" i="20"/>
  <c r="AI897" i="20"/>
  <c r="AH897" i="20"/>
  <c r="AI896" i="20"/>
  <c r="AH896" i="20"/>
  <c r="AI895" i="20"/>
  <c r="AH895" i="20"/>
  <c r="AI894" i="20"/>
  <c r="AH894" i="20"/>
  <c r="AI893" i="20"/>
  <c r="AH893" i="20"/>
  <c r="AI892" i="20"/>
  <c r="AH892" i="20"/>
  <c r="AI891" i="20"/>
  <c r="AH891" i="20"/>
  <c r="AI890" i="20"/>
  <c r="AH890" i="20"/>
  <c r="AI889" i="20"/>
  <c r="AH889" i="20"/>
  <c r="AI888" i="20"/>
  <c r="AH888" i="20"/>
  <c r="AI887" i="20"/>
  <c r="AH887" i="20"/>
  <c r="AI886" i="20"/>
  <c r="AH886" i="20"/>
  <c r="AI885" i="20"/>
  <c r="AH885" i="20"/>
  <c r="AI884" i="20"/>
  <c r="AH884" i="20"/>
  <c r="AI883" i="20"/>
  <c r="AH883" i="20"/>
  <c r="AI882" i="20"/>
  <c r="AH882" i="20"/>
  <c r="AI881" i="20"/>
  <c r="AH881" i="20"/>
  <c r="AI880" i="20"/>
  <c r="AH880" i="20"/>
  <c r="AI879" i="20"/>
  <c r="AH879" i="20"/>
  <c r="AI878" i="20"/>
  <c r="AH878" i="20"/>
  <c r="AI877" i="20"/>
  <c r="AH877" i="20"/>
  <c r="AI876" i="20"/>
  <c r="AH876" i="20"/>
  <c r="AI875" i="20"/>
  <c r="AH875" i="20"/>
  <c r="AI874" i="20"/>
  <c r="AH874" i="20"/>
  <c r="AI873" i="20"/>
  <c r="AH873" i="20"/>
  <c r="AI872" i="20"/>
  <c r="AH872" i="20"/>
  <c r="AI871" i="20"/>
  <c r="AH871" i="20"/>
  <c r="AI870" i="20"/>
  <c r="AH870" i="20"/>
  <c r="AI869" i="20"/>
  <c r="AH869" i="20"/>
  <c r="AI868" i="20"/>
  <c r="AH868" i="20"/>
  <c r="AI867" i="20"/>
  <c r="AH867" i="20"/>
  <c r="AI866" i="20"/>
  <c r="AH866" i="20"/>
  <c r="AI865" i="20"/>
  <c r="AH865" i="20"/>
  <c r="AI864" i="20"/>
  <c r="AH864" i="20"/>
  <c r="AI863" i="20"/>
  <c r="AH863" i="20"/>
  <c r="AI862" i="20"/>
  <c r="AH862" i="20"/>
  <c r="AI861" i="20"/>
  <c r="AH861" i="20"/>
  <c r="AI860" i="20"/>
  <c r="AH860" i="20"/>
  <c r="AI859" i="20"/>
  <c r="AH859" i="20"/>
  <c r="AI858" i="20"/>
  <c r="AH858" i="20"/>
  <c r="AI857" i="20"/>
  <c r="AH857" i="20"/>
  <c r="AI856" i="20"/>
  <c r="AH856" i="20"/>
  <c r="AI855" i="20"/>
  <c r="AH855" i="20"/>
  <c r="AI854" i="20"/>
  <c r="AH854" i="20"/>
  <c r="AI853" i="20"/>
  <c r="AH853" i="20"/>
  <c r="AI852" i="20"/>
  <c r="AH852" i="20"/>
  <c r="AI851" i="20"/>
  <c r="AH851" i="20"/>
  <c r="AI850" i="20"/>
  <c r="AH850" i="20"/>
  <c r="AI849" i="20"/>
  <c r="AH849" i="20"/>
  <c r="AI848" i="20"/>
  <c r="AH848" i="20"/>
  <c r="AI847" i="20"/>
  <c r="AH847" i="20"/>
  <c r="AI846" i="20"/>
  <c r="AH846" i="20"/>
  <c r="AI845" i="20"/>
  <c r="AH845" i="20"/>
  <c r="AI844" i="20"/>
  <c r="AH844" i="20"/>
  <c r="AI843" i="20"/>
  <c r="AH843" i="20"/>
  <c r="AI842" i="20"/>
  <c r="AH842" i="20"/>
  <c r="AI841" i="20"/>
  <c r="AH841" i="20"/>
  <c r="AI840" i="20"/>
  <c r="AH840" i="20"/>
  <c r="AI839" i="20"/>
  <c r="AH839" i="20"/>
  <c r="AI838" i="20"/>
  <c r="AH838" i="20"/>
  <c r="AI837" i="20"/>
  <c r="AH837" i="20"/>
  <c r="AI836" i="20"/>
  <c r="AH836" i="20"/>
  <c r="AI835" i="20"/>
  <c r="AH835" i="20"/>
  <c r="AI834" i="20"/>
  <c r="AH834" i="20"/>
  <c r="AI833" i="20"/>
  <c r="AH833" i="20"/>
  <c r="AI832" i="20"/>
  <c r="AH832" i="20"/>
  <c r="AI831" i="20"/>
  <c r="AH831" i="20"/>
  <c r="AI830" i="20"/>
  <c r="AH830" i="20"/>
  <c r="AI829" i="20"/>
  <c r="AH829" i="20"/>
  <c r="AI828" i="20"/>
  <c r="AH828" i="20"/>
  <c r="AI827" i="20"/>
  <c r="AH827" i="20"/>
  <c r="AI826" i="20"/>
  <c r="AH826" i="20"/>
  <c r="AI825" i="20"/>
  <c r="AH825" i="20"/>
  <c r="AI824" i="20"/>
  <c r="AH824" i="20"/>
  <c r="AI823" i="20"/>
  <c r="AH823" i="20"/>
  <c r="AI822" i="20"/>
  <c r="AH822" i="20"/>
  <c r="AI821" i="20"/>
  <c r="AH821" i="20"/>
  <c r="AI820" i="20"/>
  <c r="AH820" i="20"/>
  <c r="AI819" i="20"/>
  <c r="AH819" i="20"/>
  <c r="AI818" i="20"/>
  <c r="AH818" i="20"/>
  <c r="AI817" i="20"/>
  <c r="AH817" i="20"/>
  <c r="AI816" i="20"/>
  <c r="AH816" i="20"/>
  <c r="AI815" i="20"/>
  <c r="AH815" i="20"/>
  <c r="AI814" i="20"/>
  <c r="AH814" i="20"/>
  <c r="AI813" i="20"/>
  <c r="AH813" i="20"/>
  <c r="AI812" i="20"/>
  <c r="AH812" i="20"/>
  <c r="AI811" i="20"/>
  <c r="AH811" i="20"/>
  <c r="AI810" i="20"/>
  <c r="AH810" i="20"/>
  <c r="AI809" i="20"/>
  <c r="AH809" i="20"/>
  <c r="AI808" i="20"/>
  <c r="AH808" i="20"/>
  <c r="AI807" i="20"/>
  <c r="AH807" i="20"/>
  <c r="AI806" i="20"/>
  <c r="AH806" i="20"/>
  <c r="AI805" i="20"/>
  <c r="AH805" i="20"/>
  <c r="AI804" i="20"/>
  <c r="AH804" i="20"/>
  <c r="AI803" i="20"/>
  <c r="AH803" i="20"/>
  <c r="AI802" i="20"/>
  <c r="AH802" i="20"/>
  <c r="AI801" i="20"/>
  <c r="AH801" i="20"/>
  <c r="AI800" i="20"/>
  <c r="AH800" i="20"/>
  <c r="AI799" i="20"/>
  <c r="AH799" i="20"/>
  <c r="AI798" i="20"/>
  <c r="AH798" i="20"/>
  <c r="AI797" i="20"/>
  <c r="AH797" i="20"/>
  <c r="AI796" i="20"/>
  <c r="AH796" i="20"/>
  <c r="AI795" i="20"/>
  <c r="AH795" i="20"/>
  <c r="AI794" i="20"/>
  <c r="AH794" i="20"/>
  <c r="AI793" i="20"/>
  <c r="AH793" i="20"/>
  <c r="AI792" i="20"/>
  <c r="AH792" i="20"/>
  <c r="AI791" i="20"/>
  <c r="AH791" i="20"/>
  <c r="AI790" i="20"/>
  <c r="AH790" i="20"/>
  <c r="AI789" i="20"/>
  <c r="AH789" i="20"/>
  <c r="AI788" i="20"/>
  <c r="AH788" i="20"/>
  <c r="AI787" i="20"/>
  <c r="AH787" i="20"/>
  <c r="AI786" i="20"/>
  <c r="AH786" i="20"/>
  <c r="AI785" i="20"/>
  <c r="AH785" i="20"/>
  <c r="AI784" i="20"/>
  <c r="AH784" i="20"/>
  <c r="AI783" i="20"/>
  <c r="AH783" i="20"/>
  <c r="AI782" i="20"/>
  <c r="AH782" i="20"/>
  <c r="AI781" i="20"/>
  <c r="AH781" i="20"/>
  <c r="AI780" i="20"/>
  <c r="AH780" i="20"/>
  <c r="AI779" i="20"/>
  <c r="AH779" i="20"/>
  <c r="AI778" i="20"/>
  <c r="AH778" i="20"/>
  <c r="AI777" i="20"/>
  <c r="AH777" i="20"/>
  <c r="AI776" i="20"/>
  <c r="AH776" i="20"/>
  <c r="AI775" i="20"/>
  <c r="AH775" i="20"/>
  <c r="AI774" i="20"/>
  <c r="AH774" i="20"/>
  <c r="AI773" i="20"/>
  <c r="AH773" i="20"/>
  <c r="AI772" i="20"/>
  <c r="AH772" i="20"/>
  <c r="AI771" i="20"/>
  <c r="AH771" i="20"/>
  <c r="AI770" i="20"/>
  <c r="AH770" i="20"/>
  <c r="AI769" i="20"/>
  <c r="AH769" i="20"/>
  <c r="AI768" i="20"/>
  <c r="AH768" i="20"/>
  <c r="AI767" i="20"/>
  <c r="AH767" i="20"/>
  <c r="AI766" i="20"/>
  <c r="AH766" i="20"/>
  <c r="AI765" i="20"/>
  <c r="AH765" i="20"/>
  <c r="AI764" i="20"/>
  <c r="AH764" i="20"/>
  <c r="AI763" i="20"/>
  <c r="AH763" i="20"/>
  <c r="AI762" i="20"/>
  <c r="AH762" i="20"/>
  <c r="AI761" i="20"/>
  <c r="AH761" i="20"/>
  <c r="AI760" i="20"/>
  <c r="AH760" i="20"/>
  <c r="AI759" i="20"/>
  <c r="AH759" i="20"/>
  <c r="AI758" i="20"/>
  <c r="AH758" i="20"/>
  <c r="AI757" i="20"/>
  <c r="AH757" i="20"/>
  <c r="AI756" i="20"/>
  <c r="AH756" i="20"/>
  <c r="AI755" i="20"/>
  <c r="AH755" i="20"/>
  <c r="AI754" i="20"/>
  <c r="AH754" i="20"/>
  <c r="AI753" i="20"/>
  <c r="AH753" i="20"/>
  <c r="AI752" i="20"/>
  <c r="AH752" i="20"/>
  <c r="AI751" i="20"/>
  <c r="AH751" i="20"/>
  <c r="AI750" i="20"/>
  <c r="AH750" i="20"/>
  <c r="AI749" i="20"/>
  <c r="AH749" i="20"/>
  <c r="AI748" i="20"/>
  <c r="AH748" i="20"/>
  <c r="AI747" i="20"/>
  <c r="AH747" i="20"/>
  <c r="AI746" i="20"/>
  <c r="AH746" i="20"/>
  <c r="AI745" i="20"/>
  <c r="AH745" i="20"/>
  <c r="AI744" i="20"/>
  <c r="AH744" i="20"/>
  <c r="AI743" i="20"/>
  <c r="AH743" i="20"/>
  <c r="AI742" i="20"/>
  <c r="AH742" i="20"/>
  <c r="AI741" i="20"/>
  <c r="AH741" i="20"/>
  <c r="AI740" i="20"/>
  <c r="AH740" i="20"/>
  <c r="AI739" i="20"/>
  <c r="AH739" i="20"/>
  <c r="AI738" i="20"/>
  <c r="AH738" i="20"/>
  <c r="AI737" i="20"/>
  <c r="AH737" i="20"/>
  <c r="AI736" i="20"/>
  <c r="AH736" i="20"/>
  <c r="AI735" i="20"/>
  <c r="AH735" i="20"/>
  <c r="AI734" i="20"/>
  <c r="AH734" i="20"/>
  <c r="AI733" i="20"/>
  <c r="AH733" i="20"/>
  <c r="AI732" i="20"/>
  <c r="AH732" i="20"/>
  <c r="AI731" i="20"/>
  <c r="AH731" i="20"/>
  <c r="AI730" i="20"/>
  <c r="AH730" i="20"/>
  <c r="AI729" i="20"/>
  <c r="AH729" i="20"/>
  <c r="AI728" i="20"/>
  <c r="AH728" i="20"/>
  <c r="AI727" i="20"/>
  <c r="AH727" i="20"/>
  <c r="AI726" i="20"/>
  <c r="AH726" i="20"/>
  <c r="AI725" i="20"/>
  <c r="AH725" i="20"/>
  <c r="AI724" i="20"/>
  <c r="AH724" i="20"/>
  <c r="AI723" i="20"/>
  <c r="AH723" i="20"/>
  <c r="AI722" i="20"/>
  <c r="AH722" i="20"/>
  <c r="AI721" i="20"/>
  <c r="AH721" i="20"/>
  <c r="AI720" i="20"/>
  <c r="AH720" i="20"/>
  <c r="AI719" i="20"/>
  <c r="AH719" i="20"/>
  <c r="AI718" i="20"/>
  <c r="AH718" i="20"/>
  <c r="AI717" i="20"/>
  <c r="AH717" i="20"/>
  <c r="AI716" i="20"/>
  <c r="AH716" i="20"/>
  <c r="AI715" i="20"/>
  <c r="AH715" i="20"/>
  <c r="AI714" i="20"/>
  <c r="AH714" i="20"/>
  <c r="AI713" i="20"/>
  <c r="AH713" i="20"/>
  <c r="AI712" i="20"/>
  <c r="AH712" i="20"/>
  <c r="AI711" i="20"/>
  <c r="AH711" i="20"/>
  <c r="AI710" i="20"/>
  <c r="AH710" i="20"/>
  <c r="AI709" i="20"/>
  <c r="AH709" i="20"/>
  <c r="AI708" i="20"/>
  <c r="AH708" i="20"/>
  <c r="AI707" i="20"/>
  <c r="AH707" i="20"/>
  <c r="AI706" i="20"/>
  <c r="AH706" i="20"/>
  <c r="AI705" i="20"/>
  <c r="AH705" i="20"/>
  <c r="AI704" i="20"/>
  <c r="AH704" i="20"/>
  <c r="AI703" i="20"/>
  <c r="AH703" i="20"/>
  <c r="AI702" i="20"/>
  <c r="AH702" i="20"/>
  <c r="AI701" i="20"/>
  <c r="AH701" i="20"/>
  <c r="AI700" i="20"/>
  <c r="AH700" i="20"/>
  <c r="AI699" i="20"/>
  <c r="AH699" i="20"/>
  <c r="AI698" i="20"/>
  <c r="AH698" i="20"/>
  <c r="AI697" i="20"/>
  <c r="AH697" i="20"/>
  <c r="AI696" i="20"/>
  <c r="AH696" i="20"/>
  <c r="AI695" i="20"/>
  <c r="AH695" i="20"/>
  <c r="AI694" i="20"/>
  <c r="AH694" i="20"/>
  <c r="AI693" i="20"/>
  <c r="AH693" i="20"/>
  <c r="AI692" i="20"/>
  <c r="AH692" i="20"/>
  <c r="AI691" i="20"/>
  <c r="AH691" i="20"/>
  <c r="AI690" i="20"/>
  <c r="AH690" i="20"/>
  <c r="AI689" i="20"/>
  <c r="AH689" i="20"/>
  <c r="AI688" i="20"/>
  <c r="AH688" i="20"/>
  <c r="AI687" i="20"/>
  <c r="AH687" i="20"/>
  <c r="AI686" i="20"/>
  <c r="AH686" i="20"/>
  <c r="AI685" i="20"/>
  <c r="AH685" i="20"/>
  <c r="AI684" i="20"/>
  <c r="AH684" i="20"/>
  <c r="AI683" i="20"/>
  <c r="AH683" i="20"/>
  <c r="AI682" i="20"/>
  <c r="AH682" i="20"/>
  <c r="AI681" i="20"/>
  <c r="AH681" i="20"/>
  <c r="AI680" i="20"/>
  <c r="AH680" i="20"/>
  <c r="AI679" i="20"/>
  <c r="AH679" i="20"/>
  <c r="AI678" i="20"/>
  <c r="AH678" i="20"/>
  <c r="AI677" i="20"/>
  <c r="AH677" i="20"/>
  <c r="AI676" i="20"/>
  <c r="AH676" i="20"/>
  <c r="AI675" i="20"/>
  <c r="AH675" i="20"/>
  <c r="AI674" i="20"/>
  <c r="AH674" i="20"/>
  <c r="AI673" i="20"/>
  <c r="AH673" i="20"/>
  <c r="AI672" i="20"/>
  <c r="AH672" i="20"/>
  <c r="AI671" i="20"/>
  <c r="AH671" i="20"/>
  <c r="AI670" i="20"/>
  <c r="AH670" i="20"/>
  <c r="AI669" i="20"/>
  <c r="AH669" i="20"/>
  <c r="AI668" i="20"/>
  <c r="AH668" i="20"/>
  <c r="AI667" i="20"/>
  <c r="AH667" i="20"/>
  <c r="AI666" i="20"/>
  <c r="AH666" i="20"/>
  <c r="AI665" i="20"/>
  <c r="AH665" i="20"/>
  <c r="AI664" i="20"/>
  <c r="AH664" i="20"/>
  <c r="AI663" i="20"/>
  <c r="AH663" i="20"/>
  <c r="AI662" i="20"/>
  <c r="AH662" i="20"/>
  <c r="AI661" i="20"/>
  <c r="AH661" i="20"/>
  <c r="AI660" i="20"/>
  <c r="AH660" i="20"/>
  <c r="AI659" i="20"/>
  <c r="AH659" i="20"/>
  <c r="AI658" i="20"/>
  <c r="AH658" i="20"/>
  <c r="AI657" i="20"/>
  <c r="AH657" i="20"/>
  <c r="AI656" i="20"/>
  <c r="AH656" i="20"/>
  <c r="AI655" i="20"/>
  <c r="AH655" i="20"/>
  <c r="AI654" i="20"/>
  <c r="AH654" i="20"/>
  <c r="AI653" i="20"/>
  <c r="AH653" i="20"/>
  <c r="AI652" i="20"/>
  <c r="AH652" i="20"/>
  <c r="AI651" i="20"/>
  <c r="AH651" i="20"/>
  <c r="AI650" i="20"/>
  <c r="AH650" i="20"/>
  <c r="AI649" i="20"/>
  <c r="AH649" i="20"/>
  <c r="AI648" i="20"/>
  <c r="AH648" i="20"/>
  <c r="AI647" i="20"/>
  <c r="AH647" i="20"/>
  <c r="AI646" i="20"/>
  <c r="AH646" i="20"/>
  <c r="AI645" i="20"/>
  <c r="AH645" i="20"/>
  <c r="AI644" i="20"/>
  <c r="AH644" i="20"/>
  <c r="AI643" i="20"/>
  <c r="AH643" i="20"/>
  <c r="AI642" i="20"/>
  <c r="AH642" i="20"/>
  <c r="AI641" i="20"/>
  <c r="AH641" i="20"/>
  <c r="AI640" i="20"/>
  <c r="AH640" i="20"/>
  <c r="AI639" i="20"/>
  <c r="AH639" i="20"/>
  <c r="AI638" i="20"/>
  <c r="AH638" i="20"/>
  <c r="AI637" i="20"/>
  <c r="AH637" i="20"/>
  <c r="AI636" i="20"/>
  <c r="AH636" i="20"/>
  <c r="AI635" i="20"/>
  <c r="AH635" i="20"/>
  <c r="AI634" i="20"/>
  <c r="AH634" i="20"/>
  <c r="AI633" i="20"/>
  <c r="AH633" i="20"/>
  <c r="AI632" i="20"/>
  <c r="AH632" i="20"/>
  <c r="AI631" i="20"/>
  <c r="AH631" i="20"/>
  <c r="AI630" i="20"/>
  <c r="AH630" i="20"/>
  <c r="AI629" i="20"/>
  <c r="AH629" i="20"/>
  <c r="AI628" i="20"/>
  <c r="AH628" i="20"/>
  <c r="AI627" i="20"/>
  <c r="AH627" i="20"/>
  <c r="AI626" i="20"/>
  <c r="AH626" i="20"/>
  <c r="AI625" i="20"/>
  <c r="AH625" i="20"/>
  <c r="AI624" i="20"/>
  <c r="AH624" i="20"/>
  <c r="AI623" i="20"/>
  <c r="AH623" i="20"/>
  <c r="AI622" i="20"/>
  <c r="AH622" i="20"/>
  <c r="AI621" i="20"/>
  <c r="AH621" i="20"/>
  <c r="AI620" i="20"/>
  <c r="AH620" i="20"/>
  <c r="AI619" i="20"/>
  <c r="AH619" i="20"/>
  <c r="AI618" i="20"/>
  <c r="AH618" i="20"/>
  <c r="AI617" i="20"/>
  <c r="AH617" i="20"/>
  <c r="AI616" i="20"/>
  <c r="AH616" i="20"/>
  <c r="AI615" i="20"/>
  <c r="AH615" i="20"/>
  <c r="AI614" i="20"/>
  <c r="AH614" i="20"/>
  <c r="AI613" i="20"/>
  <c r="AH613" i="20"/>
  <c r="AI612" i="20"/>
  <c r="AH612" i="20"/>
  <c r="AI611" i="20"/>
  <c r="AH611" i="20"/>
  <c r="AI610" i="20"/>
  <c r="AH610" i="20"/>
  <c r="AI609" i="20"/>
  <c r="AH609" i="20"/>
  <c r="AI608" i="20"/>
  <c r="AH608" i="20"/>
  <c r="AI607" i="20"/>
  <c r="AH607" i="20"/>
  <c r="AI606" i="20"/>
  <c r="AH606" i="20"/>
  <c r="AI605" i="20"/>
  <c r="AH605" i="20"/>
  <c r="AI604" i="20"/>
  <c r="AH604" i="20"/>
  <c r="AI603" i="20"/>
  <c r="AH603" i="20"/>
  <c r="AI602" i="20"/>
  <c r="AH602" i="20"/>
  <c r="AI601" i="20"/>
  <c r="AH601" i="20"/>
  <c r="AI600" i="20"/>
  <c r="AH600" i="20"/>
  <c r="AI599" i="20"/>
  <c r="AH599" i="20"/>
  <c r="AI598" i="20"/>
  <c r="AH598" i="20"/>
  <c r="AI597" i="20"/>
  <c r="AH597" i="20"/>
  <c r="AI596" i="20"/>
  <c r="AH596" i="20"/>
  <c r="AI595" i="20"/>
  <c r="AH595" i="20"/>
  <c r="AI594" i="20"/>
  <c r="AH594" i="20"/>
  <c r="AI593" i="20"/>
  <c r="AH593" i="20"/>
  <c r="AI592" i="20"/>
  <c r="AH592" i="20"/>
  <c r="AI591" i="20"/>
  <c r="AH591" i="20"/>
  <c r="AI590" i="20"/>
  <c r="AH590" i="20"/>
  <c r="AI589" i="20"/>
  <c r="AH589" i="20"/>
  <c r="AI588" i="20"/>
  <c r="AH588" i="20"/>
  <c r="AI587" i="20"/>
  <c r="AH587" i="20"/>
  <c r="AI586" i="20"/>
  <c r="AH586" i="20"/>
  <c r="AI585" i="20"/>
  <c r="AH585" i="20"/>
  <c r="AI584" i="20"/>
  <c r="AH584" i="20"/>
  <c r="AI583" i="20"/>
  <c r="AH583" i="20"/>
  <c r="AI582" i="20"/>
  <c r="AH582" i="20"/>
  <c r="AI581" i="20"/>
  <c r="AH581" i="20"/>
  <c r="AI580" i="20"/>
  <c r="AH580" i="20"/>
  <c r="AI579" i="20"/>
  <c r="AH579" i="20"/>
  <c r="AI578" i="20"/>
  <c r="AH578" i="20"/>
  <c r="AI577" i="20"/>
  <c r="AH577" i="20"/>
  <c r="AI576" i="20"/>
  <c r="AH576" i="20"/>
  <c r="AI575" i="20"/>
  <c r="AH575" i="20"/>
  <c r="AI574" i="20"/>
  <c r="AH574" i="20"/>
  <c r="AI573" i="20"/>
  <c r="AH573" i="20"/>
  <c r="AI572" i="20"/>
  <c r="AH572" i="20"/>
  <c r="AI571" i="20"/>
  <c r="AH571" i="20"/>
  <c r="AI570" i="20"/>
  <c r="AH570" i="20"/>
  <c r="AI569" i="20"/>
  <c r="AH569" i="20"/>
  <c r="AI568" i="20"/>
  <c r="AH568" i="20"/>
  <c r="AI567" i="20"/>
  <c r="AH567" i="20"/>
  <c r="AI566" i="20"/>
  <c r="AH566" i="20"/>
  <c r="AI565" i="20"/>
  <c r="AH565" i="20"/>
  <c r="AI564" i="20"/>
  <c r="AH564" i="20"/>
  <c r="AI563" i="20"/>
  <c r="AH563" i="20"/>
  <c r="AI562" i="20"/>
  <c r="AH562" i="20"/>
  <c r="AI561" i="20"/>
  <c r="AH561" i="20"/>
  <c r="AI560" i="20"/>
  <c r="AH560" i="20"/>
  <c r="AI559" i="20"/>
  <c r="AH559" i="20"/>
  <c r="AI558" i="20"/>
  <c r="AH558" i="20"/>
  <c r="AI557" i="20"/>
  <c r="AH557" i="20"/>
  <c r="AI556" i="20"/>
  <c r="AH556" i="20"/>
  <c r="AI555" i="20"/>
  <c r="AH555" i="20"/>
  <c r="AI554" i="20"/>
  <c r="AH554" i="20"/>
  <c r="AI553" i="20"/>
  <c r="AH553" i="20"/>
  <c r="AI552" i="20"/>
  <c r="AH552" i="20"/>
  <c r="AI551" i="20"/>
  <c r="AH551" i="20"/>
  <c r="AI550" i="20"/>
  <c r="AH550" i="20"/>
  <c r="AI549" i="20"/>
  <c r="AH549" i="20"/>
  <c r="AI548" i="20"/>
  <c r="AH548" i="20"/>
  <c r="AI547" i="20"/>
  <c r="AH547" i="20"/>
  <c r="AI546" i="20"/>
  <c r="AH546" i="20"/>
  <c r="AI545" i="20"/>
  <c r="AH545" i="20"/>
  <c r="AI544" i="20"/>
  <c r="AH544" i="20"/>
  <c r="AI543" i="20"/>
  <c r="AH543" i="20"/>
  <c r="AI542" i="20"/>
  <c r="AH542" i="20"/>
  <c r="AI541" i="20"/>
  <c r="AH541" i="20"/>
  <c r="AI540" i="20"/>
  <c r="AH540" i="20"/>
  <c r="AI539" i="20"/>
  <c r="AH539" i="20"/>
  <c r="AI538" i="20"/>
  <c r="AH538" i="20"/>
  <c r="AI537" i="20"/>
  <c r="AH537" i="20"/>
  <c r="AI536" i="20"/>
  <c r="AH536" i="20"/>
  <c r="AI535" i="20"/>
  <c r="AH535" i="20"/>
  <c r="AI534" i="20"/>
  <c r="AH534" i="20"/>
  <c r="AI533" i="20"/>
  <c r="AH533" i="20"/>
  <c r="AI532" i="20"/>
  <c r="AH532" i="20"/>
  <c r="AI531" i="20"/>
  <c r="AH531" i="20"/>
  <c r="AI530" i="20"/>
  <c r="AH530" i="20"/>
  <c r="AI529" i="20"/>
  <c r="AH529" i="20"/>
  <c r="AI528" i="20"/>
  <c r="AH528" i="20"/>
  <c r="AI527" i="20"/>
  <c r="AH527" i="20"/>
  <c r="AI526" i="20"/>
  <c r="AH526" i="20"/>
  <c r="AI525" i="20"/>
  <c r="AH525" i="20"/>
  <c r="AI524" i="20"/>
  <c r="AH524" i="20"/>
  <c r="AI523" i="20"/>
  <c r="AH523" i="20"/>
  <c r="AI522" i="20"/>
  <c r="AH522" i="20"/>
  <c r="AI521" i="20"/>
  <c r="AH521" i="20"/>
  <c r="AI520" i="20"/>
  <c r="AH520" i="20"/>
  <c r="AI519" i="20"/>
  <c r="AH519" i="20"/>
  <c r="AI518" i="20"/>
  <c r="AH518" i="20"/>
  <c r="AI517" i="20"/>
  <c r="AH517" i="20"/>
  <c r="AI516" i="20"/>
  <c r="AH516" i="20"/>
  <c r="AI515" i="20"/>
  <c r="AH515" i="20"/>
  <c r="AI514" i="20"/>
  <c r="AH514" i="20"/>
  <c r="AI513" i="20"/>
  <c r="AH513" i="20"/>
  <c r="AI512" i="20"/>
  <c r="AH512" i="20"/>
  <c r="AI511" i="20"/>
  <c r="AH511" i="20"/>
  <c r="AI510" i="20"/>
  <c r="AH510" i="20"/>
  <c r="AI509" i="20"/>
  <c r="AH509" i="20"/>
  <c r="AI508" i="20"/>
  <c r="AH508" i="20"/>
  <c r="AI507" i="20"/>
  <c r="AH507" i="20"/>
  <c r="AI506" i="20"/>
  <c r="AH506" i="20"/>
  <c r="AI505" i="20"/>
  <c r="AH505" i="20"/>
  <c r="AI504" i="20"/>
  <c r="AH504" i="20"/>
  <c r="AI503" i="20"/>
  <c r="AH503" i="20"/>
  <c r="AI502" i="20"/>
  <c r="AH502" i="20"/>
  <c r="AI501" i="20"/>
  <c r="AH501" i="20"/>
  <c r="AI500" i="20"/>
  <c r="AH500" i="20"/>
  <c r="AI499" i="20"/>
  <c r="AH499" i="20"/>
  <c r="AI498" i="20"/>
  <c r="AH498" i="20"/>
  <c r="AI497" i="20"/>
  <c r="AH497" i="20"/>
  <c r="AI496" i="20"/>
  <c r="AH496" i="20"/>
  <c r="AI495" i="20"/>
  <c r="AH495" i="20"/>
  <c r="AI494" i="20"/>
  <c r="AH494" i="20"/>
  <c r="AI493" i="20"/>
  <c r="AH493" i="20"/>
  <c r="AI492" i="20"/>
  <c r="AH492" i="20"/>
  <c r="AI491" i="20"/>
  <c r="AH491" i="20"/>
  <c r="AI490" i="20"/>
  <c r="AH490" i="20"/>
  <c r="AI489" i="20"/>
  <c r="AH489" i="20"/>
  <c r="AI488" i="20"/>
  <c r="AH488" i="20"/>
  <c r="AI487" i="20"/>
  <c r="AH487" i="20"/>
  <c r="AI486" i="20"/>
  <c r="AH486" i="20"/>
  <c r="AI485" i="20"/>
  <c r="AH485" i="20"/>
  <c r="AI484" i="20"/>
  <c r="AH484" i="20"/>
  <c r="AI483" i="20"/>
  <c r="AH483" i="20"/>
  <c r="AI482" i="20"/>
  <c r="AH482" i="20"/>
  <c r="AI481" i="20"/>
  <c r="AH481" i="20"/>
  <c r="AI480" i="20"/>
  <c r="AH480" i="20"/>
  <c r="AI479" i="20"/>
  <c r="AH479" i="20"/>
  <c r="AI478" i="20"/>
  <c r="AH478" i="20"/>
  <c r="AI477" i="20"/>
  <c r="AH477" i="20"/>
  <c r="AI476" i="20"/>
  <c r="AH476" i="20"/>
  <c r="AI475" i="20"/>
  <c r="AH475" i="20"/>
  <c r="AI474" i="20"/>
  <c r="AH474" i="20"/>
  <c r="AI473" i="20"/>
  <c r="AH473" i="20"/>
  <c r="AI472" i="20"/>
  <c r="AH472" i="20"/>
  <c r="AI471" i="20"/>
  <c r="AH471" i="20"/>
  <c r="AI470" i="20"/>
  <c r="AH470" i="20"/>
  <c r="AI469" i="20"/>
  <c r="AH469" i="20"/>
  <c r="AI468" i="20"/>
  <c r="AH468" i="20"/>
  <c r="AI467" i="20"/>
  <c r="AH467" i="20"/>
  <c r="AI466" i="20"/>
  <c r="AH466" i="20"/>
  <c r="AI465" i="20"/>
  <c r="AH465" i="20"/>
  <c r="AI464" i="20"/>
  <c r="AH464" i="20"/>
  <c r="AI463" i="20"/>
  <c r="AH463" i="20"/>
  <c r="AI462" i="20"/>
  <c r="AH462" i="20"/>
  <c r="AI461" i="20"/>
  <c r="AH461" i="20"/>
  <c r="AI460" i="20"/>
  <c r="AH460" i="20"/>
  <c r="AI459" i="20"/>
  <c r="AH459" i="20"/>
  <c r="AI458" i="20"/>
  <c r="AH458" i="20"/>
  <c r="AI457" i="20"/>
  <c r="AH457" i="20"/>
  <c r="AI456" i="20"/>
  <c r="AH456" i="20"/>
  <c r="AI455" i="20"/>
  <c r="AH455" i="20"/>
  <c r="AI454" i="20"/>
  <c r="AH454" i="20"/>
  <c r="AI453" i="20"/>
  <c r="AH453" i="20"/>
  <c r="AI452" i="20"/>
  <c r="AH452" i="20"/>
  <c r="AI451" i="20"/>
  <c r="AH451" i="20"/>
  <c r="AI450" i="20"/>
  <c r="AH450" i="20"/>
  <c r="AI449" i="20"/>
  <c r="AH449" i="20"/>
  <c r="AI448" i="20"/>
  <c r="AH448" i="20"/>
  <c r="AI447" i="20"/>
  <c r="AH447" i="20"/>
  <c r="AI446" i="20"/>
  <c r="AH446" i="20"/>
  <c r="AI445" i="20"/>
  <c r="AH445" i="20"/>
  <c r="AI444" i="20"/>
  <c r="AH444" i="20"/>
  <c r="AI443" i="20"/>
  <c r="AH443" i="20"/>
  <c r="AI442" i="20"/>
  <c r="AH442" i="20"/>
  <c r="AI441" i="20"/>
  <c r="AH441" i="20"/>
  <c r="AI440" i="20"/>
  <c r="AH440" i="20"/>
  <c r="AI439" i="20"/>
  <c r="AH439" i="20"/>
  <c r="AI438" i="20"/>
  <c r="AH438" i="20"/>
  <c r="AI437" i="20"/>
  <c r="AH437" i="20"/>
  <c r="AI436" i="20"/>
  <c r="AH436" i="20"/>
  <c r="AI435" i="20"/>
  <c r="AH435" i="20"/>
  <c r="AI434" i="20"/>
  <c r="AH434" i="20"/>
  <c r="AI433" i="20"/>
  <c r="AH433" i="20"/>
  <c r="AI432" i="20"/>
  <c r="AH432" i="20"/>
  <c r="AI431" i="20"/>
  <c r="AH431" i="20"/>
  <c r="AI430" i="20"/>
  <c r="AH430" i="20"/>
  <c r="AI429" i="20"/>
  <c r="AH429" i="20"/>
  <c r="AI428" i="20"/>
  <c r="AH428" i="20"/>
  <c r="AI427" i="20"/>
  <c r="AH427" i="20"/>
  <c r="AI426" i="20"/>
  <c r="AH426" i="20"/>
  <c r="AI425" i="20"/>
  <c r="AH425" i="20"/>
  <c r="AI424" i="20"/>
  <c r="AH424" i="20"/>
  <c r="AI423" i="20"/>
  <c r="AH423" i="20"/>
  <c r="AI422" i="20"/>
  <c r="AH422" i="20"/>
  <c r="AI421" i="20"/>
  <c r="AH421" i="20"/>
  <c r="AI420" i="20"/>
  <c r="AH420" i="20"/>
  <c r="AI419" i="20"/>
  <c r="AH419" i="20"/>
  <c r="AI418" i="20"/>
  <c r="AH418" i="20"/>
  <c r="AI417" i="20"/>
  <c r="AH417" i="20"/>
  <c r="AI416" i="20"/>
  <c r="AH416" i="20"/>
  <c r="AI415" i="20"/>
  <c r="AH415" i="20"/>
  <c r="AI414" i="20"/>
  <c r="AH414" i="20"/>
  <c r="AI413" i="20"/>
  <c r="AH413" i="20"/>
  <c r="AI412" i="20"/>
  <c r="AH412" i="20"/>
  <c r="AI411" i="20"/>
  <c r="AH411" i="20"/>
  <c r="AI410" i="20"/>
  <c r="AH410" i="20"/>
  <c r="AI409" i="20"/>
  <c r="AH409" i="20"/>
  <c r="AI408" i="20"/>
  <c r="AH408" i="20"/>
  <c r="AI407" i="20"/>
  <c r="AH407" i="20"/>
  <c r="AI406" i="20"/>
  <c r="AH406" i="20"/>
  <c r="AI405" i="20"/>
  <c r="AH405" i="20"/>
  <c r="AI404" i="20"/>
  <c r="AH404" i="20"/>
  <c r="AI403" i="20"/>
  <c r="AH403" i="20"/>
  <c r="AI402" i="20"/>
  <c r="AH402" i="20"/>
  <c r="AI401" i="20"/>
  <c r="AH401" i="20"/>
  <c r="AI400" i="20"/>
  <c r="AH400" i="20"/>
  <c r="AI399" i="20"/>
  <c r="AH399" i="20"/>
  <c r="AI398" i="20"/>
  <c r="AH398" i="20"/>
  <c r="AI397" i="20"/>
  <c r="AH397" i="20"/>
  <c r="AI396" i="20"/>
  <c r="AH396" i="20"/>
  <c r="AI395" i="20"/>
  <c r="AH395" i="20"/>
  <c r="AI394" i="20"/>
  <c r="AH394" i="20"/>
  <c r="AI393" i="20"/>
  <c r="AH393" i="20"/>
  <c r="AI392" i="20"/>
  <c r="AH392" i="20"/>
  <c r="AI391" i="20"/>
  <c r="AH391" i="20"/>
  <c r="AI390" i="20"/>
  <c r="AH390" i="20"/>
  <c r="AI389" i="20"/>
  <c r="AH389" i="20"/>
  <c r="AI388" i="20"/>
  <c r="AH388" i="20"/>
  <c r="AI387" i="20"/>
  <c r="AH387" i="20"/>
  <c r="AI386" i="20"/>
  <c r="AH386" i="20"/>
  <c r="AI385" i="20"/>
  <c r="AH385" i="20"/>
  <c r="AI384" i="20"/>
  <c r="AH384" i="20"/>
  <c r="AI383" i="20"/>
  <c r="AH383" i="20"/>
  <c r="AI382" i="20"/>
  <c r="AH382" i="20"/>
  <c r="AI381" i="20"/>
  <c r="AH381" i="20"/>
  <c r="AI380" i="20"/>
  <c r="AH380" i="20"/>
  <c r="AI379" i="20"/>
  <c r="AH379" i="20"/>
  <c r="AI378" i="20"/>
  <c r="AH378" i="20"/>
  <c r="AI377" i="20"/>
  <c r="AH377" i="20"/>
  <c r="AI376" i="20"/>
  <c r="AH376" i="20"/>
  <c r="AI375" i="20"/>
  <c r="AH375" i="20"/>
  <c r="AI374" i="20"/>
  <c r="AH374" i="20"/>
  <c r="AI373" i="20"/>
  <c r="AH373" i="20"/>
  <c r="AI372" i="20"/>
  <c r="AH372" i="20"/>
  <c r="AI371" i="20"/>
  <c r="AH371" i="20"/>
  <c r="AI370" i="20"/>
  <c r="AH370" i="20"/>
  <c r="AI369" i="20"/>
  <c r="AH369" i="20"/>
  <c r="AI368" i="20"/>
  <c r="AH368" i="20"/>
  <c r="AI367" i="20"/>
  <c r="AH367" i="20"/>
  <c r="AI366" i="20"/>
  <c r="AH366" i="20"/>
  <c r="AI365" i="20"/>
  <c r="AH365" i="20"/>
  <c r="AI364" i="20"/>
  <c r="AH364" i="20"/>
  <c r="AI363" i="20"/>
  <c r="AH363" i="20"/>
  <c r="AI362" i="20"/>
  <c r="AH362" i="20"/>
  <c r="AI361" i="20"/>
  <c r="AH361" i="20"/>
  <c r="AI360" i="20"/>
  <c r="AH360" i="20"/>
  <c r="AI359" i="20"/>
  <c r="AH359" i="20"/>
  <c r="AI358" i="20"/>
  <c r="AH358" i="20"/>
  <c r="AI357" i="20"/>
  <c r="AH357" i="20"/>
  <c r="AI356" i="20"/>
  <c r="AH356" i="20"/>
  <c r="AI355" i="20"/>
  <c r="AH355" i="20"/>
  <c r="AI354" i="20"/>
  <c r="AH354" i="20"/>
  <c r="AI353" i="20"/>
  <c r="AH353" i="20"/>
  <c r="AI352" i="20"/>
  <c r="AH352" i="20"/>
  <c r="AI351" i="20"/>
  <c r="AH351" i="20"/>
  <c r="AI350" i="20"/>
  <c r="AH350" i="20"/>
  <c r="AI349" i="20"/>
  <c r="AH349" i="20"/>
  <c r="AI348" i="20"/>
  <c r="AH348" i="20"/>
  <c r="AI347" i="20"/>
  <c r="AH347" i="20"/>
  <c r="AI346" i="20"/>
  <c r="AH346" i="20"/>
  <c r="AI345" i="20"/>
  <c r="AH345" i="20"/>
  <c r="AI344" i="20"/>
  <c r="AH344" i="20"/>
  <c r="AI343" i="20"/>
  <c r="AH343" i="20"/>
  <c r="AI342" i="20"/>
  <c r="AH342" i="20"/>
  <c r="AI341" i="20"/>
  <c r="AH341" i="20"/>
  <c r="AI340" i="20"/>
  <c r="AH340" i="20"/>
  <c r="AI339" i="20"/>
  <c r="AH339" i="20"/>
  <c r="AI338" i="20"/>
  <c r="AH338" i="20"/>
  <c r="AI337" i="20"/>
  <c r="AH337" i="20"/>
  <c r="AI336" i="20"/>
  <c r="AH336" i="20"/>
  <c r="AI335" i="20"/>
  <c r="AH335" i="20"/>
  <c r="AI334" i="20"/>
  <c r="AH334" i="20"/>
  <c r="AI333" i="20"/>
  <c r="AH333" i="20"/>
  <c r="AI332" i="20"/>
  <c r="AH332" i="20"/>
  <c r="AI331" i="20"/>
  <c r="AH331" i="20"/>
  <c r="AI330" i="20"/>
  <c r="AH330" i="20"/>
  <c r="AI329" i="20"/>
  <c r="AH329" i="20"/>
  <c r="AI328" i="20"/>
  <c r="AH328" i="20"/>
  <c r="AI327" i="20"/>
  <c r="AH327" i="20"/>
  <c r="AI326" i="20"/>
  <c r="AH326" i="20"/>
  <c r="AI325" i="20"/>
  <c r="AH325" i="20"/>
  <c r="AI324" i="20"/>
  <c r="AH324" i="20"/>
  <c r="AI323" i="20"/>
  <c r="AH323" i="20"/>
  <c r="AI322" i="20"/>
  <c r="AH322" i="20"/>
  <c r="AI321" i="20"/>
  <c r="AH321" i="20"/>
  <c r="AI320" i="20"/>
  <c r="AH320" i="20"/>
  <c r="AI319" i="20"/>
  <c r="AH319" i="20"/>
  <c r="AI318" i="20"/>
  <c r="AH318" i="20"/>
  <c r="AI317" i="20"/>
  <c r="AH317" i="20"/>
  <c r="AI316" i="20"/>
  <c r="AH316" i="20"/>
  <c r="AI315" i="20"/>
  <c r="AH315" i="20"/>
  <c r="AI314" i="20"/>
  <c r="AH314" i="20"/>
  <c r="AI313" i="20"/>
  <c r="AH313" i="20"/>
  <c r="AI312" i="20"/>
  <c r="AH312" i="20"/>
  <c r="AI311" i="20"/>
  <c r="AH311" i="20"/>
  <c r="AI310" i="20"/>
  <c r="AH310" i="20"/>
  <c r="AI309" i="20"/>
  <c r="AH309" i="20"/>
  <c r="AI308" i="20"/>
  <c r="AH308" i="20"/>
  <c r="AI307" i="20"/>
  <c r="AH307" i="20"/>
  <c r="AI306" i="20"/>
  <c r="AH306" i="20"/>
  <c r="AI305" i="20"/>
  <c r="AH305" i="20"/>
  <c r="AI304" i="20"/>
  <c r="AH304" i="20"/>
  <c r="AI303" i="20"/>
  <c r="AH303" i="20"/>
  <c r="AI302" i="20"/>
  <c r="AH302" i="20"/>
  <c r="AI301" i="20"/>
  <c r="AH301" i="20"/>
  <c r="AI300" i="20"/>
  <c r="AH300" i="20"/>
  <c r="AI299" i="20"/>
  <c r="AH299" i="20"/>
  <c r="AI298" i="20"/>
  <c r="AH298" i="20"/>
  <c r="AI297" i="20"/>
  <c r="AH297" i="20"/>
  <c r="AI296" i="20"/>
  <c r="AH296" i="20"/>
  <c r="AI295" i="20"/>
  <c r="AH295" i="20"/>
  <c r="AI294" i="20"/>
  <c r="AH294" i="20"/>
  <c r="AI293" i="20"/>
  <c r="AH293" i="20"/>
  <c r="AI292" i="20"/>
  <c r="AH292" i="20"/>
  <c r="AI291" i="20"/>
  <c r="AH291" i="20"/>
  <c r="AI290" i="20"/>
  <c r="AH290" i="20"/>
  <c r="AI289" i="20"/>
  <c r="AH289" i="20"/>
  <c r="AI288" i="20"/>
  <c r="AH288" i="20"/>
  <c r="AI287" i="20"/>
  <c r="AH287" i="20"/>
  <c r="AI286" i="20"/>
  <c r="AH286" i="20"/>
  <c r="AI285" i="20"/>
  <c r="AH285" i="20"/>
  <c r="AI284" i="20"/>
  <c r="AH284" i="20"/>
  <c r="AI283" i="20"/>
  <c r="AH283" i="20"/>
  <c r="AI282" i="20"/>
  <c r="AH282" i="20"/>
  <c r="AI281" i="20"/>
  <c r="AH281" i="20"/>
  <c r="AI280" i="20"/>
  <c r="AH280" i="20"/>
  <c r="AI279" i="20"/>
  <c r="AH279" i="20"/>
  <c r="AI278" i="20"/>
  <c r="AH278" i="20"/>
  <c r="AI277" i="20"/>
  <c r="AH277" i="20"/>
  <c r="AI276" i="20"/>
  <c r="AH276" i="20"/>
  <c r="AI275" i="20"/>
  <c r="AH275" i="20"/>
  <c r="AI274" i="20"/>
  <c r="AH274" i="20"/>
  <c r="AI273" i="20"/>
  <c r="AH273" i="20"/>
  <c r="AI272" i="20"/>
  <c r="AH272" i="20"/>
  <c r="AI271" i="20"/>
  <c r="AH271" i="20"/>
  <c r="AI270" i="20"/>
  <c r="AH270" i="20"/>
  <c r="AI269" i="20"/>
  <c r="AH269" i="20"/>
  <c r="AI268" i="20"/>
  <c r="AH268" i="20"/>
  <c r="AI267" i="20"/>
  <c r="AH267" i="20"/>
  <c r="AI266" i="20"/>
  <c r="AH266" i="20"/>
  <c r="AI265" i="20"/>
  <c r="AH265" i="20"/>
  <c r="AI264" i="20"/>
  <c r="AH264" i="20"/>
  <c r="AI263" i="20"/>
  <c r="AH263" i="20"/>
  <c r="AI262" i="20"/>
  <c r="AH262" i="20"/>
  <c r="AI261" i="20"/>
  <c r="AH261" i="20"/>
  <c r="AI260" i="20"/>
  <c r="AH260" i="20"/>
  <c r="AI259" i="20"/>
  <c r="AH259" i="20"/>
  <c r="AI258" i="20"/>
  <c r="AH258" i="20"/>
  <c r="AI257" i="20"/>
  <c r="AH257" i="20"/>
  <c r="AI256" i="20"/>
  <c r="AH256" i="20"/>
  <c r="AI255" i="20"/>
  <c r="AH255" i="20"/>
  <c r="AI254" i="20"/>
  <c r="AH254" i="20"/>
  <c r="AI253" i="20"/>
  <c r="AH253" i="20"/>
  <c r="AI252" i="20"/>
  <c r="AH252" i="20"/>
  <c r="AI251" i="20"/>
  <c r="AH251" i="20"/>
  <c r="AI250" i="20"/>
  <c r="AH250" i="20"/>
  <c r="AI249" i="20"/>
  <c r="AH249" i="20"/>
  <c r="AI248" i="20"/>
  <c r="AH248" i="20"/>
  <c r="AI247" i="20"/>
  <c r="AH247" i="20"/>
  <c r="AI246" i="20"/>
  <c r="AH246" i="20"/>
  <c r="AI245" i="20"/>
  <c r="AH245" i="20"/>
  <c r="AI244" i="20"/>
  <c r="AH244" i="20"/>
  <c r="AI243" i="20"/>
  <c r="AH243" i="20"/>
  <c r="AI242" i="20"/>
  <c r="AH242" i="20"/>
  <c r="AI241" i="20"/>
  <c r="AH241" i="20"/>
  <c r="AI240" i="20"/>
  <c r="AH240" i="20"/>
  <c r="AI239" i="20"/>
  <c r="AH239" i="20"/>
  <c r="AI238" i="20"/>
  <c r="AH238" i="20"/>
  <c r="AI237" i="20"/>
  <c r="AH237" i="20"/>
  <c r="AI236" i="20"/>
  <c r="AH236" i="20"/>
  <c r="AI235" i="20"/>
  <c r="AH235" i="20"/>
  <c r="AI234" i="20"/>
  <c r="AH234" i="20"/>
  <c r="AI233" i="20"/>
  <c r="AH233" i="20"/>
  <c r="AI232" i="20"/>
  <c r="AH232" i="20"/>
  <c r="AI231" i="20"/>
  <c r="AH231" i="20"/>
  <c r="AI230" i="20"/>
  <c r="AH230" i="20"/>
  <c r="AI229" i="20"/>
  <c r="AH229" i="20"/>
  <c r="AI228" i="20"/>
  <c r="AH228" i="20"/>
  <c r="AI227" i="20"/>
  <c r="AH227" i="20"/>
  <c r="AI226" i="20"/>
  <c r="AH226" i="20"/>
  <c r="AI225" i="20"/>
  <c r="AH225" i="20"/>
  <c r="AI224" i="20"/>
  <c r="AH224" i="20"/>
  <c r="AI223" i="20"/>
  <c r="AH223" i="20"/>
  <c r="AI222" i="20"/>
  <c r="AH222" i="20"/>
  <c r="AI221" i="20"/>
  <c r="AH221" i="20"/>
  <c r="AI220" i="20"/>
  <c r="AH220" i="20"/>
  <c r="AI219" i="20"/>
  <c r="AH219" i="20"/>
  <c r="AI218" i="20"/>
  <c r="AH218" i="20"/>
  <c r="AI217" i="20"/>
  <c r="AH217" i="20"/>
  <c r="AI216" i="20"/>
  <c r="AH216" i="20"/>
  <c r="AI215" i="20"/>
  <c r="AH215" i="20"/>
  <c r="AI214" i="20"/>
  <c r="AH214" i="20"/>
  <c r="AI213" i="20"/>
  <c r="AH213" i="20"/>
  <c r="AI212" i="20"/>
  <c r="AH212" i="20"/>
  <c r="AI211" i="20"/>
  <c r="AH211" i="20"/>
  <c r="AI210" i="20"/>
  <c r="AH210" i="20"/>
  <c r="AI209" i="20"/>
  <c r="AH209" i="20"/>
  <c r="AI208" i="20"/>
  <c r="AH208" i="20"/>
  <c r="AI207" i="20"/>
  <c r="AH207" i="20"/>
  <c r="AI206" i="20"/>
  <c r="AH206" i="20"/>
  <c r="AI205" i="20"/>
  <c r="AH205" i="20"/>
  <c r="AI204" i="20"/>
  <c r="AH204" i="20"/>
  <c r="AI203" i="20"/>
  <c r="AH203" i="20"/>
  <c r="AI202" i="20"/>
  <c r="AH202" i="20"/>
  <c r="AI201" i="20"/>
  <c r="AH201" i="20"/>
  <c r="AI200" i="20"/>
  <c r="AH200" i="20"/>
  <c r="AI199" i="20"/>
  <c r="AH199" i="20"/>
  <c r="AI198" i="20"/>
  <c r="AH198" i="20"/>
  <c r="AI197" i="20"/>
  <c r="AH197" i="20"/>
  <c r="AI196" i="20"/>
  <c r="AH196" i="20"/>
  <c r="AI195" i="20"/>
  <c r="AH195" i="20"/>
  <c r="AI194" i="20"/>
  <c r="AH194" i="20"/>
  <c r="AI193" i="20"/>
  <c r="AH193" i="20"/>
  <c r="AI192" i="20"/>
  <c r="AH192" i="20"/>
  <c r="AI191" i="20"/>
  <c r="AH191" i="20"/>
  <c r="AI190" i="20"/>
  <c r="AH190" i="20"/>
  <c r="AI189" i="20"/>
  <c r="AH189" i="20"/>
  <c r="AI188" i="20"/>
  <c r="AH188" i="20"/>
  <c r="AI187" i="20"/>
  <c r="AH187" i="20"/>
  <c r="AI186" i="20"/>
  <c r="AH186" i="20"/>
  <c r="AI185" i="20"/>
  <c r="AH185" i="20"/>
  <c r="AI184" i="20"/>
  <c r="AH184" i="20"/>
  <c r="AI183" i="20"/>
  <c r="AH183" i="20"/>
  <c r="AI182" i="20"/>
  <c r="AH182" i="20"/>
  <c r="AI181" i="20"/>
  <c r="AH181" i="20"/>
  <c r="AI180" i="20"/>
  <c r="AH180" i="20"/>
  <c r="AI179" i="20"/>
  <c r="AH179" i="20"/>
  <c r="AI178" i="20"/>
  <c r="AH178" i="20"/>
  <c r="AI177" i="20"/>
  <c r="AH177" i="20"/>
  <c r="AI176" i="20"/>
  <c r="AH176" i="20"/>
  <c r="AI175" i="20"/>
  <c r="AH175" i="20"/>
  <c r="AI174" i="20"/>
  <c r="AH174" i="20"/>
  <c r="AI173" i="20"/>
  <c r="AH173" i="20"/>
  <c r="AI172" i="20"/>
  <c r="AH172" i="20"/>
  <c r="AI171" i="20"/>
  <c r="AH171" i="20"/>
  <c r="AI170" i="20"/>
  <c r="AH170" i="20"/>
  <c r="AI169" i="20"/>
  <c r="AH169" i="20"/>
  <c r="AI168" i="20"/>
  <c r="AH168" i="20"/>
  <c r="AI167" i="20"/>
  <c r="AH167" i="20"/>
  <c r="AI166" i="20"/>
  <c r="AH166" i="20"/>
  <c r="AI165" i="20"/>
  <c r="AH165" i="20"/>
  <c r="AI164" i="20"/>
  <c r="AH164" i="20"/>
  <c r="AI163" i="20"/>
  <c r="AH163" i="20"/>
  <c r="AI162" i="20"/>
  <c r="AH162" i="20"/>
  <c r="AI161" i="20"/>
  <c r="AH161" i="20"/>
  <c r="AI160" i="20"/>
  <c r="AH160" i="20"/>
  <c r="AI159" i="20"/>
  <c r="AH159" i="20"/>
  <c r="AI158" i="20"/>
  <c r="AH158" i="20"/>
  <c r="AI157" i="20"/>
  <c r="AH157" i="20"/>
  <c r="AI156" i="20"/>
  <c r="AH156" i="20"/>
  <c r="AI155" i="20"/>
  <c r="AH155" i="20"/>
  <c r="AI154" i="20"/>
  <c r="AH154" i="20"/>
  <c r="AI153" i="20"/>
  <c r="AH153" i="20"/>
  <c r="AI152" i="20"/>
  <c r="AH152" i="20"/>
  <c r="AI151" i="20"/>
  <c r="AH151" i="20"/>
  <c r="AI150" i="20"/>
  <c r="AH150" i="20"/>
  <c r="AI149" i="20"/>
  <c r="AH149" i="20"/>
  <c r="AI148" i="20"/>
  <c r="AH148" i="20"/>
  <c r="AI147" i="20"/>
  <c r="AH147" i="20"/>
  <c r="AI146" i="20"/>
  <c r="AH146" i="20"/>
  <c r="AI145" i="20"/>
  <c r="AH145" i="20"/>
  <c r="AI144" i="20"/>
  <c r="AH144" i="20"/>
  <c r="AI143" i="20"/>
  <c r="AH143" i="20"/>
  <c r="AI142" i="20"/>
  <c r="AH142" i="20"/>
  <c r="AI141" i="20"/>
  <c r="AH141" i="20"/>
  <c r="AI140" i="20"/>
  <c r="AH140" i="20"/>
  <c r="AI139" i="20"/>
  <c r="AH139" i="20"/>
  <c r="AI138" i="20"/>
  <c r="AH138" i="20"/>
  <c r="AI137" i="20"/>
  <c r="AH137" i="20"/>
  <c r="AI136" i="20"/>
  <c r="AH136" i="20"/>
  <c r="AI135" i="20"/>
  <c r="AH135" i="20"/>
  <c r="AI134" i="20"/>
  <c r="AH134" i="20"/>
  <c r="AI133" i="20"/>
  <c r="AH133" i="20"/>
  <c r="AI132" i="20"/>
  <c r="AH132" i="20"/>
  <c r="AI131" i="20"/>
  <c r="AH131" i="20"/>
  <c r="AI130" i="20"/>
  <c r="AH130" i="20"/>
  <c r="AI129" i="20"/>
  <c r="AH129" i="20"/>
  <c r="AI128" i="20"/>
  <c r="AH128" i="20"/>
  <c r="AI127" i="20"/>
  <c r="AH127" i="20"/>
  <c r="AI126" i="20"/>
  <c r="AH126" i="20"/>
  <c r="AI125" i="20"/>
  <c r="AH125" i="20"/>
  <c r="AI124" i="20"/>
  <c r="AH124" i="20"/>
  <c r="AI123" i="20"/>
  <c r="AH123" i="20"/>
  <c r="AI122" i="20"/>
  <c r="AH122" i="20"/>
  <c r="AI121" i="20"/>
  <c r="AH121" i="20"/>
  <c r="AI120" i="20"/>
  <c r="AH120" i="20"/>
  <c r="AI119" i="20"/>
  <c r="AH119" i="20"/>
  <c r="AI118" i="20"/>
  <c r="AH118" i="20"/>
  <c r="AI117" i="20"/>
  <c r="AH117" i="20"/>
  <c r="AI116" i="20"/>
  <c r="AH116" i="20"/>
  <c r="AI115" i="20"/>
  <c r="AH115" i="20"/>
  <c r="AI114" i="20"/>
  <c r="AH114" i="20"/>
  <c r="AI113" i="20"/>
  <c r="AH113" i="20"/>
  <c r="AI112" i="20"/>
  <c r="AH112" i="20"/>
  <c r="AI111" i="20"/>
  <c r="AH111" i="20"/>
  <c r="AI110" i="20"/>
  <c r="AH110" i="20"/>
  <c r="AI109" i="20"/>
  <c r="AH109" i="20"/>
  <c r="AI108" i="20"/>
  <c r="AH108" i="20"/>
  <c r="AI107" i="20"/>
  <c r="AH107" i="20"/>
  <c r="AI106" i="20"/>
  <c r="AH106" i="20"/>
  <c r="AI105" i="20"/>
  <c r="AH105" i="20"/>
  <c r="AI104" i="20"/>
  <c r="AH104" i="20"/>
  <c r="AI103" i="20"/>
  <c r="AH103" i="20"/>
  <c r="AI102" i="20"/>
  <c r="AH102" i="20"/>
  <c r="AI101" i="20"/>
  <c r="AH101" i="20"/>
  <c r="AI100" i="20"/>
  <c r="AH100" i="20"/>
  <c r="AI99" i="20"/>
  <c r="AH99" i="20"/>
  <c r="AI98" i="20"/>
  <c r="AH98" i="20"/>
  <c r="AI97" i="20"/>
  <c r="AH97" i="20"/>
  <c r="AI96" i="20"/>
  <c r="AH96" i="20"/>
  <c r="AI95" i="20"/>
  <c r="AH95" i="20"/>
  <c r="AI94" i="20"/>
  <c r="AH94" i="20"/>
  <c r="AI93" i="20"/>
  <c r="AH93" i="20"/>
  <c r="AI92" i="20"/>
  <c r="AH92" i="20"/>
  <c r="AI91" i="20"/>
  <c r="AH91" i="20"/>
  <c r="AI90" i="20"/>
  <c r="AH90" i="20"/>
  <c r="AI89" i="20"/>
  <c r="AH89" i="20"/>
  <c r="AI88" i="20"/>
  <c r="AH88" i="20"/>
  <c r="AI87" i="20"/>
  <c r="AH87" i="20"/>
  <c r="AI86" i="20"/>
  <c r="AH86" i="20"/>
  <c r="AI85" i="20"/>
  <c r="AH85" i="20"/>
  <c r="AI84" i="20"/>
  <c r="AH84" i="20"/>
  <c r="AI83" i="20"/>
  <c r="AH83" i="20"/>
  <c r="AI82" i="20"/>
  <c r="AH82" i="20"/>
  <c r="AI81" i="20"/>
  <c r="AH81" i="20"/>
  <c r="AI80" i="20"/>
  <c r="AH80" i="20"/>
  <c r="AI79" i="20"/>
  <c r="AH79" i="20"/>
  <c r="AI78" i="20"/>
  <c r="AH78" i="20"/>
  <c r="AI77" i="20"/>
  <c r="AH77" i="20"/>
  <c r="AI76" i="20"/>
  <c r="AH76" i="20"/>
  <c r="AI75" i="20"/>
  <c r="AH75" i="20"/>
  <c r="AI74" i="20"/>
  <c r="AH74" i="20"/>
  <c r="AI73" i="20"/>
  <c r="AH73" i="20"/>
  <c r="AI72" i="20"/>
  <c r="AH72" i="20"/>
  <c r="AI71" i="20"/>
  <c r="AH71" i="20"/>
  <c r="AI70" i="20"/>
  <c r="AH70" i="20"/>
  <c r="AI69" i="20"/>
  <c r="AH69" i="20"/>
  <c r="AI68" i="20"/>
  <c r="AH68" i="20"/>
  <c r="AI67" i="20"/>
  <c r="AH67" i="20"/>
  <c r="AI66" i="20"/>
  <c r="AH66" i="20"/>
  <c r="AI65" i="20"/>
  <c r="AH65" i="20"/>
  <c r="AI64" i="20"/>
  <c r="AH64" i="20"/>
  <c r="AI63" i="20"/>
  <c r="AH63" i="20"/>
  <c r="AI62" i="20"/>
  <c r="AH62" i="20"/>
  <c r="AI61" i="20"/>
  <c r="AH61" i="20"/>
  <c r="AI60" i="20"/>
  <c r="AH60" i="20"/>
  <c r="AI59" i="20"/>
  <c r="AH59" i="20"/>
  <c r="AI58" i="20"/>
  <c r="AH58" i="20"/>
  <c r="AI57" i="20"/>
  <c r="AH57" i="20"/>
  <c r="AI56" i="20"/>
  <c r="AH56" i="20"/>
  <c r="AI55" i="20"/>
  <c r="AH55" i="20"/>
  <c r="AI54" i="20"/>
  <c r="AH54" i="20"/>
  <c r="AI53" i="20"/>
  <c r="AH53" i="20"/>
  <c r="AI52" i="20"/>
  <c r="AH52" i="20"/>
  <c r="AI51" i="20"/>
  <c r="AH51" i="20"/>
  <c r="AI50" i="20"/>
  <c r="AH50" i="20"/>
  <c r="AI49" i="20"/>
  <c r="AH49" i="20"/>
  <c r="AI48" i="20"/>
  <c r="AH48" i="20"/>
  <c r="AI47" i="20"/>
  <c r="AH47" i="20"/>
  <c r="AI46" i="20"/>
  <c r="AH46" i="20"/>
  <c r="AI45" i="20"/>
  <c r="AH45" i="20"/>
  <c r="AI44" i="20"/>
  <c r="AH44" i="20"/>
  <c r="AI43" i="20"/>
  <c r="AH43" i="20"/>
  <c r="AI42" i="20"/>
  <c r="AH42" i="20"/>
  <c r="AI41" i="20"/>
  <c r="AH41" i="20"/>
  <c r="AI40" i="20"/>
  <c r="AH40" i="20"/>
  <c r="AI39" i="20"/>
  <c r="AH39" i="20"/>
  <c r="AI38" i="20"/>
  <c r="AH38" i="20"/>
  <c r="AI37" i="20"/>
  <c r="AH37" i="20"/>
  <c r="AI36" i="20"/>
  <c r="AH36" i="20"/>
  <c r="AI35" i="20"/>
  <c r="AH35" i="20"/>
  <c r="AI34" i="20"/>
  <c r="AH34" i="20"/>
  <c r="AI33" i="20"/>
  <c r="AH33" i="20"/>
  <c r="AI32" i="20"/>
  <c r="AH32" i="20"/>
  <c r="AI31" i="20"/>
  <c r="AH31" i="20"/>
  <c r="AI30" i="20"/>
  <c r="AH30" i="20"/>
  <c r="AI29" i="20"/>
  <c r="AH29" i="20"/>
  <c r="AI28" i="20"/>
  <c r="AH28" i="20"/>
  <c r="AI27" i="20"/>
  <c r="AH27" i="20"/>
  <c r="AI26" i="20"/>
  <c r="AH26" i="20"/>
  <c r="AI25" i="20"/>
  <c r="AH25" i="20"/>
  <c r="AI24" i="20"/>
  <c r="AH24" i="20"/>
  <c r="AI23" i="20"/>
  <c r="AH23" i="20"/>
  <c r="AI22" i="20"/>
  <c r="AH22" i="20"/>
  <c r="AI21" i="20"/>
  <c r="AH21" i="20"/>
  <c r="AI20" i="20"/>
  <c r="AH20" i="20"/>
  <c r="AI19" i="20"/>
  <c r="AH19" i="20"/>
  <c r="AI18" i="20"/>
  <c r="AH18" i="20"/>
  <c r="AI17" i="20"/>
  <c r="AH17" i="20"/>
  <c r="AI16" i="20"/>
  <c r="AH16" i="20"/>
  <c r="AI15" i="20"/>
  <c r="AH15" i="20"/>
  <c r="AI14" i="20"/>
  <c r="AH14" i="20"/>
  <c r="W10" i="20"/>
  <c r="Z1252" i="20"/>
  <c r="Y1252" i="20"/>
  <c r="Z1251" i="20"/>
  <c r="Y1251" i="20"/>
  <c r="Z1250" i="20"/>
  <c r="Y1250" i="20"/>
  <c r="Z1249" i="20"/>
  <c r="Y1249" i="20"/>
  <c r="Z1248" i="20"/>
  <c r="Y1248" i="20"/>
  <c r="Z1247" i="20"/>
  <c r="Y1247" i="20"/>
  <c r="Z1246" i="20"/>
  <c r="Y1246" i="20"/>
  <c r="Z1245" i="20"/>
  <c r="Y1245" i="20"/>
  <c r="Z1244" i="20"/>
  <c r="Y1244" i="20"/>
  <c r="Z1243" i="20"/>
  <c r="Y1243" i="20"/>
  <c r="Z1242" i="20"/>
  <c r="Y1242" i="20"/>
  <c r="Z1241" i="20"/>
  <c r="Y1241" i="20"/>
  <c r="Z1240" i="20"/>
  <c r="Y1240" i="20"/>
  <c r="Z1239" i="20"/>
  <c r="Y1239" i="20"/>
  <c r="Z1238" i="20"/>
  <c r="Y1238" i="20"/>
  <c r="Z1237" i="20"/>
  <c r="Y1237" i="20"/>
  <c r="Z1236" i="20"/>
  <c r="Y1236" i="20"/>
  <c r="Z1235" i="20"/>
  <c r="Y1235" i="20"/>
  <c r="Z1234" i="20"/>
  <c r="Y1234" i="20"/>
  <c r="Z1233" i="20"/>
  <c r="Y1233" i="20"/>
  <c r="Z1232" i="20"/>
  <c r="Y1232" i="20"/>
  <c r="Z1231" i="20"/>
  <c r="Y1231" i="20"/>
  <c r="Z1230" i="20"/>
  <c r="Y1230" i="20"/>
  <c r="Z1229" i="20"/>
  <c r="Y1229" i="20"/>
  <c r="Z1228" i="20"/>
  <c r="Y1228" i="20"/>
  <c r="Z1227" i="20"/>
  <c r="Y1227" i="20"/>
  <c r="Z1226" i="20"/>
  <c r="Y1226" i="20"/>
  <c r="Z1225" i="20"/>
  <c r="Y1225" i="20"/>
  <c r="Z1224" i="20"/>
  <c r="Y1224" i="20"/>
  <c r="Z1223" i="20"/>
  <c r="Y1223" i="20"/>
  <c r="Z1222" i="20"/>
  <c r="Y1222" i="20"/>
  <c r="Z1221" i="20"/>
  <c r="Y1221" i="20"/>
  <c r="Z1220" i="20"/>
  <c r="Y1220" i="20"/>
  <c r="Z1219" i="20"/>
  <c r="Y1219" i="20"/>
  <c r="Z1218" i="20"/>
  <c r="Y1218" i="20"/>
  <c r="Z1217" i="20"/>
  <c r="Y1217" i="20"/>
  <c r="Z1216" i="20"/>
  <c r="Y1216" i="20"/>
  <c r="Z1215" i="20"/>
  <c r="Y1215" i="20"/>
  <c r="Z1214" i="20"/>
  <c r="Y1214" i="20"/>
  <c r="Z1213" i="20"/>
  <c r="Y1213" i="20"/>
  <c r="Z1212" i="20"/>
  <c r="Y1212" i="20"/>
  <c r="Z1211" i="20"/>
  <c r="Y1211" i="20"/>
  <c r="Z1210" i="20"/>
  <c r="Y1210" i="20"/>
  <c r="Z1209" i="20"/>
  <c r="Y1209" i="20"/>
  <c r="Z1208" i="20"/>
  <c r="Y1208" i="20"/>
  <c r="Z1207" i="20"/>
  <c r="Y1207" i="20"/>
  <c r="Z1206" i="20"/>
  <c r="Y1206" i="20"/>
  <c r="Z1205" i="20"/>
  <c r="Y1205" i="20"/>
  <c r="Z1204" i="20"/>
  <c r="Y1204" i="20"/>
  <c r="Z1203" i="20"/>
  <c r="Y1203" i="20"/>
  <c r="Z1202" i="20"/>
  <c r="Y1202" i="20"/>
  <c r="Z1201" i="20"/>
  <c r="Y1201" i="20"/>
  <c r="Z1200" i="20"/>
  <c r="Y1200" i="20"/>
  <c r="Z1199" i="20"/>
  <c r="Y1199" i="20"/>
  <c r="Z1198" i="20"/>
  <c r="Y1198" i="20"/>
  <c r="Z1197" i="20"/>
  <c r="Y1197" i="20"/>
  <c r="Z1196" i="20"/>
  <c r="Y1196" i="20"/>
  <c r="Z1195" i="20"/>
  <c r="Y1195" i="20"/>
  <c r="Z1194" i="20"/>
  <c r="Y1194" i="20"/>
  <c r="Z1193" i="20"/>
  <c r="Y1193" i="20"/>
  <c r="Z1192" i="20"/>
  <c r="Y1192" i="20"/>
  <c r="Z1191" i="20"/>
  <c r="Y1191" i="20"/>
  <c r="Z1190" i="20"/>
  <c r="Y1190" i="20"/>
  <c r="Z1189" i="20"/>
  <c r="Y1189" i="20"/>
  <c r="Z1188" i="20"/>
  <c r="Y1188" i="20"/>
  <c r="Z1187" i="20"/>
  <c r="Y1187" i="20"/>
  <c r="Z1186" i="20"/>
  <c r="Y1186" i="20"/>
  <c r="Z1185" i="20"/>
  <c r="Y1185" i="20"/>
  <c r="Z1184" i="20"/>
  <c r="Y1184" i="20"/>
  <c r="Z1183" i="20"/>
  <c r="Y1183" i="20"/>
  <c r="Z1182" i="20"/>
  <c r="Y1182" i="20"/>
  <c r="Z1181" i="20"/>
  <c r="Y1181" i="20"/>
  <c r="Z1180" i="20"/>
  <c r="Y1180" i="20"/>
  <c r="Z1179" i="20"/>
  <c r="Y1179" i="20"/>
  <c r="Z1178" i="20"/>
  <c r="Y1178" i="20"/>
  <c r="Z1177" i="20"/>
  <c r="Y1177" i="20"/>
  <c r="Z1176" i="20"/>
  <c r="Y1176" i="20"/>
  <c r="Z1175" i="20"/>
  <c r="Y1175" i="20"/>
  <c r="Z1174" i="20"/>
  <c r="Y1174" i="20"/>
  <c r="Z1173" i="20"/>
  <c r="Y1173" i="20"/>
  <c r="Z1172" i="20"/>
  <c r="Y1172" i="20"/>
  <c r="Z1171" i="20"/>
  <c r="Y1171" i="20"/>
  <c r="Z1170" i="20"/>
  <c r="Y1170" i="20"/>
  <c r="Z1169" i="20"/>
  <c r="Y1169" i="20"/>
  <c r="Z1168" i="20"/>
  <c r="Y1168" i="20"/>
  <c r="Z1167" i="20"/>
  <c r="Y1167" i="20"/>
  <c r="Z1166" i="20"/>
  <c r="Y1166" i="20"/>
  <c r="Z1165" i="20"/>
  <c r="Y1165" i="20"/>
  <c r="Z1164" i="20"/>
  <c r="Y1164" i="20"/>
  <c r="Z1163" i="20"/>
  <c r="Y1163" i="20"/>
  <c r="Z1162" i="20"/>
  <c r="Y1162" i="20"/>
  <c r="Z1161" i="20"/>
  <c r="Y1161" i="20"/>
  <c r="Z1160" i="20"/>
  <c r="Y1160" i="20"/>
  <c r="Z1159" i="20"/>
  <c r="Y1159" i="20"/>
  <c r="Z1158" i="20"/>
  <c r="Y1158" i="20"/>
  <c r="Z1157" i="20"/>
  <c r="Y1157" i="20"/>
  <c r="Z1156" i="20"/>
  <c r="Y1156" i="20"/>
  <c r="Z1155" i="20"/>
  <c r="Y1155" i="20"/>
  <c r="Z1154" i="20"/>
  <c r="Y1154" i="20"/>
  <c r="Z1153" i="20"/>
  <c r="Y1153" i="20"/>
  <c r="Z1152" i="20"/>
  <c r="Y1152" i="20"/>
  <c r="Z1151" i="20"/>
  <c r="Y1151" i="20"/>
  <c r="Z1150" i="20"/>
  <c r="Y1150" i="20"/>
  <c r="Z1149" i="20"/>
  <c r="Y1149" i="20"/>
  <c r="Z1148" i="20"/>
  <c r="Y1148" i="20"/>
  <c r="Z1147" i="20"/>
  <c r="Y1147" i="20"/>
  <c r="Z1146" i="20"/>
  <c r="Y1146" i="20"/>
  <c r="Z1145" i="20"/>
  <c r="Y1145" i="20"/>
  <c r="Z1144" i="20"/>
  <c r="Y1144" i="20"/>
  <c r="Z1143" i="20"/>
  <c r="Y1143" i="20"/>
  <c r="Z1142" i="20"/>
  <c r="Y1142" i="20"/>
  <c r="Z1141" i="20"/>
  <c r="Y1141" i="20"/>
  <c r="Z1140" i="20"/>
  <c r="Y1140" i="20"/>
  <c r="Z1139" i="20"/>
  <c r="Y1139" i="20"/>
  <c r="Z1138" i="20"/>
  <c r="Y1138" i="20"/>
  <c r="Z1137" i="20"/>
  <c r="Y1137" i="20"/>
  <c r="Z1136" i="20"/>
  <c r="Y1136" i="20"/>
  <c r="Z1135" i="20"/>
  <c r="Y1135" i="20"/>
  <c r="Z1134" i="20"/>
  <c r="Y1134" i="20"/>
  <c r="Z1133" i="20"/>
  <c r="Y1133" i="20"/>
  <c r="Z1132" i="20"/>
  <c r="Y1132" i="20"/>
  <c r="Z1131" i="20"/>
  <c r="Y1131" i="20"/>
  <c r="Z1130" i="20"/>
  <c r="Y1130" i="20"/>
  <c r="Z1129" i="20"/>
  <c r="Y1129" i="20"/>
  <c r="Z1128" i="20"/>
  <c r="Y1128" i="20"/>
  <c r="Z1127" i="20"/>
  <c r="Y1127" i="20"/>
  <c r="Z1126" i="20"/>
  <c r="Y1126" i="20"/>
  <c r="Z1125" i="20"/>
  <c r="Y1125" i="20"/>
  <c r="Z1124" i="20"/>
  <c r="Y1124" i="20"/>
  <c r="Z1123" i="20"/>
  <c r="Y1123" i="20"/>
  <c r="Z1122" i="20"/>
  <c r="Y1122" i="20"/>
  <c r="Z1121" i="20"/>
  <c r="Y1121" i="20"/>
  <c r="Z1120" i="20"/>
  <c r="Y1120" i="20"/>
  <c r="Z1119" i="20"/>
  <c r="Y1119" i="20"/>
  <c r="Z1118" i="20"/>
  <c r="Y1118" i="20"/>
  <c r="Z1117" i="20"/>
  <c r="Y1117" i="20"/>
  <c r="Z1116" i="20"/>
  <c r="Y1116" i="20"/>
  <c r="Z1115" i="20"/>
  <c r="Y1115" i="20"/>
  <c r="Z1114" i="20"/>
  <c r="Y1114" i="20"/>
  <c r="Z1113" i="20"/>
  <c r="Y1113" i="20"/>
  <c r="Z1112" i="20"/>
  <c r="Y1112" i="20"/>
  <c r="Z1111" i="20"/>
  <c r="Y1111" i="20"/>
  <c r="Z1110" i="20"/>
  <c r="Y1110" i="20"/>
  <c r="Z1109" i="20"/>
  <c r="Y1109" i="20"/>
  <c r="Z1108" i="20"/>
  <c r="Y1108" i="20"/>
  <c r="Z1107" i="20"/>
  <c r="Y1107" i="20"/>
  <c r="Z1106" i="20"/>
  <c r="Y1106" i="20"/>
  <c r="Z1105" i="20"/>
  <c r="Y1105" i="20"/>
  <c r="Z1104" i="20"/>
  <c r="Y1104" i="20"/>
  <c r="Z1103" i="20"/>
  <c r="Y1103" i="20"/>
  <c r="Z1102" i="20"/>
  <c r="Y1102" i="20"/>
  <c r="Z1101" i="20"/>
  <c r="Y1101" i="20"/>
  <c r="Z1100" i="20"/>
  <c r="Y1100" i="20"/>
  <c r="Z1099" i="20"/>
  <c r="Y1099" i="20"/>
  <c r="Z1098" i="20"/>
  <c r="Y1098" i="20"/>
  <c r="Z1097" i="20"/>
  <c r="Y1097" i="20"/>
  <c r="Z1096" i="20"/>
  <c r="Y1096" i="20"/>
  <c r="Z1095" i="20"/>
  <c r="Y1095" i="20"/>
  <c r="Z1094" i="20"/>
  <c r="Y1094" i="20"/>
  <c r="Z1093" i="20"/>
  <c r="Y1093" i="20"/>
  <c r="Z1092" i="20"/>
  <c r="Y1092" i="20"/>
  <c r="Z1091" i="20"/>
  <c r="Y1091" i="20"/>
  <c r="Z1090" i="20"/>
  <c r="Y1090" i="20"/>
  <c r="Z1089" i="20"/>
  <c r="Y1089" i="20"/>
  <c r="Z1088" i="20"/>
  <c r="Y1088" i="20"/>
  <c r="Z1087" i="20"/>
  <c r="Y1087" i="20"/>
  <c r="Z1086" i="20"/>
  <c r="Y1086" i="20"/>
  <c r="Z1085" i="20"/>
  <c r="Y1085" i="20"/>
  <c r="Z1084" i="20"/>
  <c r="Y1084" i="20"/>
  <c r="Z1083" i="20"/>
  <c r="Y1083" i="20"/>
  <c r="Z1082" i="20"/>
  <c r="Y1082" i="20"/>
  <c r="Z1081" i="20"/>
  <c r="Y1081" i="20"/>
  <c r="Z1080" i="20"/>
  <c r="Y1080" i="20"/>
  <c r="Z1079" i="20"/>
  <c r="Y1079" i="20"/>
  <c r="Z1078" i="20"/>
  <c r="Y1078" i="20"/>
  <c r="Z1077" i="20"/>
  <c r="Y1077" i="20"/>
  <c r="Z1076" i="20"/>
  <c r="Y1076" i="20"/>
  <c r="Z1075" i="20"/>
  <c r="Y1075" i="20"/>
  <c r="Z1074" i="20"/>
  <c r="Y1074" i="20"/>
  <c r="Z1073" i="20"/>
  <c r="Y1073" i="20"/>
  <c r="Z1072" i="20"/>
  <c r="Y1072" i="20"/>
  <c r="Z1071" i="20"/>
  <c r="Y1071" i="20"/>
  <c r="Z1070" i="20"/>
  <c r="Y1070" i="20"/>
  <c r="Z1069" i="20"/>
  <c r="Y1069" i="20"/>
  <c r="Z1068" i="20"/>
  <c r="Y1068" i="20"/>
  <c r="Z1067" i="20"/>
  <c r="Y1067" i="20"/>
  <c r="Z1066" i="20"/>
  <c r="Y1066" i="20"/>
  <c r="Z1065" i="20"/>
  <c r="Y1065" i="20"/>
  <c r="Z1064" i="20"/>
  <c r="Y1064" i="20"/>
  <c r="Z1063" i="20"/>
  <c r="Y1063" i="20"/>
  <c r="Z1062" i="20"/>
  <c r="Y1062" i="20"/>
  <c r="Z1061" i="20"/>
  <c r="Y1061" i="20"/>
  <c r="Z1060" i="20"/>
  <c r="Y1060" i="20"/>
  <c r="Z1059" i="20"/>
  <c r="Y1059" i="20"/>
  <c r="Z1058" i="20"/>
  <c r="Y1058" i="20"/>
  <c r="Z1057" i="20"/>
  <c r="Y1057" i="20"/>
  <c r="Z1056" i="20"/>
  <c r="Y1056" i="20"/>
  <c r="Z1055" i="20"/>
  <c r="Y1055" i="20"/>
  <c r="Z1054" i="20"/>
  <c r="Y1054" i="20"/>
  <c r="Z1053" i="20"/>
  <c r="Y1053" i="20"/>
  <c r="Z1052" i="20"/>
  <c r="Y1052" i="20"/>
  <c r="Z1051" i="20"/>
  <c r="Y1051" i="20"/>
  <c r="Z1050" i="20"/>
  <c r="Y1050" i="20"/>
  <c r="Z1049" i="20"/>
  <c r="Y1049" i="20"/>
  <c r="Z1048" i="20"/>
  <c r="Y1048" i="20"/>
  <c r="Z1047" i="20"/>
  <c r="Y1047" i="20"/>
  <c r="Z1046" i="20"/>
  <c r="Y1046" i="20"/>
  <c r="Z1045" i="20"/>
  <c r="Y1045" i="20"/>
  <c r="Z1044" i="20"/>
  <c r="Y1044" i="20"/>
  <c r="Z1043" i="20"/>
  <c r="Y1043" i="20"/>
  <c r="Z1042" i="20"/>
  <c r="Y1042" i="20"/>
  <c r="Z1041" i="20"/>
  <c r="Y1041" i="20"/>
  <c r="Z1040" i="20"/>
  <c r="Y1040" i="20"/>
  <c r="Z1039" i="20"/>
  <c r="Y1039" i="20"/>
  <c r="Z1038" i="20"/>
  <c r="Y1038" i="20"/>
  <c r="Z1037" i="20"/>
  <c r="Y1037" i="20"/>
  <c r="Z1036" i="20"/>
  <c r="Y1036" i="20"/>
  <c r="Z1035" i="20"/>
  <c r="Y1035" i="20"/>
  <c r="Z1034" i="20"/>
  <c r="Y1034" i="20"/>
  <c r="Z1033" i="20"/>
  <c r="Y1033" i="20"/>
  <c r="Z1032" i="20"/>
  <c r="Y1032" i="20"/>
  <c r="Z1031" i="20"/>
  <c r="Y1031" i="20"/>
  <c r="Z1030" i="20"/>
  <c r="Y1030" i="20"/>
  <c r="Z1029" i="20"/>
  <c r="Y1029" i="20"/>
  <c r="Z1028" i="20"/>
  <c r="Y1028" i="20"/>
  <c r="Z1027" i="20"/>
  <c r="Y1027" i="20"/>
  <c r="Z1026" i="20"/>
  <c r="Y1026" i="20"/>
  <c r="Z1025" i="20"/>
  <c r="Y1025" i="20"/>
  <c r="Z1024" i="20"/>
  <c r="Y1024" i="20"/>
  <c r="Z1023" i="20"/>
  <c r="Y1023" i="20"/>
  <c r="Z1022" i="20"/>
  <c r="Y1022" i="20"/>
  <c r="Z1021" i="20"/>
  <c r="Y1021" i="20"/>
  <c r="Z1020" i="20"/>
  <c r="Y1020" i="20"/>
  <c r="Z1019" i="20"/>
  <c r="Y1019" i="20"/>
  <c r="Z1018" i="20"/>
  <c r="Y1018" i="20"/>
  <c r="Z1017" i="20"/>
  <c r="Y1017" i="20"/>
  <c r="Z1016" i="20"/>
  <c r="Y1016" i="20"/>
  <c r="Z1015" i="20"/>
  <c r="Y1015" i="20"/>
  <c r="Z1014" i="20"/>
  <c r="Y1014" i="20"/>
  <c r="Z1013" i="20"/>
  <c r="Y1013" i="20"/>
  <c r="Z1012" i="20"/>
  <c r="Y1012" i="20"/>
  <c r="Z1011" i="20"/>
  <c r="Y1011" i="20"/>
  <c r="Z1010" i="20"/>
  <c r="Y1010" i="20"/>
  <c r="Z1009" i="20"/>
  <c r="Y1009" i="20"/>
  <c r="Z1008" i="20"/>
  <c r="Y1008" i="20"/>
  <c r="Z1007" i="20"/>
  <c r="Y1007" i="20"/>
  <c r="Z1006" i="20"/>
  <c r="Y1006" i="20"/>
  <c r="Z1005" i="20"/>
  <c r="Y1005" i="20"/>
  <c r="Z1004" i="20"/>
  <c r="Y1004" i="20"/>
  <c r="Z1003" i="20"/>
  <c r="Y1003" i="20"/>
  <c r="Z1002" i="20"/>
  <c r="Y1002" i="20"/>
  <c r="Z1001" i="20"/>
  <c r="Y1001" i="20"/>
  <c r="Z1000" i="20"/>
  <c r="Y1000" i="20"/>
  <c r="Z999" i="20"/>
  <c r="Y999" i="20"/>
  <c r="Z998" i="20"/>
  <c r="Y998" i="20"/>
  <c r="Z997" i="20"/>
  <c r="Y997" i="20"/>
  <c r="Z996" i="20"/>
  <c r="Y996" i="20"/>
  <c r="Z995" i="20"/>
  <c r="Y995" i="20"/>
  <c r="Z994" i="20"/>
  <c r="Y994" i="20"/>
  <c r="Z993" i="20"/>
  <c r="Y993" i="20"/>
  <c r="Z992" i="20"/>
  <c r="Y992" i="20"/>
  <c r="Z991" i="20"/>
  <c r="Y991" i="20"/>
  <c r="Z990" i="20"/>
  <c r="Y990" i="20"/>
  <c r="Z989" i="20"/>
  <c r="Y989" i="20"/>
  <c r="Z988" i="20"/>
  <c r="Y988" i="20"/>
  <c r="Z987" i="20"/>
  <c r="Y987" i="20"/>
  <c r="Z986" i="20"/>
  <c r="Y986" i="20"/>
  <c r="Z985" i="20"/>
  <c r="Y985" i="20"/>
  <c r="Z984" i="20"/>
  <c r="Y984" i="20"/>
  <c r="Z983" i="20"/>
  <c r="Y983" i="20"/>
  <c r="Z982" i="20"/>
  <c r="Y982" i="20"/>
  <c r="Z981" i="20"/>
  <c r="Y981" i="20"/>
  <c r="Z980" i="20"/>
  <c r="Y980" i="20"/>
  <c r="Z979" i="20"/>
  <c r="Y979" i="20"/>
  <c r="Z978" i="20"/>
  <c r="Y978" i="20"/>
  <c r="Z977" i="20"/>
  <c r="Y977" i="20"/>
  <c r="Z976" i="20"/>
  <c r="Y976" i="20"/>
  <c r="Z975" i="20"/>
  <c r="Y975" i="20"/>
  <c r="Z974" i="20"/>
  <c r="Y974" i="20"/>
  <c r="Z973" i="20"/>
  <c r="Y973" i="20"/>
  <c r="Z972" i="20"/>
  <c r="Y972" i="20"/>
  <c r="Z971" i="20"/>
  <c r="Y971" i="20"/>
  <c r="Z970" i="20"/>
  <c r="Y970" i="20"/>
  <c r="Z969" i="20"/>
  <c r="Y969" i="20"/>
  <c r="Z968" i="20"/>
  <c r="Y968" i="20"/>
  <c r="Z967" i="20"/>
  <c r="Y967" i="20"/>
  <c r="Z966" i="20"/>
  <c r="Y966" i="20"/>
  <c r="Z965" i="20"/>
  <c r="Y965" i="20"/>
  <c r="Z964" i="20"/>
  <c r="Y964" i="20"/>
  <c r="Z963" i="20"/>
  <c r="Y963" i="20"/>
  <c r="Z962" i="20"/>
  <c r="Y962" i="20"/>
  <c r="Z961" i="20"/>
  <c r="Y961" i="20"/>
  <c r="Z960" i="20"/>
  <c r="Y960" i="20"/>
  <c r="Z959" i="20"/>
  <c r="Y959" i="20"/>
  <c r="Z958" i="20"/>
  <c r="Y958" i="20"/>
  <c r="Z957" i="20"/>
  <c r="Y957" i="20"/>
  <c r="Z956" i="20"/>
  <c r="Y956" i="20"/>
  <c r="Z955" i="20"/>
  <c r="Y955" i="20"/>
  <c r="Z954" i="20"/>
  <c r="Y954" i="20"/>
  <c r="Z953" i="20"/>
  <c r="Y953" i="20"/>
  <c r="Z952" i="20"/>
  <c r="Y952" i="20"/>
  <c r="Z951" i="20"/>
  <c r="Y951" i="20"/>
  <c r="Z950" i="20"/>
  <c r="Y950" i="20"/>
  <c r="Z949" i="20"/>
  <c r="Y949" i="20"/>
  <c r="Z948" i="20"/>
  <c r="Y948" i="20"/>
  <c r="Z947" i="20"/>
  <c r="Y947" i="20"/>
  <c r="Z946" i="20"/>
  <c r="Y946" i="20"/>
  <c r="Z945" i="20"/>
  <c r="Y945" i="20"/>
  <c r="Z944" i="20"/>
  <c r="Y944" i="20"/>
  <c r="Z943" i="20"/>
  <c r="Y943" i="20"/>
  <c r="Z942" i="20"/>
  <c r="Y942" i="20"/>
  <c r="Z941" i="20"/>
  <c r="Y941" i="20"/>
  <c r="Z940" i="20"/>
  <c r="Y940" i="20"/>
  <c r="Z939" i="20"/>
  <c r="Y939" i="20"/>
  <c r="Z938" i="20"/>
  <c r="Y938" i="20"/>
  <c r="Z937" i="20"/>
  <c r="Y937" i="20"/>
  <c r="Z936" i="20"/>
  <c r="Y936" i="20"/>
  <c r="Z935" i="20"/>
  <c r="Y935" i="20"/>
  <c r="Z934" i="20"/>
  <c r="Y934" i="20"/>
  <c r="Z933" i="20"/>
  <c r="Y933" i="20"/>
  <c r="Z932" i="20"/>
  <c r="Y932" i="20"/>
  <c r="Z931" i="20"/>
  <c r="Y931" i="20"/>
  <c r="Z930" i="20"/>
  <c r="Y930" i="20"/>
  <c r="Z929" i="20"/>
  <c r="Y929" i="20"/>
  <c r="Z928" i="20"/>
  <c r="Y928" i="20"/>
  <c r="Z927" i="20"/>
  <c r="Y927" i="20"/>
  <c r="Z926" i="20"/>
  <c r="Y926" i="20"/>
  <c r="Z925" i="20"/>
  <c r="Y925" i="20"/>
  <c r="Z924" i="20"/>
  <c r="Y924" i="20"/>
  <c r="Z923" i="20"/>
  <c r="Y923" i="20"/>
  <c r="Z922" i="20"/>
  <c r="Y922" i="20"/>
  <c r="Z921" i="20"/>
  <c r="Y921" i="20"/>
  <c r="Z920" i="20"/>
  <c r="Y920" i="20"/>
  <c r="Z919" i="20"/>
  <c r="Y919" i="20"/>
  <c r="Z918" i="20"/>
  <c r="Y918" i="20"/>
  <c r="Z917" i="20"/>
  <c r="Y917" i="20"/>
  <c r="Z916" i="20"/>
  <c r="Y916" i="20"/>
  <c r="Z915" i="20"/>
  <c r="Y915" i="20"/>
  <c r="Z914" i="20"/>
  <c r="Y914" i="20"/>
  <c r="Z913" i="20"/>
  <c r="Y913" i="20"/>
  <c r="Z912" i="20"/>
  <c r="Y912" i="20"/>
  <c r="Z911" i="20"/>
  <c r="Y911" i="20"/>
  <c r="Z910" i="20"/>
  <c r="Y910" i="20"/>
  <c r="Z909" i="20"/>
  <c r="Y909" i="20"/>
  <c r="Z908" i="20"/>
  <c r="Y908" i="20"/>
  <c r="Z907" i="20"/>
  <c r="Y907" i="20"/>
  <c r="Z906" i="20"/>
  <c r="Y906" i="20"/>
  <c r="Z905" i="20"/>
  <c r="Y905" i="20"/>
  <c r="Z904" i="20"/>
  <c r="Y904" i="20"/>
  <c r="Z903" i="20"/>
  <c r="Y903" i="20"/>
  <c r="Z902" i="20"/>
  <c r="Y902" i="20"/>
  <c r="Z901" i="20"/>
  <c r="Y901" i="20"/>
  <c r="Z900" i="20"/>
  <c r="Y900" i="20"/>
  <c r="Z899" i="20"/>
  <c r="Y899" i="20"/>
  <c r="Z898" i="20"/>
  <c r="Y898" i="20"/>
  <c r="Z897" i="20"/>
  <c r="Y897" i="20"/>
  <c r="Z896" i="20"/>
  <c r="Y896" i="20"/>
  <c r="Z895" i="20"/>
  <c r="Y895" i="20"/>
  <c r="Z894" i="20"/>
  <c r="Y894" i="20"/>
  <c r="Z893" i="20"/>
  <c r="Y893" i="20"/>
  <c r="Z892" i="20"/>
  <c r="Y892" i="20"/>
  <c r="Z891" i="20"/>
  <c r="Y891" i="20"/>
  <c r="Z890" i="20"/>
  <c r="Y890" i="20"/>
  <c r="Z889" i="20"/>
  <c r="Y889" i="20"/>
  <c r="Z888" i="20"/>
  <c r="Y888" i="20"/>
  <c r="Z887" i="20"/>
  <c r="Y887" i="20"/>
  <c r="Z886" i="20"/>
  <c r="Y886" i="20"/>
  <c r="Z885" i="20"/>
  <c r="Y885" i="20"/>
  <c r="Z884" i="20"/>
  <c r="Y884" i="20"/>
  <c r="Z883" i="20"/>
  <c r="Y883" i="20"/>
  <c r="Z882" i="20"/>
  <c r="Y882" i="20"/>
  <c r="Z881" i="20"/>
  <c r="Y881" i="20"/>
  <c r="Z880" i="20"/>
  <c r="Y880" i="20"/>
  <c r="Z879" i="20"/>
  <c r="Y879" i="20"/>
  <c r="Z878" i="20"/>
  <c r="Y878" i="20"/>
  <c r="Z877" i="20"/>
  <c r="Y877" i="20"/>
  <c r="Z876" i="20"/>
  <c r="Y876" i="20"/>
  <c r="Z875" i="20"/>
  <c r="Y875" i="20"/>
  <c r="Z874" i="20"/>
  <c r="Y874" i="20"/>
  <c r="Z873" i="20"/>
  <c r="Y873" i="20"/>
  <c r="Z872" i="20"/>
  <c r="Y872" i="20"/>
  <c r="Z871" i="20"/>
  <c r="Y871" i="20"/>
  <c r="Z870" i="20"/>
  <c r="Y870" i="20"/>
  <c r="Z869" i="20"/>
  <c r="Y869" i="20"/>
  <c r="Z868" i="20"/>
  <c r="Y868" i="20"/>
  <c r="Z867" i="20"/>
  <c r="Y867" i="20"/>
  <c r="Z866" i="20"/>
  <c r="Y866" i="20"/>
  <c r="Z865" i="20"/>
  <c r="Y865" i="20"/>
  <c r="Z864" i="20"/>
  <c r="Y864" i="20"/>
  <c r="Z863" i="20"/>
  <c r="Y863" i="20"/>
  <c r="Z862" i="20"/>
  <c r="Y862" i="20"/>
  <c r="Z861" i="20"/>
  <c r="Y861" i="20"/>
  <c r="Z860" i="20"/>
  <c r="Y860" i="20"/>
  <c r="Z859" i="20"/>
  <c r="Y859" i="20"/>
  <c r="Z858" i="20"/>
  <c r="Y858" i="20"/>
  <c r="Z857" i="20"/>
  <c r="Y857" i="20"/>
  <c r="Z856" i="20"/>
  <c r="Y856" i="20"/>
  <c r="Z855" i="20"/>
  <c r="Y855" i="20"/>
  <c r="Z854" i="20"/>
  <c r="Y854" i="20"/>
  <c r="Z853" i="20"/>
  <c r="Y853" i="20"/>
  <c r="Z852" i="20"/>
  <c r="Y852" i="20"/>
  <c r="Z851" i="20"/>
  <c r="Y851" i="20"/>
  <c r="Z850" i="20"/>
  <c r="Y850" i="20"/>
  <c r="Z849" i="20"/>
  <c r="Y849" i="20"/>
  <c r="Z848" i="20"/>
  <c r="Y848" i="20"/>
  <c r="Z847" i="20"/>
  <c r="Y847" i="20"/>
  <c r="Z846" i="20"/>
  <c r="Y846" i="20"/>
  <c r="Z845" i="20"/>
  <c r="Y845" i="20"/>
  <c r="Z844" i="20"/>
  <c r="Y844" i="20"/>
  <c r="Z843" i="20"/>
  <c r="Y843" i="20"/>
  <c r="Z842" i="20"/>
  <c r="Y842" i="20"/>
  <c r="Z841" i="20"/>
  <c r="Y841" i="20"/>
  <c r="Z840" i="20"/>
  <c r="Y840" i="20"/>
  <c r="Z839" i="20"/>
  <c r="Y839" i="20"/>
  <c r="Z838" i="20"/>
  <c r="Y838" i="20"/>
  <c r="Z837" i="20"/>
  <c r="Y837" i="20"/>
  <c r="Z836" i="20"/>
  <c r="Y836" i="20"/>
  <c r="Z835" i="20"/>
  <c r="Y835" i="20"/>
  <c r="Z834" i="20"/>
  <c r="Y834" i="20"/>
  <c r="Z833" i="20"/>
  <c r="Y833" i="20"/>
  <c r="Z832" i="20"/>
  <c r="Y832" i="20"/>
  <c r="Z831" i="20"/>
  <c r="Y831" i="20"/>
  <c r="Z830" i="20"/>
  <c r="Y830" i="20"/>
  <c r="Z829" i="20"/>
  <c r="Y829" i="20"/>
  <c r="Z828" i="20"/>
  <c r="Y828" i="20"/>
  <c r="Z827" i="20"/>
  <c r="Y827" i="20"/>
  <c r="Z826" i="20"/>
  <c r="Y826" i="20"/>
  <c r="Z825" i="20"/>
  <c r="Y825" i="20"/>
  <c r="Z824" i="20"/>
  <c r="Y824" i="20"/>
  <c r="Z823" i="20"/>
  <c r="Y823" i="20"/>
  <c r="Z822" i="20"/>
  <c r="Y822" i="20"/>
  <c r="Z821" i="20"/>
  <c r="Y821" i="20"/>
  <c r="Z820" i="20"/>
  <c r="Y820" i="20"/>
  <c r="Z819" i="20"/>
  <c r="Y819" i="20"/>
  <c r="Z818" i="20"/>
  <c r="Y818" i="20"/>
  <c r="Z817" i="20"/>
  <c r="Y817" i="20"/>
  <c r="Z816" i="20"/>
  <c r="Y816" i="20"/>
  <c r="Z815" i="20"/>
  <c r="Y815" i="20"/>
  <c r="Z814" i="20"/>
  <c r="Y814" i="20"/>
  <c r="Z813" i="20"/>
  <c r="Y813" i="20"/>
  <c r="Z812" i="20"/>
  <c r="Y812" i="20"/>
  <c r="Z811" i="20"/>
  <c r="Y811" i="20"/>
  <c r="Z810" i="20"/>
  <c r="Y810" i="20"/>
  <c r="Z809" i="20"/>
  <c r="Y809" i="20"/>
  <c r="Z808" i="20"/>
  <c r="Y808" i="20"/>
  <c r="Z807" i="20"/>
  <c r="Y807" i="20"/>
  <c r="Z806" i="20"/>
  <c r="Y806" i="20"/>
  <c r="Z805" i="20"/>
  <c r="Y805" i="20"/>
  <c r="Z804" i="20"/>
  <c r="Y804" i="20"/>
  <c r="Z803" i="20"/>
  <c r="Y803" i="20"/>
  <c r="Z802" i="20"/>
  <c r="Y802" i="20"/>
  <c r="Z801" i="20"/>
  <c r="Y801" i="20"/>
  <c r="Z800" i="20"/>
  <c r="Y800" i="20"/>
  <c r="Z799" i="20"/>
  <c r="Y799" i="20"/>
  <c r="Z798" i="20"/>
  <c r="Y798" i="20"/>
  <c r="Z797" i="20"/>
  <c r="Y797" i="20"/>
  <c r="Z796" i="20"/>
  <c r="Y796" i="20"/>
  <c r="Z795" i="20"/>
  <c r="Y795" i="20"/>
  <c r="Z794" i="20"/>
  <c r="Y794" i="20"/>
  <c r="Z793" i="20"/>
  <c r="Y793" i="20"/>
  <c r="Z792" i="20"/>
  <c r="Y792" i="20"/>
  <c r="Z791" i="20"/>
  <c r="Y791" i="20"/>
  <c r="Z790" i="20"/>
  <c r="Y790" i="20"/>
  <c r="Z789" i="20"/>
  <c r="Y789" i="20"/>
  <c r="Z788" i="20"/>
  <c r="Y788" i="20"/>
  <c r="Z787" i="20"/>
  <c r="Y787" i="20"/>
  <c r="Z786" i="20"/>
  <c r="Y786" i="20"/>
  <c r="Z785" i="20"/>
  <c r="Y785" i="20"/>
  <c r="Z784" i="20"/>
  <c r="Y784" i="20"/>
  <c r="Z783" i="20"/>
  <c r="Y783" i="20"/>
  <c r="Z782" i="20"/>
  <c r="Y782" i="20"/>
  <c r="Z781" i="20"/>
  <c r="Y781" i="20"/>
  <c r="Z780" i="20"/>
  <c r="Y780" i="20"/>
  <c r="Z779" i="20"/>
  <c r="Y779" i="20"/>
  <c r="Z778" i="20"/>
  <c r="Y778" i="20"/>
  <c r="Z777" i="20"/>
  <c r="Y777" i="20"/>
  <c r="Z776" i="20"/>
  <c r="Y776" i="20"/>
  <c r="Z775" i="20"/>
  <c r="Y775" i="20"/>
  <c r="Z774" i="20"/>
  <c r="Y774" i="20"/>
  <c r="Z773" i="20"/>
  <c r="Y773" i="20"/>
  <c r="Z772" i="20"/>
  <c r="Y772" i="20"/>
  <c r="Z771" i="20"/>
  <c r="Y771" i="20"/>
  <c r="Z770" i="20"/>
  <c r="Y770" i="20"/>
  <c r="Z769" i="20"/>
  <c r="Y769" i="20"/>
  <c r="Z768" i="20"/>
  <c r="Y768" i="20"/>
  <c r="Z767" i="20"/>
  <c r="Y767" i="20"/>
  <c r="Z766" i="20"/>
  <c r="Y766" i="20"/>
  <c r="Z765" i="20"/>
  <c r="Y765" i="20"/>
  <c r="Z764" i="20"/>
  <c r="Y764" i="20"/>
  <c r="Z763" i="20"/>
  <c r="Y763" i="20"/>
  <c r="Z762" i="20"/>
  <c r="Y762" i="20"/>
  <c r="Z761" i="20"/>
  <c r="Y761" i="20"/>
  <c r="Z760" i="20"/>
  <c r="Y760" i="20"/>
  <c r="Z759" i="20"/>
  <c r="Y759" i="20"/>
  <c r="Z758" i="20"/>
  <c r="Y758" i="20"/>
  <c r="Z757" i="20"/>
  <c r="Y757" i="20"/>
  <c r="Z756" i="20"/>
  <c r="Y756" i="20"/>
  <c r="Z755" i="20"/>
  <c r="Y755" i="20"/>
  <c r="Z754" i="20"/>
  <c r="Y754" i="20"/>
  <c r="Z753" i="20"/>
  <c r="Y753" i="20"/>
  <c r="Z752" i="20"/>
  <c r="Y752" i="20"/>
  <c r="Z751" i="20"/>
  <c r="Y751" i="20"/>
  <c r="Z750" i="20"/>
  <c r="Y750" i="20"/>
  <c r="Z749" i="20"/>
  <c r="Y749" i="20"/>
  <c r="Z748" i="20"/>
  <c r="Y748" i="20"/>
  <c r="Z747" i="20"/>
  <c r="Y747" i="20"/>
  <c r="Z746" i="20"/>
  <c r="Y746" i="20"/>
  <c r="Z745" i="20"/>
  <c r="Y745" i="20"/>
  <c r="Z744" i="20"/>
  <c r="Y744" i="20"/>
  <c r="Z743" i="20"/>
  <c r="Y743" i="20"/>
  <c r="Z742" i="20"/>
  <c r="Y742" i="20"/>
  <c r="Z741" i="20"/>
  <c r="Y741" i="20"/>
  <c r="Z740" i="20"/>
  <c r="Y740" i="20"/>
  <c r="Z739" i="20"/>
  <c r="Y739" i="20"/>
  <c r="Z738" i="20"/>
  <c r="Y738" i="20"/>
  <c r="Z737" i="20"/>
  <c r="Y737" i="20"/>
  <c r="Z736" i="20"/>
  <c r="Y736" i="20"/>
  <c r="Z735" i="20"/>
  <c r="Y735" i="20"/>
  <c r="Z734" i="20"/>
  <c r="Y734" i="20"/>
  <c r="Z733" i="20"/>
  <c r="Y733" i="20"/>
  <c r="Z732" i="20"/>
  <c r="Y732" i="20"/>
  <c r="Z731" i="20"/>
  <c r="Y731" i="20"/>
  <c r="Z730" i="20"/>
  <c r="Y730" i="20"/>
  <c r="Z729" i="20"/>
  <c r="Y729" i="20"/>
  <c r="Z728" i="20"/>
  <c r="Y728" i="20"/>
  <c r="Z727" i="20"/>
  <c r="Y727" i="20"/>
  <c r="Z726" i="20"/>
  <c r="Y726" i="20"/>
  <c r="Z725" i="20"/>
  <c r="Y725" i="20"/>
  <c r="Z724" i="20"/>
  <c r="Y724" i="20"/>
  <c r="Z723" i="20"/>
  <c r="Y723" i="20"/>
  <c r="Z722" i="20"/>
  <c r="Y722" i="20"/>
  <c r="Z721" i="20"/>
  <c r="Y721" i="20"/>
  <c r="Z720" i="20"/>
  <c r="Y720" i="20"/>
  <c r="Z719" i="20"/>
  <c r="Y719" i="20"/>
  <c r="Z718" i="20"/>
  <c r="Y718" i="20"/>
  <c r="Z717" i="20"/>
  <c r="Y717" i="20"/>
  <c r="Z716" i="20"/>
  <c r="Y716" i="20"/>
  <c r="Z715" i="20"/>
  <c r="Y715" i="20"/>
  <c r="Z714" i="20"/>
  <c r="Y714" i="20"/>
  <c r="Z713" i="20"/>
  <c r="Y713" i="20"/>
  <c r="Z712" i="20"/>
  <c r="Y712" i="20"/>
  <c r="Z711" i="20"/>
  <c r="Y711" i="20"/>
  <c r="Z710" i="20"/>
  <c r="Y710" i="20"/>
  <c r="Z709" i="20"/>
  <c r="Y709" i="20"/>
  <c r="Z708" i="20"/>
  <c r="Y708" i="20"/>
  <c r="Z707" i="20"/>
  <c r="Y707" i="20"/>
  <c r="Z706" i="20"/>
  <c r="Y706" i="20"/>
  <c r="Z705" i="20"/>
  <c r="Y705" i="20"/>
  <c r="Z704" i="20"/>
  <c r="Y704" i="20"/>
  <c r="Z703" i="20"/>
  <c r="Y703" i="20"/>
  <c r="Z702" i="20"/>
  <c r="Y702" i="20"/>
  <c r="Z701" i="20"/>
  <c r="Y701" i="20"/>
  <c r="Z700" i="20"/>
  <c r="Y700" i="20"/>
  <c r="Z699" i="20"/>
  <c r="Y699" i="20"/>
  <c r="Z698" i="20"/>
  <c r="Y698" i="20"/>
  <c r="Z697" i="20"/>
  <c r="Y697" i="20"/>
  <c r="Z696" i="20"/>
  <c r="Y696" i="20"/>
  <c r="Z695" i="20"/>
  <c r="Y695" i="20"/>
  <c r="Z694" i="20"/>
  <c r="Y694" i="20"/>
  <c r="Z693" i="20"/>
  <c r="Y693" i="20"/>
  <c r="Z692" i="20"/>
  <c r="Y692" i="20"/>
  <c r="Z691" i="20"/>
  <c r="Y691" i="20"/>
  <c r="Z690" i="20"/>
  <c r="Y690" i="20"/>
  <c r="Z689" i="20"/>
  <c r="Y689" i="20"/>
  <c r="Z688" i="20"/>
  <c r="Y688" i="20"/>
  <c r="Z687" i="20"/>
  <c r="Y687" i="20"/>
  <c r="Z686" i="20"/>
  <c r="Y686" i="20"/>
  <c r="Z685" i="20"/>
  <c r="Y685" i="20"/>
  <c r="Z684" i="20"/>
  <c r="Y684" i="20"/>
  <c r="Z683" i="20"/>
  <c r="Y683" i="20"/>
  <c r="Z682" i="20"/>
  <c r="Y682" i="20"/>
  <c r="Z681" i="20"/>
  <c r="Y681" i="20"/>
  <c r="Z680" i="20"/>
  <c r="Y680" i="20"/>
  <c r="Z679" i="20"/>
  <c r="Y679" i="20"/>
  <c r="Z678" i="20"/>
  <c r="Y678" i="20"/>
  <c r="Z677" i="20"/>
  <c r="Y677" i="20"/>
  <c r="Z676" i="20"/>
  <c r="Y676" i="20"/>
  <c r="Z675" i="20"/>
  <c r="Y675" i="20"/>
  <c r="Z674" i="20"/>
  <c r="Y674" i="20"/>
  <c r="Z673" i="20"/>
  <c r="Y673" i="20"/>
  <c r="Z672" i="20"/>
  <c r="Y672" i="20"/>
  <c r="Z671" i="20"/>
  <c r="Y671" i="20"/>
  <c r="Z670" i="20"/>
  <c r="Y670" i="20"/>
  <c r="Z669" i="20"/>
  <c r="Y669" i="20"/>
  <c r="Z668" i="20"/>
  <c r="Y668" i="20"/>
  <c r="Z667" i="20"/>
  <c r="Y667" i="20"/>
  <c r="Z666" i="20"/>
  <c r="Y666" i="20"/>
  <c r="Z665" i="20"/>
  <c r="Y665" i="20"/>
  <c r="Z664" i="20"/>
  <c r="Y664" i="20"/>
  <c r="Z663" i="20"/>
  <c r="Y663" i="20"/>
  <c r="Z662" i="20"/>
  <c r="Y662" i="20"/>
  <c r="Z661" i="20"/>
  <c r="Y661" i="20"/>
  <c r="Z660" i="20"/>
  <c r="Y660" i="20"/>
  <c r="Z659" i="20"/>
  <c r="Y659" i="20"/>
  <c r="Z658" i="20"/>
  <c r="Y658" i="20"/>
  <c r="Z657" i="20"/>
  <c r="Y657" i="20"/>
  <c r="Z656" i="20"/>
  <c r="Y656" i="20"/>
  <c r="Z655" i="20"/>
  <c r="Y655" i="20"/>
  <c r="Z654" i="20"/>
  <c r="Y654" i="20"/>
  <c r="Z653" i="20"/>
  <c r="Y653" i="20"/>
  <c r="Z652" i="20"/>
  <c r="Y652" i="20"/>
  <c r="Z651" i="20"/>
  <c r="Y651" i="20"/>
  <c r="Z650" i="20"/>
  <c r="Y650" i="20"/>
  <c r="Z649" i="20"/>
  <c r="Y649" i="20"/>
  <c r="Z648" i="20"/>
  <c r="Y648" i="20"/>
  <c r="Z647" i="20"/>
  <c r="Y647" i="20"/>
  <c r="Z646" i="20"/>
  <c r="Y646" i="20"/>
  <c r="Z645" i="20"/>
  <c r="Y645" i="20"/>
  <c r="Z644" i="20"/>
  <c r="Y644" i="20"/>
  <c r="Z643" i="20"/>
  <c r="Y643" i="20"/>
  <c r="Z642" i="20"/>
  <c r="Y642" i="20"/>
  <c r="Z641" i="20"/>
  <c r="Y641" i="20"/>
  <c r="Z640" i="20"/>
  <c r="Y640" i="20"/>
  <c r="Z639" i="20"/>
  <c r="Y639" i="20"/>
  <c r="Z638" i="20"/>
  <c r="Y638" i="20"/>
  <c r="Z637" i="20"/>
  <c r="Y637" i="20"/>
  <c r="Z636" i="20"/>
  <c r="Y636" i="20"/>
  <c r="Z635" i="20"/>
  <c r="Y635" i="20"/>
  <c r="Z634" i="20"/>
  <c r="Y634" i="20"/>
  <c r="Z633" i="20"/>
  <c r="Y633" i="20"/>
  <c r="Z632" i="20"/>
  <c r="Y632" i="20"/>
  <c r="Z631" i="20"/>
  <c r="Y631" i="20"/>
  <c r="Z630" i="20"/>
  <c r="Y630" i="20"/>
  <c r="Z629" i="20"/>
  <c r="Y629" i="20"/>
  <c r="Z628" i="20"/>
  <c r="Y628" i="20"/>
  <c r="Z627" i="20"/>
  <c r="Y627" i="20"/>
  <c r="Z626" i="20"/>
  <c r="Y626" i="20"/>
  <c r="Z625" i="20"/>
  <c r="Y625" i="20"/>
  <c r="Z624" i="20"/>
  <c r="Y624" i="20"/>
  <c r="Z623" i="20"/>
  <c r="Y623" i="20"/>
  <c r="Z622" i="20"/>
  <c r="Y622" i="20"/>
  <c r="Z621" i="20"/>
  <c r="Y621" i="20"/>
  <c r="Z620" i="20"/>
  <c r="Y620" i="20"/>
  <c r="Z619" i="20"/>
  <c r="Y619" i="20"/>
  <c r="Z618" i="20"/>
  <c r="Y618" i="20"/>
  <c r="Z617" i="20"/>
  <c r="Y617" i="20"/>
  <c r="Z616" i="20"/>
  <c r="Y616" i="20"/>
  <c r="Z615" i="20"/>
  <c r="Y615" i="20"/>
  <c r="Z614" i="20"/>
  <c r="Y614" i="20"/>
  <c r="Z613" i="20"/>
  <c r="Y613" i="20"/>
  <c r="Z612" i="20"/>
  <c r="Y612" i="20"/>
  <c r="Z611" i="20"/>
  <c r="Y611" i="20"/>
  <c r="Z610" i="20"/>
  <c r="Y610" i="20"/>
  <c r="Z609" i="20"/>
  <c r="Y609" i="20"/>
  <c r="Z608" i="20"/>
  <c r="Y608" i="20"/>
  <c r="Z607" i="20"/>
  <c r="Y607" i="20"/>
  <c r="Z606" i="20"/>
  <c r="Y606" i="20"/>
  <c r="Z605" i="20"/>
  <c r="Y605" i="20"/>
  <c r="Z604" i="20"/>
  <c r="Y604" i="20"/>
  <c r="Z603" i="20"/>
  <c r="Y603" i="20"/>
  <c r="Z602" i="20"/>
  <c r="Y602" i="20"/>
  <c r="Z601" i="20"/>
  <c r="Y601" i="20"/>
  <c r="Z600" i="20"/>
  <c r="Y600" i="20"/>
  <c r="Z599" i="20"/>
  <c r="Y599" i="20"/>
  <c r="Z598" i="20"/>
  <c r="Y598" i="20"/>
  <c r="Z597" i="20"/>
  <c r="Y597" i="20"/>
  <c r="Z596" i="20"/>
  <c r="Y596" i="20"/>
  <c r="Z595" i="20"/>
  <c r="Y595" i="20"/>
  <c r="Z594" i="20"/>
  <c r="Y594" i="20"/>
  <c r="Z593" i="20"/>
  <c r="Y593" i="20"/>
  <c r="Z592" i="20"/>
  <c r="Y592" i="20"/>
  <c r="Z591" i="20"/>
  <c r="Y591" i="20"/>
  <c r="Z590" i="20"/>
  <c r="Y590" i="20"/>
  <c r="Z589" i="20"/>
  <c r="Y589" i="20"/>
  <c r="Z588" i="20"/>
  <c r="Y588" i="20"/>
  <c r="Z587" i="20"/>
  <c r="Y587" i="20"/>
  <c r="Z586" i="20"/>
  <c r="Y586" i="20"/>
  <c r="Z585" i="20"/>
  <c r="Y585" i="20"/>
  <c r="Z584" i="20"/>
  <c r="Y584" i="20"/>
  <c r="Z583" i="20"/>
  <c r="Y583" i="20"/>
  <c r="Z582" i="20"/>
  <c r="Y582" i="20"/>
  <c r="Z581" i="20"/>
  <c r="Y581" i="20"/>
  <c r="Z580" i="20"/>
  <c r="Y580" i="20"/>
  <c r="Z579" i="20"/>
  <c r="Y579" i="20"/>
  <c r="Z578" i="20"/>
  <c r="Y578" i="20"/>
  <c r="Z577" i="20"/>
  <c r="Y577" i="20"/>
  <c r="Z576" i="20"/>
  <c r="Y576" i="20"/>
  <c r="Z575" i="20"/>
  <c r="Y575" i="20"/>
  <c r="Z574" i="20"/>
  <c r="Y574" i="20"/>
  <c r="Z573" i="20"/>
  <c r="Y573" i="20"/>
  <c r="Z572" i="20"/>
  <c r="Y572" i="20"/>
  <c r="Z571" i="20"/>
  <c r="Y571" i="20"/>
  <c r="Z570" i="20"/>
  <c r="Y570" i="20"/>
  <c r="Z569" i="20"/>
  <c r="Y569" i="20"/>
  <c r="Z568" i="20"/>
  <c r="Y568" i="20"/>
  <c r="Z567" i="20"/>
  <c r="Y567" i="20"/>
  <c r="Z566" i="20"/>
  <c r="Y566" i="20"/>
  <c r="Z565" i="20"/>
  <c r="Y565" i="20"/>
  <c r="Z564" i="20"/>
  <c r="Y564" i="20"/>
  <c r="Z563" i="20"/>
  <c r="Y563" i="20"/>
  <c r="Z562" i="20"/>
  <c r="Y562" i="20"/>
  <c r="Z561" i="20"/>
  <c r="Y561" i="20"/>
  <c r="Z560" i="20"/>
  <c r="Y560" i="20"/>
  <c r="Z559" i="20"/>
  <c r="Y559" i="20"/>
  <c r="Z558" i="20"/>
  <c r="Y558" i="20"/>
  <c r="Z557" i="20"/>
  <c r="Y557" i="20"/>
  <c r="Z556" i="20"/>
  <c r="Y556" i="20"/>
  <c r="Z555" i="20"/>
  <c r="Y555" i="20"/>
  <c r="Z554" i="20"/>
  <c r="Y554" i="20"/>
  <c r="Z553" i="20"/>
  <c r="Y553" i="20"/>
  <c r="Z552" i="20"/>
  <c r="Y552" i="20"/>
  <c r="Z551" i="20"/>
  <c r="Y551" i="20"/>
  <c r="Z550" i="20"/>
  <c r="Y550" i="20"/>
  <c r="Z549" i="20"/>
  <c r="Y549" i="20"/>
  <c r="Z548" i="20"/>
  <c r="Y548" i="20"/>
  <c r="Z547" i="20"/>
  <c r="Y547" i="20"/>
  <c r="Z546" i="20"/>
  <c r="Y546" i="20"/>
  <c r="Z545" i="20"/>
  <c r="Y545" i="20"/>
  <c r="Z544" i="20"/>
  <c r="Y544" i="20"/>
  <c r="Z543" i="20"/>
  <c r="Y543" i="20"/>
  <c r="Z542" i="20"/>
  <c r="Y542" i="20"/>
  <c r="Z541" i="20"/>
  <c r="Y541" i="20"/>
  <c r="Z540" i="20"/>
  <c r="Y540" i="20"/>
  <c r="Z539" i="20"/>
  <c r="Y539" i="20"/>
  <c r="Z538" i="20"/>
  <c r="Y538" i="20"/>
  <c r="Z537" i="20"/>
  <c r="Y537" i="20"/>
  <c r="Z536" i="20"/>
  <c r="Y536" i="20"/>
  <c r="Z535" i="20"/>
  <c r="Y535" i="20"/>
  <c r="Z534" i="20"/>
  <c r="Y534" i="20"/>
  <c r="Z533" i="20"/>
  <c r="Y533" i="20"/>
  <c r="Z532" i="20"/>
  <c r="Y532" i="20"/>
  <c r="Z531" i="20"/>
  <c r="Y531" i="20"/>
  <c r="Z530" i="20"/>
  <c r="Y530" i="20"/>
  <c r="Z529" i="20"/>
  <c r="Y529" i="20"/>
  <c r="Z528" i="20"/>
  <c r="Y528" i="20"/>
  <c r="Z527" i="20"/>
  <c r="Y527" i="20"/>
  <c r="Z526" i="20"/>
  <c r="Y526" i="20"/>
  <c r="Z525" i="20"/>
  <c r="Y525" i="20"/>
  <c r="Z524" i="20"/>
  <c r="Y524" i="20"/>
  <c r="Z523" i="20"/>
  <c r="Y523" i="20"/>
  <c r="Z522" i="20"/>
  <c r="Y522" i="20"/>
  <c r="Z521" i="20"/>
  <c r="Y521" i="20"/>
  <c r="Z520" i="20"/>
  <c r="Y520" i="20"/>
  <c r="Z519" i="20"/>
  <c r="Y519" i="20"/>
  <c r="Z518" i="20"/>
  <c r="Y518" i="20"/>
  <c r="Z517" i="20"/>
  <c r="Y517" i="20"/>
  <c r="Z516" i="20"/>
  <c r="Y516" i="20"/>
  <c r="Z515" i="20"/>
  <c r="Y515" i="20"/>
  <c r="Z514" i="20"/>
  <c r="Y514" i="20"/>
  <c r="Z513" i="20"/>
  <c r="Y513" i="20"/>
  <c r="Z512" i="20"/>
  <c r="Y512" i="20"/>
  <c r="Z511" i="20"/>
  <c r="Y511" i="20"/>
  <c r="Z510" i="20"/>
  <c r="Y510" i="20"/>
  <c r="Z509" i="20"/>
  <c r="Y509" i="20"/>
  <c r="Z508" i="20"/>
  <c r="Y508" i="20"/>
  <c r="Z507" i="20"/>
  <c r="Y507" i="20"/>
  <c r="Z506" i="20"/>
  <c r="Y506" i="20"/>
  <c r="Z505" i="20"/>
  <c r="Y505" i="20"/>
  <c r="Z504" i="20"/>
  <c r="Y504" i="20"/>
  <c r="Z503" i="20"/>
  <c r="Y503" i="20"/>
  <c r="Z502" i="20"/>
  <c r="Y502" i="20"/>
  <c r="Z501" i="20"/>
  <c r="Y501" i="20"/>
  <c r="Z500" i="20"/>
  <c r="Y500" i="20"/>
  <c r="Z499" i="20"/>
  <c r="Y499" i="20"/>
  <c r="Z498" i="20"/>
  <c r="Y498" i="20"/>
  <c r="Z497" i="20"/>
  <c r="Y497" i="20"/>
  <c r="Z496" i="20"/>
  <c r="Y496" i="20"/>
  <c r="Z495" i="20"/>
  <c r="Y495" i="20"/>
  <c r="Z494" i="20"/>
  <c r="Y494" i="20"/>
  <c r="Z493" i="20"/>
  <c r="Y493" i="20"/>
  <c r="Z492" i="20"/>
  <c r="Y492" i="20"/>
  <c r="Z491" i="20"/>
  <c r="Y491" i="20"/>
  <c r="Z490" i="20"/>
  <c r="Y490" i="20"/>
  <c r="Z489" i="20"/>
  <c r="Y489" i="20"/>
  <c r="Z488" i="20"/>
  <c r="Y488" i="20"/>
  <c r="Z487" i="20"/>
  <c r="Y487" i="20"/>
  <c r="Z486" i="20"/>
  <c r="Y486" i="20"/>
  <c r="Z485" i="20"/>
  <c r="Y485" i="20"/>
  <c r="Z484" i="20"/>
  <c r="Y484" i="20"/>
  <c r="Z483" i="20"/>
  <c r="Y483" i="20"/>
  <c r="Z482" i="20"/>
  <c r="Y482" i="20"/>
  <c r="Z481" i="20"/>
  <c r="Y481" i="20"/>
  <c r="Z480" i="20"/>
  <c r="Y480" i="20"/>
  <c r="Z479" i="20"/>
  <c r="Y479" i="20"/>
  <c r="Z478" i="20"/>
  <c r="Y478" i="20"/>
  <c r="Z477" i="20"/>
  <c r="Y477" i="20"/>
  <c r="Z476" i="20"/>
  <c r="Y476" i="20"/>
  <c r="Z475" i="20"/>
  <c r="Y475" i="20"/>
  <c r="Z474" i="20"/>
  <c r="Y474" i="20"/>
  <c r="Z473" i="20"/>
  <c r="Y473" i="20"/>
  <c r="Z472" i="20"/>
  <c r="Y472" i="20"/>
  <c r="Z471" i="20"/>
  <c r="Y471" i="20"/>
  <c r="Z470" i="20"/>
  <c r="Y470" i="20"/>
  <c r="Z469" i="20"/>
  <c r="Y469" i="20"/>
  <c r="Z468" i="20"/>
  <c r="Y468" i="20"/>
  <c r="Z467" i="20"/>
  <c r="Y467" i="20"/>
  <c r="Z466" i="20"/>
  <c r="Y466" i="20"/>
  <c r="Z465" i="20"/>
  <c r="Y465" i="20"/>
  <c r="Z464" i="20"/>
  <c r="Y464" i="20"/>
  <c r="Z463" i="20"/>
  <c r="Y463" i="20"/>
  <c r="Z462" i="20"/>
  <c r="Y462" i="20"/>
  <c r="Z461" i="20"/>
  <c r="Y461" i="20"/>
  <c r="Z460" i="20"/>
  <c r="Y460" i="20"/>
  <c r="Z459" i="20"/>
  <c r="Y459" i="20"/>
  <c r="Z458" i="20"/>
  <c r="Y458" i="20"/>
  <c r="Z457" i="20"/>
  <c r="Y457" i="20"/>
  <c r="Z456" i="20"/>
  <c r="Y456" i="20"/>
  <c r="Z455" i="20"/>
  <c r="Y455" i="20"/>
  <c r="Z454" i="20"/>
  <c r="Y454" i="20"/>
  <c r="Z453" i="20"/>
  <c r="Y453" i="20"/>
  <c r="Z452" i="20"/>
  <c r="Y452" i="20"/>
  <c r="Z451" i="20"/>
  <c r="Y451" i="20"/>
  <c r="Z450" i="20"/>
  <c r="Y450" i="20"/>
  <c r="Z449" i="20"/>
  <c r="Y449" i="20"/>
  <c r="Z448" i="20"/>
  <c r="Y448" i="20"/>
  <c r="Z447" i="20"/>
  <c r="Y447" i="20"/>
  <c r="Z446" i="20"/>
  <c r="Y446" i="20"/>
  <c r="Z445" i="20"/>
  <c r="Y445" i="20"/>
  <c r="Z444" i="20"/>
  <c r="Y444" i="20"/>
  <c r="Z443" i="20"/>
  <c r="Y443" i="20"/>
  <c r="Z442" i="20"/>
  <c r="Y442" i="20"/>
  <c r="Z441" i="20"/>
  <c r="Y441" i="20"/>
  <c r="Z440" i="20"/>
  <c r="Y440" i="20"/>
  <c r="Z439" i="20"/>
  <c r="Y439" i="20"/>
  <c r="Z438" i="20"/>
  <c r="Y438" i="20"/>
  <c r="Z437" i="20"/>
  <c r="Y437" i="20"/>
  <c r="Z436" i="20"/>
  <c r="Y436" i="20"/>
  <c r="Z435" i="20"/>
  <c r="Y435" i="20"/>
  <c r="Z434" i="20"/>
  <c r="Y434" i="20"/>
  <c r="Z433" i="20"/>
  <c r="Y433" i="20"/>
  <c r="Z432" i="20"/>
  <c r="Y432" i="20"/>
  <c r="Z431" i="20"/>
  <c r="Y431" i="20"/>
  <c r="Z430" i="20"/>
  <c r="Y430" i="20"/>
  <c r="Z429" i="20"/>
  <c r="Y429" i="20"/>
  <c r="Z428" i="20"/>
  <c r="Y428" i="20"/>
  <c r="Z427" i="20"/>
  <c r="Y427" i="20"/>
  <c r="Z426" i="20"/>
  <c r="Y426" i="20"/>
  <c r="Z425" i="20"/>
  <c r="Y425" i="20"/>
  <c r="Z424" i="20"/>
  <c r="Y424" i="20"/>
  <c r="Z423" i="20"/>
  <c r="Y423" i="20"/>
  <c r="Z422" i="20"/>
  <c r="Y422" i="20"/>
  <c r="Z421" i="20"/>
  <c r="Y421" i="20"/>
  <c r="Z420" i="20"/>
  <c r="Y420" i="20"/>
  <c r="Z419" i="20"/>
  <c r="Y419" i="20"/>
  <c r="Z418" i="20"/>
  <c r="Y418" i="20"/>
  <c r="Z417" i="20"/>
  <c r="Y417" i="20"/>
  <c r="Z416" i="20"/>
  <c r="Y416" i="20"/>
  <c r="Z415" i="20"/>
  <c r="Y415" i="20"/>
  <c r="Z414" i="20"/>
  <c r="Y414" i="20"/>
  <c r="Z413" i="20"/>
  <c r="Y413" i="20"/>
  <c r="Z412" i="20"/>
  <c r="Y412" i="20"/>
  <c r="Z411" i="20"/>
  <c r="Y411" i="20"/>
  <c r="Z410" i="20"/>
  <c r="Y410" i="20"/>
  <c r="Z409" i="20"/>
  <c r="Y409" i="20"/>
  <c r="Z408" i="20"/>
  <c r="Y408" i="20"/>
  <c r="Z407" i="20"/>
  <c r="Y407" i="20"/>
  <c r="Z406" i="20"/>
  <c r="Y406" i="20"/>
  <c r="Z405" i="20"/>
  <c r="Y405" i="20"/>
  <c r="Z404" i="20"/>
  <c r="Y404" i="20"/>
  <c r="Z403" i="20"/>
  <c r="Y403" i="20"/>
  <c r="Z402" i="20"/>
  <c r="Y402" i="20"/>
  <c r="Z401" i="20"/>
  <c r="Y401" i="20"/>
  <c r="Z400" i="20"/>
  <c r="Y400" i="20"/>
  <c r="Z399" i="20"/>
  <c r="Y399" i="20"/>
  <c r="Z398" i="20"/>
  <c r="Y398" i="20"/>
  <c r="Z397" i="20"/>
  <c r="Y397" i="20"/>
  <c r="Z396" i="20"/>
  <c r="Y396" i="20"/>
  <c r="Z395" i="20"/>
  <c r="Y395" i="20"/>
  <c r="Z394" i="20"/>
  <c r="Y394" i="20"/>
  <c r="Z393" i="20"/>
  <c r="Y393" i="20"/>
  <c r="Z392" i="20"/>
  <c r="Y392" i="20"/>
  <c r="Z391" i="20"/>
  <c r="Y391" i="20"/>
  <c r="Z390" i="20"/>
  <c r="Y390" i="20"/>
  <c r="Z389" i="20"/>
  <c r="Y389" i="20"/>
  <c r="Z388" i="20"/>
  <c r="Y388" i="20"/>
  <c r="Z387" i="20"/>
  <c r="Y387" i="20"/>
  <c r="Z386" i="20"/>
  <c r="Y386" i="20"/>
  <c r="Z385" i="20"/>
  <c r="Y385" i="20"/>
  <c r="Z384" i="20"/>
  <c r="Y384" i="20"/>
  <c r="Z383" i="20"/>
  <c r="Y383" i="20"/>
  <c r="Z382" i="20"/>
  <c r="Y382" i="20"/>
  <c r="Z381" i="20"/>
  <c r="Y381" i="20"/>
  <c r="Z380" i="20"/>
  <c r="Y380" i="20"/>
  <c r="Z379" i="20"/>
  <c r="Y379" i="20"/>
  <c r="Z378" i="20"/>
  <c r="Y378" i="20"/>
  <c r="Z377" i="20"/>
  <c r="Y377" i="20"/>
  <c r="Z376" i="20"/>
  <c r="Y376" i="20"/>
  <c r="Z375" i="20"/>
  <c r="Y375" i="20"/>
  <c r="Z374" i="20"/>
  <c r="Y374" i="20"/>
  <c r="Z373" i="20"/>
  <c r="Y373" i="20"/>
  <c r="Z372" i="20"/>
  <c r="Y372" i="20"/>
  <c r="Z371" i="20"/>
  <c r="Y371" i="20"/>
  <c r="Z370" i="20"/>
  <c r="Y370" i="20"/>
  <c r="Z369" i="20"/>
  <c r="Y369" i="20"/>
  <c r="Z368" i="20"/>
  <c r="Y368" i="20"/>
  <c r="Z367" i="20"/>
  <c r="Y367" i="20"/>
  <c r="Z366" i="20"/>
  <c r="Y366" i="20"/>
  <c r="Z365" i="20"/>
  <c r="Y365" i="20"/>
  <c r="Z364" i="20"/>
  <c r="Y364" i="20"/>
  <c r="Z363" i="20"/>
  <c r="Y363" i="20"/>
  <c r="Z362" i="20"/>
  <c r="Y362" i="20"/>
  <c r="Z361" i="20"/>
  <c r="Y361" i="20"/>
  <c r="Z360" i="20"/>
  <c r="Y360" i="20"/>
  <c r="Z359" i="20"/>
  <c r="Y359" i="20"/>
  <c r="Z358" i="20"/>
  <c r="Y358" i="20"/>
  <c r="Z357" i="20"/>
  <c r="Y357" i="20"/>
  <c r="Z356" i="20"/>
  <c r="Y356" i="20"/>
  <c r="Z355" i="20"/>
  <c r="Y355" i="20"/>
  <c r="Z354" i="20"/>
  <c r="Y354" i="20"/>
  <c r="Z353" i="20"/>
  <c r="Y353" i="20"/>
  <c r="Z352" i="20"/>
  <c r="Y352" i="20"/>
  <c r="Z351" i="20"/>
  <c r="Y351" i="20"/>
  <c r="Z350" i="20"/>
  <c r="Y350" i="20"/>
  <c r="Z349" i="20"/>
  <c r="Y349" i="20"/>
  <c r="Z348" i="20"/>
  <c r="Y348" i="20"/>
  <c r="Z347" i="20"/>
  <c r="Y347" i="20"/>
  <c r="Z346" i="20"/>
  <c r="Y346" i="20"/>
  <c r="Z345" i="20"/>
  <c r="Y345" i="20"/>
  <c r="Z344" i="20"/>
  <c r="Y344" i="20"/>
  <c r="Z343" i="20"/>
  <c r="Y343" i="20"/>
  <c r="Z342" i="20"/>
  <c r="Y342" i="20"/>
  <c r="Z341" i="20"/>
  <c r="Y341" i="20"/>
  <c r="Z340" i="20"/>
  <c r="Y340" i="20"/>
  <c r="Z339" i="20"/>
  <c r="Y339" i="20"/>
  <c r="Z338" i="20"/>
  <c r="Y338" i="20"/>
  <c r="Z337" i="20"/>
  <c r="Y337" i="20"/>
  <c r="Z336" i="20"/>
  <c r="Y336" i="20"/>
  <c r="Z335" i="20"/>
  <c r="Y335" i="20"/>
  <c r="Z334" i="20"/>
  <c r="Y334" i="20"/>
  <c r="Z333" i="20"/>
  <c r="Y333" i="20"/>
  <c r="Z332" i="20"/>
  <c r="Y332" i="20"/>
  <c r="Z331" i="20"/>
  <c r="Y331" i="20"/>
  <c r="Z330" i="20"/>
  <c r="Y330" i="20"/>
  <c r="Z329" i="20"/>
  <c r="Y329" i="20"/>
  <c r="Z328" i="20"/>
  <c r="Y328" i="20"/>
  <c r="Z327" i="20"/>
  <c r="Y327" i="20"/>
  <c r="Z326" i="20"/>
  <c r="Y326" i="20"/>
  <c r="Z325" i="20"/>
  <c r="Y325" i="20"/>
  <c r="Z324" i="20"/>
  <c r="Y324" i="20"/>
  <c r="Z323" i="20"/>
  <c r="Y323" i="20"/>
  <c r="Z322" i="20"/>
  <c r="Y322" i="20"/>
  <c r="Z321" i="20"/>
  <c r="Y321" i="20"/>
  <c r="Z320" i="20"/>
  <c r="Y320" i="20"/>
  <c r="Z319" i="20"/>
  <c r="Y319" i="20"/>
  <c r="Z318" i="20"/>
  <c r="Y318" i="20"/>
  <c r="Z317" i="20"/>
  <c r="Y317" i="20"/>
  <c r="Z316" i="20"/>
  <c r="Y316" i="20"/>
  <c r="Z315" i="20"/>
  <c r="Y315" i="20"/>
  <c r="Z314" i="20"/>
  <c r="Y314" i="20"/>
  <c r="Z313" i="20"/>
  <c r="Y313" i="20"/>
  <c r="Z312" i="20"/>
  <c r="Y312" i="20"/>
  <c r="Z311" i="20"/>
  <c r="Y311" i="20"/>
  <c r="Z310" i="20"/>
  <c r="Y310" i="20"/>
  <c r="Z309" i="20"/>
  <c r="Y309" i="20"/>
  <c r="Z308" i="20"/>
  <c r="Y308" i="20"/>
  <c r="Z307" i="20"/>
  <c r="Y307" i="20"/>
  <c r="Z306" i="20"/>
  <c r="Y306" i="20"/>
  <c r="Z305" i="20"/>
  <c r="Y305" i="20"/>
  <c r="Z304" i="20"/>
  <c r="Y304" i="20"/>
  <c r="Z303" i="20"/>
  <c r="Y303" i="20"/>
  <c r="Z302" i="20"/>
  <c r="Y302" i="20"/>
  <c r="Z301" i="20"/>
  <c r="Y301" i="20"/>
  <c r="Z300" i="20"/>
  <c r="Y300" i="20"/>
  <c r="Z299" i="20"/>
  <c r="Y299" i="20"/>
  <c r="Z298" i="20"/>
  <c r="Y298" i="20"/>
  <c r="Z297" i="20"/>
  <c r="Y297" i="20"/>
  <c r="Z296" i="20"/>
  <c r="Y296" i="20"/>
  <c r="Z295" i="20"/>
  <c r="Y295" i="20"/>
  <c r="Z294" i="20"/>
  <c r="Y294" i="20"/>
  <c r="Z293" i="20"/>
  <c r="Y293" i="20"/>
  <c r="Z292" i="20"/>
  <c r="Y292" i="20"/>
  <c r="Z291" i="20"/>
  <c r="Y291" i="20"/>
  <c r="Z290" i="20"/>
  <c r="Y290" i="20"/>
  <c r="Z289" i="20"/>
  <c r="Y289" i="20"/>
  <c r="Z288" i="20"/>
  <c r="Y288" i="20"/>
  <c r="Z287" i="20"/>
  <c r="Y287" i="20"/>
  <c r="Z286" i="20"/>
  <c r="Y286" i="20"/>
  <c r="Z285" i="20"/>
  <c r="Y285" i="20"/>
  <c r="Z284" i="20"/>
  <c r="Y284" i="20"/>
  <c r="Z283" i="20"/>
  <c r="Y283" i="20"/>
  <c r="Z282" i="20"/>
  <c r="Y282" i="20"/>
  <c r="Z281" i="20"/>
  <c r="Y281" i="20"/>
  <c r="Z280" i="20"/>
  <c r="Y280" i="20"/>
  <c r="Z279" i="20"/>
  <c r="Y279" i="20"/>
  <c r="Z278" i="20"/>
  <c r="Y278" i="20"/>
  <c r="Z277" i="20"/>
  <c r="Y277" i="20"/>
  <c r="Z276" i="20"/>
  <c r="Y276" i="20"/>
  <c r="Z275" i="20"/>
  <c r="Y275" i="20"/>
  <c r="Z274" i="20"/>
  <c r="Y274" i="20"/>
  <c r="Z273" i="20"/>
  <c r="Y273" i="20"/>
  <c r="Z272" i="20"/>
  <c r="Y272" i="20"/>
  <c r="Z271" i="20"/>
  <c r="Y271" i="20"/>
  <c r="Z270" i="20"/>
  <c r="Y270" i="20"/>
  <c r="Z269" i="20"/>
  <c r="Y269" i="20"/>
  <c r="Z268" i="20"/>
  <c r="Y268" i="20"/>
  <c r="Z267" i="20"/>
  <c r="Y267" i="20"/>
  <c r="Z266" i="20"/>
  <c r="Y266" i="20"/>
  <c r="Z265" i="20"/>
  <c r="Y265" i="20"/>
  <c r="Z264" i="20"/>
  <c r="Y264" i="20"/>
  <c r="Z263" i="20"/>
  <c r="Y263" i="20"/>
  <c r="Z262" i="20"/>
  <c r="Y262" i="20"/>
  <c r="Z261" i="20"/>
  <c r="Y261" i="20"/>
  <c r="Z260" i="20"/>
  <c r="Y260" i="20"/>
  <c r="Z259" i="20"/>
  <c r="Y259" i="20"/>
  <c r="Z258" i="20"/>
  <c r="Y258" i="20"/>
  <c r="Z257" i="20"/>
  <c r="Y257" i="20"/>
  <c r="Z256" i="20"/>
  <c r="Y256" i="20"/>
  <c r="Z255" i="20"/>
  <c r="Y255" i="20"/>
  <c r="Z254" i="20"/>
  <c r="Y254" i="20"/>
  <c r="Z253" i="20"/>
  <c r="Y253" i="20"/>
  <c r="Z252" i="20"/>
  <c r="Y252" i="20"/>
  <c r="Z251" i="20"/>
  <c r="Y251" i="20"/>
  <c r="Z250" i="20"/>
  <c r="Y250" i="20"/>
  <c r="Z249" i="20"/>
  <c r="Y249" i="20"/>
  <c r="Z248" i="20"/>
  <c r="Y248" i="20"/>
  <c r="Z247" i="20"/>
  <c r="Y247" i="20"/>
  <c r="Z246" i="20"/>
  <c r="Y246" i="20"/>
  <c r="Z245" i="20"/>
  <c r="Y245" i="20"/>
  <c r="Z244" i="20"/>
  <c r="Y244" i="20"/>
  <c r="Z243" i="20"/>
  <c r="Y243" i="20"/>
  <c r="Z242" i="20"/>
  <c r="Y242" i="20"/>
  <c r="Z241" i="20"/>
  <c r="Y241" i="20"/>
  <c r="Z240" i="20"/>
  <c r="Y240" i="20"/>
  <c r="Z239" i="20"/>
  <c r="Y239" i="20"/>
  <c r="Z238" i="20"/>
  <c r="Y238" i="20"/>
  <c r="Z237" i="20"/>
  <c r="Y237" i="20"/>
  <c r="Z236" i="20"/>
  <c r="Y236" i="20"/>
  <c r="Z235" i="20"/>
  <c r="Y235" i="20"/>
  <c r="Z234" i="20"/>
  <c r="Y234" i="20"/>
  <c r="Z233" i="20"/>
  <c r="Y233" i="20"/>
  <c r="Z232" i="20"/>
  <c r="Y232" i="20"/>
  <c r="Z231" i="20"/>
  <c r="Y231" i="20"/>
  <c r="Z230" i="20"/>
  <c r="Y230" i="20"/>
  <c r="Z229" i="20"/>
  <c r="Y229" i="20"/>
  <c r="Z228" i="20"/>
  <c r="Y228" i="20"/>
  <c r="Z227" i="20"/>
  <c r="Y227" i="20"/>
  <c r="Z226" i="20"/>
  <c r="Y226" i="20"/>
  <c r="Z225" i="20"/>
  <c r="Y225" i="20"/>
  <c r="Z224" i="20"/>
  <c r="Y224" i="20"/>
  <c r="Z223" i="20"/>
  <c r="Y223" i="20"/>
  <c r="Z222" i="20"/>
  <c r="Y222" i="20"/>
  <c r="Z221" i="20"/>
  <c r="Y221" i="20"/>
  <c r="Z220" i="20"/>
  <c r="Y220" i="20"/>
  <c r="Z219" i="20"/>
  <c r="Y219" i="20"/>
  <c r="Z218" i="20"/>
  <c r="Y218" i="20"/>
  <c r="Z217" i="20"/>
  <c r="Y217" i="20"/>
  <c r="Z216" i="20"/>
  <c r="Y216" i="20"/>
  <c r="Z215" i="20"/>
  <c r="Y215" i="20"/>
  <c r="Z214" i="20"/>
  <c r="Y214" i="20"/>
  <c r="Z213" i="20"/>
  <c r="Y213" i="20"/>
  <c r="Z212" i="20"/>
  <c r="Y212" i="20"/>
  <c r="Z211" i="20"/>
  <c r="Y211" i="20"/>
  <c r="Z210" i="20"/>
  <c r="Y210" i="20"/>
  <c r="Z209" i="20"/>
  <c r="Y209" i="20"/>
  <c r="Z208" i="20"/>
  <c r="Y208" i="20"/>
  <c r="Z207" i="20"/>
  <c r="Y207" i="20"/>
  <c r="Z206" i="20"/>
  <c r="Y206" i="20"/>
  <c r="Z205" i="20"/>
  <c r="Y205" i="20"/>
  <c r="Z204" i="20"/>
  <c r="Y204" i="20"/>
  <c r="Z203" i="20"/>
  <c r="Y203" i="20"/>
  <c r="Z202" i="20"/>
  <c r="Y202" i="20"/>
  <c r="Z201" i="20"/>
  <c r="Y201" i="20"/>
  <c r="Z200" i="20"/>
  <c r="Y200" i="20"/>
  <c r="Z199" i="20"/>
  <c r="Y199" i="20"/>
  <c r="Z198" i="20"/>
  <c r="Y198" i="20"/>
  <c r="Z197" i="20"/>
  <c r="Y197" i="20"/>
  <c r="Z196" i="20"/>
  <c r="Y196" i="20"/>
  <c r="Z195" i="20"/>
  <c r="Y195" i="20"/>
  <c r="Z194" i="20"/>
  <c r="Y194" i="20"/>
  <c r="Z193" i="20"/>
  <c r="Y193" i="20"/>
  <c r="Z192" i="20"/>
  <c r="Y192" i="20"/>
  <c r="Z191" i="20"/>
  <c r="Y191" i="20"/>
  <c r="Z190" i="20"/>
  <c r="Y190" i="20"/>
  <c r="Z189" i="20"/>
  <c r="Y189" i="20"/>
  <c r="Z188" i="20"/>
  <c r="Y188" i="20"/>
  <c r="Z187" i="20"/>
  <c r="Y187" i="20"/>
  <c r="Z186" i="20"/>
  <c r="Y186" i="20"/>
  <c r="Z185" i="20"/>
  <c r="Y185" i="20"/>
  <c r="Z184" i="20"/>
  <c r="Y184" i="20"/>
  <c r="Z183" i="20"/>
  <c r="Y183" i="20"/>
  <c r="Z182" i="20"/>
  <c r="Y182" i="20"/>
  <c r="Z181" i="20"/>
  <c r="Y181" i="20"/>
  <c r="Z180" i="20"/>
  <c r="Y180" i="20"/>
  <c r="Z179" i="20"/>
  <c r="Y179" i="20"/>
  <c r="Z178" i="20"/>
  <c r="Y178" i="20"/>
  <c r="Z177" i="20"/>
  <c r="Y177" i="20"/>
  <c r="Z176" i="20"/>
  <c r="Y176" i="20"/>
  <c r="Z175" i="20"/>
  <c r="Y175" i="20"/>
  <c r="Z174" i="20"/>
  <c r="Y174" i="20"/>
  <c r="Z173" i="20"/>
  <c r="Y173" i="20"/>
  <c r="Z172" i="20"/>
  <c r="Y172" i="20"/>
  <c r="Z171" i="20"/>
  <c r="Y171" i="20"/>
  <c r="Z170" i="20"/>
  <c r="Y170" i="20"/>
  <c r="Z169" i="20"/>
  <c r="Y169" i="20"/>
  <c r="Z168" i="20"/>
  <c r="Y168" i="20"/>
  <c r="Z167" i="20"/>
  <c r="Y167" i="20"/>
  <c r="Z166" i="20"/>
  <c r="Y166" i="20"/>
  <c r="Z165" i="20"/>
  <c r="Y165" i="20"/>
  <c r="Z164" i="20"/>
  <c r="Y164" i="20"/>
  <c r="Z163" i="20"/>
  <c r="Y163" i="20"/>
  <c r="Z162" i="20"/>
  <c r="Y162" i="20"/>
  <c r="Z161" i="20"/>
  <c r="Y161" i="20"/>
  <c r="Z160" i="20"/>
  <c r="Y160" i="20"/>
  <c r="Z159" i="20"/>
  <c r="Y159" i="20"/>
  <c r="Z158" i="20"/>
  <c r="Y158" i="20"/>
  <c r="Z157" i="20"/>
  <c r="Y157" i="20"/>
  <c r="Z156" i="20"/>
  <c r="Y156" i="20"/>
  <c r="Z155" i="20"/>
  <c r="Y155" i="20"/>
  <c r="Z154" i="20"/>
  <c r="Y154" i="20"/>
  <c r="Z153" i="20"/>
  <c r="Y153" i="20"/>
  <c r="Z152" i="20"/>
  <c r="Y152" i="20"/>
  <c r="Z151" i="20"/>
  <c r="Y151" i="20"/>
  <c r="Z150" i="20"/>
  <c r="Y150" i="20"/>
  <c r="Z149" i="20"/>
  <c r="Y149" i="20"/>
  <c r="Z148" i="20"/>
  <c r="Y148" i="20"/>
  <c r="Z147" i="20"/>
  <c r="Y147" i="20"/>
  <c r="Z146" i="20"/>
  <c r="Y146" i="20"/>
  <c r="Z145" i="20"/>
  <c r="Y145" i="20"/>
  <c r="Z144" i="20"/>
  <c r="Y144" i="20"/>
  <c r="Z143" i="20"/>
  <c r="Y143" i="20"/>
  <c r="Z142" i="20"/>
  <c r="Y142" i="20"/>
  <c r="Z141" i="20"/>
  <c r="Y141" i="20"/>
  <c r="Z140" i="20"/>
  <c r="Y140" i="20"/>
  <c r="Z139" i="20"/>
  <c r="Y139" i="20"/>
  <c r="Z138" i="20"/>
  <c r="Y138" i="20"/>
  <c r="Z137" i="20"/>
  <c r="Y137" i="20"/>
  <c r="Z136" i="20"/>
  <c r="Y136" i="20"/>
  <c r="Z135" i="20"/>
  <c r="Y135" i="20"/>
  <c r="Z134" i="20"/>
  <c r="Y134" i="20"/>
  <c r="Z133" i="20"/>
  <c r="Y133" i="20"/>
  <c r="Z132" i="20"/>
  <c r="Y132" i="20"/>
  <c r="Z131" i="20"/>
  <c r="Y131" i="20"/>
  <c r="Z130" i="20"/>
  <c r="Y130" i="20"/>
  <c r="Z129" i="20"/>
  <c r="Y129" i="20"/>
  <c r="Z128" i="20"/>
  <c r="Y128" i="20"/>
  <c r="Z127" i="20"/>
  <c r="Y127" i="20"/>
  <c r="Z126" i="20"/>
  <c r="Y126" i="20"/>
  <c r="Z125" i="20"/>
  <c r="Y125" i="20"/>
  <c r="Z124" i="20"/>
  <c r="Y124" i="20"/>
  <c r="Z123" i="20"/>
  <c r="Y123" i="20"/>
  <c r="Z122" i="20"/>
  <c r="Y122" i="20"/>
  <c r="Z121" i="20"/>
  <c r="Y121" i="20"/>
  <c r="Z120" i="20"/>
  <c r="Y120" i="20"/>
  <c r="Z119" i="20"/>
  <c r="Y119" i="20"/>
  <c r="Z118" i="20"/>
  <c r="Y118" i="20"/>
  <c r="Z117" i="20"/>
  <c r="Y117" i="20"/>
  <c r="Z116" i="20"/>
  <c r="Y116" i="20"/>
  <c r="Z115" i="20"/>
  <c r="Y115" i="20"/>
  <c r="Z114" i="20"/>
  <c r="Y114" i="20"/>
  <c r="Z113" i="20"/>
  <c r="Y113" i="20"/>
  <c r="Z112" i="20"/>
  <c r="Y112" i="20"/>
  <c r="Z111" i="20"/>
  <c r="Y111" i="20"/>
  <c r="Z110" i="20"/>
  <c r="Y110" i="20"/>
  <c r="Z109" i="20"/>
  <c r="Y109" i="20"/>
  <c r="Z108" i="20"/>
  <c r="Y108" i="20"/>
  <c r="Z107" i="20"/>
  <c r="Y107" i="20"/>
  <c r="Z106" i="20"/>
  <c r="Y106" i="20"/>
  <c r="Z105" i="20"/>
  <c r="Y105" i="20"/>
  <c r="Z104" i="20"/>
  <c r="Y104" i="20"/>
  <c r="Z103" i="20"/>
  <c r="Y103" i="20"/>
  <c r="Z102" i="20"/>
  <c r="Y102" i="20"/>
  <c r="Z101" i="20"/>
  <c r="Y101" i="20"/>
  <c r="Z100" i="20"/>
  <c r="Y100" i="20"/>
  <c r="Z99" i="20"/>
  <c r="Y99" i="20"/>
  <c r="Z98" i="20"/>
  <c r="Y98" i="20"/>
  <c r="Z97" i="20"/>
  <c r="Y97" i="20"/>
  <c r="Z96" i="20"/>
  <c r="Y96" i="20"/>
  <c r="Z95" i="20"/>
  <c r="Y95" i="20"/>
  <c r="Z94" i="20"/>
  <c r="Y94" i="20"/>
  <c r="Z93" i="20"/>
  <c r="Y93" i="20"/>
  <c r="Z92" i="20"/>
  <c r="Y92" i="20"/>
  <c r="Z91" i="20"/>
  <c r="Y91" i="20"/>
  <c r="Z90" i="20"/>
  <c r="Y90" i="20"/>
  <c r="Z89" i="20"/>
  <c r="Y89" i="20"/>
  <c r="Z88" i="20"/>
  <c r="Y88" i="20"/>
  <c r="Z87" i="20"/>
  <c r="Y87" i="20"/>
  <c r="Z86" i="20"/>
  <c r="Y86" i="20"/>
  <c r="Z85" i="20"/>
  <c r="Y85" i="20"/>
  <c r="Z84" i="20"/>
  <c r="Y84" i="20"/>
  <c r="Z83" i="20"/>
  <c r="Y83" i="20"/>
  <c r="Z82" i="20"/>
  <c r="Y82" i="20"/>
  <c r="Z81" i="20"/>
  <c r="Y81" i="20"/>
  <c r="Z80" i="20"/>
  <c r="Y80" i="20"/>
  <c r="Z79" i="20"/>
  <c r="Y79" i="20"/>
  <c r="Z78" i="20"/>
  <c r="Y78" i="20"/>
  <c r="Z77" i="20"/>
  <c r="Y77" i="20"/>
  <c r="Z76" i="20"/>
  <c r="Y76" i="20"/>
  <c r="Z75" i="20"/>
  <c r="Y75" i="20"/>
  <c r="Z74" i="20"/>
  <c r="Y74" i="20"/>
  <c r="Z73" i="20"/>
  <c r="Y73" i="20"/>
  <c r="Z72" i="20"/>
  <c r="Y72" i="20"/>
  <c r="Z71" i="20"/>
  <c r="Y71" i="20"/>
  <c r="Z70" i="20"/>
  <c r="Y70" i="20"/>
  <c r="Z69" i="20"/>
  <c r="Y69" i="20"/>
  <c r="Z68" i="20"/>
  <c r="Y68" i="20"/>
  <c r="Z67" i="20"/>
  <c r="Y67" i="20"/>
  <c r="Z66" i="20"/>
  <c r="Y66" i="20"/>
  <c r="Z65" i="20"/>
  <c r="Y65" i="20"/>
  <c r="Z64" i="20"/>
  <c r="Y64" i="20"/>
  <c r="Z63" i="20"/>
  <c r="Y63" i="20"/>
  <c r="Z62" i="20"/>
  <c r="Y62" i="20"/>
  <c r="Z61" i="20"/>
  <c r="Y61" i="20"/>
  <c r="Z60" i="20"/>
  <c r="Y60" i="20"/>
  <c r="Z59" i="20"/>
  <c r="Y59" i="20"/>
  <c r="Z58" i="20"/>
  <c r="Y58" i="20"/>
  <c r="Z57" i="20"/>
  <c r="Y57" i="20"/>
  <c r="Z56" i="20"/>
  <c r="Y56" i="20"/>
  <c r="Z55" i="20"/>
  <c r="Y55" i="20"/>
  <c r="Z54" i="20"/>
  <c r="Y54" i="20"/>
  <c r="Z53" i="20"/>
  <c r="Y53" i="20"/>
  <c r="Z52" i="20"/>
  <c r="Y52" i="20"/>
  <c r="Z51" i="20"/>
  <c r="Y51" i="20"/>
  <c r="Z50" i="20"/>
  <c r="Y50" i="20"/>
  <c r="Z49" i="20"/>
  <c r="Y49" i="20"/>
  <c r="Z48" i="20"/>
  <c r="Y48" i="20"/>
  <c r="Z47" i="20"/>
  <c r="Y47" i="20"/>
  <c r="Z46" i="20"/>
  <c r="Y46" i="20"/>
  <c r="Z45" i="20"/>
  <c r="Y45" i="20"/>
  <c r="Z44" i="20"/>
  <c r="Y44" i="20"/>
  <c r="Z43" i="20"/>
  <c r="Y43" i="20"/>
  <c r="Z42" i="20"/>
  <c r="Y42" i="20"/>
  <c r="Z41" i="20"/>
  <c r="Y41" i="20"/>
  <c r="Z40" i="20"/>
  <c r="Y40" i="20"/>
  <c r="Z39" i="20"/>
  <c r="Y39" i="20"/>
  <c r="Z38" i="20"/>
  <c r="Y38" i="20"/>
  <c r="Z37" i="20"/>
  <c r="Y37" i="20"/>
  <c r="Z36" i="20"/>
  <c r="Y36" i="20"/>
  <c r="Z35" i="20"/>
  <c r="Y35" i="20"/>
  <c r="Z34" i="20"/>
  <c r="Y34" i="20"/>
  <c r="Z33" i="20"/>
  <c r="Y33" i="20"/>
  <c r="Z32" i="20"/>
  <c r="Y32" i="20"/>
  <c r="Z31" i="20"/>
  <c r="Y31" i="20"/>
  <c r="Z30" i="20"/>
  <c r="Y30" i="20"/>
  <c r="Z29" i="20"/>
  <c r="Y29" i="20"/>
  <c r="Z28" i="20"/>
  <c r="Y28" i="20"/>
  <c r="Z27" i="20"/>
  <c r="Y27" i="20"/>
  <c r="Z26" i="20"/>
  <c r="Y26" i="20"/>
  <c r="Z25" i="20"/>
  <c r="Y25" i="20"/>
  <c r="Z24" i="20"/>
  <c r="Y24" i="20"/>
  <c r="Z23" i="20"/>
  <c r="Y23" i="20"/>
  <c r="Z22" i="20"/>
  <c r="Y22" i="20"/>
  <c r="Z21" i="20"/>
  <c r="Y21" i="20"/>
  <c r="Z20" i="20"/>
  <c r="Y20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N10" i="20"/>
  <c r="Q1252" i="20"/>
  <c r="P1252" i="20"/>
  <c r="Q1251" i="20"/>
  <c r="P1251" i="20"/>
  <c r="Q1250" i="20"/>
  <c r="P1250" i="20"/>
  <c r="Q1249" i="20"/>
  <c r="P1249" i="20"/>
  <c r="Q1248" i="20"/>
  <c r="P1248" i="20"/>
  <c r="Q1247" i="20"/>
  <c r="P1247" i="20"/>
  <c r="Q1246" i="20"/>
  <c r="P1246" i="20"/>
  <c r="Q1245" i="20"/>
  <c r="P1245" i="20"/>
  <c r="Q1244" i="20"/>
  <c r="P1244" i="20"/>
  <c r="Q1243" i="20"/>
  <c r="P1243" i="20"/>
  <c r="Q1242" i="20"/>
  <c r="P1242" i="20"/>
  <c r="Q1241" i="20"/>
  <c r="P1241" i="20"/>
  <c r="Q1240" i="20"/>
  <c r="P1240" i="20"/>
  <c r="Q1239" i="20"/>
  <c r="P1239" i="20"/>
  <c r="Q1238" i="20"/>
  <c r="P1238" i="20"/>
  <c r="Q1237" i="20"/>
  <c r="P1237" i="20"/>
  <c r="Q1236" i="20"/>
  <c r="P1236" i="20"/>
  <c r="Q1235" i="20"/>
  <c r="P1235" i="20"/>
  <c r="Q1234" i="20"/>
  <c r="P1234" i="20"/>
  <c r="Q1233" i="20"/>
  <c r="P1233" i="20"/>
  <c r="Q1232" i="20"/>
  <c r="P1232" i="20"/>
  <c r="Q1231" i="20"/>
  <c r="P1231" i="20"/>
  <c r="Q1230" i="20"/>
  <c r="P1230" i="20"/>
  <c r="Q1229" i="20"/>
  <c r="P1229" i="20"/>
  <c r="Q1228" i="20"/>
  <c r="P1228" i="20"/>
  <c r="Q1227" i="20"/>
  <c r="P1227" i="20"/>
  <c r="Q1226" i="20"/>
  <c r="P1226" i="20"/>
  <c r="Q1225" i="20"/>
  <c r="P1225" i="20"/>
  <c r="Q1224" i="20"/>
  <c r="P1224" i="20"/>
  <c r="Q1223" i="20"/>
  <c r="P1223" i="20"/>
  <c r="Q1222" i="20"/>
  <c r="P1222" i="20"/>
  <c r="Q1221" i="20"/>
  <c r="P1221" i="20"/>
  <c r="Q1220" i="20"/>
  <c r="P1220" i="20"/>
  <c r="Q1219" i="20"/>
  <c r="P1219" i="20"/>
  <c r="Q1218" i="20"/>
  <c r="P1218" i="20"/>
  <c r="Q1217" i="20"/>
  <c r="P1217" i="20"/>
  <c r="Q1216" i="20"/>
  <c r="P1216" i="20"/>
  <c r="Q1215" i="20"/>
  <c r="P1215" i="20"/>
  <c r="Q1214" i="20"/>
  <c r="P1214" i="20"/>
  <c r="Q1213" i="20"/>
  <c r="P1213" i="20"/>
  <c r="Q1212" i="20"/>
  <c r="P1212" i="20"/>
  <c r="Q1211" i="20"/>
  <c r="P1211" i="20"/>
  <c r="Q1210" i="20"/>
  <c r="P1210" i="20"/>
  <c r="Q1209" i="20"/>
  <c r="P1209" i="20"/>
  <c r="Q1208" i="20"/>
  <c r="P1208" i="20"/>
  <c r="Q1207" i="20"/>
  <c r="P1207" i="20"/>
  <c r="Q1206" i="20"/>
  <c r="P1206" i="20"/>
  <c r="Q1205" i="20"/>
  <c r="P1205" i="20"/>
  <c r="Q1204" i="20"/>
  <c r="P1204" i="20"/>
  <c r="Q1203" i="20"/>
  <c r="P1203" i="20"/>
  <c r="Q1202" i="20"/>
  <c r="P1202" i="20"/>
  <c r="Q1201" i="20"/>
  <c r="P1201" i="20"/>
  <c r="Q1200" i="20"/>
  <c r="P1200" i="20"/>
  <c r="Q1199" i="20"/>
  <c r="P1199" i="20"/>
  <c r="Q1198" i="20"/>
  <c r="P1198" i="20"/>
  <c r="Q1197" i="20"/>
  <c r="P1197" i="20"/>
  <c r="Q1196" i="20"/>
  <c r="P1196" i="20"/>
  <c r="Q1195" i="20"/>
  <c r="P1195" i="20"/>
  <c r="Q1194" i="20"/>
  <c r="P1194" i="20"/>
  <c r="Q1193" i="20"/>
  <c r="P1193" i="20"/>
  <c r="Q1192" i="20"/>
  <c r="P1192" i="20"/>
  <c r="Q1191" i="20"/>
  <c r="P1191" i="20"/>
  <c r="Q1190" i="20"/>
  <c r="P1190" i="20"/>
  <c r="Q1189" i="20"/>
  <c r="P1189" i="20"/>
  <c r="Q1188" i="20"/>
  <c r="P1188" i="20"/>
  <c r="Q1187" i="20"/>
  <c r="P1187" i="20"/>
  <c r="Q1186" i="20"/>
  <c r="P1186" i="20"/>
  <c r="Q1185" i="20"/>
  <c r="P1185" i="20"/>
  <c r="Q1184" i="20"/>
  <c r="P1184" i="20"/>
  <c r="Q1183" i="20"/>
  <c r="P1183" i="20"/>
  <c r="Q1182" i="20"/>
  <c r="P1182" i="20"/>
  <c r="Q1181" i="20"/>
  <c r="P1181" i="20"/>
  <c r="Q1180" i="20"/>
  <c r="P1180" i="20"/>
  <c r="Q1179" i="20"/>
  <c r="P1179" i="20"/>
  <c r="Q1178" i="20"/>
  <c r="P1178" i="20"/>
  <c r="Q1177" i="20"/>
  <c r="P1177" i="20"/>
  <c r="Q1176" i="20"/>
  <c r="P1176" i="20"/>
  <c r="Q1175" i="20"/>
  <c r="P1175" i="20"/>
  <c r="Q1174" i="20"/>
  <c r="P1174" i="20"/>
  <c r="Q1173" i="20"/>
  <c r="P1173" i="20"/>
  <c r="Q1172" i="20"/>
  <c r="P1172" i="20"/>
  <c r="Q1171" i="20"/>
  <c r="P1171" i="20"/>
  <c r="Q1170" i="20"/>
  <c r="P1170" i="20"/>
  <c r="Q1169" i="20"/>
  <c r="P1169" i="20"/>
  <c r="Q1168" i="20"/>
  <c r="P1168" i="20"/>
  <c r="Q1167" i="20"/>
  <c r="P1167" i="20"/>
  <c r="Q1166" i="20"/>
  <c r="P1166" i="20"/>
  <c r="Q1165" i="20"/>
  <c r="P1165" i="20"/>
  <c r="Q1164" i="20"/>
  <c r="P1164" i="20"/>
  <c r="Q1163" i="20"/>
  <c r="P1163" i="20"/>
  <c r="Q1162" i="20"/>
  <c r="P1162" i="20"/>
  <c r="Q1161" i="20"/>
  <c r="P1161" i="20"/>
  <c r="Q1160" i="20"/>
  <c r="P1160" i="20"/>
  <c r="Q1159" i="20"/>
  <c r="P1159" i="20"/>
  <c r="Q1158" i="20"/>
  <c r="P1158" i="20"/>
  <c r="Q1157" i="20"/>
  <c r="P1157" i="20"/>
  <c r="Q1156" i="20"/>
  <c r="P1156" i="20"/>
  <c r="Q1155" i="20"/>
  <c r="P1155" i="20"/>
  <c r="Q1154" i="20"/>
  <c r="P1154" i="20"/>
  <c r="Q1153" i="20"/>
  <c r="P1153" i="20"/>
  <c r="Q1152" i="20"/>
  <c r="P1152" i="20"/>
  <c r="Q1151" i="20"/>
  <c r="P1151" i="20"/>
  <c r="Q1150" i="20"/>
  <c r="P1150" i="20"/>
  <c r="Q1149" i="20"/>
  <c r="P1149" i="20"/>
  <c r="Q1148" i="20"/>
  <c r="P1148" i="20"/>
  <c r="Q1147" i="20"/>
  <c r="P1147" i="20"/>
  <c r="Q1146" i="20"/>
  <c r="P1146" i="20"/>
  <c r="Q1145" i="20"/>
  <c r="P1145" i="20"/>
  <c r="Q1144" i="20"/>
  <c r="P1144" i="20"/>
  <c r="Q1143" i="20"/>
  <c r="P1143" i="20"/>
  <c r="Q1142" i="20"/>
  <c r="P1142" i="20"/>
  <c r="Q1141" i="20"/>
  <c r="P1141" i="20"/>
  <c r="Q1140" i="20"/>
  <c r="P1140" i="20"/>
  <c r="Q1139" i="20"/>
  <c r="P1139" i="20"/>
  <c r="Q1138" i="20"/>
  <c r="P1138" i="20"/>
  <c r="Q1137" i="20"/>
  <c r="P1137" i="20"/>
  <c r="Q1136" i="20"/>
  <c r="P1136" i="20"/>
  <c r="Q1135" i="20"/>
  <c r="P1135" i="20"/>
  <c r="Q1134" i="20"/>
  <c r="P1134" i="20"/>
  <c r="Q1133" i="20"/>
  <c r="P1133" i="20"/>
  <c r="Q1132" i="20"/>
  <c r="P1132" i="20"/>
  <c r="Q1131" i="20"/>
  <c r="P1131" i="20"/>
  <c r="Q1130" i="20"/>
  <c r="P1130" i="20"/>
  <c r="Q1129" i="20"/>
  <c r="P1129" i="20"/>
  <c r="Q1128" i="20"/>
  <c r="P1128" i="20"/>
  <c r="Q1127" i="20"/>
  <c r="P1127" i="20"/>
  <c r="Q1126" i="20"/>
  <c r="P1126" i="20"/>
  <c r="Q1125" i="20"/>
  <c r="P1125" i="20"/>
  <c r="Q1124" i="20"/>
  <c r="P1124" i="20"/>
  <c r="Q1123" i="20"/>
  <c r="P1123" i="20"/>
  <c r="Q1122" i="20"/>
  <c r="P1122" i="20"/>
  <c r="Q1121" i="20"/>
  <c r="P1121" i="20"/>
  <c r="Q1120" i="20"/>
  <c r="P1120" i="20"/>
  <c r="Q1119" i="20"/>
  <c r="P1119" i="20"/>
  <c r="Q1118" i="20"/>
  <c r="P1118" i="20"/>
  <c r="Q1117" i="20"/>
  <c r="P1117" i="20"/>
  <c r="Q1116" i="20"/>
  <c r="P1116" i="20"/>
  <c r="Q1115" i="20"/>
  <c r="P1115" i="20"/>
  <c r="Q1114" i="20"/>
  <c r="P1114" i="20"/>
  <c r="Q1113" i="20"/>
  <c r="P1113" i="20"/>
  <c r="Q1112" i="20"/>
  <c r="P1112" i="20"/>
  <c r="Q1111" i="20"/>
  <c r="P1111" i="20"/>
  <c r="Q1110" i="20"/>
  <c r="P1110" i="20"/>
  <c r="Q1109" i="20"/>
  <c r="P1109" i="20"/>
  <c r="Q1108" i="20"/>
  <c r="P1108" i="20"/>
  <c r="Q1107" i="20"/>
  <c r="P1107" i="20"/>
  <c r="Q1106" i="20"/>
  <c r="P1106" i="20"/>
  <c r="Q1105" i="20"/>
  <c r="P1105" i="20"/>
  <c r="Q1104" i="20"/>
  <c r="P1104" i="20"/>
  <c r="Q1103" i="20"/>
  <c r="P1103" i="20"/>
  <c r="Q1102" i="20"/>
  <c r="P1102" i="20"/>
  <c r="Q1101" i="20"/>
  <c r="P1101" i="20"/>
  <c r="Q1100" i="20"/>
  <c r="P1100" i="20"/>
  <c r="Q1099" i="20"/>
  <c r="P1099" i="20"/>
  <c r="Q1098" i="20"/>
  <c r="P1098" i="20"/>
  <c r="Q1097" i="20"/>
  <c r="P1097" i="20"/>
  <c r="Q1096" i="20"/>
  <c r="P1096" i="20"/>
  <c r="Q1095" i="20"/>
  <c r="P1095" i="20"/>
  <c r="Q1094" i="20"/>
  <c r="P1094" i="20"/>
  <c r="Q1093" i="20"/>
  <c r="P1093" i="20"/>
  <c r="Q1092" i="20"/>
  <c r="P1092" i="20"/>
  <c r="Q1091" i="20"/>
  <c r="P1091" i="20"/>
  <c r="Q1090" i="20"/>
  <c r="P1090" i="20"/>
  <c r="Q1089" i="20"/>
  <c r="P1089" i="20"/>
  <c r="Q1088" i="20"/>
  <c r="P1088" i="20"/>
  <c r="Q1087" i="20"/>
  <c r="P1087" i="20"/>
  <c r="Q1086" i="20"/>
  <c r="P1086" i="20"/>
  <c r="Q1085" i="20"/>
  <c r="P1085" i="20"/>
  <c r="Q1084" i="20"/>
  <c r="P1084" i="20"/>
  <c r="Q1083" i="20"/>
  <c r="P1083" i="20"/>
  <c r="Q1082" i="20"/>
  <c r="P1082" i="20"/>
  <c r="Q1081" i="20"/>
  <c r="P1081" i="20"/>
  <c r="Q1080" i="20"/>
  <c r="P1080" i="20"/>
  <c r="Q1079" i="20"/>
  <c r="P1079" i="20"/>
  <c r="Q1078" i="20"/>
  <c r="P1078" i="20"/>
  <c r="Q1077" i="20"/>
  <c r="P1077" i="20"/>
  <c r="Q1076" i="20"/>
  <c r="P1076" i="20"/>
  <c r="Q1075" i="20"/>
  <c r="P1075" i="20"/>
  <c r="Q1074" i="20"/>
  <c r="P1074" i="20"/>
  <c r="Q1073" i="20"/>
  <c r="P1073" i="20"/>
  <c r="Q1072" i="20"/>
  <c r="P1072" i="20"/>
  <c r="Q1071" i="20"/>
  <c r="P1071" i="20"/>
  <c r="Q1070" i="20"/>
  <c r="P1070" i="20"/>
  <c r="Q1069" i="20"/>
  <c r="P1069" i="20"/>
  <c r="Q1068" i="20"/>
  <c r="P1068" i="20"/>
  <c r="Q1067" i="20"/>
  <c r="P1067" i="20"/>
  <c r="Q1066" i="20"/>
  <c r="P1066" i="20"/>
  <c r="Q1065" i="20"/>
  <c r="P1065" i="20"/>
  <c r="Q1064" i="20"/>
  <c r="P1064" i="20"/>
  <c r="Q1063" i="20"/>
  <c r="P1063" i="20"/>
  <c r="Q1062" i="20"/>
  <c r="P1062" i="20"/>
  <c r="Q1061" i="20"/>
  <c r="P1061" i="20"/>
  <c r="Q1060" i="20"/>
  <c r="P1060" i="20"/>
  <c r="Q1059" i="20"/>
  <c r="P1059" i="20"/>
  <c r="Q1058" i="20"/>
  <c r="P1058" i="20"/>
  <c r="Q1057" i="20"/>
  <c r="P1057" i="20"/>
  <c r="Q1056" i="20"/>
  <c r="P1056" i="20"/>
  <c r="Q1055" i="20"/>
  <c r="P1055" i="20"/>
  <c r="Q1054" i="20"/>
  <c r="P1054" i="20"/>
  <c r="Q1053" i="20"/>
  <c r="P1053" i="20"/>
  <c r="Q1052" i="20"/>
  <c r="P1052" i="20"/>
  <c r="Q1051" i="20"/>
  <c r="P1051" i="20"/>
  <c r="Q1050" i="20"/>
  <c r="P1050" i="20"/>
  <c r="Q1049" i="20"/>
  <c r="P1049" i="20"/>
  <c r="Q1048" i="20"/>
  <c r="P1048" i="20"/>
  <c r="Q1047" i="20"/>
  <c r="P1047" i="20"/>
  <c r="Q1046" i="20"/>
  <c r="P1046" i="20"/>
  <c r="Q1045" i="20"/>
  <c r="P1045" i="20"/>
  <c r="Q1044" i="20"/>
  <c r="P1044" i="20"/>
  <c r="Q1043" i="20"/>
  <c r="P1043" i="20"/>
  <c r="Q1042" i="20"/>
  <c r="P1042" i="20"/>
  <c r="Q1041" i="20"/>
  <c r="P1041" i="20"/>
  <c r="Q1040" i="20"/>
  <c r="P1040" i="20"/>
  <c r="Q1039" i="20"/>
  <c r="P1039" i="20"/>
  <c r="Q1038" i="20"/>
  <c r="P1038" i="20"/>
  <c r="Q1037" i="20"/>
  <c r="P1037" i="20"/>
  <c r="Q1036" i="20"/>
  <c r="P1036" i="20"/>
  <c r="Q1035" i="20"/>
  <c r="P1035" i="20"/>
  <c r="Q1034" i="20"/>
  <c r="P1034" i="20"/>
  <c r="Q1033" i="20"/>
  <c r="P1033" i="20"/>
  <c r="Q1032" i="20"/>
  <c r="P1032" i="20"/>
  <c r="Q1031" i="20"/>
  <c r="P1031" i="20"/>
  <c r="Q1030" i="20"/>
  <c r="P1030" i="20"/>
  <c r="Q1029" i="20"/>
  <c r="P1029" i="20"/>
  <c r="Q1028" i="20"/>
  <c r="P1028" i="20"/>
  <c r="Q1027" i="20"/>
  <c r="P1027" i="20"/>
  <c r="Q1026" i="20"/>
  <c r="P1026" i="20"/>
  <c r="Q1025" i="20"/>
  <c r="P1025" i="20"/>
  <c r="Q1024" i="20"/>
  <c r="P1024" i="20"/>
  <c r="Q1023" i="20"/>
  <c r="P1023" i="20"/>
  <c r="Q1022" i="20"/>
  <c r="P1022" i="20"/>
  <c r="Q1021" i="20"/>
  <c r="P1021" i="20"/>
  <c r="Q1020" i="20"/>
  <c r="P1020" i="20"/>
  <c r="Q1019" i="20"/>
  <c r="P1019" i="20"/>
  <c r="Q1018" i="20"/>
  <c r="P1018" i="20"/>
  <c r="Q1017" i="20"/>
  <c r="P1017" i="20"/>
  <c r="Q1016" i="20"/>
  <c r="P1016" i="20"/>
  <c r="Q1015" i="20"/>
  <c r="P1015" i="20"/>
  <c r="Q1014" i="20"/>
  <c r="P1014" i="20"/>
  <c r="Q1013" i="20"/>
  <c r="P1013" i="20"/>
  <c r="Q1012" i="20"/>
  <c r="P1012" i="20"/>
  <c r="Q1011" i="20"/>
  <c r="P1011" i="20"/>
  <c r="Q1010" i="20"/>
  <c r="P1010" i="20"/>
  <c r="Q1009" i="20"/>
  <c r="P1009" i="20"/>
  <c r="Q1008" i="20"/>
  <c r="P1008" i="20"/>
  <c r="Q1007" i="20"/>
  <c r="P1007" i="20"/>
  <c r="Q1006" i="20"/>
  <c r="P1006" i="20"/>
  <c r="Q1005" i="20"/>
  <c r="P1005" i="20"/>
  <c r="Q1004" i="20"/>
  <c r="P1004" i="20"/>
  <c r="Q1003" i="20"/>
  <c r="P1003" i="20"/>
  <c r="Q1002" i="20"/>
  <c r="P1002" i="20"/>
  <c r="Q1001" i="20"/>
  <c r="P1001" i="20"/>
  <c r="Q1000" i="20"/>
  <c r="P1000" i="20"/>
  <c r="Q999" i="20"/>
  <c r="P999" i="20"/>
  <c r="Q998" i="20"/>
  <c r="P998" i="20"/>
  <c r="Q997" i="20"/>
  <c r="P997" i="20"/>
  <c r="Q996" i="20"/>
  <c r="P996" i="20"/>
  <c r="Q995" i="20"/>
  <c r="P995" i="20"/>
  <c r="Q994" i="20"/>
  <c r="P994" i="20"/>
  <c r="Q993" i="20"/>
  <c r="P993" i="20"/>
  <c r="Q992" i="20"/>
  <c r="P992" i="20"/>
  <c r="Q991" i="20"/>
  <c r="P991" i="20"/>
  <c r="Q990" i="20"/>
  <c r="P990" i="20"/>
  <c r="Q989" i="20"/>
  <c r="P989" i="20"/>
  <c r="Q988" i="20"/>
  <c r="P988" i="20"/>
  <c r="Q987" i="20"/>
  <c r="P987" i="20"/>
  <c r="Q986" i="20"/>
  <c r="P986" i="20"/>
  <c r="Q985" i="20"/>
  <c r="P985" i="20"/>
  <c r="Q984" i="20"/>
  <c r="P984" i="20"/>
  <c r="Q983" i="20"/>
  <c r="P983" i="20"/>
  <c r="Q982" i="20"/>
  <c r="P982" i="20"/>
  <c r="Q981" i="20"/>
  <c r="P981" i="20"/>
  <c r="Q980" i="20"/>
  <c r="P980" i="20"/>
  <c r="Q979" i="20"/>
  <c r="P979" i="20"/>
  <c r="Q978" i="20"/>
  <c r="P978" i="20"/>
  <c r="Q977" i="20"/>
  <c r="P977" i="20"/>
  <c r="Q976" i="20"/>
  <c r="P976" i="20"/>
  <c r="Q975" i="20"/>
  <c r="P975" i="20"/>
  <c r="Q974" i="20"/>
  <c r="P974" i="20"/>
  <c r="Q973" i="20"/>
  <c r="P973" i="20"/>
  <c r="Q972" i="20"/>
  <c r="P972" i="20"/>
  <c r="Q971" i="20"/>
  <c r="P971" i="20"/>
  <c r="Q970" i="20"/>
  <c r="P970" i="20"/>
  <c r="Q969" i="20"/>
  <c r="P969" i="20"/>
  <c r="Q968" i="20"/>
  <c r="P968" i="20"/>
  <c r="Q967" i="20"/>
  <c r="P967" i="20"/>
  <c r="Q966" i="20"/>
  <c r="P966" i="20"/>
  <c r="Q965" i="20"/>
  <c r="P965" i="20"/>
  <c r="Q964" i="20"/>
  <c r="P964" i="20"/>
  <c r="Q963" i="20"/>
  <c r="P963" i="20"/>
  <c r="Q962" i="20"/>
  <c r="P962" i="20"/>
  <c r="Q961" i="20"/>
  <c r="P961" i="20"/>
  <c r="Q960" i="20"/>
  <c r="P960" i="20"/>
  <c r="Q959" i="20"/>
  <c r="P959" i="20"/>
  <c r="Q958" i="20"/>
  <c r="P958" i="20"/>
  <c r="Q957" i="20"/>
  <c r="P957" i="20"/>
  <c r="Q956" i="20"/>
  <c r="P956" i="20"/>
  <c r="Q955" i="20"/>
  <c r="P955" i="20"/>
  <c r="Q954" i="20"/>
  <c r="P954" i="20"/>
  <c r="Q953" i="20"/>
  <c r="P953" i="20"/>
  <c r="Q952" i="20"/>
  <c r="P952" i="20"/>
  <c r="Q951" i="20"/>
  <c r="P951" i="20"/>
  <c r="Q950" i="20"/>
  <c r="P950" i="20"/>
  <c r="Q949" i="20"/>
  <c r="P949" i="20"/>
  <c r="Q948" i="20"/>
  <c r="P948" i="20"/>
  <c r="Q947" i="20"/>
  <c r="P947" i="20"/>
  <c r="Q946" i="20"/>
  <c r="P946" i="20"/>
  <c r="Q945" i="20"/>
  <c r="P945" i="20"/>
  <c r="Q944" i="20"/>
  <c r="P944" i="20"/>
  <c r="Q943" i="20"/>
  <c r="P943" i="20"/>
  <c r="Q942" i="20"/>
  <c r="P942" i="20"/>
  <c r="Q941" i="20"/>
  <c r="P941" i="20"/>
  <c r="Q940" i="20"/>
  <c r="P940" i="20"/>
  <c r="Q939" i="20"/>
  <c r="P939" i="20"/>
  <c r="Q938" i="20"/>
  <c r="P938" i="20"/>
  <c r="Q937" i="20"/>
  <c r="P937" i="20"/>
  <c r="Q936" i="20"/>
  <c r="P936" i="20"/>
  <c r="Q935" i="20"/>
  <c r="P935" i="20"/>
  <c r="Q934" i="20"/>
  <c r="P934" i="20"/>
  <c r="Q933" i="20"/>
  <c r="P933" i="20"/>
  <c r="Q932" i="20"/>
  <c r="P932" i="20"/>
  <c r="Q931" i="20"/>
  <c r="P931" i="20"/>
  <c r="Q930" i="20"/>
  <c r="P930" i="20"/>
  <c r="Q929" i="20"/>
  <c r="P929" i="20"/>
  <c r="Q928" i="20"/>
  <c r="P928" i="20"/>
  <c r="Q927" i="20"/>
  <c r="P927" i="20"/>
  <c r="Q926" i="20"/>
  <c r="P926" i="20"/>
  <c r="Q925" i="20"/>
  <c r="P925" i="20"/>
  <c r="Q924" i="20"/>
  <c r="P924" i="20"/>
  <c r="Q923" i="20"/>
  <c r="P923" i="20"/>
  <c r="Q922" i="20"/>
  <c r="P922" i="20"/>
  <c r="Q921" i="20"/>
  <c r="P921" i="20"/>
  <c r="Q920" i="20"/>
  <c r="P920" i="20"/>
  <c r="Q919" i="20"/>
  <c r="P919" i="20"/>
  <c r="Q918" i="20"/>
  <c r="P918" i="20"/>
  <c r="Q917" i="20"/>
  <c r="P917" i="20"/>
  <c r="Q916" i="20"/>
  <c r="P916" i="20"/>
  <c r="Q915" i="20"/>
  <c r="P915" i="20"/>
  <c r="Q914" i="20"/>
  <c r="P914" i="20"/>
  <c r="Q913" i="20"/>
  <c r="P913" i="20"/>
  <c r="Q912" i="20"/>
  <c r="P912" i="20"/>
  <c r="Q911" i="20"/>
  <c r="P911" i="20"/>
  <c r="Q910" i="20"/>
  <c r="P910" i="20"/>
  <c r="Q909" i="20"/>
  <c r="P909" i="20"/>
  <c r="Q908" i="20"/>
  <c r="P908" i="20"/>
  <c r="Q907" i="20"/>
  <c r="P907" i="20"/>
  <c r="Q906" i="20"/>
  <c r="P906" i="20"/>
  <c r="Q905" i="20"/>
  <c r="P905" i="20"/>
  <c r="Q904" i="20"/>
  <c r="P904" i="20"/>
  <c r="Q903" i="20"/>
  <c r="P903" i="20"/>
  <c r="Q902" i="20"/>
  <c r="P902" i="20"/>
  <c r="Q901" i="20"/>
  <c r="P901" i="20"/>
  <c r="Q900" i="20"/>
  <c r="P900" i="20"/>
  <c r="Q899" i="20"/>
  <c r="P899" i="20"/>
  <c r="Q898" i="20"/>
  <c r="P898" i="20"/>
  <c r="Q897" i="20"/>
  <c r="P897" i="20"/>
  <c r="Q896" i="20"/>
  <c r="P896" i="20"/>
  <c r="Q895" i="20"/>
  <c r="P895" i="20"/>
  <c r="Q894" i="20"/>
  <c r="P894" i="20"/>
  <c r="Q893" i="20"/>
  <c r="P893" i="20"/>
  <c r="Q892" i="20"/>
  <c r="P892" i="20"/>
  <c r="Q891" i="20"/>
  <c r="P891" i="20"/>
  <c r="Q890" i="20"/>
  <c r="P890" i="20"/>
  <c r="Q889" i="20"/>
  <c r="P889" i="20"/>
  <c r="Q888" i="20"/>
  <c r="P888" i="20"/>
  <c r="Q887" i="20"/>
  <c r="P887" i="20"/>
  <c r="Q886" i="20"/>
  <c r="P886" i="20"/>
  <c r="Q885" i="20"/>
  <c r="P885" i="20"/>
  <c r="Q884" i="20"/>
  <c r="P884" i="20"/>
  <c r="Q883" i="20"/>
  <c r="P883" i="20"/>
  <c r="Q882" i="20"/>
  <c r="P882" i="20"/>
  <c r="Q881" i="20"/>
  <c r="P881" i="20"/>
  <c r="Q880" i="20"/>
  <c r="P880" i="20"/>
  <c r="Q879" i="20"/>
  <c r="P879" i="20"/>
  <c r="Q878" i="20"/>
  <c r="P878" i="20"/>
  <c r="Q877" i="20"/>
  <c r="P877" i="20"/>
  <c r="Q876" i="20"/>
  <c r="P876" i="20"/>
  <c r="Q875" i="20"/>
  <c r="P875" i="20"/>
  <c r="Q874" i="20"/>
  <c r="P874" i="20"/>
  <c r="Q873" i="20"/>
  <c r="P873" i="20"/>
  <c r="Q872" i="20"/>
  <c r="P872" i="20"/>
  <c r="Q871" i="20"/>
  <c r="P871" i="20"/>
  <c r="Q870" i="20"/>
  <c r="P870" i="20"/>
  <c r="Q869" i="20"/>
  <c r="P869" i="20"/>
  <c r="Q868" i="20"/>
  <c r="P868" i="20"/>
  <c r="Q867" i="20"/>
  <c r="P867" i="20"/>
  <c r="Q866" i="20"/>
  <c r="P866" i="20"/>
  <c r="Q865" i="20"/>
  <c r="P865" i="20"/>
  <c r="Q864" i="20"/>
  <c r="P864" i="20"/>
  <c r="Q863" i="20"/>
  <c r="P863" i="20"/>
  <c r="Q862" i="20"/>
  <c r="P862" i="20"/>
  <c r="Q861" i="20"/>
  <c r="P861" i="20"/>
  <c r="Q860" i="20"/>
  <c r="P860" i="20"/>
  <c r="Q859" i="20"/>
  <c r="P859" i="20"/>
  <c r="Q858" i="20"/>
  <c r="P858" i="20"/>
  <c r="Q857" i="20"/>
  <c r="P857" i="20"/>
  <c r="Q856" i="20"/>
  <c r="P856" i="20"/>
  <c r="Q855" i="20"/>
  <c r="P855" i="20"/>
  <c r="Q854" i="20"/>
  <c r="P854" i="20"/>
  <c r="Q853" i="20"/>
  <c r="P853" i="20"/>
  <c r="Q852" i="20"/>
  <c r="P852" i="20"/>
  <c r="Q851" i="20"/>
  <c r="P851" i="20"/>
  <c r="Q850" i="20"/>
  <c r="P850" i="20"/>
  <c r="Q849" i="20"/>
  <c r="P849" i="20"/>
  <c r="Q848" i="20"/>
  <c r="P848" i="20"/>
  <c r="Q847" i="20"/>
  <c r="P847" i="20"/>
  <c r="Q846" i="20"/>
  <c r="P846" i="20"/>
  <c r="Q845" i="20"/>
  <c r="P845" i="20"/>
  <c r="Q844" i="20"/>
  <c r="P844" i="20"/>
  <c r="Q843" i="20"/>
  <c r="P843" i="20"/>
  <c r="Q842" i="20"/>
  <c r="P842" i="20"/>
  <c r="Q841" i="20"/>
  <c r="P841" i="20"/>
  <c r="Q840" i="20"/>
  <c r="P840" i="20"/>
  <c r="Q839" i="20"/>
  <c r="P839" i="20"/>
  <c r="Q838" i="20"/>
  <c r="P838" i="20"/>
  <c r="Q837" i="20"/>
  <c r="P837" i="20"/>
  <c r="Q836" i="20"/>
  <c r="P836" i="20"/>
  <c r="Q835" i="20"/>
  <c r="P835" i="20"/>
  <c r="Q834" i="20"/>
  <c r="P834" i="20"/>
  <c r="Q833" i="20"/>
  <c r="P833" i="20"/>
  <c r="Q832" i="20"/>
  <c r="P832" i="20"/>
  <c r="Q831" i="20"/>
  <c r="P831" i="20"/>
  <c r="Q830" i="20"/>
  <c r="P830" i="20"/>
  <c r="Q829" i="20"/>
  <c r="P829" i="20"/>
  <c r="Q828" i="20"/>
  <c r="P828" i="20"/>
  <c r="Q827" i="20"/>
  <c r="P827" i="20"/>
  <c r="Q826" i="20"/>
  <c r="P826" i="20"/>
  <c r="Q825" i="20"/>
  <c r="P825" i="20"/>
  <c r="Q824" i="20"/>
  <c r="P824" i="20"/>
  <c r="Q823" i="20"/>
  <c r="P823" i="20"/>
  <c r="Q822" i="20"/>
  <c r="P822" i="20"/>
  <c r="Q821" i="20"/>
  <c r="P821" i="20"/>
  <c r="Q820" i="20"/>
  <c r="P820" i="20"/>
  <c r="Q819" i="20"/>
  <c r="P819" i="20"/>
  <c r="Q818" i="20"/>
  <c r="P818" i="20"/>
  <c r="Q817" i="20"/>
  <c r="P817" i="20"/>
  <c r="Q816" i="20"/>
  <c r="P816" i="20"/>
  <c r="Q815" i="20"/>
  <c r="P815" i="20"/>
  <c r="Q814" i="20"/>
  <c r="P814" i="20"/>
  <c r="Q813" i="20"/>
  <c r="P813" i="20"/>
  <c r="Q812" i="20"/>
  <c r="P812" i="20"/>
  <c r="Q811" i="20"/>
  <c r="P811" i="20"/>
  <c r="Q810" i="20"/>
  <c r="P810" i="20"/>
  <c r="Q809" i="20"/>
  <c r="P809" i="20"/>
  <c r="Q808" i="20"/>
  <c r="P808" i="20"/>
  <c r="Q807" i="20"/>
  <c r="P807" i="20"/>
  <c r="Q806" i="20"/>
  <c r="P806" i="20"/>
  <c r="Q805" i="20"/>
  <c r="P805" i="20"/>
  <c r="Q804" i="20"/>
  <c r="P804" i="20"/>
  <c r="Q803" i="20"/>
  <c r="P803" i="20"/>
  <c r="Q802" i="20"/>
  <c r="P802" i="20"/>
  <c r="Q801" i="20"/>
  <c r="P801" i="20"/>
  <c r="Q800" i="20"/>
  <c r="P800" i="20"/>
  <c r="Q799" i="20"/>
  <c r="P799" i="20"/>
  <c r="Q798" i="20"/>
  <c r="P798" i="20"/>
  <c r="Q797" i="20"/>
  <c r="P797" i="20"/>
  <c r="Q796" i="20"/>
  <c r="P796" i="20"/>
  <c r="Q795" i="20"/>
  <c r="P795" i="20"/>
  <c r="Q794" i="20"/>
  <c r="P794" i="20"/>
  <c r="Q793" i="20"/>
  <c r="P793" i="20"/>
  <c r="Q792" i="20"/>
  <c r="P792" i="20"/>
  <c r="Q791" i="20"/>
  <c r="P791" i="20"/>
  <c r="Q790" i="20"/>
  <c r="P790" i="20"/>
  <c r="Q789" i="20"/>
  <c r="P789" i="20"/>
  <c r="Q788" i="20"/>
  <c r="P788" i="20"/>
  <c r="Q787" i="20"/>
  <c r="P787" i="20"/>
  <c r="Q786" i="20"/>
  <c r="P786" i="20"/>
  <c r="Q785" i="20"/>
  <c r="P785" i="20"/>
  <c r="Q784" i="20"/>
  <c r="P784" i="20"/>
  <c r="Q783" i="20"/>
  <c r="P783" i="20"/>
  <c r="Q782" i="20"/>
  <c r="P782" i="20"/>
  <c r="Q781" i="20"/>
  <c r="P781" i="20"/>
  <c r="Q780" i="20"/>
  <c r="P780" i="20"/>
  <c r="Q779" i="20"/>
  <c r="P779" i="20"/>
  <c r="Q778" i="20"/>
  <c r="P778" i="20"/>
  <c r="Q777" i="20"/>
  <c r="P777" i="20"/>
  <c r="Q776" i="20"/>
  <c r="P776" i="20"/>
  <c r="Q775" i="20"/>
  <c r="P775" i="20"/>
  <c r="Q774" i="20"/>
  <c r="P774" i="20"/>
  <c r="Q773" i="20"/>
  <c r="P773" i="20"/>
  <c r="Q772" i="20"/>
  <c r="P772" i="20"/>
  <c r="Q771" i="20"/>
  <c r="P771" i="20"/>
  <c r="Q770" i="20"/>
  <c r="P770" i="20"/>
  <c r="Q769" i="20"/>
  <c r="P769" i="20"/>
  <c r="Q768" i="20"/>
  <c r="P768" i="20"/>
  <c r="Q767" i="20"/>
  <c r="P767" i="20"/>
  <c r="Q766" i="20"/>
  <c r="P766" i="20"/>
  <c r="Q765" i="20"/>
  <c r="P765" i="20"/>
  <c r="Q764" i="20"/>
  <c r="P764" i="20"/>
  <c r="Q763" i="20"/>
  <c r="P763" i="20"/>
  <c r="Q762" i="20"/>
  <c r="P762" i="20"/>
  <c r="Q761" i="20"/>
  <c r="P761" i="20"/>
  <c r="Q760" i="20"/>
  <c r="P760" i="20"/>
  <c r="Q759" i="20"/>
  <c r="P759" i="20"/>
  <c r="Q758" i="20"/>
  <c r="P758" i="20"/>
  <c r="Q757" i="20"/>
  <c r="P757" i="20"/>
  <c r="Q756" i="20"/>
  <c r="P756" i="20"/>
  <c r="Q755" i="20"/>
  <c r="P755" i="20"/>
  <c r="Q754" i="20"/>
  <c r="P754" i="20"/>
  <c r="Q753" i="20"/>
  <c r="P753" i="20"/>
  <c r="Q752" i="20"/>
  <c r="P752" i="20"/>
  <c r="Q751" i="20"/>
  <c r="P751" i="20"/>
  <c r="Q750" i="20"/>
  <c r="P750" i="20"/>
  <c r="Q749" i="20"/>
  <c r="P749" i="20"/>
  <c r="Q748" i="20"/>
  <c r="P748" i="20"/>
  <c r="Q747" i="20"/>
  <c r="P747" i="20"/>
  <c r="Q746" i="20"/>
  <c r="P746" i="20"/>
  <c r="Q745" i="20"/>
  <c r="P745" i="20"/>
  <c r="Q744" i="20"/>
  <c r="P744" i="20"/>
  <c r="Q743" i="20"/>
  <c r="P743" i="20"/>
  <c r="Q742" i="20"/>
  <c r="P742" i="20"/>
  <c r="Q741" i="20"/>
  <c r="P741" i="20"/>
  <c r="Q740" i="20"/>
  <c r="P740" i="20"/>
  <c r="Q739" i="20"/>
  <c r="P739" i="20"/>
  <c r="Q738" i="20"/>
  <c r="P738" i="20"/>
  <c r="Q737" i="20"/>
  <c r="P737" i="20"/>
  <c r="Q736" i="20"/>
  <c r="P736" i="20"/>
  <c r="Q735" i="20"/>
  <c r="P735" i="20"/>
  <c r="Q734" i="20"/>
  <c r="P734" i="20"/>
  <c r="Q733" i="20"/>
  <c r="P733" i="20"/>
  <c r="Q732" i="20"/>
  <c r="P732" i="20"/>
  <c r="Q731" i="20"/>
  <c r="P731" i="20"/>
  <c r="Q730" i="20"/>
  <c r="P730" i="20"/>
  <c r="Q729" i="20"/>
  <c r="P729" i="20"/>
  <c r="Q728" i="20"/>
  <c r="P728" i="20"/>
  <c r="Q727" i="20"/>
  <c r="P727" i="20"/>
  <c r="Q726" i="20"/>
  <c r="P726" i="20"/>
  <c r="Q725" i="20"/>
  <c r="P725" i="20"/>
  <c r="Q724" i="20"/>
  <c r="P724" i="20"/>
  <c r="Q723" i="20"/>
  <c r="P723" i="20"/>
  <c r="Q722" i="20"/>
  <c r="P722" i="20"/>
  <c r="Q721" i="20"/>
  <c r="P721" i="20"/>
  <c r="Q720" i="20"/>
  <c r="P720" i="20"/>
  <c r="Q719" i="20"/>
  <c r="P719" i="20"/>
  <c r="Q718" i="20"/>
  <c r="P718" i="20"/>
  <c r="Q717" i="20"/>
  <c r="P717" i="20"/>
  <c r="Q716" i="20"/>
  <c r="P716" i="20"/>
  <c r="Q715" i="20"/>
  <c r="P715" i="20"/>
  <c r="Q714" i="20"/>
  <c r="P714" i="20"/>
  <c r="Q713" i="20"/>
  <c r="P713" i="20"/>
  <c r="Q712" i="20"/>
  <c r="P712" i="20"/>
  <c r="Q711" i="20"/>
  <c r="P711" i="20"/>
  <c r="Q710" i="20"/>
  <c r="P710" i="20"/>
  <c r="Q709" i="20"/>
  <c r="P709" i="20"/>
  <c r="Q708" i="20"/>
  <c r="P708" i="20"/>
  <c r="Q707" i="20"/>
  <c r="P707" i="20"/>
  <c r="Q706" i="20"/>
  <c r="P706" i="20"/>
  <c r="Q705" i="20"/>
  <c r="P705" i="20"/>
  <c r="Q704" i="20"/>
  <c r="P704" i="20"/>
  <c r="Q703" i="20"/>
  <c r="P703" i="20"/>
  <c r="Q702" i="20"/>
  <c r="P702" i="20"/>
  <c r="Q701" i="20"/>
  <c r="P701" i="20"/>
  <c r="Q700" i="20"/>
  <c r="P700" i="20"/>
  <c r="Q699" i="20"/>
  <c r="P699" i="20"/>
  <c r="Q698" i="20"/>
  <c r="P698" i="20"/>
  <c r="Q697" i="20"/>
  <c r="P697" i="20"/>
  <c r="Q696" i="20"/>
  <c r="P696" i="20"/>
  <c r="Q695" i="20"/>
  <c r="P695" i="20"/>
  <c r="Q694" i="20"/>
  <c r="P694" i="20"/>
  <c r="Q693" i="20"/>
  <c r="P693" i="20"/>
  <c r="Q692" i="20"/>
  <c r="P692" i="20"/>
  <c r="Q691" i="20"/>
  <c r="P691" i="20"/>
  <c r="Q690" i="20"/>
  <c r="P690" i="20"/>
  <c r="Q689" i="20"/>
  <c r="P689" i="20"/>
  <c r="Q688" i="20"/>
  <c r="P688" i="20"/>
  <c r="Q687" i="20"/>
  <c r="P687" i="20"/>
  <c r="Q686" i="20"/>
  <c r="P686" i="20"/>
  <c r="Q685" i="20"/>
  <c r="P685" i="20"/>
  <c r="Q684" i="20"/>
  <c r="P684" i="20"/>
  <c r="Q683" i="20"/>
  <c r="P683" i="20"/>
  <c r="Q682" i="20"/>
  <c r="P682" i="20"/>
  <c r="Q681" i="20"/>
  <c r="P681" i="20"/>
  <c r="Q680" i="20"/>
  <c r="P680" i="20"/>
  <c r="Q679" i="20"/>
  <c r="P679" i="20"/>
  <c r="Q678" i="20"/>
  <c r="P678" i="20"/>
  <c r="Q677" i="20"/>
  <c r="P677" i="20"/>
  <c r="Q676" i="20"/>
  <c r="P676" i="20"/>
  <c r="Q675" i="20"/>
  <c r="P675" i="20"/>
  <c r="Q674" i="20"/>
  <c r="P674" i="20"/>
  <c r="Q673" i="20"/>
  <c r="P673" i="20"/>
  <c r="Q672" i="20"/>
  <c r="P672" i="20"/>
  <c r="Q671" i="20"/>
  <c r="P671" i="20"/>
  <c r="Q670" i="20"/>
  <c r="P670" i="20"/>
  <c r="Q669" i="20"/>
  <c r="P669" i="20"/>
  <c r="Q668" i="20"/>
  <c r="P668" i="20"/>
  <c r="Q667" i="20"/>
  <c r="P667" i="20"/>
  <c r="Q666" i="20"/>
  <c r="P666" i="20"/>
  <c r="Q665" i="20"/>
  <c r="P665" i="20"/>
  <c r="Q664" i="20"/>
  <c r="P664" i="20"/>
  <c r="Q663" i="20"/>
  <c r="P663" i="20"/>
  <c r="Q662" i="20"/>
  <c r="P662" i="20"/>
  <c r="Q661" i="20"/>
  <c r="P661" i="20"/>
  <c r="Q660" i="20"/>
  <c r="P660" i="20"/>
  <c r="Q659" i="20"/>
  <c r="P659" i="20"/>
  <c r="Q658" i="20"/>
  <c r="P658" i="20"/>
  <c r="Q657" i="20"/>
  <c r="P657" i="20"/>
  <c r="Q656" i="20"/>
  <c r="P656" i="20"/>
  <c r="Q655" i="20"/>
  <c r="P655" i="20"/>
  <c r="Q654" i="20"/>
  <c r="P654" i="20"/>
  <c r="Q653" i="20"/>
  <c r="P653" i="20"/>
  <c r="Q652" i="20"/>
  <c r="P652" i="20"/>
  <c r="Q651" i="20"/>
  <c r="P651" i="20"/>
  <c r="Q650" i="20"/>
  <c r="P650" i="20"/>
  <c r="Q649" i="20"/>
  <c r="P649" i="20"/>
  <c r="Q648" i="20"/>
  <c r="P648" i="20"/>
  <c r="Q647" i="20"/>
  <c r="P647" i="20"/>
  <c r="Q646" i="20"/>
  <c r="P646" i="20"/>
  <c r="Q645" i="20"/>
  <c r="P645" i="20"/>
  <c r="Q644" i="20"/>
  <c r="P644" i="20"/>
  <c r="Q643" i="20"/>
  <c r="P643" i="20"/>
  <c r="Q642" i="20"/>
  <c r="P642" i="20"/>
  <c r="Q641" i="20"/>
  <c r="P641" i="20"/>
  <c r="Q640" i="20"/>
  <c r="P640" i="20"/>
  <c r="Q639" i="20"/>
  <c r="P639" i="20"/>
  <c r="Q638" i="20"/>
  <c r="P638" i="20"/>
  <c r="Q637" i="20"/>
  <c r="P637" i="20"/>
  <c r="Q636" i="20"/>
  <c r="P636" i="20"/>
  <c r="Q635" i="20"/>
  <c r="P635" i="20"/>
  <c r="Q634" i="20"/>
  <c r="P634" i="20"/>
  <c r="Q633" i="20"/>
  <c r="P633" i="20"/>
  <c r="Q632" i="20"/>
  <c r="P632" i="20"/>
  <c r="Q631" i="20"/>
  <c r="P631" i="20"/>
  <c r="Q630" i="20"/>
  <c r="P630" i="20"/>
  <c r="Q629" i="20"/>
  <c r="P629" i="20"/>
  <c r="Q628" i="20"/>
  <c r="P628" i="20"/>
  <c r="Q627" i="20"/>
  <c r="P627" i="20"/>
  <c r="Q626" i="20"/>
  <c r="P626" i="20"/>
  <c r="Q625" i="20"/>
  <c r="P625" i="20"/>
  <c r="Q624" i="20"/>
  <c r="P624" i="20"/>
  <c r="Q623" i="20"/>
  <c r="P623" i="20"/>
  <c r="Q622" i="20"/>
  <c r="P622" i="20"/>
  <c r="Q621" i="20"/>
  <c r="P621" i="20"/>
  <c r="Q620" i="20"/>
  <c r="P620" i="20"/>
  <c r="Q619" i="20"/>
  <c r="P619" i="20"/>
  <c r="Q618" i="20"/>
  <c r="P618" i="20"/>
  <c r="Q617" i="20"/>
  <c r="P617" i="20"/>
  <c r="Q616" i="20"/>
  <c r="P616" i="20"/>
  <c r="Q615" i="20"/>
  <c r="P615" i="20"/>
  <c r="Q614" i="20"/>
  <c r="P614" i="20"/>
  <c r="Q613" i="20"/>
  <c r="P613" i="20"/>
  <c r="Q612" i="20"/>
  <c r="P612" i="20"/>
  <c r="Q611" i="20"/>
  <c r="P611" i="20"/>
  <c r="Q610" i="20"/>
  <c r="P610" i="20"/>
  <c r="Q609" i="20"/>
  <c r="P609" i="20"/>
  <c r="Q608" i="20"/>
  <c r="P608" i="20"/>
  <c r="Q607" i="20"/>
  <c r="P607" i="20"/>
  <c r="Q606" i="20"/>
  <c r="P606" i="20"/>
  <c r="Q605" i="20"/>
  <c r="P605" i="20"/>
  <c r="Q604" i="20"/>
  <c r="P604" i="20"/>
  <c r="Q603" i="20"/>
  <c r="P603" i="20"/>
  <c r="Q602" i="20"/>
  <c r="P602" i="20"/>
  <c r="Q601" i="20"/>
  <c r="P601" i="20"/>
  <c r="Q600" i="20"/>
  <c r="P600" i="20"/>
  <c r="Q599" i="20"/>
  <c r="P599" i="20"/>
  <c r="Q598" i="20"/>
  <c r="P598" i="20"/>
  <c r="Q597" i="20"/>
  <c r="P597" i="20"/>
  <c r="Q596" i="20"/>
  <c r="P596" i="20"/>
  <c r="Q595" i="20"/>
  <c r="P595" i="20"/>
  <c r="Q594" i="20"/>
  <c r="P594" i="20"/>
  <c r="Q593" i="20"/>
  <c r="P593" i="20"/>
  <c r="Q592" i="20"/>
  <c r="P592" i="20"/>
  <c r="Q591" i="20"/>
  <c r="P591" i="20"/>
  <c r="Q590" i="20"/>
  <c r="P590" i="20"/>
  <c r="Q589" i="20"/>
  <c r="P589" i="20"/>
  <c r="Q588" i="20"/>
  <c r="P588" i="20"/>
  <c r="Q587" i="20"/>
  <c r="P587" i="20"/>
  <c r="Q586" i="20"/>
  <c r="P586" i="20"/>
  <c r="Q585" i="20"/>
  <c r="P585" i="20"/>
  <c r="Q584" i="20"/>
  <c r="P584" i="20"/>
  <c r="Q583" i="20"/>
  <c r="P583" i="20"/>
  <c r="Q582" i="20"/>
  <c r="P582" i="20"/>
  <c r="Q581" i="20"/>
  <c r="P581" i="20"/>
  <c r="Q580" i="20"/>
  <c r="P580" i="20"/>
  <c r="Q579" i="20"/>
  <c r="P579" i="20"/>
  <c r="Q578" i="20"/>
  <c r="P578" i="20"/>
  <c r="Q577" i="20"/>
  <c r="P577" i="20"/>
  <c r="Q576" i="20"/>
  <c r="P576" i="20"/>
  <c r="Q575" i="20"/>
  <c r="P575" i="20"/>
  <c r="Q574" i="20"/>
  <c r="P574" i="20"/>
  <c r="Q573" i="20"/>
  <c r="P573" i="20"/>
  <c r="Q572" i="20"/>
  <c r="P572" i="20"/>
  <c r="Q571" i="20"/>
  <c r="P571" i="20"/>
  <c r="Q570" i="20"/>
  <c r="P570" i="20"/>
  <c r="Q569" i="20"/>
  <c r="P569" i="20"/>
  <c r="Q568" i="20"/>
  <c r="P568" i="20"/>
  <c r="Q567" i="20"/>
  <c r="P567" i="20"/>
  <c r="Q566" i="20"/>
  <c r="P566" i="20"/>
  <c r="Q565" i="20"/>
  <c r="P565" i="20"/>
  <c r="Q564" i="20"/>
  <c r="P564" i="20"/>
  <c r="Q563" i="20"/>
  <c r="P563" i="20"/>
  <c r="Q562" i="20"/>
  <c r="P562" i="20"/>
  <c r="Q561" i="20"/>
  <c r="P561" i="20"/>
  <c r="Q560" i="20"/>
  <c r="P560" i="20"/>
  <c r="Q559" i="20"/>
  <c r="P559" i="20"/>
  <c r="Q558" i="20"/>
  <c r="P558" i="20"/>
  <c r="Q557" i="20"/>
  <c r="P557" i="20"/>
  <c r="Q556" i="20"/>
  <c r="P556" i="20"/>
  <c r="Q555" i="20"/>
  <c r="P555" i="20"/>
  <c r="Q554" i="20"/>
  <c r="P554" i="20"/>
  <c r="Q553" i="20"/>
  <c r="P553" i="20"/>
  <c r="Q552" i="20"/>
  <c r="P552" i="20"/>
  <c r="Q551" i="20"/>
  <c r="P551" i="20"/>
  <c r="Q550" i="20"/>
  <c r="P550" i="20"/>
  <c r="Q549" i="20"/>
  <c r="P549" i="20"/>
  <c r="Q548" i="20"/>
  <c r="P548" i="20"/>
  <c r="Q547" i="20"/>
  <c r="P547" i="20"/>
  <c r="Q546" i="20"/>
  <c r="P546" i="20"/>
  <c r="Q545" i="20"/>
  <c r="P545" i="20"/>
  <c r="Q544" i="20"/>
  <c r="P544" i="20"/>
  <c r="Q543" i="20"/>
  <c r="P543" i="20"/>
  <c r="Q542" i="20"/>
  <c r="P542" i="20"/>
  <c r="Q541" i="20"/>
  <c r="P541" i="20"/>
  <c r="Q540" i="20"/>
  <c r="P540" i="20"/>
  <c r="Q539" i="20"/>
  <c r="P539" i="20"/>
  <c r="Q538" i="20"/>
  <c r="P538" i="20"/>
  <c r="Q537" i="20"/>
  <c r="P537" i="20"/>
  <c r="Q536" i="20"/>
  <c r="P536" i="20"/>
  <c r="Q535" i="20"/>
  <c r="P535" i="20"/>
  <c r="Q534" i="20"/>
  <c r="P534" i="20"/>
  <c r="Q533" i="20"/>
  <c r="P533" i="20"/>
  <c r="Q532" i="20"/>
  <c r="P532" i="20"/>
  <c r="Q531" i="20"/>
  <c r="P531" i="20"/>
  <c r="Q530" i="20"/>
  <c r="P530" i="20"/>
  <c r="Q529" i="20"/>
  <c r="P529" i="20"/>
  <c r="Q528" i="20"/>
  <c r="P528" i="20"/>
  <c r="Q527" i="20"/>
  <c r="P527" i="20"/>
  <c r="Q526" i="20"/>
  <c r="P526" i="20"/>
  <c r="Q525" i="20"/>
  <c r="P525" i="20"/>
  <c r="Q524" i="20"/>
  <c r="P524" i="20"/>
  <c r="Q523" i="20"/>
  <c r="P523" i="20"/>
  <c r="Q522" i="20"/>
  <c r="P522" i="20"/>
  <c r="Q521" i="20"/>
  <c r="P521" i="20"/>
  <c r="Q520" i="20"/>
  <c r="P520" i="20"/>
  <c r="Q519" i="20"/>
  <c r="P519" i="20"/>
  <c r="Q518" i="20"/>
  <c r="P518" i="20"/>
  <c r="Q517" i="20"/>
  <c r="P517" i="20"/>
  <c r="Q516" i="20"/>
  <c r="P516" i="20"/>
  <c r="Q515" i="20"/>
  <c r="P515" i="20"/>
  <c r="Q514" i="20"/>
  <c r="P514" i="20"/>
  <c r="Q513" i="20"/>
  <c r="P513" i="20"/>
  <c r="Q512" i="20"/>
  <c r="P512" i="20"/>
  <c r="Q511" i="20"/>
  <c r="P511" i="20"/>
  <c r="Q510" i="20"/>
  <c r="P510" i="20"/>
  <c r="Q509" i="20"/>
  <c r="P509" i="20"/>
  <c r="Q508" i="20"/>
  <c r="P508" i="20"/>
  <c r="Q507" i="20"/>
  <c r="P507" i="20"/>
  <c r="Q506" i="20"/>
  <c r="P506" i="20"/>
  <c r="Q505" i="20"/>
  <c r="P505" i="20"/>
  <c r="Q504" i="20"/>
  <c r="P504" i="20"/>
  <c r="Q503" i="20"/>
  <c r="P503" i="20"/>
  <c r="Q502" i="20"/>
  <c r="P502" i="20"/>
  <c r="Q501" i="20"/>
  <c r="P501" i="20"/>
  <c r="Q500" i="20"/>
  <c r="P500" i="20"/>
  <c r="Q499" i="20"/>
  <c r="P499" i="20"/>
  <c r="Q498" i="20"/>
  <c r="P498" i="20"/>
  <c r="Q497" i="20"/>
  <c r="P497" i="20"/>
  <c r="Q496" i="20"/>
  <c r="P496" i="20"/>
  <c r="Q495" i="20"/>
  <c r="P495" i="20"/>
  <c r="Q494" i="20"/>
  <c r="P494" i="20"/>
  <c r="Q493" i="20"/>
  <c r="P493" i="20"/>
  <c r="Q492" i="20"/>
  <c r="P492" i="20"/>
  <c r="Q491" i="20"/>
  <c r="P491" i="20"/>
  <c r="Q490" i="20"/>
  <c r="P490" i="20"/>
  <c r="Q489" i="20"/>
  <c r="P489" i="20"/>
  <c r="Q488" i="20"/>
  <c r="P488" i="20"/>
  <c r="Q487" i="20"/>
  <c r="P487" i="20"/>
  <c r="Q486" i="20"/>
  <c r="P486" i="20"/>
  <c r="Q485" i="20"/>
  <c r="P485" i="20"/>
  <c r="Q484" i="20"/>
  <c r="P484" i="20"/>
  <c r="Q483" i="20"/>
  <c r="P483" i="20"/>
  <c r="Q482" i="20"/>
  <c r="P482" i="20"/>
  <c r="Q481" i="20"/>
  <c r="P481" i="20"/>
  <c r="Q480" i="20"/>
  <c r="P480" i="20"/>
  <c r="Q479" i="20"/>
  <c r="P479" i="20"/>
  <c r="Q478" i="20"/>
  <c r="P478" i="20"/>
  <c r="Q477" i="20"/>
  <c r="P477" i="20"/>
  <c r="Q476" i="20"/>
  <c r="P476" i="20"/>
  <c r="Q475" i="20"/>
  <c r="P475" i="20"/>
  <c r="Q474" i="20"/>
  <c r="P474" i="20"/>
  <c r="Q473" i="20"/>
  <c r="P473" i="20"/>
  <c r="Q472" i="20"/>
  <c r="P472" i="20"/>
  <c r="Q471" i="20"/>
  <c r="P471" i="20"/>
  <c r="Q470" i="20"/>
  <c r="P470" i="20"/>
  <c r="Q469" i="20"/>
  <c r="P469" i="20"/>
  <c r="Q468" i="20"/>
  <c r="P468" i="20"/>
  <c r="Q467" i="20"/>
  <c r="P467" i="20"/>
  <c r="Q466" i="20"/>
  <c r="P466" i="20"/>
  <c r="Q465" i="20"/>
  <c r="P465" i="20"/>
  <c r="Q464" i="20"/>
  <c r="P464" i="20"/>
  <c r="Q463" i="20"/>
  <c r="P463" i="20"/>
  <c r="Q462" i="20"/>
  <c r="P462" i="20"/>
  <c r="Q461" i="20"/>
  <c r="P461" i="20"/>
  <c r="Q460" i="20"/>
  <c r="P460" i="20"/>
  <c r="Q459" i="20"/>
  <c r="P459" i="20"/>
  <c r="Q458" i="20"/>
  <c r="P458" i="20"/>
  <c r="Q457" i="20"/>
  <c r="P457" i="20"/>
  <c r="Q456" i="20"/>
  <c r="P456" i="20"/>
  <c r="Q455" i="20"/>
  <c r="P455" i="20"/>
  <c r="Q454" i="20"/>
  <c r="P454" i="20"/>
  <c r="Q453" i="20"/>
  <c r="P453" i="20"/>
  <c r="Q452" i="20"/>
  <c r="P452" i="20"/>
  <c r="Q451" i="20"/>
  <c r="P451" i="20"/>
  <c r="Q450" i="20"/>
  <c r="P450" i="20"/>
  <c r="Q449" i="20"/>
  <c r="P449" i="20"/>
  <c r="Q448" i="20"/>
  <c r="P448" i="20"/>
  <c r="Q447" i="20"/>
  <c r="P447" i="20"/>
  <c r="Q446" i="20"/>
  <c r="P446" i="20"/>
  <c r="Q445" i="20"/>
  <c r="P445" i="20"/>
  <c r="Q444" i="20"/>
  <c r="P444" i="20"/>
  <c r="Q443" i="20"/>
  <c r="P443" i="20"/>
  <c r="Q442" i="20"/>
  <c r="P442" i="20"/>
  <c r="Q441" i="20"/>
  <c r="P441" i="20"/>
  <c r="Q440" i="20"/>
  <c r="P440" i="20"/>
  <c r="Q439" i="20"/>
  <c r="P439" i="20"/>
  <c r="Q438" i="20"/>
  <c r="P438" i="20"/>
  <c r="Q437" i="20"/>
  <c r="P437" i="20"/>
  <c r="Q436" i="20"/>
  <c r="P436" i="20"/>
  <c r="Q435" i="20"/>
  <c r="P435" i="20"/>
  <c r="Q434" i="20"/>
  <c r="P434" i="20"/>
  <c r="Q433" i="20"/>
  <c r="P433" i="20"/>
  <c r="Q432" i="20"/>
  <c r="P432" i="20"/>
  <c r="Q431" i="20"/>
  <c r="P431" i="20"/>
  <c r="Q430" i="20"/>
  <c r="P430" i="20"/>
  <c r="Q429" i="20"/>
  <c r="P429" i="20"/>
  <c r="Q428" i="20"/>
  <c r="P428" i="20"/>
  <c r="Q427" i="20"/>
  <c r="P427" i="20"/>
  <c r="Q426" i="20"/>
  <c r="P426" i="20"/>
  <c r="Q425" i="20"/>
  <c r="P425" i="20"/>
  <c r="Q424" i="20"/>
  <c r="P424" i="20"/>
  <c r="Q423" i="20"/>
  <c r="P423" i="20"/>
  <c r="Q422" i="20"/>
  <c r="P422" i="20"/>
  <c r="Q421" i="20"/>
  <c r="P421" i="20"/>
  <c r="Q420" i="20"/>
  <c r="P420" i="20"/>
  <c r="Q419" i="20"/>
  <c r="P419" i="20"/>
  <c r="Q418" i="20"/>
  <c r="P418" i="20"/>
  <c r="Q417" i="20"/>
  <c r="P417" i="20"/>
  <c r="Q416" i="20"/>
  <c r="P416" i="20"/>
  <c r="Q415" i="20"/>
  <c r="P415" i="20"/>
  <c r="Q414" i="20"/>
  <c r="P414" i="20"/>
  <c r="Q413" i="20"/>
  <c r="P413" i="20"/>
  <c r="Q412" i="20"/>
  <c r="P412" i="20"/>
  <c r="Q411" i="20"/>
  <c r="P411" i="20"/>
  <c r="Q410" i="20"/>
  <c r="P410" i="20"/>
  <c r="Q409" i="20"/>
  <c r="P409" i="20"/>
  <c r="Q408" i="20"/>
  <c r="P408" i="20"/>
  <c r="Q407" i="20"/>
  <c r="P407" i="20"/>
  <c r="Q406" i="20"/>
  <c r="P406" i="20"/>
  <c r="Q405" i="20"/>
  <c r="P405" i="20"/>
  <c r="Q404" i="20"/>
  <c r="P404" i="20"/>
  <c r="Q403" i="20"/>
  <c r="P403" i="20"/>
  <c r="Q402" i="20"/>
  <c r="P402" i="20"/>
  <c r="Q401" i="20"/>
  <c r="P401" i="20"/>
  <c r="Q400" i="20"/>
  <c r="P400" i="20"/>
  <c r="Q399" i="20"/>
  <c r="P399" i="20"/>
  <c r="Q398" i="20"/>
  <c r="P398" i="20"/>
  <c r="Q397" i="20"/>
  <c r="P397" i="20"/>
  <c r="Q396" i="20"/>
  <c r="P396" i="20"/>
  <c r="Q395" i="20"/>
  <c r="P395" i="20"/>
  <c r="Q394" i="20"/>
  <c r="P394" i="20"/>
  <c r="Q393" i="20"/>
  <c r="P393" i="20"/>
  <c r="Q392" i="20"/>
  <c r="P392" i="20"/>
  <c r="Q391" i="20"/>
  <c r="P391" i="20"/>
  <c r="Q390" i="20"/>
  <c r="P390" i="20"/>
  <c r="Q389" i="20"/>
  <c r="P389" i="20"/>
  <c r="Q388" i="20"/>
  <c r="P388" i="20"/>
  <c r="Q387" i="20"/>
  <c r="P387" i="20"/>
  <c r="Q386" i="20"/>
  <c r="P386" i="20"/>
  <c r="Q385" i="20"/>
  <c r="P385" i="20"/>
  <c r="Q384" i="20"/>
  <c r="P384" i="20"/>
  <c r="Q383" i="20"/>
  <c r="P383" i="20"/>
  <c r="Q382" i="20"/>
  <c r="P382" i="20"/>
  <c r="Q381" i="20"/>
  <c r="P381" i="20"/>
  <c r="Q380" i="20"/>
  <c r="P380" i="20"/>
  <c r="Q379" i="20"/>
  <c r="P379" i="20"/>
  <c r="Q378" i="20"/>
  <c r="P378" i="20"/>
  <c r="Q377" i="20"/>
  <c r="P377" i="20"/>
  <c r="Q376" i="20"/>
  <c r="P376" i="20"/>
  <c r="Q375" i="20"/>
  <c r="P375" i="20"/>
  <c r="Q374" i="20"/>
  <c r="P374" i="20"/>
  <c r="Q373" i="20"/>
  <c r="P373" i="20"/>
  <c r="Q372" i="20"/>
  <c r="P372" i="20"/>
  <c r="Q371" i="20"/>
  <c r="P371" i="20"/>
  <c r="Q370" i="20"/>
  <c r="P370" i="20"/>
  <c r="Q369" i="20"/>
  <c r="P369" i="20"/>
  <c r="Q368" i="20"/>
  <c r="P368" i="20"/>
  <c r="Q367" i="20"/>
  <c r="P367" i="20"/>
  <c r="Q366" i="20"/>
  <c r="P366" i="20"/>
  <c r="Q365" i="20"/>
  <c r="P365" i="20"/>
  <c r="Q364" i="20"/>
  <c r="P364" i="20"/>
  <c r="Q363" i="20"/>
  <c r="P363" i="20"/>
  <c r="Q362" i="20"/>
  <c r="P362" i="20"/>
  <c r="Q361" i="20"/>
  <c r="P361" i="20"/>
  <c r="Q360" i="20"/>
  <c r="P360" i="20"/>
  <c r="Q359" i="20"/>
  <c r="P359" i="20"/>
  <c r="Q358" i="20"/>
  <c r="P358" i="20"/>
  <c r="Q357" i="20"/>
  <c r="P357" i="20"/>
  <c r="Q356" i="20"/>
  <c r="P356" i="20"/>
  <c r="Q355" i="20"/>
  <c r="P355" i="20"/>
  <c r="Q354" i="20"/>
  <c r="P354" i="20"/>
  <c r="Q353" i="20"/>
  <c r="P353" i="20"/>
  <c r="Q352" i="20"/>
  <c r="P352" i="20"/>
  <c r="Q351" i="20"/>
  <c r="P351" i="20"/>
  <c r="Q350" i="20"/>
  <c r="P350" i="20"/>
  <c r="Q349" i="20"/>
  <c r="P349" i="20"/>
  <c r="Q348" i="20"/>
  <c r="P348" i="20"/>
  <c r="Q347" i="20"/>
  <c r="P347" i="20"/>
  <c r="Q346" i="20"/>
  <c r="P346" i="20"/>
  <c r="Q345" i="20"/>
  <c r="P345" i="20"/>
  <c r="Q344" i="20"/>
  <c r="P344" i="20"/>
  <c r="Q343" i="20"/>
  <c r="P343" i="20"/>
  <c r="Q342" i="20"/>
  <c r="P342" i="20"/>
  <c r="Q341" i="20"/>
  <c r="P341" i="20"/>
  <c r="Q340" i="20"/>
  <c r="P340" i="20"/>
  <c r="Q339" i="20"/>
  <c r="P339" i="20"/>
  <c r="Q338" i="20"/>
  <c r="P338" i="20"/>
  <c r="Q337" i="20"/>
  <c r="P337" i="20"/>
  <c r="Q336" i="20"/>
  <c r="P336" i="20"/>
  <c r="Q335" i="20"/>
  <c r="P335" i="20"/>
  <c r="Q334" i="20"/>
  <c r="P334" i="20"/>
  <c r="Q333" i="20"/>
  <c r="P333" i="20"/>
  <c r="Q332" i="20"/>
  <c r="P332" i="20"/>
  <c r="Q331" i="20"/>
  <c r="P331" i="20"/>
  <c r="Q330" i="20"/>
  <c r="P330" i="20"/>
  <c r="Q329" i="20"/>
  <c r="P329" i="20"/>
  <c r="Q328" i="20"/>
  <c r="P328" i="20"/>
  <c r="Q327" i="20"/>
  <c r="P327" i="20"/>
  <c r="Q326" i="20"/>
  <c r="P326" i="20"/>
  <c r="Q325" i="20"/>
  <c r="P325" i="20"/>
  <c r="Q324" i="20"/>
  <c r="P324" i="20"/>
  <c r="Q323" i="20"/>
  <c r="P323" i="20"/>
  <c r="Q322" i="20"/>
  <c r="P322" i="20"/>
  <c r="Q321" i="20"/>
  <c r="P321" i="20"/>
  <c r="Q320" i="20"/>
  <c r="P320" i="20"/>
  <c r="Q319" i="20"/>
  <c r="P319" i="20"/>
  <c r="Q318" i="20"/>
  <c r="P318" i="20"/>
  <c r="Q317" i="20"/>
  <c r="P317" i="20"/>
  <c r="Q316" i="20"/>
  <c r="P316" i="20"/>
  <c r="Q315" i="20"/>
  <c r="P315" i="20"/>
  <c r="Q314" i="20"/>
  <c r="P314" i="20"/>
  <c r="Q313" i="20"/>
  <c r="P313" i="20"/>
  <c r="Q312" i="20"/>
  <c r="P312" i="20"/>
  <c r="Q311" i="20"/>
  <c r="P311" i="20"/>
  <c r="Q310" i="20"/>
  <c r="P310" i="20"/>
  <c r="Q309" i="20"/>
  <c r="P309" i="20"/>
  <c r="Q308" i="20"/>
  <c r="P308" i="20"/>
  <c r="Q307" i="20"/>
  <c r="P307" i="20"/>
  <c r="Q306" i="20"/>
  <c r="P306" i="20"/>
  <c r="Q305" i="20"/>
  <c r="P305" i="20"/>
  <c r="Q304" i="20"/>
  <c r="P304" i="20"/>
  <c r="Q303" i="20"/>
  <c r="P303" i="20"/>
  <c r="Q302" i="20"/>
  <c r="P302" i="20"/>
  <c r="Q301" i="20"/>
  <c r="P301" i="20"/>
  <c r="Q300" i="20"/>
  <c r="P300" i="20"/>
  <c r="Q299" i="20"/>
  <c r="P299" i="20"/>
  <c r="Q298" i="20"/>
  <c r="P298" i="20"/>
  <c r="Q297" i="20"/>
  <c r="P297" i="20"/>
  <c r="Q296" i="20"/>
  <c r="P296" i="20"/>
  <c r="Q295" i="20"/>
  <c r="P295" i="20"/>
  <c r="Q294" i="20"/>
  <c r="P294" i="20"/>
  <c r="Q293" i="20"/>
  <c r="P293" i="20"/>
  <c r="Q292" i="20"/>
  <c r="P292" i="20"/>
  <c r="Q291" i="20"/>
  <c r="P291" i="20"/>
  <c r="Q290" i="20"/>
  <c r="P290" i="20"/>
  <c r="Q289" i="20"/>
  <c r="P289" i="20"/>
  <c r="Q288" i="20"/>
  <c r="P288" i="20"/>
  <c r="Q287" i="20"/>
  <c r="P287" i="20"/>
  <c r="Q286" i="20"/>
  <c r="P286" i="20"/>
  <c r="Q285" i="20"/>
  <c r="P285" i="20"/>
  <c r="Q284" i="20"/>
  <c r="P284" i="20"/>
  <c r="Q283" i="20"/>
  <c r="P283" i="20"/>
  <c r="Q282" i="20"/>
  <c r="P282" i="20"/>
  <c r="Q281" i="20"/>
  <c r="P281" i="20"/>
  <c r="Q280" i="20"/>
  <c r="P280" i="20"/>
  <c r="Q279" i="20"/>
  <c r="P279" i="20"/>
  <c r="Q278" i="20"/>
  <c r="P278" i="20"/>
  <c r="Q277" i="20"/>
  <c r="P277" i="20"/>
  <c r="Q276" i="20"/>
  <c r="P276" i="20"/>
  <c r="Q275" i="20"/>
  <c r="P275" i="20"/>
  <c r="Q274" i="20"/>
  <c r="P274" i="20"/>
  <c r="Q273" i="20"/>
  <c r="P273" i="20"/>
  <c r="Q272" i="20"/>
  <c r="P272" i="20"/>
  <c r="Q271" i="20"/>
  <c r="P271" i="20"/>
  <c r="Q270" i="20"/>
  <c r="P270" i="20"/>
  <c r="Q269" i="20"/>
  <c r="P269" i="20"/>
  <c r="Q268" i="20"/>
  <c r="P268" i="20"/>
  <c r="Q267" i="20"/>
  <c r="P267" i="20"/>
  <c r="Q266" i="20"/>
  <c r="P266" i="20"/>
  <c r="Q265" i="20"/>
  <c r="P265" i="20"/>
  <c r="Q264" i="20"/>
  <c r="P264" i="20"/>
  <c r="Q263" i="20"/>
  <c r="P263" i="20"/>
  <c r="Q262" i="20"/>
  <c r="P262" i="20"/>
  <c r="Q261" i="20"/>
  <c r="P261" i="20"/>
  <c r="Q260" i="20"/>
  <c r="P260" i="20"/>
  <c r="Q259" i="20"/>
  <c r="P259" i="20"/>
  <c r="Q258" i="20"/>
  <c r="P258" i="20"/>
  <c r="Q257" i="20"/>
  <c r="P257" i="20"/>
  <c r="Q256" i="20"/>
  <c r="P256" i="20"/>
  <c r="Q255" i="20"/>
  <c r="P255" i="20"/>
  <c r="Q254" i="20"/>
  <c r="P254" i="20"/>
  <c r="Q253" i="20"/>
  <c r="P253" i="20"/>
  <c r="Q252" i="20"/>
  <c r="P252" i="20"/>
  <c r="Q251" i="20"/>
  <c r="P251" i="20"/>
  <c r="Q250" i="20"/>
  <c r="P250" i="20"/>
  <c r="Q249" i="20"/>
  <c r="P249" i="20"/>
  <c r="Q248" i="20"/>
  <c r="P248" i="20"/>
  <c r="Q247" i="20"/>
  <c r="P247" i="20"/>
  <c r="Q246" i="20"/>
  <c r="P246" i="20"/>
  <c r="Q245" i="20"/>
  <c r="P245" i="20"/>
  <c r="Q244" i="20"/>
  <c r="P244" i="20"/>
  <c r="Q243" i="20"/>
  <c r="P243" i="20"/>
  <c r="Q242" i="20"/>
  <c r="P242" i="20"/>
  <c r="Q241" i="20"/>
  <c r="P241" i="20"/>
  <c r="Q240" i="20"/>
  <c r="P240" i="20"/>
  <c r="Q239" i="20"/>
  <c r="P239" i="20"/>
  <c r="Q238" i="20"/>
  <c r="P238" i="20"/>
  <c r="Q237" i="20"/>
  <c r="P237" i="20"/>
  <c r="Q236" i="20"/>
  <c r="P236" i="20"/>
  <c r="Q235" i="20"/>
  <c r="P235" i="20"/>
  <c r="Q234" i="20"/>
  <c r="P234" i="20"/>
  <c r="Q233" i="20"/>
  <c r="P233" i="20"/>
  <c r="Q232" i="20"/>
  <c r="P232" i="20"/>
  <c r="Q231" i="20"/>
  <c r="P231" i="20"/>
  <c r="Q230" i="20"/>
  <c r="P230" i="20"/>
  <c r="Q229" i="20"/>
  <c r="P229" i="20"/>
  <c r="Q228" i="20"/>
  <c r="P228" i="20"/>
  <c r="Q227" i="20"/>
  <c r="P227" i="20"/>
  <c r="Q226" i="20"/>
  <c r="P226" i="20"/>
  <c r="Q225" i="20"/>
  <c r="P225" i="20"/>
  <c r="Q224" i="20"/>
  <c r="P224" i="20"/>
  <c r="Q223" i="20"/>
  <c r="P223" i="20"/>
  <c r="Q222" i="20"/>
  <c r="P222" i="20"/>
  <c r="Q221" i="20"/>
  <c r="P221" i="20"/>
  <c r="Q220" i="20"/>
  <c r="P220" i="20"/>
  <c r="Q219" i="20"/>
  <c r="P219" i="20"/>
  <c r="Q218" i="20"/>
  <c r="P218" i="20"/>
  <c r="Q217" i="20"/>
  <c r="P217" i="20"/>
  <c r="Q216" i="20"/>
  <c r="P216" i="20"/>
  <c r="Q215" i="20"/>
  <c r="P215" i="20"/>
  <c r="Q214" i="20"/>
  <c r="P214" i="20"/>
  <c r="Q213" i="20"/>
  <c r="P213" i="20"/>
  <c r="Q212" i="20"/>
  <c r="P212" i="20"/>
  <c r="Q211" i="20"/>
  <c r="P211" i="20"/>
  <c r="Q210" i="20"/>
  <c r="P210" i="20"/>
  <c r="Q209" i="20"/>
  <c r="P209" i="20"/>
  <c r="Q208" i="20"/>
  <c r="P208" i="20"/>
  <c r="Q207" i="20"/>
  <c r="P207" i="20"/>
  <c r="Q206" i="20"/>
  <c r="P206" i="20"/>
  <c r="Q205" i="20"/>
  <c r="P205" i="20"/>
  <c r="Q204" i="20"/>
  <c r="P204" i="20"/>
  <c r="Q203" i="20"/>
  <c r="P203" i="20"/>
  <c r="Q202" i="20"/>
  <c r="P202" i="20"/>
  <c r="Q201" i="20"/>
  <c r="P201" i="20"/>
  <c r="Q200" i="20"/>
  <c r="P200" i="20"/>
  <c r="Q199" i="20"/>
  <c r="P199" i="20"/>
  <c r="Q198" i="20"/>
  <c r="P198" i="20"/>
  <c r="Q197" i="20"/>
  <c r="P197" i="20"/>
  <c r="Q196" i="20"/>
  <c r="P196" i="20"/>
  <c r="Q195" i="20"/>
  <c r="P195" i="20"/>
  <c r="Q194" i="20"/>
  <c r="P194" i="20"/>
  <c r="Q193" i="20"/>
  <c r="P193" i="20"/>
  <c r="Q192" i="20"/>
  <c r="P192" i="20"/>
  <c r="Q191" i="20"/>
  <c r="P191" i="20"/>
  <c r="Q190" i="20"/>
  <c r="P190" i="20"/>
  <c r="Q189" i="20"/>
  <c r="P189" i="20"/>
  <c r="Q188" i="20"/>
  <c r="P188" i="20"/>
  <c r="Q187" i="20"/>
  <c r="P187" i="20"/>
  <c r="Q186" i="20"/>
  <c r="P186" i="20"/>
  <c r="Q185" i="20"/>
  <c r="P185" i="20"/>
  <c r="Q184" i="20"/>
  <c r="P184" i="20"/>
  <c r="Q183" i="20"/>
  <c r="P183" i="20"/>
  <c r="Q182" i="20"/>
  <c r="P182" i="20"/>
  <c r="Q181" i="20"/>
  <c r="P181" i="20"/>
  <c r="Q180" i="20"/>
  <c r="P180" i="20"/>
  <c r="Q179" i="20"/>
  <c r="P179" i="20"/>
  <c r="Q178" i="20"/>
  <c r="P178" i="20"/>
  <c r="Q177" i="20"/>
  <c r="P177" i="20"/>
  <c r="Q176" i="20"/>
  <c r="P176" i="20"/>
  <c r="Q175" i="20"/>
  <c r="P175" i="20"/>
  <c r="Q174" i="20"/>
  <c r="P174" i="20"/>
  <c r="Q173" i="20"/>
  <c r="P173" i="20"/>
  <c r="Q172" i="20"/>
  <c r="P172" i="20"/>
  <c r="Q171" i="20"/>
  <c r="P171" i="20"/>
  <c r="Q170" i="20"/>
  <c r="P170" i="20"/>
  <c r="Q169" i="20"/>
  <c r="P169" i="20"/>
  <c r="Q168" i="20"/>
  <c r="P168" i="20"/>
  <c r="Q167" i="20"/>
  <c r="P167" i="20"/>
  <c r="Q166" i="20"/>
  <c r="P166" i="20"/>
  <c r="Q165" i="20"/>
  <c r="P165" i="20"/>
  <c r="Q164" i="20"/>
  <c r="P164" i="20"/>
  <c r="Q163" i="20"/>
  <c r="P163" i="20"/>
  <c r="Q162" i="20"/>
  <c r="P162" i="20"/>
  <c r="Q161" i="20"/>
  <c r="P161" i="20"/>
  <c r="Q160" i="20"/>
  <c r="P160" i="20"/>
  <c r="Q159" i="20"/>
  <c r="P159" i="20"/>
  <c r="Q158" i="20"/>
  <c r="P158" i="20"/>
  <c r="Q157" i="20"/>
  <c r="P157" i="20"/>
  <c r="Q156" i="20"/>
  <c r="P156" i="20"/>
  <c r="Q155" i="20"/>
  <c r="P155" i="20"/>
  <c r="Q154" i="20"/>
  <c r="P154" i="20"/>
  <c r="Q153" i="20"/>
  <c r="P153" i="20"/>
  <c r="Q152" i="20"/>
  <c r="P152" i="20"/>
  <c r="Q151" i="20"/>
  <c r="P151" i="20"/>
  <c r="Q150" i="20"/>
  <c r="P150" i="20"/>
  <c r="Q149" i="20"/>
  <c r="P149" i="20"/>
  <c r="Q148" i="20"/>
  <c r="P148" i="20"/>
  <c r="Q147" i="20"/>
  <c r="P147" i="20"/>
  <c r="Q146" i="20"/>
  <c r="P146" i="20"/>
  <c r="Q145" i="20"/>
  <c r="P145" i="20"/>
  <c r="Q144" i="20"/>
  <c r="P144" i="20"/>
  <c r="Q143" i="20"/>
  <c r="P143" i="20"/>
  <c r="Q142" i="20"/>
  <c r="P142" i="20"/>
  <c r="Q141" i="20"/>
  <c r="P141" i="20"/>
  <c r="Q140" i="20"/>
  <c r="P140" i="20"/>
  <c r="Q139" i="20"/>
  <c r="P139" i="20"/>
  <c r="Q138" i="20"/>
  <c r="P138" i="20"/>
  <c r="Q137" i="20"/>
  <c r="P137" i="20"/>
  <c r="Q136" i="20"/>
  <c r="P136" i="20"/>
  <c r="Q135" i="20"/>
  <c r="P135" i="20"/>
  <c r="Q134" i="20"/>
  <c r="P134" i="20"/>
  <c r="Q133" i="20"/>
  <c r="P133" i="20"/>
  <c r="Q132" i="20"/>
  <c r="P132" i="20"/>
  <c r="Q131" i="20"/>
  <c r="P131" i="20"/>
  <c r="Q130" i="20"/>
  <c r="P130" i="20"/>
  <c r="Q129" i="20"/>
  <c r="P129" i="20"/>
  <c r="Q128" i="20"/>
  <c r="P128" i="20"/>
  <c r="Q127" i="20"/>
  <c r="P127" i="20"/>
  <c r="Q126" i="20"/>
  <c r="P126" i="20"/>
  <c r="Q125" i="20"/>
  <c r="P125" i="20"/>
  <c r="Q124" i="20"/>
  <c r="P124" i="20"/>
  <c r="Q123" i="20"/>
  <c r="P123" i="20"/>
  <c r="Q122" i="20"/>
  <c r="P122" i="20"/>
  <c r="Q121" i="20"/>
  <c r="P121" i="20"/>
  <c r="Q120" i="20"/>
  <c r="P120" i="20"/>
  <c r="Q119" i="20"/>
  <c r="P119" i="20"/>
  <c r="Q118" i="20"/>
  <c r="P118" i="20"/>
  <c r="Q117" i="20"/>
  <c r="P117" i="20"/>
  <c r="Q116" i="20"/>
  <c r="P116" i="20"/>
  <c r="Q115" i="20"/>
  <c r="P115" i="20"/>
  <c r="Q114" i="20"/>
  <c r="P114" i="20"/>
  <c r="Q113" i="20"/>
  <c r="P113" i="20"/>
  <c r="Q112" i="20"/>
  <c r="P112" i="20"/>
  <c r="Q111" i="20"/>
  <c r="P111" i="20"/>
  <c r="Q110" i="20"/>
  <c r="P110" i="20"/>
  <c r="Q109" i="20"/>
  <c r="P109" i="20"/>
  <c r="Q108" i="20"/>
  <c r="P108" i="20"/>
  <c r="Q107" i="20"/>
  <c r="P107" i="20"/>
  <c r="Q106" i="20"/>
  <c r="P106" i="20"/>
  <c r="Q105" i="20"/>
  <c r="P105" i="20"/>
  <c r="Q104" i="20"/>
  <c r="P104" i="20"/>
  <c r="Q103" i="20"/>
  <c r="P103" i="20"/>
  <c r="Q102" i="20"/>
  <c r="P102" i="20"/>
  <c r="Q101" i="20"/>
  <c r="P101" i="20"/>
  <c r="Q100" i="20"/>
  <c r="P100" i="20"/>
  <c r="Q99" i="20"/>
  <c r="P99" i="20"/>
  <c r="Q98" i="20"/>
  <c r="P98" i="20"/>
  <c r="Q97" i="20"/>
  <c r="P97" i="20"/>
  <c r="Q96" i="20"/>
  <c r="P96" i="20"/>
  <c r="Q95" i="20"/>
  <c r="P95" i="20"/>
  <c r="Q94" i="20"/>
  <c r="P94" i="20"/>
  <c r="Q93" i="20"/>
  <c r="P93" i="20"/>
  <c r="Q92" i="20"/>
  <c r="P92" i="20"/>
  <c r="Q91" i="20"/>
  <c r="P91" i="20"/>
  <c r="Q90" i="20"/>
  <c r="P90" i="20"/>
  <c r="Q89" i="20"/>
  <c r="P89" i="20"/>
  <c r="Q88" i="20"/>
  <c r="P88" i="20"/>
  <c r="Q87" i="20"/>
  <c r="P87" i="20"/>
  <c r="Q86" i="20"/>
  <c r="P86" i="20"/>
  <c r="Q85" i="20"/>
  <c r="P85" i="20"/>
  <c r="Q84" i="20"/>
  <c r="P84" i="20"/>
  <c r="Q83" i="20"/>
  <c r="P83" i="20"/>
  <c r="Q82" i="20"/>
  <c r="P82" i="20"/>
  <c r="Q81" i="20"/>
  <c r="P81" i="20"/>
  <c r="Q80" i="20"/>
  <c r="P80" i="20"/>
  <c r="Q79" i="20"/>
  <c r="P79" i="20"/>
  <c r="Q78" i="20"/>
  <c r="P78" i="20"/>
  <c r="Q77" i="20"/>
  <c r="P77" i="20"/>
  <c r="Q76" i="20"/>
  <c r="P76" i="20"/>
  <c r="Q75" i="20"/>
  <c r="P75" i="20"/>
  <c r="Q74" i="20"/>
  <c r="P74" i="20"/>
  <c r="Q73" i="20"/>
  <c r="P73" i="20"/>
  <c r="Q72" i="20"/>
  <c r="P72" i="20"/>
  <c r="Q71" i="20"/>
  <c r="P71" i="20"/>
  <c r="Q70" i="20"/>
  <c r="P70" i="20"/>
  <c r="Q69" i="20"/>
  <c r="P69" i="20"/>
  <c r="Q68" i="20"/>
  <c r="P68" i="20"/>
  <c r="Q67" i="20"/>
  <c r="P67" i="20"/>
  <c r="Q66" i="20"/>
  <c r="P66" i="20"/>
  <c r="Q65" i="20"/>
  <c r="P65" i="20"/>
  <c r="Q64" i="20"/>
  <c r="P64" i="20"/>
  <c r="Q63" i="20"/>
  <c r="P63" i="20"/>
  <c r="Q62" i="20"/>
  <c r="P62" i="20"/>
  <c r="Q61" i="20"/>
  <c r="P61" i="20"/>
  <c r="Q60" i="20"/>
  <c r="P60" i="20"/>
  <c r="Q59" i="20"/>
  <c r="P59" i="20"/>
  <c r="Q58" i="20"/>
  <c r="P58" i="20"/>
  <c r="Q57" i="20"/>
  <c r="P57" i="20"/>
  <c r="Q56" i="20"/>
  <c r="P56" i="20"/>
  <c r="Q55" i="20"/>
  <c r="P55" i="20"/>
  <c r="Q54" i="20"/>
  <c r="P54" i="20"/>
  <c r="Q53" i="20"/>
  <c r="P53" i="20"/>
  <c r="Q52" i="20"/>
  <c r="P52" i="20"/>
  <c r="Q51" i="20"/>
  <c r="P51" i="20"/>
  <c r="Q50" i="20"/>
  <c r="P50" i="20"/>
  <c r="Q49" i="20"/>
  <c r="P49" i="20"/>
  <c r="Q48" i="20"/>
  <c r="P48" i="20"/>
  <c r="Q47" i="20"/>
  <c r="P47" i="20"/>
  <c r="Q46" i="20"/>
  <c r="P46" i="20"/>
  <c r="Q45" i="20"/>
  <c r="P45" i="20"/>
  <c r="Q44" i="20"/>
  <c r="P44" i="20"/>
  <c r="Q43" i="20"/>
  <c r="P43" i="20"/>
  <c r="Q42" i="20"/>
  <c r="P42" i="20"/>
  <c r="Q41" i="20"/>
  <c r="P41" i="20"/>
  <c r="Q40" i="20"/>
  <c r="P40" i="20"/>
  <c r="Q39" i="20"/>
  <c r="P39" i="20"/>
  <c r="Q38" i="20"/>
  <c r="P38" i="20"/>
  <c r="Q37" i="20"/>
  <c r="P37" i="20"/>
  <c r="Q36" i="20"/>
  <c r="P36" i="20"/>
  <c r="Q35" i="20"/>
  <c r="P35" i="20"/>
  <c r="Q34" i="20"/>
  <c r="P34" i="20"/>
  <c r="Q33" i="20"/>
  <c r="P33" i="20"/>
  <c r="Q32" i="20"/>
  <c r="P32" i="20"/>
  <c r="Q31" i="20"/>
  <c r="P31" i="20"/>
  <c r="Q30" i="20"/>
  <c r="P30" i="20"/>
  <c r="Q29" i="20"/>
  <c r="P29" i="20"/>
  <c r="Q28" i="20"/>
  <c r="P28" i="20"/>
  <c r="Q27" i="20"/>
  <c r="P27" i="20"/>
  <c r="Q26" i="20"/>
  <c r="P26" i="20"/>
  <c r="Q25" i="20"/>
  <c r="P25" i="20"/>
  <c r="Q24" i="20"/>
  <c r="P24" i="20"/>
  <c r="Q23" i="20"/>
  <c r="P23" i="20"/>
  <c r="Q22" i="20"/>
  <c r="P22" i="20"/>
  <c r="Q21" i="20"/>
  <c r="P21" i="20"/>
  <c r="Q20" i="20"/>
  <c r="P20" i="20"/>
  <c r="Q19" i="20"/>
  <c r="P19" i="20"/>
  <c r="Q18" i="20"/>
  <c r="P18" i="20"/>
  <c r="Q17" i="20"/>
  <c r="P17" i="20"/>
  <c r="Q16" i="20"/>
  <c r="P16" i="20"/>
  <c r="Q15" i="20"/>
  <c r="P15" i="20"/>
  <c r="Q14" i="20"/>
  <c r="P14" i="20"/>
  <c r="E10" i="20"/>
  <c r="G1000" i="20"/>
  <c r="H1000" i="20"/>
  <c r="G1001" i="20"/>
  <c r="H1001" i="20"/>
  <c r="G1002" i="20"/>
  <c r="H1002" i="20"/>
  <c r="G1003" i="20"/>
  <c r="H1003" i="20"/>
  <c r="G1004" i="20"/>
  <c r="H1004" i="20"/>
  <c r="G1005" i="20"/>
  <c r="H1005" i="20"/>
  <c r="G1006" i="20"/>
  <c r="H1006" i="20"/>
  <c r="G1007" i="20"/>
  <c r="H1007" i="20"/>
  <c r="G1008" i="20"/>
  <c r="H1008" i="20"/>
  <c r="G1009" i="20"/>
  <c r="H1009" i="20"/>
  <c r="G1010" i="20"/>
  <c r="H1010" i="20"/>
  <c r="G1011" i="20"/>
  <c r="H1011" i="20"/>
  <c r="G1012" i="20"/>
  <c r="H1012" i="20"/>
  <c r="G1013" i="20"/>
  <c r="H1013" i="20"/>
  <c r="G1014" i="20"/>
  <c r="H1014" i="20"/>
  <c r="G1015" i="20"/>
  <c r="H1015" i="20"/>
  <c r="G1016" i="20"/>
  <c r="H1016" i="20"/>
  <c r="G1017" i="20"/>
  <c r="H1017" i="20"/>
  <c r="G1018" i="20"/>
  <c r="H1018" i="20"/>
  <c r="G1019" i="20"/>
  <c r="H1019" i="20"/>
  <c r="G1020" i="20"/>
  <c r="H1020" i="20"/>
  <c r="G1021" i="20"/>
  <c r="H1021" i="20"/>
  <c r="G1022" i="20"/>
  <c r="H1022" i="20"/>
  <c r="G1023" i="20"/>
  <c r="H1023" i="20"/>
  <c r="G1024" i="20"/>
  <c r="H1024" i="20"/>
  <c r="G1025" i="20"/>
  <c r="H1025" i="20"/>
  <c r="G1026" i="20"/>
  <c r="H1026" i="20"/>
  <c r="G1027" i="20"/>
  <c r="H1027" i="20"/>
  <c r="G1028" i="20"/>
  <c r="H1028" i="20"/>
  <c r="G1029" i="20"/>
  <c r="H1029" i="20"/>
  <c r="G1030" i="20"/>
  <c r="H1030" i="20"/>
  <c r="G1031" i="20"/>
  <c r="H1031" i="20"/>
  <c r="G1032" i="20"/>
  <c r="H1032" i="20"/>
  <c r="G1033" i="20"/>
  <c r="H1033" i="20"/>
  <c r="G1034" i="20"/>
  <c r="H1034" i="20"/>
  <c r="G1035" i="20"/>
  <c r="H1035" i="20"/>
  <c r="G1036" i="20"/>
  <c r="H1036" i="20"/>
  <c r="G1037" i="20"/>
  <c r="H1037" i="20"/>
  <c r="G1038" i="20"/>
  <c r="H1038" i="20"/>
  <c r="G1039" i="20"/>
  <c r="H1039" i="20"/>
  <c r="G1040" i="20"/>
  <c r="H1040" i="20"/>
  <c r="G1041" i="20"/>
  <c r="H1041" i="20"/>
  <c r="G1042" i="20"/>
  <c r="H1042" i="20"/>
  <c r="G1043" i="20"/>
  <c r="H1043" i="20"/>
  <c r="G1044" i="20"/>
  <c r="H1044" i="20"/>
  <c r="G1045" i="20"/>
  <c r="H1045" i="20"/>
  <c r="G1046" i="20"/>
  <c r="H1046" i="20"/>
  <c r="G1047" i="20"/>
  <c r="H1047" i="20"/>
  <c r="G1048" i="20"/>
  <c r="H1048" i="20"/>
  <c r="G1049" i="20"/>
  <c r="H1049" i="20"/>
  <c r="G1050" i="20"/>
  <c r="H1050" i="20"/>
  <c r="G1051" i="20"/>
  <c r="H1051" i="20"/>
  <c r="G1052" i="20"/>
  <c r="H1052" i="20"/>
  <c r="G1053" i="20"/>
  <c r="H1053" i="20"/>
  <c r="G1054" i="20"/>
  <c r="H1054" i="20"/>
  <c r="G1055" i="20"/>
  <c r="H1055" i="20"/>
  <c r="G1056" i="20"/>
  <c r="H1056" i="20"/>
  <c r="G1057" i="20"/>
  <c r="H1057" i="20"/>
  <c r="G1058" i="20"/>
  <c r="H1058" i="20"/>
  <c r="G1059" i="20"/>
  <c r="H1059" i="20"/>
  <c r="G1060" i="20"/>
  <c r="H1060" i="20"/>
  <c r="G1061" i="20"/>
  <c r="H1061" i="20"/>
  <c r="G1062" i="20"/>
  <c r="H1062" i="20"/>
  <c r="G1063" i="20"/>
  <c r="H1063" i="20"/>
  <c r="G1064" i="20"/>
  <c r="H1064" i="20"/>
  <c r="G1065" i="20"/>
  <c r="H1065" i="20"/>
  <c r="G1066" i="20"/>
  <c r="H1066" i="20"/>
  <c r="G1067" i="20"/>
  <c r="H1067" i="20"/>
  <c r="G1068" i="20"/>
  <c r="H1068" i="20"/>
  <c r="G1069" i="20"/>
  <c r="H1069" i="20"/>
  <c r="G1070" i="20"/>
  <c r="H1070" i="20"/>
  <c r="G1071" i="20"/>
  <c r="H1071" i="20"/>
  <c r="G1072" i="20"/>
  <c r="H1072" i="20"/>
  <c r="G1073" i="20"/>
  <c r="H1073" i="20"/>
  <c r="G1074" i="20"/>
  <c r="H1074" i="20"/>
  <c r="G1075" i="20"/>
  <c r="H1075" i="20"/>
  <c r="G1076" i="20"/>
  <c r="H1076" i="20"/>
  <c r="G1077" i="20"/>
  <c r="H1077" i="20"/>
  <c r="G1078" i="20"/>
  <c r="H1078" i="20"/>
  <c r="G1079" i="20"/>
  <c r="H1079" i="20"/>
  <c r="G1080" i="20"/>
  <c r="H1080" i="20"/>
  <c r="G1081" i="20"/>
  <c r="H1081" i="20"/>
  <c r="G1082" i="20"/>
  <c r="H1082" i="20"/>
  <c r="G1083" i="20"/>
  <c r="H1083" i="20"/>
  <c r="G1084" i="20"/>
  <c r="H1084" i="20"/>
  <c r="G1085" i="20"/>
  <c r="H1085" i="20"/>
  <c r="G1086" i="20"/>
  <c r="H1086" i="20"/>
  <c r="G1087" i="20"/>
  <c r="H1087" i="20"/>
  <c r="G1088" i="20"/>
  <c r="H1088" i="20"/>
  <c r="G1089" i="20"/>
  <c r="H1089" i="20"/>
  <c r="G1090" i="20"/>
  <c r="H1090" i="20"/>
  <c r="G1091" i="20"/>
  <c r="H1091" i="20"/>
  <c r="G1092" i="20"/>
  <c r="H1092" i="20"/>
  <c r="G1093" i="20"/>
  <c r="H1093" i="20"/>
  <c r="G1094" i="20"/>
  <c r="H1094" i="20"/>
  <c r="G1095" i="20"/>
  <c r="H1095" i="20"/>
  <c r="G1096" i="20"/>
  <c r="H1096" i="20"/>
  <c r="G1097" i="20"/>
  <c r="H1097" i="20"/>
  <c r="G1098" i="20"/>
  <c r="H1098" i="20"/>
  <c r="G1099" i="20"/>
  <c r="H1099" i="20"/>
  <c r="G1100" i="20"/>
  <c r="H1100" i="20"/>
  <c r="G1101" i="20"/>
  <c r="H1101" i="20"/>
  <c r="G1102" i="20"/>
  <c r="H1102" i="20"/>
  <c r="G1103" i="20"/>
  <c r="H1103" i="20"/>
  <c r="G1104" i="20"/>
  <c r="H1104" i="20"/>
  <c r="G1105" i="20"/>
  <c r="H1105" i="20"/>
  <c r="G1106" i="20"/>
  <c r="H1106" i="20"/>
  <c r="G1107" i="20"/>
  <c r="H1107" i="20"/>
  <c r="G1108" i="20"/>
  <c r="H1108" i="20"/>
  <c r="G1109" i="20"/>
  <c r="H1109" i="20"/>
  <c r="G1110" i="20"/>
  <c r="H1110" i="20"/>
  <c r="G1111" i="20"/>
  <c r="H1111" i="20"/>
  <c r="G1112" i="20"/>
  <c r="H1112" i="20"/>
  <c r="G1113" i="20"/>
  <c r="H1113" i="20"/>
  <c r="G1114" i="20"/>
  <c r="H1114" i="20"/>
  <c r="G1115" i="20"/>
  <c r="H1115" i="20"/>
  <c r="G1116" i="20"/>
  <c r="H1116" i="20"/>
  <c r="G1117" i="20"/>
  <c r="H1117" i="20"/>
  <c r="G1118" i="20"/>
  <c r="H1118" i="20"/>
  <c r="G1119" i="20"/>
  <c r="H1119" i="20"/>
  <c r="G1120" i="20"/>
  <c r="H1120" i="20"/>
  <c r="G1121" i="20"/>
  <c r="H1121" i="20"/>
  <c r="G1122" i="20"/>
  <c r="H1122" i="20"/>
  <c r="G1123" i="20"/>
  <c r="H1123" i="20"/>
  <c r="G1124" i="20"/>
  <c r="H1124" i="20"/>
  <c r="G1125" i="20"/>
  <c r="H1125" i="20"/>
  <c r="G1126" i="20"/>
  <c r="H1126" i="20"/>
  <c r="G1127" i="20"/>
  <c r="H1127" i="20"/>
  <c r="G1128" i="20"/>
  <c r="H1128" i="20"/>
  <c r="G1129" i="20"/>
  <c r="H1129" i="20"/>
  <c r="G1130" i="20"/>
  <c r="H1130" i="20"/>
  <c r="G1131" i="20"/>
  <c r="H1131" i="20"/>
  <c r="G1132" i="20"/>
  <c r="H1132" i="20"/>
  <c r="G1133" i="20"/>
  <c r="H1133" i="20"/>
  <c r="G1134" i="20"/>
  <c r="H1134" i="20"/>
  <c r="G1135" i="20"/>
  <c r="H1135" i="20"/>
  <c r="G1136" i="20"/>
  <c r="H1136" i="20"/>
  <c r="G1137" i="20"/>
  <c r="H1137" i="20"/>
  <c r="G1138" i="20"/>
  <c r="H1138" i="20"/>
  <c r="G1139" i="20"/>
  <c r="H1139" i="20"/>
  <c r="G1140" i="20"/>
  <c r="H1140" i="20"/>
  <c r="G1141" i="20"/>
  <c r="H1141" i="20"/>
  <c r="G1142" i="20"/>
  <c r="H1142" i="20"/>
  <c r="G1143" i="20"/>
  <c r="H1143" i="20"/>
  <c r="G1144" i="20"/>
  <c r="H1144" i="20"/>
  <c r="G1145" i="20"/>
  <c r="H1145" i="20"/>
  <c r="G1146" i="20"/>
  <c r="H1146" i="20"/>
  <c r="G1147" i="20"/>
  <c r="H1147" i="20"/>
  <c r="G1148" i="20"/>
  <c r="H1148" i="20"/>
  <c r="G1149" i="20"/>
  <c r="H1149" i="20"/>
  <c r="G1150" i="20"/>
  <c r="H1150" i="20"/>
  <c r="G1151" i="20"/>
  <c r="H1151" i="20"/>
  <c r="G1152" i="20"/>
  <c r="H1152" i="20"/>
  <c r="G1153" i="20"/>
  <c r="H1153" i="20"/>
  <c r="G1154" i="20"/>
  <c r="H1154" i="20"/>
  <c r="G1155" i="20"/>
  <c r="H1155" i="20"/>
  <c r="G1156" i="20"/>
  <c r="H1156" i="20"/>
  <c r="G1157" i="20"/>
  <c r="H1157" i="20"/>
  <c r="G1158" i="20"/>
  <c r="H1158" i="20"/>
  <c r="G1159" i="20"/>
  <c r="H1159" i="20"/>
  <c r="G1160" i="20"/>
  <c r="H1160" i="20"/>
  <c r="G1161" i="20"/>
  <c r="H1161" i="20"/>
  <c r="G1162" i="20"/>
  <c r="H1162" i="20"/>
  <c r="G1163" i="20"/>
  <c r="H1163" i="20"/>
  <c r="G1164" i="20"/>
  <c r="H1164" i="20"/>
  <c r="G1165" i="20"/>
  <c r="H1165" i="20"/>
  <c r="G1166" i="20"/>
  <c r="H1166" i="20"/>
  <c r="G1167" i="20"/>
  <c r="H1167" i="20"/>
  <c r="G1168" i="20"/>
  <c r="H1168" i="20"/>
  <c r="G1169" i="20"/>
  <c r="H1169" i="20"/>
  <c r="G1170" i="20"/>
  <c r="H1170" i="20"/>
  <c r="G1171" i="20"/>
  <c r="H1171" i="20"/>
  <c r="G1172" i="20"/>
  <c r="H1172" i="20"/>
  <c r="G1173" i="20"/>
  <c r="H1173" i="20"/>
  <c r="G1174" i="20"/>
  <c r="H1174" i="20"/>
  <c r="G1175" i="20"/>
  <c r="H1175" i="20"/>
  <c r="G1176" i="20"/>
  <c r="H1176" i="20"/>
  <c r="G1177" i="20"/>
  <c r="H1177" i="20"/>
  <c r="G1178" i="20"/>
  <c r="H1178" i="20"/>
  <c r="G1179" i="20"/>
  <c r="H1179" i="20"/>
  <c r="G1180" i="20"/>
  <c r="H1180" i="20"/>
  <c r="G1181" i="20"/>
  <c r="H1181" i="20"/>
  <c r="G1182" i="20"/>
  <c r="H1182" i="20"/>
  <c r="G1183" i="20"/>
  <c r="H1183" i="20"/>
  <c r="G1184" i="20"/>
  <c r="H1184" i="20"/>
  <c r="G1185" i="20"/>
  <c r="H1185" i="20"/>
  <c r="G1186" i="20"/>
  <c r="H1186" i="20"/>
  <c r="G1187" i="20"/>
  <c r="H1187" i="20"/>
  <c r="G1188" i="20"/>
  <c r="H1188" i="20"/>
  <c r="G1189" i="20"/>
  <c r="H1189" i="20"/>
  <c r="G1190" i="20"/>
  <c r="H1190" i="20"/>
  <c r="G1191" i="20"/>
  <c r="H1191" i="20"/>
  <c r="G1192" i="20"/>
  <c r="H1192" i="20"/>
  <c r="G1193" i="20"/>
  <c r="H1193" i="20"/>
  <c r="G1194" i="20"/>
  <c r="H1194" i="20"/>
  <c r="G1195" i="20"/>
  <c r="H1195" i="20"/>
  <c r="G1196" i="20"/>
  <c r="H1196" i="20"/>
  <c r="G1197" i="20"/>
  <c r="H1197" i="20"/>
  <c r="G1198" i="20"/>
  <c r="H1198" i="20"/>
  <c r="G1199" i="20"/>
  <c r="H1199" i="20"/>
  <c r="G1200" i="20"/>
  <c r="H1200" i="20"/>
  <c r="G1201" i="20"/>
  <c r="H1201" i="20"/>
  <c r="G1202" i="20"/>
  <c r="H1202" i="20"/>
  <c r="G1203" i="20"/>
  <c r="H1203" i="20"/>
  <c r="G1204" i="20"/>
  <c r="H1204" i="20"/>
  <c r="G1205" i="20"/>
  <c r="H1205" i="20"/>
  <c r="G1206" i="20"/>
  <c r="H1206" i="20"/>
  <c r="G1207" i="20"/>
  <c r="H1207" i="20"/>
  <c r="G1208" i="20"/>
  <c r="H1208" i="20"/>
  <c r="G1209" i="20"/>
  <c r="H1209" i="20"/>
  <c r="G1210" i="20"/>
  <c r="H1210" i="20"/>
  <c r="G1211" i="20"/>
  <c r="H1211" i="20"/>
  <c r="G1212" i="20"/>
  <c r="H1212" i="20"/>
  <c r="G1213" i="20"/>
  <c r="H1213" i="20"/>
  <c r="G1214" i="20"/>
  <c r="H1214" i="20"/>
  <c r="G1215" i="20"/>
  <c r="H1215" i="20"/>
  <c r="G1216" i="20"/>
  <c r="H1216" i="20"/>
  <c r="G1217" i="20"/>
  <c r="H1217" i="20"/>
  <c r="G1218" i="20"/>
  <c r="H1218" i="20"/>
  <c r="G1219" i="20"/>
  <c r="H1219" i="20"/>
  <c r="G1220" i="20"/>
  <c r="H1220" i="20"/>
  <c r="G1221" i="20"/>
  <c r="H1221" i="20"/>
  <c r="G1222" i="20"/>
  <c r="H1222" i="20"/>
  <c r="G1223" i="20"/>
  <c r="H1223" i="20"/>
  <c r="G1224" i="20"/>
  <c r="H1224" i="20"/>
  <c r="G1225" i="20"/>
  <c r="H1225" i="20"/>
  <c r="G1226" i="20"/>
  <c r="H1226" i="20"/>
  <c r="G1227" i="20"/>
  <c r="H1227" i="20"/>
  <c r="G1228" i="20"/>
  <c r="H1228" i="20"/>
  <c r="G1229" i="20"/>
  <c r="H1229" i="20"/>
  <c r="G1230" i="20"/>
  <c r="H1230" i="20"/>
  <c r="G1231" i="20"/>
  <c r="H1231" i="20"/>
  <c r="G1232" i="20"/>
  <c r="H1232" i="20"/>
  <c r="G1233" i="20"/>
  <c r="H1233" i="20"/>
  <c r="G1234" i="20"/>
  <c r="H1234" i="20"/>
  <c r="G1235" i="20"/>
  <c r="H1235" i="20"/>
  <c r="G1236" i="20"/>
  <c r="H1236" i="20"/>
  <c r="G1237" i="20"/>
  <c r="H1237" i="20"/>
  <c r="G1238" i="20"/>
  <c r="H1238" i="20"/>
  <c r="G1239" i="20"/>
  <c r="H1239" i="20"/>
  <c r="G1240" i="20"/>
  <c r="H1240" i="20"/>
  <c r="G1241" i="20"/>
  <c r="H1241" i="20"/>
  <c r="G1242" i="20"/>
  <c r="H1242" i="20"/>
  <c r="G1243" i="20"/>
  <c r="H1243" i="20"/>
  <c r="G1244" i="20"/>
  <c r="H1244" i="20"/>
  <c r="G1245" i="20"/>
  <c r="H1245" i="20"/>
  <c r="G1246" i="20"/>
  <c r="H1246" i="20"/>
  <c r="G1247" i="20"/>
  <c r="H1247" i="20"/>
  <c r="G1248" i="20"/>
  <c r="H1248" i="20"/>
  <c r="G1249" i="20"/>
  <c r="H1249" i="20"/>
  <c r="G1250" i="20"/>
  <c r="H1250" i="20"/>
  <c r="G1251" i="20"/>
  <c r="H1251" i="20"/>
  <c r="G999" i="20"/>
  <c r="H999" i="20"/>
  <c r="H523" i="20"/>
  <c r="H511" i="20"/>
  <c r="H507" i="20"/>
  <c r="H499" i="20"/>
  <c r="H495" i="20"/>
  <c r="H483" i="20"/>
  <c r="H459" i="20"/>
  <c r="H447" i="20"/>
  <c r="H443" i="20"/>
  <c r="H435" i="20"/>
  <c r="H431" i="20"/>
  <c r="H419" i="20"/>
  <c r="H395" i="20"/>
  <c r="H383" i="20"/>
  <c r="H379" i="20"/>
  <c r="H371" i="20"/>
  <c r="H367" i="20"/>
  <c r="H355" i="20"/>
  <c r="H331" i="20"/>
  <c r="H319" i="20"/>
  <c r="H315" i="20"/>
  <c r="H307" i="20"/>
  <c r="H303" i="20"/>
  <c r="H291" i="20"/>
  <c r="H267" i="20"/>
  <c r="H255" i="20"/>
  <c r="H251" i="20"/>
  <c r="H243" i="20"/>
  <c r="H239" i="20"/>
  <c r="H227" i="20"/>
  <c r="H223" i="20"/>
  <c r="H219" i="20"/>
  <c r="H215" i="20"/>
  <c r="H211" i="20"/>
  <c r="H207" i="20"/>
  <c r="H203" i="20"/>
  <c r="H199" i="20"/>
  <c r="H195" i="20"/>
  <c r="H191" i="20"/>
  <c r="H187" i="20"/>
  <c r="H183" i="20"/>
  <c r="H179" i="20"/>
  <c r="H175" i="20"/>
  <c r="H171" i="20"/>
  <c r="H167" i="20"/>
  <c r="H163" i="20"/>
  <c r="H159" i="20"/>
  <c r="H155" i="20"/>
  <c r="H151" i="20"/>
  <c r="H147" i="20"/>
  <c r="H143" i="20"/>
  <c r="H139" i="20"/>
  <c r="H135" i="20"/>
  <c r="H131" i="20"/>
  <c r="H127" i="20"/>
  <c r="H123" i="20"/>
  <c r="H119" i="20"/>
  <c r="H115" i="20"/>
  <c r="H111" i="20"/>
  <c r="H107" i="20"/>
  <c r="H103" i="20"/>
  <c r="H99" i="20"/>
  <c r="H95" i="20"/>
  <c r="H91" i="20"/>
  <c r="H87" i="20"/>
  <c r="H83" i="20"/>
  <c r="H79" i="20"/>
  <c r="H75" i="20"/>
  <c r="H71" i="20"/>
  <c r="H67" i="20"/>
  <c r="H63" i="20"/>
  <c r="H59" i="20"/>
  <c r="H55" i="20"/>
  <c r="H51" i="20"/>
  <c r="H47" i="20"/>
  <c r="H43" i="20"/>
  <c r="H39" i="20"/>
  <c r="H35" i="20"/>
  <c r="H31" i="20"/>
  <c r="H27" i="20"/>
  <c r="H23" i="20"/>
  <c r="H19" i="20"/>
  <c r="C30" i="21"/>
  <c r="F9" i="23" s="1"/>
  <c r="E8" i="21"/>
  <c r="J10" i="23" s="1"/>
  <c r="E7" i="21"/>
  <c r="J9" i="23" s="1"/>
  <c r="E6" i="21"/>
  <c r="J8" i="23" s="1"/>
  <c r="E5" i="21"/>
  <c r="J7" i="23" s="1"/>
  <c r="E4" i="21"/>
  <c r="J6" i="23" s="1"/>
  <c r="H998" i="20"/>
  <c r="G998" i="20"/>
  <c r="H997" i="20"/>
  <c r="G997" i="20"/>
  <c r="G996" i="20"/>
  <c r="G995" i="20"/>
  <c r="H994" i="20"/>
  <c r="G994" i="20"/>
  <c r="H993" i="20"/>
  <c r="G993" i="20"/>
  <c r="G992" i="20"/>
  <c r="G991" i="20"/>
  <c r="H990" i="20"/>
  <c r="G990" i="20"/>
  <c r="H989" i="20"/>
  <c r="G989" i="20"/>
  <c r="G988" i="20"/>
  <c r="G987" i="20"/>
  <c r="H986" i="20"/>
  <c r="G986" i="20"/>
  <c r="H985" i="20"/>
  <c r="G985" i="20"/>
  <c r="G984" i="20"/>
  <c r="G983" i="20"/>
  <c r="H982" i="20"/>
  <c r="G982" i="20"/>
  <c r="H981" i="20"/>
  <c r="G981" i="20"/>
  <c r="G980" i="20"/>
  <c r="G979" i="20"/>
  <c r="H978" i="20"/>
  <c r="G978" i="20"/>
  <c r="H977" i="20"/>
  <c r="G977" i="20"/>
  <c r="G976" i="20"/>
  <c r="G975" i="20"/>
  <c r="H974" i="20"/>
  <c r="G974" i="20"/>
  <c r="H973" i="20"/>
  <c r="G973" i="20"/>
  <c r="G972" i="20"/>
  <c r="G971" i="20"/>
  <c r="H970" i="20"/>
  <c r="G970" i="20"/>
  <c r="H969" i="20"/>
  <c r="G969" i="20"/>
  <c r="G968" i="20"/>
  <c r="G967" i="20"/>
  <c r="H966" i="20"/>
  <c r="G966" i="20"/>
  <c r="H965" i="20"/>
  <c r="G965" i="20"/>
  <c r="G964" i="20"/>
  <c r="G963" i="20"/>
  <c r="H962" i="20"/>
  <c r="G962" i="20"/>
  <c r="H961" i="20"/>
  <c r="G961" i="20"/>
  <c r="G960" i="20"/>
  <c r="G959" i="20"/>
  <c r="H958" i="20"/>
  <c r="G958" i="20"/>
  <c r="H957" i="20"/>
  <c r="G957" i="20"/>
  <c r="G956" i="20"/>
  <c r="G955" i="20"/>
  <c r="H954" i="20"/>
  <c r="G954" i="20"/>
  <c r="H953" i="20"/>
  <c r="G953" i="20"/>
  <c r="G952" i="20"/>
  <c r="G951" i="20"/>
  <c r="H950" i="20"/>
  <c r="G950" i="20"/>
  <c r="H949" i="20"/>
  <c r="G949" i="20"/>
  <c r="G948" i="20"/>
  <c r="G947" i="20"/>
  <c r="H946" i="20"/>
  <c r="G946" i="20"/>
  <c r="H945" i="20"/>
  <c r="G945" i="20"/>
  <c r="G944" i="20"/>
  <c r="G943" i="20"/>
  <c r="H942" i="20"/>
  <c r="G942" i="20"/>
  <c r="H941" i="20"/>
  <c r="G941" i="20"/>
  <c r="G940" i="20"/>
  <c r="G939" i="20"/>
  <c r="H938" i="20"/>
  <c r="G938" i="20"/>
  <c r="H937" i="20"/>
  <c r="G937" i="20"/>
  <c r="G936" i="20"/>
  <c r="G935" i="20"/>
  <c r="H934" i="20"/>
  <c r="G934" i="20"/>
  <c r="H933" i="20"/>
  <c r="G933" i="20"/>
  <c r="G932" i="20"/>
  <c r="G931" i="20"/>
  <c r="H930" i="20"/>
  <c r="G930" i="20"/>
  <c r="H929" i="20"/>
  <c r="G929" i="20"/>
  <c r="G928" i="20"/>
  <c r="G927" i="20"/>
  <c r="H926" i="20"/>
  <c r="G926" i="20"/>
  <c r="H925" i="20"/>
  <c r="G925" i="20"/>
  <c r="G924" i="20"/>
  <c r="G923" i="20"/>
  <c r="H922" i="20"/>
  <c r="G922" i="20"/>
  <c r="H921" i="20"/>
  <c r="G921" i="20"/>
  <c r="G920" i="20"/>
  <c r="G919" i="20"/>
  <c r="H918" i="20"/>
  <c r="G918" i="20"/>
  <c r="H917" i="20"/>
  <c r="G917" i="20"/>
  <c r="G916" i="20"/>
  <c r="G915" i="20"/>
  <c r="H914" i="20"/>
  <c r="G914" i="20"/>
  <c r="H913" i="20"/>
  <c r="G913" i="20"/>
  <c r="G912" i="20"/>
  <c r="G911" i="20"/>
  <c r="H910" i="20"/>
  <c r="G910" i="20"/>
  <c r="H909" i="20"/>
  <c r="G909" i="20"/>
  <c r="G908" i="20"/>
  <c r="G907" i="20"/>
  <c r="H906" i="20"/>
  <c r="G906" i="20"/>
  <c r="H905" i="20"/>
  <c r="G905" i="20"/>
  <c r="G904" i="20"/>
  <c r="G903" i="20"/>
  <c r="H902" i="20"/>
  <c r="G902" i="20"/>
  <c r="H901" i="20"/>
  <c r="G901" i="20"/>
  <c r="G900" i="20"/>
  <c r="G899" i="20"/>
  <c r="H898" i="20"/>
  <c r="G898" i="20"/>
  <c r="H897" i="20"/>
  <c r="G897" i="20"/>
  <c r="G896" i="20"/>
  <c r="G895" i="20"/>
  <c r="H894" i="20"/>
  <c r="G894" i="20"/>
  <c r="H893" i="20"/>
  <c r="G893" i="20"/>
  <c r="G892" i="20"/>
  <c r="G891" i="20"/>
  <c r="H890" i="20"/>
  <c r="G890" i="20"/>
  <c r="H889" i="20"/>
  <c r="G889" i="20"/>
  <c r="G888" i="20"/>
  <c r="G887" i="20"/>
  <c r="H886" i="20"/>
  <c r="G886" i="20"/>
  <c r="H885" i="20"/>
  <c r="G885" i="20"/>
  <c r="G884" i="20"/>
  <c r="G883" i="20"/>
  <c r="H882" i="20"/>
  <c r="G882" i="20"/>
  <c r="H881" i="20"/>
  <c r="G881" i="20"/>
  <c r="G880" i="20"/>
  <c r="G879" i="20"/>
  <c r="H878" i="20"/>
  <c r="G878" i="20"/>
  <c r="H877" i="20"/>
  <c r="G877" i="20"/>
  <c r="G876" i="20"/>
  <c r="G875" i="20"/>
  <c r="H874" i="20"/>
  <c r="G874" i="20"/>
  <c r="H873" i="20"/>
  <c r="G873" i="20"/>
  <c r="G872" i="20"/>
  <c r="G871" i="20"/>
  <c r="H870" i="20"/>
  <c r="G870" i="20"/>
  <c r="H869" i="20"/>
  <c r="G869" i="20"/>
  <c r="G868" i="20"/>
  <c r="G867" i="20"/>
  <c r="H866" i="20"/>
  <c r="G866" i="20"/>
  <c r="H865" i="20"/>
  <c r="G865" i="20"/>
  <c r="G864" i="20"/>
  <c r="G863" i="20"/>
  <c r="H862" i="20"/>
  <c r="G862" i="20"/>
  <c r="H861" i="20"/>
  <c r="G861" i="20"/>
  <c r="G860" i="20"/>
  <c r="G859" i="20"/>
  <c r="H858" i="20"/>
  <c r="G858" i="20"/>
  <c r="H857" i="20"/>
  <c r="G857" i="20"/>
  <c r="G856" i="20"/>
  <c r="G855" i="20"/>
  <c r="H854" i="20"/>
  <c r="G854" i="20"/>
  <c r="H853" i="20"/>
  <c r="G853" i="20"/>
  <c r="G852" i="20"/>
  <c r="G851" i="20"/>
  <c r="H850" i="20"/>
  <c r="G850" i="20"/>
  <c r="H849" i="20"/>
  <c r="G849" i="20"/>
  <c r="G848" i="20"/>
  <c r="G847" i="20"/>
  <c r="H846" i="20"/>
  <c r="G846" i="20"/>
  <c r="H845" i="20"/>
  <c r="G845" i="20"/>
  <c r="G844" i="20"/>
  <c r="G843" i="20"/>
  <c r="H842" i="20"/>
  <c r="G842" i="20"/>
  <c r="H841" i="20"/>
  <c r="G841" i="20"/>
  <c r="G840" i="20"/>
  <c r="G839" i="20"/>
  <c r="H838" i="20"/>
  <c r="G838" i="20"/>
  <c r="H837" i="20"/>
  <c r="G837" i="20"/>
  <c r="G836" i="20"/>
  <c r="G835" i="20"/>
  <c r="H834" i="20"/>
  <c r="G834" i="20"/>
  <c r="H833" i="20"/>
  <c r="G833" i="20"/>
  <c r="G832" i="20"/>
  <c r="G831" i="20"/>
  <c r="H830" i="20"/>
  <c r="G830" i="20"/>
  <c r="H829" i="20"/>
  <c r="G829" i="20"/>
  <c r="G828" i="20"/>
  <c r="G827" i="20"/>
  <c r="H826" i="20"/>
  <c r="G826" i="20"/>
  <c r="H825" i="20"/>
  <c r="G825" i="20"/>
  <c r="G824" i="20"/>
  <c r="G823" i="20"/>
  <c r="H822" i="20"/>
  <c r="G822" i="20"/>
  <c r="H821" i="20"/>
  <c r="G821" i="20"/>
  <c r="G820" i="20"/>
  <c r="G819" i="20"/>
  <c r="H818" i="20"/>
  <c r="G818" i="20"/>
  <c r="H817" i="20"/>
  <c r="G817" i="20"/>
  <c r="G816" i="20"/>
  <c r="G815" i="20"/>
  <c r="H814" i="20"/>
  <c r="G814" i="20"/>
  <c r="H813" i="20"/>
  <c r="G813" i="20"/>
  <c r="G812" i="20"/>
  <c r="G811" i="20"/>
  <c r="H810" i="20"/>
  <c r="G810" i="20"/>
  <c r="H809" i="20"/>
  <c r="G809" i="20"/>
  <c r="G808" i="20"/>
  <c r="G807" i="20"/>
  <c r="H806" i="20"/>
  <c r="G806" i="20"/>
  <c r="H805" i="20"/>
  <c r="G805" i="20"/>
  <c r="G804" i="20"/>
  <c r="G803" i="20"/>
  <c r="H802" i="20"/>
  <c r="G802" i="20"/>
  <c r="H801" i="20"/>
  <c r="G801" i="20"/>
  <c r="G800" i="20"/>
  <c r="G799" i="20"/>
  <c r="H798" i="20"/>
  <c r="G798" i="20"/>
  <c r="H797" i="20"/>
  <c r="G797" i="20"/>
  <c r="G796" i="20"/>
  <c r="G795" i="20"/>
  <c r="H794" i="20"/>
  <c r="G794" i="20"/>
  <c r="H793" i="20"/>
  <c r="G793" i="20"/>
  <c r="G792" i="20"/>
  <c r="G791" i="20"/>
  <c r="H790" i="20"/>
  <c r="G790" i="20"/>
  <c r="H789" i="20"/>
  <c r="G789" i="20"/>
  <c r="G788" i="20"/>
  <c r="G787" i="20"/>
  <c r="H786" i="20"/>
  <c r="G786" i="20"/>
  <c r="H785" i="20"/>
  <c r="G785" i="20"/>
  <c r="G784" i="20"/>
  <c r="G783" i="20"/>
  <c r="H782" i="20"/>
  <c r="G782" i="20"/>
  <c r="H781" i="20"/>
  <c r="G781" i="20"/>
  <c r="G780" i="20"/>
  <c r="G779" i="20"/>
  <c r="H778" i="20"/>
  <c r="G778" i="20"/>
  <c r="H777" i="20"/>
  <c r="G777" i="20"/>
  <c r="G776" i="20"/>
  <c r="G775" i="20"/>
  <c r="H774" i="20"/>
  <c r="G774" i="20"/>
  <c r="H773" i="20"/>
  <c r="G773" i="20"/>
  <c r="G772" i="20"/>
  <c r="G771" i="20"/>
  <c r="H770" i="20"/>
  <c r="G770" i="20"/>
  <c r="H769" i="20"/>
  <c r="G769" i="20"/>
  <c r="G768" i="20"/>
  <c r="G767" i="20"/>
  <c r="H766" i="20"/>
  <c r="G766" i="20"/>
  <c r="H765" i="20"/>
  <c r="G765" i="20"/>
  <c r="G764" i="20"/>
  <c r="G763" i="20"/>
  <c r="H762" i="20"/>
  <c r="G762" i="20"/>
  <c r="H761" i="20"/>
  <c r="G761" i="20"/>
  <c r="G760" i="20"/>
  <c r="G759" i="20"/>
  <c r="H758" i="20"/>
  <c r="G758" i="20"/>
  <c r="H757" i="20"/>
  <c r="G757" i="20"/>
  <c r="G756" i="20"/>
  <c r="G755" i="20"/>
  <c r="H754" i="20"/>
  <c r="G754" i="20"/>
  <c r="H753" i="20"/>
  <c r="G753" i="20"/>
  <c r="G752" i="20"/>
  <c r="G751" i="20"/>
  <c r="H750" i="20"/>
  <c r="G750" i="20"/>
  <c r="H749" i="20"/>
  <c r="G749" i="20"/>
  <c r="G748" i="20"/>
  <c r="G747" i="20"/>
  <c r="H746" i="20"/>
  <c r="G746" i="20"/>
  <c r="H745" i="20"/>
  <c r="G745" i="20"/>
  <c r="G744" i="20"/>
  <c r="G743" i="20"/>
  <c r="H742" i="20"/>
  <c r="G742" i="20"/>
  <c r="H741" i="20"/>
  <c r="G741" i="20"/>
  <c r="G740" i="20"/>
  <c r="G739" i="20"/>
  <c r="H738" i="20"/>
  <c r="G738" i="20"/>
  <c r="H737" i="20"/>
  <c r="G737" i="20"/>
  <c r="G736" i="20"/>
  <c r="G735" i="20"/>
  <c r="H734" i="20"/>
  <c r="G734" i="20"/>
  <c r="H733" i="20"/>
  <c r="G733" i="20"/>
  <c r="G732" i="20"/>
  <c r="G731" i="20"/>
  <c r="H730" i="20"/>
  <c r="G730" i="20"/>
  <c r="H729" i="20"/>
  <c r="G729" i="20"/>
  <c r="G728" i="20"/>
  <c r="G727" i="20"/>
  <c r="H726" i="20"/>
  <c r="G726" i="20"/>
  <c r="H725" i="20"/>
  <c r="G725" i="20"/>
  <c r="G724" i="20"/>
  <c r="G723" i="20"/>
  <c r="H722" i="20"/>
  <c r="G722" i="20"/>
  <c r="H721" i="20"/>
  <c r="G721" i="20"/>
  <c r="G720" i="20"/>
  <c r="G719" i="20"/>
  <c r="H718" i="20"/>
  <c r="G718" i="20"/>
  <c r="H717" i="20"/>
  <c r="G717" i="20"/>
  <c r="G716" i="20"/>
  <c r="G715" i="20"/>
  <c r="H714" i="20"/>
  <c r="G714" i="20"/>
  <c r="H713" i="20"/>
  <c r="G713" i="20"/>
  <c r="G712" i="20"/>
  <c r="G711" i="20"/>
  <c r="H710" i="20"/>
  <c r="G710" i="20"/>
  <c r="H709" i="20"/>
  <c r="G709" i="20"/>
  <c r="G708" i="20"/>
  <c r="G707" i="20"/>
  <c r="H706" i="20"/>
  <c r="G706" i="20"/>
  <c r="H705" i="20"/>
  <c r="G705" i="20"/>
  <c r="G704" i="20"/>
  <c r="G703" i="20"/>
  <c r="H702" i="20"/>
  <c r="G702" i="20"/>
  <c r="H701" i="20"/>
  <c r="G701" i="20"/>
  <c r="G700" i="20"/>
  <c r="G699" i="20"/>
  <c r="H698" i="20"/>
  <c r="G698" i="20"/>
  <c r="H697" i="20"/>
  <c r="G697" i="20"/>
  <c r="G696" i="20"/>
  <c r="G695" i="20"/>
  <c r="H694" i="20"/>
  <c r="G694" i="20"/>
  <c r="H693" i="20"/>
  <c r="G693" i="20"/>
  <c r="G692" i="20"/>
  <c r="G691" i="20"/>
  <c r="H690" i="20"/>
  <c r="G690" i="20"/>
  <c r="H689" i="20"/>
  <c r="G689" i="20"/>
  <c r="G688" i="20"/>
  <c r="G687" i="20"/>
  <c r="H686" i="20"/>
  <c r="G686" i="20"/>
  <c r="H685" i="20"/>
  <c r="G685" i="20"/>
  <c r="G684" i="20"/>
  <c r="G683" i="20"/>
  <c r="H682" i="20"/>
  <c r="G682" i="20"/>
  <c r="H681" i="20"/>
  <c r="G681" i="20"/>
  <c r="G680" i="20"/>
  <c r="G679" i="20"/>
  <c r="H678" i="20"/>
  <c r="G678" i="20"/>
  <c r="H677" i="20"/>
  <c r="G677" i="20"/>
  <c r="G676" i="20"/>
  <c r="G675" i="20"/>
  <c r="H674" i="20"/>
  <c r="G674" i="20"/>
  <c r="H673" i="20"/>
  <c r="G673" i="20"/>
  <c r="G672" i="20"/>
  <c r="G671" i="20"/>
  <c r="H670" i="20"/>
  <c r="G670" i="20"/>
  <c r="H669" i="20"/>
  <c r="G669" i="20"/>
  <c r="G668" i="20"/>
  <c r="G667" i="20"/>
  <c r="H666" i="20"/>
  <c r="G666" i="20"/>
  <c r="H665" i="20"/>
  <c r="G665" i="20"/>
  <c r="G664" i="20"/>
  <c r="G663" i="20"/>
  <c r="H662" i="20"/>
  <c r="G662" i="20"/>
  <c r="H661" i="20"/>
  <c r="G661" i="20"/>
  <c r="G660" i="20"/>
  <c r="G659" i="20"/>
  <c r="H658" i="20"/>
  <c r="G658" i="20"/>
  <c r="H657" i="20"/>
  <c r="G657" i="20"/>
  <c r="G656" i="20"/>
  <c r="G655" i="20"/>
  <c r="H654" i="20"/>
  <c r="G654" i="20"/>
  <c r="H653" i="20"/>
  <c r="G653" i="20"/>
  <c r="G652" i="20"/>
  <c r="G651" i="20"/>
  <c r="H650" i="20"/>
  <c r="G650" i="20"/>
  <c r="H649" i="20"/>
  <c r="G649" i="20"/>
  <c r="G648" i="20"/>
  <c r="G647" i="20"/>
  <c r="H646" i="20"/>
  <c r="G646" i="20"/>
  <c r="H645" i="20"/>
  <c r="G645" i="20"/>
  <c r="G644" i="20"/>
  <c r="G643" i="20"/>
  <c r="H642" i="20"/>
  <c r="G642" i="20"/>
  <c r="H641" i="20"/>
  <c r="G641" i="20"/>
  <c r="G640" i="20"/>
  <c r="G639" i="20"/>
  <c r="H638" i="20"/>
  <c r="G638" i="20"/>
  <c r="H637" i="20"/>
  <c r="G637" i="20"/>
  <c r="G636" i="20"/>
  <c r="G635" i="20"/>
  <c r="H634" i="20"/>
  <c r="G634" i="20"/>
  <c r="H633" i="20"/>
  <c r="G633" i="20"/>
  <c r="G632" i="20"/>
  <c r="G631" i="20"/>
  <c r="H630" i="20"/>
  <c r="G630" i="20"/>
  <c r="H629" i="20"/>
  <c r="G629" i="20"/>
  <c r="G628" i="20"/>
  <c r="G627" i="20"/>
  <c r="H626" i="20"/>
  <c r="G626" i="20"/>
  <c r="H625" i="20"/>
  <c r="G625" i="20"/>
  <c r="G624" i="20"/>
  <c r="G623" i="20"/>
  <c r="H622" i="20"/>
  <c r="G622" i="20"/>
  <c r="H621" i="20"/>
  <c r="G621" i="20"/>
  <c r="G620" i="20"/>
  <c r="G619" i="20"/>
  <c r="H618" i="20"/>
  <c r="G618" i="20"/>
  <c r="H617" i="20"/>
  <c r="G617" i="20"/>
  <c r="G616" i="20"/>
  <c r="G615" i="20"/>
  <c r="H614" i="20"/>
  <c r="G614" i="20"/>
  <c r="H613" i="20"/>
  <c r="G613" i="20"/>
  <c r="G612" i="20"/>
  <c r="G611" i="20"/>
  <c r="H610" i="20"/>
  <c r="G610" i="20"/>
  <c r="H609" i="20"/>
  <c r="G609" i="20"/>
  <c r="G608" i="20"/>
  <c r="G607" i="20"/>
  <c r="H606" i="20"/>
  <c r="G606" i="20"/>
  <c r="H605" i="20"/>
  <c r="G605" i="20"/>
  <c r="G604" i="20"/>
  <c r="G603" i="20"/>
  <c r="H602" i="20"/>
  <c r="G602" i="20"/>
  <c r="H601" i="20"/>
  <c r="G601" i="20"/>
  <c r="G600" i="20"/>
  <c r="G599" i="20"/>
  <c r="H598" i="20"/>
  <c r="G598" i="20"/>
  <c r="H597" i="20"/>
  <c r="G597" i="20"/>
  <c r="G596" i="20"/>
  <c r="G595" i="20"/>
  <c r="H594" i="20"/>
  <c r="G594" i="20"/>
  <c r="H593" i="20"/>
  <c r="G593" i="20"/>
  <c r="G592" i="20"/>
  <c r="G591" i="20"/>
  <c r="H590" i="20"/>
  <c r="G590" i="20"/>
  <c r="H589" i="20"/>
  <c r="G589" i="20"/>
  <c r="G588" i="20"/>
  <c r="G587" i="20"/>
  <c r="H586" i="20"/>
  <c r="G586" i="20"/>
  <c r="H585" i="20"/>
  <c r="G585" i="20"/>
  <c r="G584" i="20"/>
  <c r="G583" i="20"/>
  <c r="H582" i="20"/>
  <c r="G582" i="20"/>
  <c r="H581" i="20"/>
  <c r="G581" i="20"/>
  <c r="G580" i="20"/>
  <c r="G579" i="20"/>
  <c r="H578" i="20"/>
  <c r="G578" i="20"/>
  <c r="H577" i="20"/>
  <c r="G577" i="20"/>
  <c r="G576" i="20"/>
  <c r="G575" i="20"/>
  <c r="H574" i="20"/>
  <c r="G574" i="20"/>
  <c r="H573" i="20"/>
  <c r="G573" i="20"/>
  <c r="G572" i="20"/>
  <c r="G571" i="20"/>
  <c r="H570" i="20"/>
  <c r="G570" i="20"/>
  <c r="H569" i="20"/>
  <c r="G569" i="20"/>
  <c r="G568" i="20"/>
  <c r="G567" i="20"/>
  <c r="H566" i="20"/>
  <c r="G566" i="20"/>
  <c r="H565" i="20"/>
  <c r="G565" i="20"/>
  <c r="G564" i="20"/>
  <c r="G563" i="20"/>
  <c r="H562" i="20"/>
  <c r="G562" i="20"/>
  <c r="H561" i="20"/>
  <c r="G561" i="20"/>
  <c r="G560" i="20"/>
  <c r="G559" i="20"/>
  <c r="H558" i="20"/>
  <c r="G558" i="20"/>
  <c r="H557" i="20"/>
  <c r="G557" i="20"/>
  <c r="G556" i="20"/>
  <c r="G555" i="20"/>
  <c r="H554" i="20"/>
  <c r="G554" i="20"/>
  <c r="H553" i="20"/>
  <c r="G553" i="20"/>
  <c r="G552" i="20"/>
  <c r="G551" i="20"/>
  <c r="H550" i="20"/>
  <c r="G550" i="20"/>
  <c r="H549" i="20"/>
  <c r="G549" i="20"/>
  <c r="G548" i="20"/>
  <c r="G547" i="20"/>
  <c r="H546" i="20"/>
  <c r="G546" i="20"/>
  <c r="H545" i="20"/>
  <c r="G545" i="20"/>
  <c r="G544" i="20"/>
  <c r="G543" i="20"/>
  <c r="H542" i="20"/>
  <c r="G542" i="20"/>
  <c r="H541" i="20"/>
  <c r="G541" i="20"/>
  <c r="G540" i="20"/>
  <c r="G539" i="20"/>
  <c r="H538" i="20"/>
  <c r="G538" i="20"/>
  <c r="H537" i="20"/>
  <c r="G537" i="20"/>
  <c r="G536" i="20"/>
  <c r="G535" i="20"/>
  <c r="H534" i="20"/>
  <c r="G534" i="20"/>
  <c r="H533" i="20"/>
  <c r="G533" i="20"/>
  <c r="G532" i="20"/>
  <c r="G531" i="20"/>
  <c r="H530" i="20"/>
  <c r="G530" i="20"/>
  <c r="H529" i="20"/>
  <c r="G529" i="20"/>
  <c r="G528" i="20"/>
  <c r="G527" i="20"/>
  <c r="H526" i="20"/>
  <c r="G526" i="20"/>
  <c r="H525" i="20"/>
  <c r="G525" i="20"/>
  <c r="H524" i="20"/>
  <c r="G524" i="20"/>
  <c r="G523" i="20"/>
  <c r="H522" i="20"/>
  <c r="G522" i="20"/>
  <c r="H521" i="20"/>
  <c r="G521" i="20"/>
  <c r="G520" i="20"/>
  <c r="G519" i="20"/>
  <c r="H518" i="20"/>
  <c r="G518" i="20"/>
  <c r="H517" i="20"/>
  <c r="G517" i="20"/>
  <c r="G516" i="20"/>
  <c r="G515" i="20"/>
  <c r="H514" i="20"/>
  <c r="G514" i="20"/>
  <c r="H513" i="20"/>
  <c r="G513" i="20"/>
  <c r="G512" i="20"/>
  <c r="G511" i="20"/>
  <c r="H510" i="20"/>
  <c r="G510" i="20"/>
  <c r="H509" i="20"/>
  <c r="G509" i="20"/>
  <c r="G508" i="20"/>
  <c r="G507" i="20"/>
  <c r="H506" i="20"/>
  <c r="G506" i="20"/>
  <c r="H505" i="20"/>
  <c r="G505" i="20"/>
  <c r="G504" i="20"/>
  <c r="G503" i="20"/>
  <c r="H502" i="20"/>
  <c r="G502" i="20"/>
  <c r="H501" i="20"/>
  <c r="G501" i="20"/>
  <c r="G500" i="20"/>
  <c r="G499" i="20"/>
  <c r="H498" i="20"/>
  <c r="G498" i="20"/>
  <c r="H497" i="20"/>
  <c r="G497" i="20"/>
  <c r="G496" i="20"/>
  <c r="G495" i="20"/>
  <c r="H494" i="20"/>
  <c r="G494" i="20"/>
  <c r="H493" i="20"/>
  <c r="G493" i="20"/>
  <c r="G492" i="20"/>
  <c r="G491" i="20"/>
  <c r="H490" i="20"/>
  <c r="G490" i="20"/>
  <c r="H489" i="20"/>
  <c r="G489" i="20"/>
  <c r="G488" i="20"/>
  <c r="G487" i="20"/>
  <c r="H486" i="20"/>
  <c r="G486" i="20"/>
  <c r="H485" i="20"/>
  <c r="G485" i="20"/>
  <c r="G484" i="20"/>
  <c r="G483" i="20"/>
  <c r="H482" i="20"/>
  <c r="G482" i="20"/>
  <c r="H481" i="20"/>
  <c r="G481" i="20"/>
  <c r="G480" i="20"/>
  <c r="G479" i="20"/>
  <c r="H478" i="20"/>
  <c r="G478" i="20"/>
  <c r="H477" i="20"/>
  <c r="G477" i="20"/>
  <c r="G476" i="20"/>
  <c r="G475" i="20"/>
  <c r="H474" i="20"/>
  <c r="G474" i="20"/>
  <c r="H473" i="20"/>
  <c r="G473" i="20"/>
  <c r="G472" i="20"/>
  <c r="G471" i="20"/>
  <c r="H470" i="20"/>
  <c r="G470" i="20"/>
  <c r="H469" i="20"/>
  <c r="G469" i="20"/>
  <c r="G468" i="20"/>
  <c r="G467" i="20"/>
  <c r="H466" i="20"/>
  <c r="G466" i="20"/>
  <c r="H465" i="20"/>
  <c r="G465" i="20"/>
  <c r="G464" i="20"/>
  <c r="G463" i="20"/>
  <c r="H462" i="20"/>
  <c r="G462" i="20"/>
  <c r="H461" i="20"/>
  <c r="G461" i="20"/>
  <c r="G460" i="20"/>
  <c r="G459" i="20"/>
  <c r="H458" i="20"/>
  <c r="G458" i="20"/>
  <c r="H457" i="20"/>
  <c r="G457" i="20"/>
  <c r="G456" i="20"/>
  <c r="G455" i="20"/>
  <c r="H454" i="20"/>
  <c r="G454" i="20"/>
  <c r="H453" i="20"/>
  <c r="G453" i="20"/>
  <c r="G452" i="20"/>
  <c r="G451" i="20"/>
  <c r="H450" i="20"/>
  <c r="G450" i="20"/>
  <c r="H449" i="20"/>
  <c r="G449" i="20"/>
  <c r="G448" i="20"/>
  <c r="G447" i="20"/>
  <c r="H446" i="20"/>
  <c r="G446" i="20"/>
  <c r="H445" i="20"/>
  <c r="G445" i="20"/>
  <c r="H444" i="20"/>
  <c r="G444" i="20"/>
  <c r="G443" i="20"/>
  <c r="H442" i="20"/>
  <c r="G442" i="20"/>
  <c r="H441" i="20"/>
  <c r="G441" i="20"/>
  <c r="G440" i="20"/>
  <c r="G439" i="20"/>
  <c r="H438" i="20"/>
  <c r="G438" i="20"/>
  <c r="H437" i="20"/>
  <c r="G437" i="20"/>
  <c r="G436" i="20"/>
  <c r="G435" i="20"/>
  <c r="H434" i="20"/>
  <c r="G434" i="20"/>
  <c r="H433" i="20"/>
  <c r="G433" i="20"/>
  <c r="H432" i="20"/>
  <c r="G432" i="20"/>
  <c r="G431" i="20"/>
  <c r="H430" i="20"/>
  <c r="G430" i="20"/>
  <c r="H429" i="20"/>
  <c r="G429" i="20"/>
  <c r="G428" i="20"/>
  <c r="G427" i="20"/>
  <c r="H426" i="20"/>
  <c r="G426" i="20"/>
  <c r="H425" i="20"/>
  <c r="G425" i="20"/>
  <c r="G424" i="20"/>
  <c r="G423" i="20"/>
  <c r="H422" i="20"/>
  <c r="G422" i="20"/>
  <c r="H421" i="20"/>
  <c r="G421" i="20"/>
  <c r="G420" i="20"/>
  <c r="G419" i="20"/>
  <c r="H418" i="20"/>
  <c r="G418" i="20"/>
  <c r="H417" i="20"/>
  <c r="G417" i="20"/>
  <c r="G416" i="20"/>
  <c r="G415" i="20"/>
  <c r="H414" i="20"/>
  <c r="G414" i="20"/>
  <c r="H413" i="20"/>
  <c r="G413" i="20"/>
  <c r="G412" i="20"/>
  <c r="G411" i="20"/>
  <c r="H410" i="20"/>
  <c r="G410" i="20"/>
  <c r="H409" i="20"/>
  <c r="G409" i="20"/>
  <c r="G408" i="20"/>
  <c r="G407" i="20"/>
  <c r="H406" i="20"/>
  <c r="G406" i="20"/>
  <c r="H405" i="20"/>
  <c r="G405" i="20"/>
  <c r="G404" i="20"/>
  <c r="G403" i="20"/>
  <c r="H402" i="20"/>
  <c r="G402" i="20"/>
  <c r="H401" i="20"/>
  <c r="G401" i="20"/>
  <c r="G400" i="20"/>
  <c r="G399" i="20"/>
  <c r="H398" i="20"/>
  <c r="G398" i="20"/>
  <c r="H397" i="20"/>
  <c r="G397" i="20"/>
  <c r="H396" i="20"/>
  <c r="G396" i="20"/>
  <c r="G395" i="20"/>
  <c r="H394" i="20"/>
  <c r="G394" i="20"/>
  <c r="H393" i="20"/>
  <c r="G393" i="20"/>
  <c r="G392" i="20"/>
  <c r="G391" i="20"/>
  <c r="H390" i="20"/>
  <c r="G390" i="20"/>
  <c r="H389" i="20"/>
  <c r="G389" i="20"/>
  <c r="G388" i="20"/>
  <c r="G387" i="20"/>
  <c r="H386" i="20"/>
  <c r="G386" i="20"/>
  <c r="H385" i="20"/>
  <c r="G385" i="20"/>
  <c r="G384" i="20"/>
  <c r="G383" i="20"/>
  <c r="H382" i="20"/>
  <c r="G382" i="20"/>
  <c r="H381" i="20"/>
  <c r="G381" i="20"/>
  <c r="G380" i="20"/>
  <c r="G379" i="20"/>
  <c r="H378" i="20"/>
  <c r="G378" i="20"/>
  <c r="H377" i="20"/>
  <c r="G377" i="20"/>
  <c r="G376" i="20"/>
  <c r="G375" i="20"/>
  <c r="H374" i="20"/>
  <c r="G374" i="20"/>
  <c r="H373" i="20"/>
  <c r="G373" i="20"/>
  <c r="G372" i="20"/>
  <c r="G371" i="20"/>
  <c r="H370" i="20"/>
  <c r="G370" i="20"/>
  <c r="H369" i="20"/>
  <c r="G369" i="20"/>
  <c r="G368" i="20"/>
  <c r="G367" i="20"/>
  <c r="H366" i="20"/>
  <c r="G366" i="20"/>
  <c r="H365" i="20"/>
  <c r="G365" i="20"/>
  <c r="G364" i="20"/>
  <c r="G363" i="20"/>
  <c r="H362" i="20"/>
  <c r="G362" i="20"/>
  <c r="H361" i="20"/>
  <c r="G361" i="20"/>
  <c r="G360" i="20"/>
  <c r="G359" i="20"/>
  <c r="H358" i="20"/>
  <c r="G358" i="20"/>
  <c r="H357" i="20"/>
  <c r="G357" i="20"/>
  <c r="G356" i="20"/>
  <c r="G355" i="20"/>
  <c r="H354" i="20"/>
  <c r="G354" i="20"/>
  <c r="H353" i="20"/>
  <c r="G353" i="20"/>
  <c r="G352" i="20"/>
  <c r="G351" i="20"/>
  <c r="H350" i="20"/>
  <c r="G350" i="20"/>
  <c r="H349" i="20"/>
  <c r="G349" i="20"/>
  <c r="G348" i="20"/>
  <c r="G347" i="20"/>
  <c r="H346" i="20"/>
  <c r="G346" i="20"/>
  <c r="H345" i="20"/>
  <c r="G345" i="20"/>
  <c r="G344" i="20"/>
  <c r="G343" i="20"/>
  <c r="H342" i="20"/>
  <c r="G342" i="20"/>
  <c r="H341" i="20"/>
  <c r="G341" i="20"/>
  <c r="G340" i="20"/>
  <c r="G339" i="20"/>
  <c r="H338" i="20"/>
  <c r="G338" i="20"/>
  <c r="H337" i="20"/>
  <c r="G337" i="20"/>
  <c r="G336" i="20"/>
  <c r="G335" i="20"/>
  <c r="H334" i="20"/>
  <c r="G334" i="20"/>
  <c r="H333" i="20"/>
  <c r="G333" i="20"/>
  <c r="G332" i="20"/>
  <c r="G331" i="20"/>
  <c r="H330" i="20"/>
  <c r="G330" i="20"/>
  <c r="H329" i="20"/>
  <c r="G329" i="20"/>
  <c r="G328" i="20"/>
  <c r="G327" i="20"/>
  <c r="H326" i="20"/>
  <c r="G326" i="20"/>
  <c r="H325" i="20"/>
  <c r="G325" i="20"/>
  <c r="G324" i="20"/>
  <c r="G323" i="20"/>
  <c r="H322" i="20"/>
  <c r="G322" i="20"/>
  <c r="H321" i="20"/>
  <c r="G321" i="20"/>
  <c r="G320" i="20"/>
  <c r="G319" i="20"/>
  <c r="H318" i="20"/>
  <c r="G318" i="20"/>
  <c r="H317" i="20"/>
  <c r="G317" i="20"/>
  <c r="H316" i="20"/>
  <c r="G316" i="20"/>
  <c r="G315" i="20"/>
  <c r="H314" i="20"/>
  <c r="G314" i="20"/>
  <c r="H313" i="20"/>
  <c r="G313" i="20"/>
  <c r="G312" i="20"/>
  <c r="G311" i="20"/>
  <c r="H310" i="20"/>
  <c r="G310" i="20"/>
  <c r="H309" i="20"/>
  <c r="G309" i="20"/>
  <c r="G308" i="20"/>
  <c r="G307" i="20"/>
  <c r="H306" i="20"/>
  <c r="G306" i="20"/>
  <c r="H305" i="20"/>
  <c r="G305" i="20"/>
  <c r="H304" i="20"/>
  <c r="G304" i="20"/>
  <c r="G303" i="20"/>
  <c r="H302" i="20"/>
  <c r="G302" i="20"/>
  <c r="H301" i="20"/>
  <c r="G301" i="20"/>
  <c r="G300" i="20"/>
  <c r="G299" i="20"/>
  <c r="H298" i="20"/>
  <c r="G298" i="20"/>
  <c r="H297" i="20"/>
  <c r="G297" i="20"/>
  <c r="G296" i="20"/>
  <c r="G295" i="20"/>
  <c r="H294" i="20"/>
  <c r="G294" i="20"/>
  <c r="H293" i="20"/>
  <c r="G293" i="20"/>
  <c r="G292" i="20"/>
  <c r="G291" i="20"/>
  <c r="H290" i="20"/>
  <c r="G290" i="20"/>
  <c r="H289" i="20"/>
  <c r="G289" i="20"/>
  <c r="G288" i="20"/>
  <c r="G287" i="20"/>
  <c r="H286" i="20"/>
  <c r="G286" i="20"/>
  <c r="H285" i="20"/>
  <c r="G285" i="20"/>
  <c r="G284" i="20"/>
  <c r="G283" i="20"/>
  <c r="H282" i="20"/>
  <c r="G282" i="20"/>
  <c r="H281" i="20"/>
  <c r="G281" i="20"/>
  <c r="G280" i="20"/>
  <c r="G279" i="20"/>
  <c r="H278" i="20"/>
  <c r="G278" i="20"/>
  <c r="H277" i="20"/>
  <c r="G277" i="20"/>
  <c r="G276" i="20"/>
  <c r="G275" i="20"/>
  <c r="H274" i="20"/>
  <c r="G274" i="20"/>
  <c r="H273" i="20"/>
  <c r="G273" i="20"/>
  <c r="G272" i="20"/>
  <c r="G271" i="20"/>
  <c r="H270" i="20"/>
  <c r="G270" i="20"/>
  <c r="H269" i="20"/>
  <c r="G269" i="20"/>
  <c r="H268" i="20"/>
  <c r="G268" i="20"/>
  <c r="G267" i="20"/>
  <c r="H266" i="20"/>
  <c r="G266" i="20"/>
  <c r="H265" i="20"/>
  <c r="G265" i="20"/>
  <c r="G264" i="20"/>
  <c r="G263" i="20"/>
  <c r="H262" i="20"/>
  <c r="G262" i="20"/>
  <c r="H261" i="20"/>
  <c r="G261" i="20"/>
  <c r="G260" i="20"/>
  <c r="G259" i="20"/>
  <c r="H258" i="20"/>
  <c r="G258" i="20"/>
  <c r="H257" i="20"/>
  <c r="G257" i="20"/>
  <c r="G256" i="20"/>
  <c r="G255" i="20"/>
  <c r="H254" i="20"/>
  <c r="G254" i="20"/>
  <c r="H253" i="20"/>
  <c r="G253" i="20"/>
  <c r="G252" i="20"/>
  <c r="G251" i="20"/>
  <c r="H250" i="20"/>
  <c r="G250" i="20"/>
  <c r="H249" i="20"/>
  <c r="G249" i="20"/>
  <c r="G248" i="20"/>
  <c r="G247" i="20"/>
  <c r="H246" i="20"/>
  <c r="G246" i="20"/>
  <c r="H245" i="20"/>
  <c r="G245" i="20"/>
  <c r="G244" i="20"/>
  <c r="G243" i="20"/>
  <c r="H242" i="20"/>
  <c r="G242" i="20"/>
  <c r="H241" i="20"/>
  <c r="G241" i="20"/>
  <c r="G240" i="20"/>
  <c r="G239" i="20"/>
  <c r="H238" i="20"/>
  <c r="G238" i="20"/>
  <c r="H237" i="20"/>
  <c r="G237" i="20"/>
  <c r="G236" i="20"/>
  <c r="G235" i="20"/>
  <c r="H234" i="20"/>
  <c r="G234" i="20"/>
  <c r="H233" i="20"/>
  <c r="G233" i="20"/>
  <c r="G232" i="20"/>
  <c r="G231" i="20"/>
  <c r="H230" i="20"/>
  <c r="G230" i="20"/>
  <c r="H229" i="20"/>
  <c r="G229" i="20"/>
  <c r="G228" i="20"/>
  <c r="G227" i="20"/>
  <c r="H226" i="20"/>
  <c r="G226" i="20"/>
  <c r="H225" i="20"/>
  <c r="G225" i="20"/>
  <c r="H224" i="20"/>
  <c r="G224" i="20"/>
  <c r="G223" i="20"/>
  <c r="H222" i="20"/>
  <c r="G222" i="20"/>
  <c r="H221" i="20"/>
  <c r="G221" i="20"/>
  <c r="G220" i="20"/>
  <c r="G219" i="20"/>
  <c r="H218" i="20"/>
  <c r="G218" i="20"/>
  <c r="H217" i="20"/>
  <c r="G217" i="20"/>
  <c r="G216" i="20"/>
  <c r="G215" i="20"/>
  <c r="H214" i="20"/>
  <c r="G214" i="20"/>
  <c r="H213" i="20"/>
  <c r="G213" i="20"/>
  <c r="G212" i="20"/>
  <c r="G211" i="20"/>
  <c r="H210" i="20"/>
  <c r="G210" i="20"/>
  <c r="H209" i="20"/>
  <c r="G209" i="20"/>
  <c r="H208" i="20"/>
  <c r="G208" i="20"/>
  <c r="G207" i="20"/>
  <c r="H206" i="20"/>
  <c r="G206" i="20"/>
  <c r="H205" i="20"/>
  <c r="G205" i="20"/>
  <c r="G204" i="20"/>
  <c r="G203" i="20"/>
  <c r="H202" i="20"/>
  <c r="G202" i="20"/>
  <c r="H201" i="20"/>
  <c r="G201" i="20"/>
  <c r="G200" i="20"/>
  <c r="G199" i="20"/>
  <c r="H198" i="20"/>
  <c r="G198" i="20"/>
  <c r="H197" i="20"/>
  <c r="G197" i="20"/>
  <c r="G196" i="20"/>
  <c r="G195" i="20"/>
  <c r="H194" i="20"/>
  <c r="G194" i="20"/>
  <c r="H193" i="20"/>
  <c r="G193" i="20"/>
  <c r="H192" i="20"/>
  <c r="G192" i="20"/>
  <c r="G191" i="20"/>
  <c r="H190" i="20"/>
  <c r="G190" i="20"/>
  <c r="H189" i="20"/>
  <c r="G189" i="20"/>
  <c r="H188" i="20"/>
  <c r="G188" i="20"/>
  <c r="G187" i="20"/>
  <c r="H186" i="20"/>
  <c r="G186" i="20"/>
  <c r="H185" i="20"/>
  <c r="G185" i="20"/>
  <c r="H184" i="20"/>
  <c r="G184" i="20"/>
  <c r="G183" i="20"/>
  <c r="H182" i="20"/>
  <c r="G182" i="20"/>
  <c r="H181" i="20"/>
  <c r="G181" i="20"/>
  <c r="H180" i="20"/>
  <c r="G180" i="20"/>
  <c r="G179" i="20"/>
  <c r="H178" i="20"/>
  <c r="G178" i="20"/>
  <c r="H177" i="20"/>
  <c r="G177" i="20"/>
  <c r="H176" i="20"/>
  <c r="G176" i="20"/>
  <c r="G175" i="20"/>
  <c r="H174" i="20"/>
  <c r="G174" i="20"/>
  <c r="H173" i="20"/>
  <c r="G173" i="20"/>
  <c r="H172" i="20"/>
  <c r="G172" i="20"/>
  <c r="G171" i="20"/>
  <c r="H170" i="20"/>
  <c r="G170" i="20"/>
  <c r="H169" i="20"/>
  <c r="G169" i="20"/>
  <c r="H168" i="20"/>
  <c r="G168" i="20"/>
  <c r="G167" i="20"/>
  <c r="H166" i="20"/>
  <c r="G166" i="20"/>
  <c r="H165" i="20"/>
  <c r="G165" i="20"/>
  <c r="H164" i="20"/>
  <c r="G164" i="20"/>
  <c r="G163" i="20"/>
  <c r="H162" i="20"/>
  <c r="G162" i="20"/>
  <c r="H161" i="20"/>
  <c r="G161" i="20"/>
  <c r="H160" i="20"/>
  <c r="G160" i="20"/>
  <c r="G159" i="20"/>
  <c r="H158" i="20"/>
  <c r="G158" i="20"/>
  <c r="H157" i="20"/>
  <c r="G157" i="20"/>
  <c r="H156" i="20"/>
  <c r="G156" i="20"/>
  <c r="G155" i="20"/>
  <c r="H154" i="20"/>
  <c r="G154" i="20"/>
  <c r="H153" i="20"/>
  <c r="G153" i="20"/>
  <c r="H152" i="20"/>
  <c r="G152" i="20"/>
  <c r="G151" i="20"/>
  <c r="H150" i="20"/>
  <c r="G150" i="20"/>
  <c r="H149" i="20"/>
  <c r="G149" i="20"/>
  <c r="H148" i="20"/>
  <c r="G148" i="20"/>
  <c r="G147" i="20"/>
  <c r="H146" i="20"/>
  <c r="G146" i="20"/>
  <c r="H145" i="20"/>
  <c r="G145" i="20"/>
  <c r="H144" i="20"/>
  <c r="G144" i="20"/>
  <c r="G143" i="20"/>
  <c r="H142" i="20"/>
  <c r="G142" i="20"/>
  <c r="H141" i="20"/>
  <c r="G141" i="20"/>
  <c r="H140" i="20"/>
  <c r="G140" i="20"/>
  <c r="G139" i="20"/>
  <c r="H138" i="20"/>
  <c r="G138" i="20"/>
  <c r="H137" i="20"/>
  <c r="G137" i="20"/>
  <c r="H136" i="20"/>
  <c r="G136" i="20"/>
  <c r="G135" i="20"/>
  <c r="H134" i="20"/>
  <c r="G134" i="20"/>
  <c r="H133" i="20"/>
  <c r="G133" i="20"/>
  <c r="H132" i="20"/>
  <c r="G132" i="20"/>
  <c r="G131" i="20"/>
  <c r="H130" i="20"/>
  <c r="G130" i="20"/>
  <c r="H129" i="20"/>
  <c r="G129" i="20"/>
  <c r="H128" i="20"/>
  <c r="G128" i="20"/>
  <c r="G127" i="20"/>
  <c r="H126" i="20"/>
  <c r="G126" i="20"/>
  <c r="H125" i="20"/>
  <c r="G125" i="20"/>
  <c r="H124" i="20"/>
  <c r="G124" i="20"/>
  <c r="G123" i="20"/>
  <c r="H122" i="20"/>
  <c r="G122" i="20"/>
  <c r="H121" i="20"/>
  <c r="G121" i="20"/>
  <c r="H120" i="20"/>
  <c r="G120" i="20"/>
  <c r="G119" i="20"/>
  <c r="H118" i="20"/>
  <c r="G118" i="20"/>
  <c r="H117" i="20"/>
  <c r="G117" i="20"/>
  <c r="H116" i="20"/>
  <c r="G116" i="20"/>
  <c r="G115" i="20"/>
  <c r="H114" i="20"/>
  <c r="G114" i="20"/>
  <c r="H113" i="20"/>
  <c r="G113" i="20"/>
  <c r="H112" i="20"/>
  <c r="G112" i="20"/>
  <c r="G111" i="20"/>
  <c r="H110" i="20"/>
  <c r="G110" i="20"/>
  <c r="H109" i="20"/>
  <c r="G109" i="20"/>
  <c r="H108" i="20"/>
  <c r="G108" i="20"/>
  <c r="G107" i="20"/>
  <c r="H106" i="20"/>
  <c r="G106" i="20"/>
  <c r="H105" i="20"/>
  <c r="G105" i="20"/>
  <c r="H104" i="20"/>
  <c r="G104" i="20"/>
  <c r="G103" i="20"/>
  <c r="H102" i="20"/>
  <c r="G102" i="20"/>
  <c r="H101" i="20"/>
  <c r="G101" i="20"/>
  <c r="H100" i="20"/>
  <c r="G100" i="20"/>
  <c r="G99" i="20"/>
  <c r="H98" i="20"/>
  <c r="G98" i="20"/>
  <c r="H97" i="20"/>
  <c r="G97" i="20"/>
  <c r="H96" i="20"/>
  <c r="G96" i="20"/>
  <c r="G95" i="20"/>
  <c r="H94" i="20"/>
  <c r="G94" i="20"/>
  <c r="H93" i="20"/>
  <c r="G93" i="20"/>
  <c r="H92" i="20"/>
  <c r="G92" i="20"/>
  <c r="G91" i="20"/>
  <c r="H90" i="20"/>
  <c r="G90" i="20"/>
  <c r="H89" i="20"/>
  <c r="G89" i="20"/>
  <c r="H88" i="20"/>
  <c r="G88" i="20"/>
  <c r="G87" i="20"/>
  <c r="H86" i="20"/>
  <c r="G86" i="20"/>
  <c r="H85" i="20"/>
  <c r="G85" i="20"/>
  <c r="H84" i="20"/>
  <c r="G84" i="20"/>
  <c r="G83" i="20"/>
  <c r="H82" i="20"/>
  <c r="G82" i="20"/>
  <c r="H81" i="20"/>
  <c r="G81" i="20"/>
  <c r="H80" i="20"/>
  <c r="G80" i="20"/>
  <c r="G79" i="20"/>
  <c r="H78" i="20"/>
  <c r="G78" i="20"/>
  <c r="H77" i="20"/>
  <c r="G77" i="20"/>
  <c r="H76" i="20"/>
  <c r="G76" i="20"/>
  <c r="G75" i="20"/>
  <c r="H74" i="20"/>
  <c r="G74" i="20"/>
  <c r="H73" i="20"/>
  <c r="G73" i="20"/>
  <c r="H72" i="20"/>
  <c r="G72" i="20"/>
  <c r="G71" i="20"/>
  <c r="H70" i="20"/>
  <c r="G70" i="20"/>
  <c r="H69" i="20"/>
  <c r="G69" i="20"/>
  <c r="H68" i="20"/>
  <c r="G68" i="20"/>
  <c r="G67" i="20"/>
  <c r="H66" i="20"/>
  <c r="G66" i="20"/>
  <c r="H65" i="20"/>
  <c r="G65" i="20"/>
  <c r="H64" i="20"/>
  <c r="G64" i="20"/>
  <c r="G63" i="20"/>
  <c r="H62" i="20"/>
  <c r="G62" i="20"/>
  <c r="H61" i="20"/>
  <c r="G61" i="20"/>
  <c r="H60" i="20"/>
  <c r="G60" i="20"/>
  <c r="G59" i="20"/>
  <c r="H58" i="20"/>
  <c r="G58" i="20"/>
  <c r="H57" i="20"/>
  <c r="G57" i="20"/>
  <c r="H56" i="20"/>
  <c r="G56" i="20"/>
  <c r="G55" i="20"/>
  <c r="H54" i="20"/>
  <c r="G54" i="20"/>
  <c r="H53" i="20"/>
  <c r="G53" i="20"/>
  <c r="H52" i="20"/>
  <c r="G52" i="20"/>
  <c r="G51" i="20"/>
  <c r="H50" i="20"/>
  <c r="G50" i="20"/>
  <c r="H49" i="20"/>
  <c r="G49" i="20"/>
  <c r="H48" i="20"/>
  <c r="G48" i="20"/>
  <c r="G47" i="20"/>
  <c r="H46" i="20"/>
  <c r="G46" i="20"/>
  <c r="H45" i="20"/>
  <c r="G45" i="20"/>
  <c r="H44" i="20"/>
  <c r="G44" i="20"/>
  <c r="G43" i="20"/>
  <c r="H42" i="20"/>
  <c r="G42" i="20"/>
  <c r="H41" i="20"/>
  <c r="G41" i="20"/>
  <c r="H40" i="20"/>
  <c r="G40" i="20"/>
  <c r="G39" i="20"/>
  <c r="H38" i="20"/>
  <c r="G38" i="20"/>
  <c r="H37" i="20"/>
  <c r="G37" i="20"/>
  <c r="H36" i="20"/>
  <c r="G36" i="20"/>
  <c r="G35" i="20"/>
  <c r="H34" i="20"/>
  <c r="G34" i="20"/>
  <c r="H33" i="20"/>
  <c r="G33" i="20"/>
  <c r="H32" i="20"/>
  <c r="G32" i="20"/>
  <c r="G31" i="20"/>
  <c r="H30" i="20"/>
  <c r="G30" i="20"/>
  <c r="H29" i="20"/>
  <c r="G29" i="20"/>
  <c r="H28" i="20"/>
  <c r="G28" i="20"/>
  <c r="G27" i="20"/>
  <c r="H26" i="20"/>
  <c r="G26" i="20"/>
  <c r="H25" i="20"/>
  <c r="G25" i="20"/>
  <c r="H24" i="20"/>
  <c r="G24" i="20"/>
  <c r="G23" i="20"/>
  <c r="H22" i="20"/>
  <c r="G22" i="20"/>
  <c r="H21" i="20"/>
  <c r="G21" i="20"/>
  <c r="H20" i="20"/>
  <c r="G20" i="20"/>
  <c r="G19" i="20"/>
  <c r="H18" i="20"/>
  <c r="G18" i="20"/>
  <c r="H17" i="20"/>
  <c r="G17" i="20"/>
  <c r="H16" i="20"/>
  <c r="G16" i="20"/>
  <c r="G15" i="20"/>
  <c r="H14" i="20"/>
  <c r="G14" i="20"/>
  <c r="AI12" i="20" l="1"/>
  <c r="Z12" i="20"/>
  <c r="Q12" i="20"/>
  <c r="Y12" i="20"/>
  <c r="E5" i="20" s="1"/>
  <c r="D8" i="23" s="1"/>
  <c r="AH12" i="20"/>
  <c r="E6" i="20" s="1"/>
  <c r="D9" i="23" s="1"/>
  <c r="P12" i="20"/>
  <c r="E4" i="20" s="1"/>
  <c r="D7" i="23" s="1"/>
  <c r="E16" i="23"/>
  <c r="C49" i="13"/>
  <c r="C53" i="13" s="1"/>
  <c r="AR12" i="20"/>
  <c r="AQ12" i="20"/>
  <c r="E7" i="20" s="1"/>
  <c r="D10" i="23" s="1"/>
  <c r="K21" i="21"/>
  <c r="F8" i="23" s="1"/>
  <c r="G30" i="21"/>
  <c r="F10" i="23" s="1"/>
  <c r="H231" i="20"/>
  <c r="H232" i="20"/>
  <c r="H247" i="20"/>
  <c r="H248" i="20"/>
  <c r="H275" i="20"/>
  <c r="H276" i="20"/>
  <c r="H279" i="20"/>
  <c r="H280" i="20"/>
  <c r="H287" i="20"/>
  <c r="H288" i="20"/>
  <c r="H295" i="20"/>
  <c r="H296" i="20"/>
  <c r="H311" i="20"/>
  <c r="H312" i="20"/>
  <c r="H339" i="20"/>
  <c r="H340" i="20"/>
  <c r="H347" i="20"/>
  <c r="H348" i="20"/>
  <c r="H351" i="20"/>
  <c r="H352" i="20"/>
  <c r="H359" i="20"/>
  <c r="H360" i="20"/>
  <c r="H375" i="20"/>
  <c r="H376" i="20"/>
  <c r="H399" i="20"/>
  <c r="H400" i="20"/>
  <c r="H407" i="20"/>
  <c r="H408" i="20"/>
  <c r="H427" i="20"/>
  <c r="H428" i="20"/>
  <c r="H467" i="20"/>
  <c r="H468" i="20"/>
  <c r="H475" i="20"/>
  <c r="H476" i="20"/>
  <c r="H479" i="20"/>
  <c r="H480" i="20"/>
  <c r="H491" i="20"/>
  <c r="H492" i="20"/>
  <c r="H503" i="20"/>
  <c r="H504" i="20"/>
  <c r="H531" i="20"/>
  <c r="H532" i="20"/>
  <c r="H544" i="20"/>
  <c r="H543" i="20"/>
  <c r="H552" i="20"/>
  <c r="H551" i="20"/>
  <c r="H560" i="20"/>
  <c r="H559" i="20"/>
  <c r="H568" i="20"/>
  <c r="H567" i="20"/>
  <c r="H576" i="20"/>
  <c r="H575" i="20"/>
  <c r="H584" i="20"/>
  <c r="H583" i="20"/>
  <c r="H592" i="20"/>
  <c r="H591" i="20"/>
  <c r="H596" i="20"/>
  <c r="H595" i="20"/>
  <c r="H604" i="20"/>
  <c r="H603" i="20"/>
  <c r="H612" i="20"/>
  <c r="H611" i="20"/>
  <c r="H620" i="20"/>
  <c r="H619" i="20"/>
  <c r="H628" i="20"/>
  <c r="H627" i="20"/>
  <c r="H636" i="20"/>
  <c r="H635" i="20"/>
  <c r="H644" i="20"/>
  <c r="H643" i="20"/>
  <c r="H652" i="20"/>
  <c r="H651" i="20"/>
  <c r="H660" i="20"/>
  <c r="H659" i="20"/>
  <c r="H668" i="20"/>
  <c r="H667" i="20"/>
  <c r="H676" i="20"/>
  <c r="H675" i="20"/>
  <c r="H684" i="20"/>
  <c r="H683" i="20"/>
  <c r="H692" i="20"/>
  <c r="H691" i="20"/>
  <c r="H700" i="20"/>
  <c r="H699" i="20"/>
  <c r="H708" i="20"/>
  <c r="H707" i="20"/>
  <c r="H716" i="20"/>
  <c r="H715" i="20"/>
  <c r="H724" i="20"/>
  <c r="H723" i="20"/>
  <c r="H732" i="20"/>
  <c r="H731" i="20"/>
  <c r="H740" i="20"/>
  <c r="H739" i="20"/>
  <c r="H748" i="20"/>
  <c r="H747" i="20"/>
  <c r="H756" i="20"/>
  <c r="H755" i="20"/>
  <c r="H768" i="20"/>
  <c r="H767" i="20"/>
  <c r="H776" i="20"/>
  <c r="H775" i="20"/>
  <c r="H784" i="20"/>
  <c r="H783" i="20"/>
  <c r="H792" i="20"/>
  <c r="H791" i="20"/>
  <c r="H800" i="20"/>
  <c r="H799" i="20"/>
  <c r="H808" i="20"/>
  <c r="H807" i="20"/>
  <c r="H816" i="20"/>
  <c r="H815" i="20"/>
  <c r="H824" i="20"/>
  <c r="H823" i="20"/>
  <c r="H832" i="20"/>
  <c r="H831" i="20"/>
  <c r="H840" i="20"/>
  <c r="H839" i="20"/>
  <c r="H848" i="20"/>
  <c r="H847" i="20"/>
  <c r="H856" i="20"/>
  <c r="H855" i="20"/>
  <c r="H864" i="20"/>
  <c r="H863" i="20"/>
  <c r="H872" i="20"/>
  <c r="H871" i="20"/>
  <c r="H880" i="20"/>
  <c r="H879" i="20"/>
  <c r="H888" i="20"/>
  <c r="H887" i="20"/>
  <c r="H892" i="20"/>
  <c r="H891" i="20"/>
  <c r="H900" i="20"/>
  <c r="H899" i="20"/>
  <c r="H908" i="20"/>
  <c r="H907" i="20"/>
  <c r="H916" i="20"/>
  <c r="H915" i="20"/>
  <c r="H924" i="20"/>
  <c r="H923" i="20"/>
  <c r="H936" i="20"/>
  <c r="H935" i="20"/>
  <c r="H944" i="20"/>
  <c r="H943" i="20"/>
  <c r="H952" i="20"/>
  <c r="H951" i="20"/>
  <c r="H960" i="20"/>
  <c r="H959" i="20"/>
  <c r="H968" i="20"/>
  <c r="H967" i="20"/>
  <c r="H976" i="20"/>
  <c r="H975" i="20"/>
  <c r="H984" i="20"/>
  <c r="H983" i="20"/>
  <c r="H204" i="20"/>
  <c r="H244" i="20"/>
  <c r="H292" i="20"/>
  <c r="H372" i="20"/>
  <c r="H420" i="20"/>
  <c r="H512" i="20"/>
  <c r="H15" i="20"/>
  <c r="H200" i="20"/>
  <c r="H216" i="20"/>
  <c r="H240" i="20"/>
  <c r="H252" i="20"/>
  <c r="H332" i="20"/>
  <c r="H368" i="20"/>
  <c r="H380" i="20"/>
  <c r="H460" i="20"/>
  <c r="H496" i="20"/>
  <c r="H508" i="20"/>
  <c r="H235" i="20"/>
  <c r="H236" i="20"/>
  <c r="H259" i="20"/>
  <c r="H260" i="20"/>
  <c r="H263" i="20"/>
  <c r="H264" i="20"/>
  <c r="H271" i="20"/>
  <c r="H272" i="20"/>
  <c r="H283" i="20"/>
  <c r="H284" i="20"/>
  <c r="H299" i="20"/>
  <c r="H300" i="20"/>
  <c r="H323" i="20"/>
  <c r="H324" i="20"/>
  <c r="H327" i="20"/>
  <c r="H328" i="20"/>
  <c r="H335" i="20"/>
  <c r="H336" i="20"/>
  <c r="H343" i="20"/>
  <c r="H344" i="20"/>
  <c r="H363" i="20"/>
  <c r="H364" i="20"/>
  <c r="H387" i="20"/>
  <c r="H388" i="20"/>
  <c r="H391" i="20"/>
  <c r="H392" i="20"/>
  <c r="H403" i="20"/>
  <c r="H404" i="20"/>
  <c r="H411" i="20"/>
  <c r="H412" i="20"/>
  <c r="H415" i="20"/>
  <c r="H416" i="20"/>
  <c r="H423" i="20"/>
  <c r="H424" i="20"/>
  <c r="H439" i="20"/>
  <c r="H440" i="20"/>
  <c r="H451" i="20"/>
  <c r="H452" i="20"/>
  <c r="H455" i="20"/>
  <c r="H456" i="20"/>
  <c r="H463" i="20"/>
  <c r="H464" i="20"/>
  <c r="H471" i="20"/>
  <c r="H472" i="20"/>
  <c r="H487" i="20"/>
  <c r="H488" i="20"/>
  <c r="H515" i="20"/>
  <c r="H516" i="20"/>
  <c r="H519" i="20"/>
  <c r="H520" i="20"/>
  <c r="H527" i="20"/>
  <c r="H528" i="20"/>
  <c r="H535" i="20"/>
  <c r="H536" i="20"/>
  <c r="H539" i="20"/>
  <c r="H540" i="20"/>
  <c r="H548" i="20"/>
  <c r="H547" i="20"/>
  <c r="H556" i="20"/>
  <c r="H555" i="20"/>
  <c r="H564" i="20"/>
  <c r="H563" i="20"/>
  <c r="H572" i="20"/>
  <c r="H571" i="20"/>
  <c r="H580" i="20"/>
  <c r="H579" i="20"/>
  <c r="H588" i="20"/>
  <c r="H587" i="20"/>
  <c r="H600" i="20"/>
  <c r="H599" i="20"/>
  <c r="H608" i="20"/>
  <c r="H607" i="20"/>
  <c r="H616" i="20"/>
  <c r="H615" i="20"/>
  <c r="H624" i="20"/>
  <c r="H623" i="20"/>
  <c r="H632" i="20"/>
  <c r="H631" i="20"/>
  <c r="H640" i="20"/>
  <c r="H639" i="20"/>
  <c r="H648" i="20"/>
  <c r="H647" i="20"/>
  <c r="H656" i="20"/>
  <c r="H655" i="20"/>
  <c r="H664" i="20"/>
  <c r="H663" i="20"/>
  <c r="H672" i="20"/>
  <c r="H671" i="20"/>
  <c r="H680" i="20"/>
  <c r="H679" i="20"/>
  <c r="H688" i="20"/>
  <c r="H687" i="20"/>
  <c r="H696" i="20"/>
  <c r="H695" i="20"/>
  <c r="H704" i="20"/>
  <c r="H703" i="20"/>
  <c r="H712" i="20"/>
  <c r="H711" i="20"/>
  <c r="H720" i="20"/>
  <c r="H719" i="20"/>
  <c r="H728" i="20"/>
  <c r="H727" i="20"/>
  <c r="H736" i="20"/>
  <c r="H735" i="20"/>
  <c r="H744" i="20"/>
  <c r="H743" i="20"/>
  <c r="H752" i="20"/>
  <c r="H751" i="20"/>
  <c r="H760" i="20"/>
  <c r="H759" i="20"/>
  <c r="H764" i="20"/>
  <c r="H763" i="20"/>
  <c r="H772" i="20"/>
  <c r="H771" i="20"/>
  <c r="H780" i="20"/>
  <c r="H779" i="20"/>
  <c r="H788" i="20"/>
  <c r="H787" i="20"/>
  <c r="H796" i="20"/>
  <c r="H795" i="20"/>
  <c r="H804" i="20"/>
  <c r="H803" i="20"/>
  <c r="H812" i="20"/>
  <c r="H811" i="20"/>
  <c r="H820" i="20"/>
  <c r="H819" i="20"/>
  <c r="H828" i="20"/>
  <c r="H827" i="20"/>
  <c r="H836" i="20"/>
  <c r="H835" i="20"/>
  <c r="H844" i="20"/>
  <c r="H843" i="20"/>
  <c r="H852" i="20"/>
  <c r="H851" i="20"/>
  <c r="H860" i="20"/>
  <c r="H859" i="20"/>
  <c r="H868" i="20"/>
  <c r="H867" i="20"/>
  <c r="H876" i="20"/>
  <c r="H875" i="20"/>
  <c r="H884" i="20"/>
  <c r="H883" i="20"/>
  <c r="H896" i="20"/>
  <c r="H895" i="20"/>
  <c r="H904" i="20"/>
  <c r="H903" i="20"/>
  <c r="H912" i="20"/>
  <c r="H911" i="20"/>
  <c r="H920" i="20"/>
  <c r="H919" i="20"/>
  <c r="H928" i="20"/>
  <c r="H927" i="20"/>
  <c r="H932" i="20"/>
  <c r="H931" i="20"/>
  <c r="H940" i="20"/>
  <c r="H939" i="20"/>
  <c r="H948" i="20"/>
  <c r="H947" i="20"/>
  <c r="H956" i="20"/>
  <c r="H955" i="20"/>
  <c r="H964" i="20"/>
  <c r="H963" i="20"/>
  <c r="H972" i="20"/>
  <c r="H971" i="20"/>
  <c r="H980" i="20"/>
  <c r="H979" i="20"/>
  <c r="H988" i="20"/>
  <c r="H987" i="20"/>
  <c r="H992" i="20"/>
  <c r="H991" i="20"/>
  <c r="H996" i="20"/>
  <c r="H995" i="20"/>
  <c r="H220" i="20"/>
  <c r="H256" i="20"/>
  <c r="H384" i="20"/>
  <c r="H500" i="20"/>
  <c r="H196" i="20"/>
  <c r="H212" i="20"/>
  <c r="H228" i="20"/>
  <c r="H308" i="20"/>
  <c r="H320" i="20"/>
  <c r="H356" i="20"/>
  <c r="H436" i="20"/>
  <c r="H448" i="20"/>
  <c r="H484" i="20"/>
  <c r="H12" i="20" l="1"/>
  <c r="G12" i="20"/>
  <c r="E3" i="20" s="1"/>
  <c r="D6" i="23" s="1"/>
  <c r="E7" i="13" l="1"/>
  <c r="F7" i="13" s="1"/>
  <c r="G7" i="13" s="1"/>
  <c r="H7" i="13" s="1"/>
  <c r="I7" i="13" s="1"/>
  <c r="B7" i="13"/>
  <c r="F44" i="11" l="1"/>
  <c r="C31" i="5"/>
  <c r="G31" i="5" s="1"/>
  <c r="G30" i="5"/>
  <c r="D8" i="11"/>
  <c r="E8" i="11" s="1"/>
  <c r="F8" i="11" s="1"/>
  <c r="G8" i="11" s="1"/>
  <c r="D8" i="10"/>
  <c r="E8" i="10" s="1"/>
  <c r="F8" i="10" s="1"/>
  <c r="G8" i="10" s="1"/>
  <c r="I8" i="10" s="1"/>
  <c r="J8" i="10" s="1"/>
  <c r="K8" i="10" s="1"/>
  <c r="L8" i="10" s="1"/>
  <c r="M8" i="10" s="1"/>
  <c r="N8" i="10" s="1"/>
  <c r="C14" i="5" l="1"/>
  <c r="G37" i="5"/>
  <c r="C13" i="5"/>
  <c r="G34" i="11"/>
  <c r="G16" i="5"/>
  <c r="F18" i="4"/>
  <c r="G18" i="4" s="1"/>
  <c r="F19" i="4"/>
  <c r="G19" i="4" s="1"/>
  <c r="G23" i="5"/>
  <c r="F49" i="11"/>
  <c r="G44" i="11"/>
  <c r="G49" i="11"/>
  <c r="F34" i="11"/>
  <c r="G33" i="11" l="1"/>
  <c r="G22" i="5"/>
  <c r="D59" i="11"/>
  <c r="D60" i="11" s="1"/>
  <c r="E59" i="11"/>
  <c r="E60" i="11" s="1"/>
  <c r="F26" i="11"/>
  <c r="F33" i="11"/>
  <c r="G59" i="11"/>
  <c r="G60" i="11" s="1"/>
  <c r="F59" i="11"/>
  <c r="F60" i="11" s="1"/>
  <c r="C59" i="11"/>
  <c r="C60" i="11" s="1"/>
  <c r="F56" i="11" l="1"/>
  <c r="F57" i="11" s="1"/>
  <c r="G56" i="11"/>
  <c r="G26" i="11"/>
  <c r="D9" i="6"/>
  <c r="G57" i="11" l="1"/>
  <c r="F10" i="13" l="1"/>
  <c r="P22" i="9"/>
  <c r="D13" i="9" s="1"/>
  <c r="F13" i="9" s="1"/>
  <c r="L22" i="9"/>
  <c r="I22" i="9"/>
  <c r="D11" i="9" s="1"/>
  <c r="F11" i="9" s="1"/>
  <c r="F22" i="9"/>
  <c r="D10" i="9" s="1"/>
  <c r="F10" i="9" s="1"/>
  <c r="E7" i="23" s="1"/>
  <c r="C22" i="9"/>
  <c r="D9" i="9" s="1"/>
  <c r="F9" i="9" s="1"/>
  <c r="E6" i="23" s="1"/>
  <c r="AB13" i="9"/>
  <c r="Z13" i="9"/>
  <c r="I13" i="9"/>
  <c r="K13" i="9" s="1"/>
  <c r="AB12" i="9"/>
  <c r="W12" i="9"/>
  <c r="V12" i="9"/>
  <c r="AH12" i="9" s="1"/>
  <c r="J12" i="9"/>
  <c r="I12" i="9"/>
  <c r="D12" i="9"/>
  <c r="F12" i="9" s="1"/>
  <c r="AB11" i="9"/>
  <c r="V11" i="9"/>
  <c r="J11" i="9"/>
  <c r="I11" i="9"/>
  <c r="AB10" i="9"/>
  <c r="V10" i="9"/>
  <c r="P10" i="9"/>
  <c r="J10" i="9"/>
  <c r="H10" i="9"/>
  <c r="G18" i="21" s="1"/>
  <c r="G10" i="9"/>
  <c r="AB9" i="9"/>
  <c r="V9" i="9"/>
  <c r="Q9" i="9"/>
  <c r="J9" i="9"/>
  <c r="H9" i="9"/>
  <c r="C18" i="21" s="1"/>
  <c r="G9" i="9"/>
  <c r="C17" i="21" s="1"/>
  <c r="C21" i="21" l="1"/>
  <c r="F6" i="23" s="1"/>
  <c r="W9" i="9"/>
  <c r="AA9" i="9" s="1"/>
  <c r="AH9" i="9"/>
  <c r="Z10" i="9"/>
  <c r="AH10" i="9"/>
  <c r="W11" i="9"/>
  <c r="AA11" i="9" s="1"/>
  <c r="AH11" i="9"/>
  <c r="K11" i="9"/>
  <c r="L11" i="9" s="1"/>
  <c r="S11" i="9" s="1"/>
  <c r="G10" i="13"/>
  <c r="Z11" i="9"/>
  <c r="E8" i="23"/>
  <c r="E9" i="23"/>
  <c r="I10" i="9"/>
  <c r="K10" i="9" s="1"/>
  <c r="L10" i="9" s="1"/>
  <c r="S10" i="9" s="1"/>
  <c r="G17" i="21"/>
  <c r="G21" i="21" s="1"/>
  <c r="F7" i="23" s="1"/>
  <c r="I9" i="9"/>
  <c r="K9" i="9" s="1"/>
  <c r="L9" i="9" s="1"/>
  <c r="S9" i="9" s="1"/>
  <c r="Z9" i="9"/>
  <c r="W10" i="9"/>
  <c r="AA10" i="9" s="1"/>
  <c r="H6" i="23"/>
  <c r="K6" i="23" s="1"/>
  <c r="G6" i="23"/>
  <c r="I6" i="23" s="1"/>
  <c r="K12" i="9"/>
  <c r="L12" i="9" s="1"/>
  <c r="S12" i="9" s="1"/>
  <c r="L13" i="9"/>
  <c r="S13" i="9" s="1"/>
  <c r="AE13" i="9" s="1"/>
  <c r="E10" i="23"/>
  <c r="AA13" i="9"/>
  <c r="AF11" i="9" l="1"/>
  <c r="AE11" i="9"/>
  <c r="AD11" i="9"/>
  <c r="H10" i="13"/>
  <c r="AF12" i="9"/>
  <c r="AE12" i="9"/>
  <c r="AD12" i="9"/>
  <c r="H7" i="23"/>
  <c r="K7" i="23" s="1"/>
  <c r="G7" i="23"/>
  <c r="I7" i="23" s="1"/>
  <c r="G8" i="23"/>
  <c r="I8" i="23" s="1"/>
  <c r="H8" i="23"/>
  <c r="K8" i="23" s="1"/>
  <c r="G9" i="23"/>
  <c r="I9" i="23" s="1"/>
  <c r="H9" i="23"/>
  <c r="K9" i="23" s="1"/>
  <c r="AF13" i="9"/>
  <c r="AD13" i="9"/>
  <c r="H10" i="23"/>
  <c r="K10" i="23" s="1"/>
  <c r="G10" i="23"/>
  <c r="E11" i="23"/>
  <c r="AF10" i="9"/>
  <c r="AE10" i="9"/>
  <c r="AD10" i="9"/>
  <c r="AE9" i="9"/>
  <c r="AD9" i="9"/>
  <c r="AF9" i="9"/>
  <c r="I10" i="13" l="1"/>
  <c r="G11" i="23"/>
  <c r="I10" i="23"/>
  <c r="AF17" i="9"/>
  <c r="AF18" i="9"/>
  <c r="AF15" i="9"/>
  <c r="AF16" i="9"/>
  <c r="AE16" i="9"/>
  <c r="F10" i="6" s="1"/>
  <c r="AE17" i="9"/>
  <c r="AE18" i="9"/>
  <c r="AE15" i="9"/>
  <c r="D10" i="6" s="1"/>
  <c r="AD16" i="9"/>
  <c r="AD17" i="9"/>
  <c r="AD18" i="9"/>
  <c r="AD15" i="9"/>
  <c r="M10" i="23" l="1"/>
  <c r="M8" i="23"/>
  <c r="M6" i="23"/>
  <c r="M7" i="23"/>
  <c r="M9" i="23"/>
  <c r="G15" i="5" l="1"/>
  <c r="G20" i="5"/>
  <c r="G13" i="5"/>
  <c r="G12" i="5"/>
  <c r="G38" i="5" l="1"/>
  <c r="G35" i="5"/>
  <c r="G34" i="5"/>
  <c r="G27" i="5" s="1"/>
  <c r="G17" i="5"/>
  <c r="G14" i="5"/>
  <c r="F15" i="4" l="1"/>
  <c r="G15" i="4" s="1"/>
  <c r="G19" i="5"/>
  <c r="G11" i="5"/>
  <c r="G40" i="5" l="1"/>
  <c r="D12" i="13" l="1"/>
  <c r="G12" i="13"/>
  <c r="F12" i="13"/>
  <c r="F11" i="6"/>
  <c r="F12" i="6" s="1"/>
  <c r="I12" i="13" l="1"/>
  <c r="H12" i="13"/>
  <c r="E12" i="13"/>
  <c r="D11" i="6"/>
  <c r="D12" i="6" s="1"/>
  <c r="D13" i="6" s="1"/>
  <c r="D17" i="6" s="1"/>
  <c r="G43" i="5" l="1"/>
  <c r="G45" i="5" s="1"/>
  <c r="G48" i="5" s="1"/>
  <c r="G49" i="5"/>
  <c r="G50" i="5" l="1"/>
  <c r="E13" i="4"/>
  <c r="F17" i="4"/>
  <c r="G17" i="4" s="1"/>
  <c r="F9" i="6"/>
  <c r="F13" i="6" s="1"/>
  <c r="D14" i="13" l="1"/>
  <c r="D17" i="13" s="1"/>
  <c r="E13" i="23"/>
  <c r="D54" i="13"/>
  <c r="E53" i="13"/>
  <c r="G13" i="4"/>
  <c r="F13" i="4"/>
  <c r="E14" i="23" l="1"/>
  <c r="L6" i="23" s="1"/>
  <c r="E14" i="13" l="1"/>
  <c r="E17" i="13" s="1"/>
  <c r="L9" i="23"/>
  <c r="N9" i="23" s="1"/>
  <c r="L7" i="23"/>
  <c r="N7" i="23" s="1"/>
  <c r="L8" i="23"/>
  <c r="N8" i="23" s="1"/>
  <c r="L10" i="23"/>
  <c r="N10" i="23" s="1"/>
  <c r="N6" i="23"/>
  <c r="L12" i="23" l="1"/>
  <c r="L11" i="23"/>
  <c r="N11" i="23"/>
  <c r="F14" i="13" l="1"/>
  <c r="F17" i="13" s="1"/>
  <c r="C37" i="13"/>
  <c r="C54" i="13" s="1"/>
  <c r="E54" i="13" s="1"/>
  <c r="E55" i="13" s="1"/>
  <c r="E57" i="13" s="1"/>
  <c r="C18" i="13" s="1"/>
  <c r="F21" i="13" l="1"/>
  <c r="F22" i="13" s="1"/>
  <c r="H21" i="13"/>
  <c r="I21" i="13"/>
  <c r="G21" i="13"/>
  <c r="D21" i="13"/>
  <c r="D22" i="13" s="1"/>
  <c r="E21" i="13"/>
  <c r="E22" i="13" s="1"/>
  <c r="G14" i="13" l="1"/>
  <c r="G17" i="13" s="1"/>
  <c r="G22" i="13" s="1"/>
  <c r="H14" i="13" l="1"/>
  <c r="H17" i="13" s="1"/>
  <c r="H22" i="13" s="1"/>
  <c r="I14" i="13" l="1"/>
  <c r="I17" i="13" s="1"/>
  <c r="I22" i="13" s="1"/>
  <c r="C23" i="13" l="1"/>
  <c r="C25" i="13" s="1"/>
  <c r="C26" i="13" s="1"/>
  <c r="C29" i="13" s="1"/>
  <c r="C11" i="4" s="1"/>
  <c r="E11" i="4" s="1"/>
  <c r="E14" i="4" s="1"/>
  <c r="E16" i="4" l="1"/>
  <c r="E20" i="4" s="1"/>
  <c r="G11" i="4"/>
  <c r="F11" i="4"/>
  <c r="G14" i="4" l="1"/>
  <c r="G16" i="4" s="1"/>
  <c r="G20" i="4" s="1"/>
  <c r="F14" i="4"/>
  <c r="F16" i="4" s="1"/>
  <c r="F20" i="4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linked this with multiple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Cash Basis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P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inclds 15 cr gst refund</t>
        </r>
      </text>
    </comment>
  </commentList>
</comments>
</file>

<file path=xl/sharedStrings.xml><?xml version="1.0" encoding="utf-8"?>
<sst xmlns="http://schemas.openxmlformats.org/spreadsheetml/2006/main" count="2712" uniqueCount="903">
  <si>
    <t xml:space="preserve">Currency </t>
  </si>
  <si>
    <t>Rs. In Crs</t>
  </si>
  <si>
    <t>Particulars</t>
  </si>
  <si>
    <t>Revenue from Operations</t>
  </si>
  <si>
    <t>Total Revenue</t>
  </si>
  <si>
    <t>Expenses:</t>
  </si>
  <si>
    <t>Other Expenses</t>
  </si>
  <si>
    <t>EBITDA</t>
  </si>
  <si>
    <t>EBIT</t>
  </si>
  <si>
    <t>Less: Finance Costs</t>
  </si>
  <si>
    <t>PBT</t>
  </si>
  <si>
    <t>Add/Less: Other Income/Expenses</t>
  </si>
  <si>
    <t>PAT</t>
  </si>
  <si>
    <t>Non-Current Liabilities</t>
  </si>
  <si>
    <t>Borrowings</t>
  </si>
  <si>
    <t>Provisions</t>
  </si>
  <si>
    <t>Other financial liabilities</t>
  </si>
  <si>
    <t>Current Liabilities</t>
  </si>
  <si>
    <t>Other Financial Liabilities</t>
  </si>
  <si>
    <t>Other Current Liabilities</t>
  </si>
  <si>
    <t>Total Liabilities</t>
  </si>
  <si>
    <t>Non-Current Assets</t>
  </si>
  <si>
    <t>Financial Assets</t>
  </si>
  <si>
    <t>Trade Receivables</t>
  </si>
  <si>
    <t>Other non-current assets</t>
  </si>
  <si>
    <t>Inventories</t>
  </si>
  <si>
    <t>Cash &amp; Cash Equivalents</t>
  </si>
  <si>
    <t>Other financial assets</t>
  </si>
  <si>
    <t>Other Current Assets</t>
  </si>
  <si>
    <t>Total Assets</t>
  </si>
  <si>
    <t>Property, Plant &amp; Equipment</t>
  </si>
  <si>
    <t>Valuation date:</t>
  </si>
  <si>
    <t>Valuation Summary</t>
  </si>
  <si>
    <t>Weights</t>
  </si>
  <si>
    <t>Income Approach</t>
  </si>
  <si>
    <t>Discounted Cash Flows method</t>
  </si>
  <si>
    <t>Cost Approach</t>
  </si>
  <si>
    <t>Adjusted Net Assets Value method (ANAV)</t>
  </si>
  <si>
    <t>Enterprise Value</t>
  </si>
  <si>
    <t>Less: Contingent Liabilities</t>
  </si>
  <si>
    <t>Net Enterprise Value</t>
  </si>
  <si>
    <t xml:space="preserve">Note: </t>
  </si>
  <si>
    <t>1. Numbers are rounded off to nearest integer.</t>
  </si>
  <si>
    <t>Net Asset Value Method</t>
  </si>
  <si>
    <t>ASSETS</t>
  </si>
  <si>
    <t>Non-current assets:</t>
  </si>
  <si>
    <t>Less: Current liabilities &amp; provisions</t>
  </si>
  <si>
    <t xml:space="preserve">TOTAL ASSETS </t>
  </si>
  <si>
    <t>LESS: LIABILITIES</t>
  </si>
  <si>
    <t>Loans &amp; borrowings</t>
  </si>
  <si>
    <t xml:space="preserve">TOTAL LIABILITIES  </t>
  </si>
  <si>
    <t>Net Worth (Un Adjusted)</t>
  </si>
  <si>
    <t>Less: Amalgamation Reserve</t>
  </si>
  <si>
    <t>Add: Appreciation/Depreciation in the value of Assets</t>
  </si>
  <si>
    <t>Adjusted net assets (available to equity shareholders)</t>
  </si>
  <si>
    <t>Enterprise Valuation</t>
  </si>
  <si>
    <t>Comparable Companies Multiple Method</t>
  </si>
  <si>
    <t>Comparables multiple</t>
  </si>
  <si>
    <t>Adjusted Comparable Multiple</t>
  </si>
  <si>
    <t>Cash</t>
  </si>
  <si>
    <t>Comparable Companies Valuation Method_Working</t>
  </si>
  <si>
    <t>Currency : Rs. in Crores</t>
  </si>
  <si>
    <t>Adjustments</t>
  </si>
  <si>
    <t>Debt Position</t>
  </si>
  <si>
    <t>(+)</t>
  </si>
  <si>
    <t>(-)</t>
  </si>
  <si>
    <t>Operational Metrics</t>
  </si>
  <si>
    <t>Peer Multiples</t>
  </si>
  <si>
    <t>FY</t>
  </si>
  <si>
    <t>1 Year Average Price</t>
  </si>
  <si>
    <t>No. of shares</t>
  </si>
  <si>
    <t>Long Term Debt</t>
  </si>
  <si>
    <t>Short Term Debt</t>
  </si>
  <si>
    <t>Total Debt</t>
  </si>
  <si>
    <t>Total cash and equivalents</t>
  </si>
  <si>
    <t>Net Debt</t>
  </si>
  <si>
    <t>Minority interest</t>
  </si>
  <si>
    <t>Preference Shares</t>
  </si>
  <si>
    <t>Interest in Associates</t>
  </si>
  <si>
    <t>Goodwill and other asset under deveopment</t>
  </si>
  <si>
    <t>investments/long term advances</t>
  </si>
  <si>
    <t>Pension deficit / other debt like items</t>
  </si>
  <si>
    <t>Revenue</t>
  </si>
  <si>
    <t>Net Income</t>
  </si>
  <si>
    <t>EBITDA %</t>
  </si>
  <si>
    <t>EBIT %</t>
  </si>
  <si>
    <t>PAT %</t>
  </si>
  <si>
    <t>Revenue multiple</t>
  </si>
  <si>
    <t>EBITDA multiple</t>
  </si>
  <si>
    <t>Net income multiple</t>
  </si>
  <si>
    <t>31.03.2022</t>
  </si>
  <si>
    <t>Average</t>
  </si>
  <si>
    <t>Median</t>
  </si>
  <si>
    <t xml:space="preserve">High </t>
  </si>
  <si>
    <t>Low</t>
  </si>
  <si>
    <t>Date</t>
  </si>
  <si>
    <t>Share Closing price</t>
  </si>
  <si>
    <t>Average Share Price</t>
  </si>
  <si>
    <t>Basis of Valuation</t>
  </si>
  <si>
    <t>Probability of Occurrence</t>
  </si>
  <si>
    <t>Valuation as per Net Asset Valuation Method</t>
  </si>
  <si>
    <t>EBIDTA FY22</t>
  </si>
  <si>
    <t>Value</t>
  </si>
  <si>
    <t>Amount</t>
  </si>
  <si>
    <t>Total</t>
  </si>
  <si>
    <t>Book Value</t>
  </si>
  <si>
    <t>Current assets</t>
  </si>
  <si>
    <t>Rs. In Cr</t>
  </si>
  <si>
    <t xml:space="preserve">Value </t>
  </si>
  <si>
    <t>Weighted Value</t>
  </si>
  <si>
    <t>(+)5%</t>
  </si>
  <si>
    <t>(-)5%</t>
  </si>
  <si>
    <t>Taken as per Average of the Industry</t>
  </si>
  <si>
    <t>Value as per Median of the Industry</t>
  </si>
  <si>
    <t>Average Market Capitalisation as on 31.12.2022</t>
  </si>
  <si>
    <t>Adjusted Enterprise Value</t>
  </si>
  <si>
    <t>Beekay Steel Industries Limited</t>
  </si>
  <si>
    <t>Godawari Power Ispat Limited</t>
  </si>
  <si>
    <t>Prakash Industries Limited</t>
  </si>
  <si>
    <t>Gallantt Ispat Limited</t>
  </si>
  <si>
    <t>Gallant Ispat no of shares from Sep results</t>
  </si>
  <si>
    <t>Beekay Steel</t>
  </si>
  <si>
    <t>Godawari Power &amp; Ispat</t>
  </si>
  <si>
    <t>Prakash Industries</t>
  </si>
  <si>
    <t>Gallant Ispat</t>
  </si>
  <si>
    <t>MSP Steel &amp; Power Ltd.</t>
  </si>
  <si>
    <t xml:space="preserve">Valuation Date </t>
  </si>
  <si>
    <t>Profit &amp; Loss Statement</t>
  </si>
  <si>
    <t>Employee Benefit Expenses</t>
  </si>
  <si>
    <t>Total Expenses</t>
  </si>
  <si>
    <t>Margin (%)</t>
  </si>
  <si>
    <t>Less: Depreciation &amp; Amortisation</t>
  </si>
  <si>
    <t>PBIT</t>
  </si>
  <si>
    <t>Less: Taxes</t>
  </si>
  <si>
    <t>Balance Sheet</t>
  </si>
  <si>
    <t>Property Plant &amp; Equipment</t>
  </si>
  <si>
    <t>Intangible Assets</t>
  </si>
  <si>
    <t>Other Financial Assets</t>
  </si>
  <si>
    <t>Income tax Assets (Net)</t>
  </si>
  <si>
    <t>Other Non-Current Assets</t>
  </si>
  <si>
    <t>Curent Assets</t>
  </si>
  <si>
    <t>Cash and Cash Equivalents</t>
  </si>
  <si>
    <t>EQUITY &amp; LIABILITIES</t>
  </si>
  <si>
    <t>Other Equity</t>
  </si>
  <si>
    <t>Networth</t>
  </si>
  <si>
    <t>Secured:</t>
  </si>
  <si>
    <t>Term Loans</t>
  </si>
  <si>
    <t>Finance Lease Obligation</t>
  </si>
  <si>
    <t>Unsecured:</t>
  </si>
  <si>
    <t>Loans from related parties</t>
  </si>
  <si>
    <t>Working Capital Loan</t>
  </si>
  <si>
    <t>Intercorporate Deposits</t>
  </si>
  <si>
    <t>Trade Payables</t>
  </si>
  <si>
    <t>To micro and small enterprises</t>
  </si>
  <si>
    <t>To other than micro and small enterprises</t>
  </si>
  <si>
    <t>Check -------------&gt;</t>
  </si>
  <si>
    <t>Differences because of rounding off</t>
  </si>
  <si>
    <t>Valuation as per Comparable Companies' Multiples Method</t>
  </si>
  <si>
    <t>Equity Value</t>
  </si>
  <si>
    <t>Months in Operation</t>
  </si>
  <si>
    <t>Net Revenue</t>
  </si>
  <si>
    <t>Growth</t>
  </si>
  <si>
    <t>EBITDA Margin</t>
  </si>
  <si>
    <t>Debt Free Net Income</t>
  </si>
  <si>
    <t>Add: Increase/Decrease in Working Capital</t>
  </si>
  <si>
    <t>Free Cash Flow to Firm</t>
  </si>
  <si>
    <t>Discount Rate</t>
  </si>
  <si>
    <t>Time Period</t>
  </si>
  <si>
    <t>Discounting Factor</t>
  </si>
  <si>
    <t>Present Value of Cash Flows</t>
  </si>
  <si>
    <t>NPV of Explicit Period</t>
  </si>
  <si>
    <t>Present Value of Perpetuity</t>
  </si>
  <si>
    <t>Value of Operations</t>
  </si>
  <si>
    <t>Calculation of WACC</t>
  </si>
  <si>
    <t>Cost of Equity</t>
  </si>
  <si>
    <t>Risk Free rate of Return</t>
  </si>
  <si>
    <t>Beta</t>
  </si>
  <si>
    <t>Equity Market Risk Premium</t>
  </si>
  <si>
    <t>Additional Risk Premium</t>
  </si>
  <si>
    <t>Cost of Equity Market Risk Premium</t>
  </si>
  <si>
    <t>BSE Sensex return calculation</t>
  </si>
  <si>
    <t>Years</t>
  </si>
  <si>
    <t>CAGR BSE Return</t>
  </si>
  <si>
    <t>Cost of Debt</t>
  </si>
  <si>
    <t>Debt Borrowing rate</t>
  </si>
  <si>
    <t>Income Tax Rate</t>
  </si>
  <si>
    <t>After Tax Cost of Debt</t>
  </si>
  <si>
    <t>Weighted Average Cost of Capital</t>
  </si>
  <si>
    <t>Cost</t>
  </si>
  <si>
    <t>WACC</t>
  </si>
  <si>
    <t>Additional Risk</t>
  </si>
  <si>
    <t>Adjusted WACC</t>
  </si>
  <si>
    <t>Net Block</t>
  </si>
  <si>
    <t>Rs. in crore</t>
  </si>
  <si>
    <t xml:space="preserve">Comparable Companies </t>
  </si>
  <si>
    <t>Equity Beta</t>
  </si>
  <si>
    <t>Market Cap:</t>
  </si>
  <si>
    <t>One year Average Closing Price</t>
  </si>
  <si>
    <t>Beta:</t>
  </si>
  <si>
    <t>Close Price</t>
  </si>
  <si>
    <t>Weighted Average price</t>
  </si>
  <si>
    <t>No.of shares</t>
  </si>
  <si>
    <t>Sensex</t>
  </si>
  <si>
    <t>x</t>
  </si>
  <si>
    <t>y</t>
  </si>
  <si>
    <t>Turnover</t>
  </si>
  <si>
    <t>Company</t>
  </si>
  <si>
    <t>Tax</t>
  </si>
  <si>
    <t>Tax Rate</t>
  </si>
  <si>
    <t>Short term debt</t>
  </si>
  <si>
    <t>Bank</t>
  </si>
  <si>
    <t>Companies</t>
  </si>
  <si>
    <t>Equity beta</t>
  </si>
  <si>
    <t>Market Cap</t>
  </si>
  <si>
    <t>Enterprise value</t>
  </si>
  <si>
    <t>Net debt/Market cap (%)</t>
  </si>
  <si>
    <t>Net debt/enterprise value (%)</t>
  </si>
  <si>
    <t>Tax Rate (%)</t>
  </si>
  <si>
    <t>Unlevered beta</t>
  </si>
  <si>
    <t>Relevered Beta</t>
  </si>
  <si>
    <t>Weightage (%)</t>
  </si>
  <si>
    <t xml:space="preserve">Beta </t>
  </si>
  <si>
    <t>Weighted Average</t>
  </si>
  <si>
    <t>Note: Market Capitalisation is calculated based on 1 year weighted average price of shares</t>
  </si>
  <si>
    <t>Debt</t>
  </si>
  <si>
    <t>Equity</t>
  </si>
  <si>
    <t>1. Beekay Steel Industries Limited</t>
  </si>
  <si>
    <t>2. Godawari Power Ispat Limited</t>
  </si>
  <si>
    <t>3. Prakash Industries Limited</t>
  </si>
  <si>
    <t>4. Gallantt Ispat Limited</t>
  </si>
  <si>
    <t>PBT as on 31.03.2022</t>
  </si>
  <si>
    <t>Beekay Steel Industries Ltd as on 31.03.2022</t>
  </si>
  <si>
    <t>Godawari Power Ispat Ltd as on 31.03.2022</t>
  </si>
  <si>
    <t>Prakash Industries Ltd as on 31.03.2022</t>
  </si>
  <si>
    <t>Gallantt Ispat Ltd as on 31.03.2022</t>
  </si>
  <si>
    <t>Shyam Metalics and Energy Limited</t>
  </si>
  <si>
    <t>5. Shyam Metalics and Energy Limited</t>
  </si>
  <si>
    <t>Shyam Metalics and Energy</t>
  </si>
  <si>
    <t>Shyam Metalics and Energy Ltd as on 31.03.2022</t>
  </si>
  <si>
    <t>%</t>
  </si>
  <si>
    <t>India 10 year Govt Bond yield</t>
  </si>
  <si>
    <t>Less: Tax Expense</t>
  </si>
  <si>
    <t>Discounting for Adjustment due to liquidity, size etc.</t>
  </si>
  <si>
    <t>Current Maturities of Long Term debt</t>
  </si>
  <si>
    <t>Depreciation</t>
  </si>
  <si>
    <t xml:space="preserve"> </t>
  </si>
  <si>
    <t>Current Assets</t>
  </si>
  <si>
    <t>Opening Balance</t>
  </si>
  <si>
    <t>Repayment</t>
  </si>
  <si>
    <t>Closing Balance</t>
  </si>
  <si>
    <t>No</t>
  </si>
  <si>
    <t>Growth%</t>
  </si>
  <si>
    <t>+ Available CASH &amp; bank BALANCE</t>
  </si>
  <si>
    <t>Business Value</t>
  </si>
  <si>
    <t>Adjustments:</t>
  </si>
  <si>
    <t>Non Current Investment</t>
  </si>
  <si>
    <t>Operating Value of Business</t>
  </si>
  <si>
    <t>+ non current Investment</t>
  </si>
  <si>
    <t>Less: Debt</t>
  </si>
  <si>
    <t>Debt Equity</t>
  </si>
  <si>
    <t>Working capital loan</t>
  </si>
  <si>
    <t>Less: Preference Capital</t>
  </si>
  <si>
    <t>Less: Non-controlling interest</t>
  </si>
  <si>
    <t>Estimate</t>
  </si>
  <si>
    <t>Actual</t>
  </si>
  <si>
    <t>Balance</t>
  </si>
  <si>
    <t>Projected Cost on water works</t>
  </si>
  <si>
    <t>Operators Capex</t>
  </si>
  <si>
    <t>Addition to DJB/DPR Capex</t>
  </si>
  <si>
    <t>Interest Cost Capitalised</t>
  </si>
  <si>
    <t>Staff Cost related to Construction</t>
  </si>
  <si>
    <t>EDC</t>
  </si>
  <si>
    <t>Financing of Project Cost</t>
  </si>
  <si>
    <t>Grant Amount on water works</t>
  </si>
  <si>
    <t>Escalation</t>
  </si>
  <si>
    <t>Total Grant from DJB</t>
  </si>
  <si>
    <t>Net cost of Project to NWS</t>
  </si>
  <si>
    <t>RR Margin</t>
  </si>
  <si>
    <t>Net cost of Project to NWS after Road</t>
  </si>
  <si>
    <t>Project IRR</t>
  </si>
  <si>
    <t>Equity IRR</t>
  </si>
  <si>
    <t>Revenue (Rs Cr)</t>
  </si>
  <si>
    <t>Expenses (Rs Cr)</t>
  </si>
  <si>
    <t>Interest and Depreciation and Taxes</t>
  </si>
  <si>
    <t>Net Profit (Rs Cr)</t>
  </si>
  <si>
    <t>Project Financing</t>
  </si>
  <si>
    <t>Short Term Loan and OCPID</t>
  </si>
  <si>
    <t>New Credit Facility</t>
  </si>
  <si>
    <t>Utilisation from O&amp;M</t>
  </si>
  <si>
    <t>Note - Balance Capex Cost Inludes Rs 34.23 Cr Payment of opening Creditors.</t>
  </si>
  <si>
    <t>Swach</t>
  </si>
  <si>
    <t>Veolia</t>
  </si>
  <si>
    <t>SREI</t>
  </si>
  <si>
    <t>BOI</t>
  </si>
  <si>
    <t>Share Capital - Equity as per Project Cost</t>
  </si>
  <si>
    <t>Warrants - Equity as per Project Cost</t>
  </si>
  <si>
    <t>OCPID (12 Year) - Equity as per Project Cost</t>
  </si>
  <si>
    <t>OCPID (3 Year) - Short Term Funding</t>
  </si>
  <si>
    <t>Long Term Loan as per Original Sanction</t>
  </si>
  <si>
    <t>Short Term Loan</t>
  </si>
  <si>
    <t>Funded Interest term Loan</t>
  </si>
  <si>
    <t>Sanctioned Amount</t>
  </si>
  <si>
    <t>Pending Amount</t>
  </si>
  <si>
    <t>Rs Cr</t>
  </si>
  <si>
    <t>Cash Inflow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</si>
  <si>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</si>
  <si>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</si>
  <si>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</si>
  <si>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</si>
  <si>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</si>
  <si>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</si>
  <si>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</si>
  <si>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</si>
  <si>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</si>
  <si>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</si>
  <si>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</si>
  <si>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</si>
  <si>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</si>
  <si>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</si>
  <si>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</si>
  <si>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</si>
  <si>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Cash Profit for the period</t>
  </si>
  <si>
    <t>Disbursement of Loan</t>
  </si>
  <si>
    <t>OCPIDs</t>
  </si>
  <si>
    <t>Total Cash Inflow</t>
  </si>
  <si>
    <t>Cash Outflow</t>
  </si>
  <si>
    <t>Expenditure on works</t>
  </si>
  <si>
    <t>Change in other assets</t>
  </si>
  <si>
    <t>Repayment of Loan</t>
  </si>
  <si>
    <t>Total Cash Outflow</t>
  </si>
  <si>
    <t>Net Cash Flow</t>
  </si>
  <si>
    <t>Calculation of DSCR</t>
  </si>
  <si>
    <t xml:space="preserve">Interest on Loan </t>
  </si>
  <si>
    <t>Cash for Debt Service</t>
  </si>
  <si>
    <t>Principal Repayment on Term Loan</t>
  </si>
  <si>
    <t>Interest on Loan</t>
  </si>
  <si>
    <t>Outflows</t>
  </si>
  <si>
    <t>DSCR</t>
  </si>
  <si>
    <t>Average DSCR</t>
  </si>
  <si>
    <t>Equity &amp; Liabilities</t>
  </si>
  <si>
    <t xml:space="preserve">ST Loan Availed (from OCW) </t>
  </si>
  <si>
    <t>Payables including Provisions</t>
  </si>
  <si>
    <t>OCPIDs Notional Interest</t>
  </si>
  <si>
    <t>Book OD ( CC )</t>
  </si>
  <si>
    <t>Total Equity &amp; Liabilities</t>
  </si>
  <si>
    <t>Assets</t>
  </si>
  <si>
    <t>Cash &amp; Bank Balances</t>
  </si>
  <si>
    <t>Accounts Receivables</t>
  </si>
  <si>
    <t>Differences</t>
  </si>
  <si>
    <t>DE Ratio</t>
  </si>
  <si>
    <t>Total Cost</t>
  </si>
  <si>
    <t>Net Project Cost to Operator</t>
  </si>
  <si>
    <t>Working Capital</t>
  </si>
  <si>
    <t>Net Change in Working Capital</t>
  </si>
  <si>
    <t>Net worth</t>
  </si>
  <si>
    <t>Equity Veolia Water India Pvt Ltd</t>
  </si>
  <si>
    <t>Equity Swach Environment Pvt Ltd</t>
  </si>
  <si>
    <t>Reserve &amp; Surplus</t>
  </si>
  <si>
    <t>Secured Loans</t>
  </si>
  <si>
    <t>Non Current Liabilities</t>
  </si>
  <si>
    <t>Gross Block including Intangible Assets under Development</t>
  </si>
  <si>
    <r>
      <rPr>
        <b/>
        <sz val="9"/>
        <color theme="1"/>
        <rFont val="Calibri"/>
        <family val="2"/>
        <scheme val="minor"/>
      </rPr>
      <t>Less:</t>
    </r>
    <r>
      <rPr>
        <sz val="11"/>
        <color theme="1"/>
        <rFont val="Calibri"/>
        <family val="2"/>
        <scheme val="minor"/>
      </rPr>
      <t xml:space="preserve"> Accumulated Depreciation</t>
    </r>
  </si>
  <si>
    <t>Other Non Current Assets</t>
  </si>
  <si>
    <t>Current Account</t>
  </si>
  <si>
    <t>Escrow Account</t>
  </si>
  <si>
    <t>Till</t>
  </si>
  <si>
    <t>Financial Year</t>
  </si>
  <si>
    <t>Billings</t>
  </si>
  <si>
    <t>GST Claim from DJB-NOR</t>
  </si>
  <si>
    <t>Power Incentive</t>
  </si>
  <si>
    <t>New HSC Revenue Post Capex</t>
  </si>
  <si>
    <t>Tanker Current Bills</t>
  </si>
  <si>
    <t>ACE Bill</t>
  </si>
  <si>
    <t>Loan principal adjustment</t>
  </si>
  <si>
    <t>Operation Costs</t>
  </si>
  <si>
    <t>Operations Staff costs - Local Staff</t>
  </si>
  <si>
    <t>New HSC Cost Post Capex</t>
  </si>
  <si>
    <t>KPI Deductions</t>
  </si>
  <si>
    <t>Contingency-Operation</t>
  </si>
  <si>
    <t>Contingency-Works</t>
  </si>
  <si>
    <t>Total Expenes</t>
  </si>
  <si>
    <t>Interest on Term Loan</t>
  </si>
  <si>
    <t>Interest on Short Term Loan</t>
  </si>
  <si>
    <t>Interest on OCPIDs Short Term</t>
  </si>
  <si>
    <t>Interest on Working Capital Loan</t>
  </si>
  <si>
    <t>Tax Payment</t>
  </si>
  <si>
    <t>Cash Profit</t>
  </si>
  <si>
    <t>Works Including Escalation</t>
  </si>
  <si>
    <t>RR including Escalation</t>
  </si>
  <si>
    <t>Audited</t>
  </si>
  <si>
    <t>Projected</t>
  </si>
  <si>
    <t>Oct,18 BP</t>
  </si>
  <si>
    <t>Jul,16 BP</t>
  </si>
  <si>
    <t>Bank BP</t>
  </si>
  <si>
    <t>Agreed BP</t>
  </si>
  <si>
    <t>Operations Staff Costs - Secondement</t>
  </si>
  <si>
    <t>PBDIT/EBITDA</t>
  </si>
  <si>
    <t>PBT/EBT</t>
  </si>
  <si>
    <t>Provision for Tax</t>
  </si>
  <si>
    <t>PAT/Net Profit</t>
  </si>
  <si>
    <t>Note- Interest in FY 2020-21 and 2021-22 includes notional OCPIDs Interest of Rs 18.16 Cr and Rs 19.93 Cr respectively.</t>
  </si>
  <si>
    <t>Taxation Computation</t>
  </si>
  <si>
    <t>Profit Before Tax (Book Profit)</t>
  </si>
  <si>
    <t>Depreciation as per Books</t>
  </si>
  <si>
    <t>Profit before Depreciation and Tax</t>
  </si>
  <si>
    <t>Depreciation as per Income Tax</t>
  </si>
  <si>
    <t>Profit as per IT Act</t>
  </si>
  <si>
    <t>Loss Carry Forward for the year</t>
  </si>
  <si>
    <t>Cumulative Loss Carry Forward</t>
  </si>
  <si>
    <t>Taxable Profit as per IT Act</t>
  </si>
  <si>
    <t>Normal Tax</t>
  </si>
  <si>
    <t>Deduction u/s 80IA</t>
  </si>
  <si>
    <t>Yes</t>
  </si>
  <si>
    <t>MAT Tax</t>
  </si>
  <si>
    <t>Cumulative Mat Credit</t>
  </si>
  <si>
    <t>Cash Inflow-CA</t>
  </si>
  <si>
    <t>Opening</t>
  </si>
  <si>
    <t>Transfer from Escrow Account- Works</t>
  </si>
  <si>
    <t>Transfer from Escrow Account-Works Escalation</t>
  </si>
  <si>
    <t>Transfer from Escrow Account-RR</t>
  </si>
  <si>
    <t>GST Claim from DJB-Capex</t>
  </si>
  <si>
    <t>GST Refund</t>
  </si>
  <si>
    <t>Equity from Promoters</t>
  </si>
  <si>
    <t>OCPIDs Short Term</t>
  </si>
  <si>
    <t>Short Term Loan in Current Account/ RTL 2/New Credit</t>
  </si>
  <si>
    <t>Disbursement of Loan in CA</t>
  </si>
  <si>
    <t>Total Cash Inflow works</t>
  </si>
  <si>
    <t>Cash Outflow-Works</t>
  </si>
  <si>
    <t>Expenditure on Road</t>
  </si>
  <si>
    <t>Interest during Construction</t>
  </si>
  <si>
    <t>Expenses during Constructions</t>
  </si>
  <si>
    <t>Staff Cost on works</t>
  </si>
  <si>
    <t>Operator Capex</t>
  </si>
  <si>
    <t>Project Development Expenses</t>
  </si>
  <si>
    <t>Capital Payables</t>
  </si>
  <si>
    <t>BG Margin</t>
  </si>
  <si>
    <t>Total Cash Outflow works</t>
  </si>
  <si>
    <t>Net Cash Flow works</t>
  </si>
  <si>
    <t xml:space="preserve">Escrow Account </t>
  </si>
  <si>
    <t xml:space="preserve">Opening </t>
  </si>
  <si>
    <t>Receipt- Equity</t>
  </si>
  <si>
    <t>Receipt- Grant contribution from DJB</t>
  </si>
  <si>
    <t>Receipt- proportionate input by NWS ( from O &amp; M profit ) to get grant</t>
  </si>
  <si>
    <t>Transfer to Current</t>
  </si>
  <si>
    <t>Closing Balances</t>
  </si>
  <si>
    <t>EOT-Capex</t>
  </si>
  <si>
    <t>ED on Water Meter-Capex</t>
  </si>
  <si>
    <t>Opening Payables O&amp;M</t>
  </si>
  <si>
    <t>Receipt from Customer</t>
  </si>
  <si>
    <t>Tanker Old Bills</t>
  </si>
  <si>
    <t>Key Experts</t>
  </si>
  <si>
    <t>KPIs</t>
  </si>
  <si>
    <t>E&amp;M</t>
  </si>
  <si>
    <t>Receipt Capex</t>
  </si>
  <si>
    <t>Operations Staff costs</t>
  </si>
  <si>
    <t>OCPIDs Short Term Repayment</t>
  </si>
  <si>
    <t>Income Tax Payment</t>
  </si>
  <si>
    <t>Loan Repayment</t>
  </si>
  <si>
    <t>Payment Capex</t>
  </si>
  <si>
    <t>Opening Payables</t>
  </si>
  <si>
    <t>Closing</t>
  </si>
  <si>
    <t>Particular</t>
  </si>
  <si>
    <t>Project cost to the operator</t>
  </si>
  <si>
    <t>PBDI</t>
  </si>
  <si>
    <t>Change in Working Capital</t>
  </si>
  <si>
    <t>Net Cash Flows</t>
  </si>
  <si>
    <t>Cash Flow From Equity Prospective</t>
  </si>
  <si>
    <t>Cash Inflows</t>
  </si>
  <si>
    <t>Loan Disbursement</t>
  </si>
  <si>
    <t>PAT + Depreciation</t>
  </si>
  <si>
    <t>Change In Working Capital</t>
  </si>
  <si>
    <t>Cash Outflows</t>
  </si>
  <si>
    <t>Interest payment</t>
  </si>
  <si>
    <t>Rate of Interest</t>
  </si>
  <si>
    <t>No. of Years</t>
  </si>
  <si>
    <t>Drawdown</t>
  </si>
  <si>
    <t>CC Limit</t>
  </si>
  <si>
    <t>FITL RTL-2 SREI</t>
  </si>
  <si>
    <t>FITL RTL-1 SREI</t>
  </si>
  <si>
    <t>Interest Moratorium</t>
  </si>
  <si>
    <t>Interest</t>
  </si>
  <si>
    <t>Interest on RTL</t>
  </si>
  <si>
    <t>Interest on STL</t>
  </si>
  <si>
    <t>SIFL</t>
  </si>
  <si>
    <t>Unit</t>
  </si>
  <si>
    <t>Population</t>
  </si>
  <si>
    <t>Population Increase rate</t>
  </si>
  <si>
    <t>Inhabitants per connection</t>
  </si>
  <si>
    <t>Network Coverage</t>
  </si>
  <si>
    <t>Potential Registered Connection</t>
  </si>
  <si>
    <t>Present no. of Connections</t>
  </si>
  <si>
    <t>New connection through Capex</t>
  </si>
  <si>
    <t>Total billed connection</t>
  </si>
  <si>
    <t>Usage per connection</t>
  </si>
  <si>
    <t>KL/Day</t>
  </si>
  <si>
    <t>Usage per person</t>
  </si>
  <si>
    <t>LPCD</t>
  </si>
  <si>
    <t>Volume Billed</t>
  </si>
  <si>
    <t>Collection Efficiency</t>
  </si>
  <si>
    <t>No of days in the month</t>
  </si>
  <si>
    <t>Days</t>
  </si>
  <si>
    <t>NOR Volume for the month</t>
  </si>
  <si>
    <t>KL</t>
  </si>
  <si>
    <t>Billing for Arrear Incentive</t>
  </si>
  <si>
    <t>Rs</t>
  </si>
  <si>
    <t>Billing for Power saving incentive</t>
  </si>
  <si>
    <t>No. of habitants per connection</t>
  </si>
  <si>
    <t>Volume billed for the month(gross)</t>
  </si>
  <si>
    <t>Volume available for the month(gross)</t>
  </si>
  <si>
    <t>NRW</t>
  </si>
  <si>
    <t>Water Billed</t>
  </si>
  <si>
    <t>MGD</t>
  </si>
  <si>
    <t>Water Required</t>
  </si>
  <si>
    <t>Water Deficit</t>
  </si>
  <si>
    <t>Usage</t>
  </si>
  <si>
    <t>Actual Collection Efficiency</t>
  </si>
  <si>
    <t>NOR yoy inflation</t>
  </si>
  <si>
    <t>Total Billed Volume</t>
  </si>
  <si>
    <t>NOR Rate NWS</t>
  </si>
  <si>
    <t>NOR Rate DJB</t>
  </si>
  <si>
    <t>NOR Billing RMS (NWS Rates)</t>
  </si>
  <si>
    <t>For sensitivity</t>
  </si>
  <si>
    <t>Capacity</t>
  </si>
  <si>
    <t>NOR Billing RMS (DJB Rates)</t>
  </si>
  <si>
    <t>NOR Difference</t>
  </si>
  <si>
    <t>Toll Free No monthly charges (IVR- Advance call centre)</t>
  </si>
  <si>
    <t>CRM</t>
  </si>
  <si>
    <t>Cash Carrying Agency</t>
  </si>
  <si>
    <t>Contract for booster operation</t>
  </si>
  <si>
    <t>Hiring Charges</t>
  </si>
  <si>
    <t>Hiring of Pump/Generator</t>
  </si>
  <si>
    <t>Repair &amp; Maintenence</t>
  </si>
  <si>
    <t>2% Network Replacement</t>
  </si>
  <si>
    <t>RMS Connectivity</t>
  </si>
  <si>
    <t>Vehicle Tracking Device Service</t>
  </si>
  <si>
    <t>WTP Repair &amp; Maintenence</t>
  </si>
  <si>
    <t>WTP Power Cost</t>
  </si>
  <si>
    <t>Chemicals</t>
  </si>
  <si>
    <t>Hiring of Tankers</t>
  </si>
  <si>
    <t>Meter Replacement Cost</t>
  </si>
  <si>
    <t>Total for O&amp;M Expenses Including Tanker Cost</t>
  </si>
  <si>
    <t>Per Meter Cost</t>
  </si>
  <si>
    <t>Tankers cost paid by NWS</t>
  </si>
  <si>
    <t>Per Tanker cost</t>
  </si>
  <si>
    <t>Actual cost</t>
  </si>
  <si>
    <t>Tankers on NWS Account</t>
  </si>
  <si>
    <t>Tankers Recoverable</t>
  </si>
  <si>
    <t>G&amp;A</t>
  </si>
  <si>
    <t>F&amp;A</t>
  </si>
  <si>
    <t xml:space="preserve">IT </t>
  </si>
  <si>
    <t>O&amp;M</t>
  </si>
  <si>
    <t>Items</t>
  </si>
  <si>
    <t>Exp.</t>
  </si>
  <si>
    <t>Nature</t>
  </si>
  <si>
    <t>UoM</t>
  </si>
  <si>
    <t xml:space="preserve">NWS Corporate Web Site </t>
  </si>
  <si>
    <t>Opex</t>
  </si>
  <si>
    <t>AMC</t>
  </si>
  <si>
    <t>NWS Internet Service: Internet lease line HO (1 link 5 Mbps)</t>
  </si>
  <si>
    <t>ISP</t>
  </si>
  <si>
    <t>Internet for Zonal office (Najafgargh tanker filling points)</t>
  </si>
  <si>
    <t>RMS MPLS Connection (ARC)</t>
  </si>
  <si>
    <t>RMS</t>
  </si>
  <si>
    <t>RMS License Agreement</t>
  </si>
  <si>
    <t>Repairs &amp; Maintenance Laptops &amp; Desktops</t>
  </si>
  <si>
    <t>PC</t>
  </si>
  <si>
    <t>Repairs &amp; Maintenance Printers &amp; Plotters</t>
  </si>
  <si>
    <t>Printer</t>
  </si>
  <si>
    <t>Cisco Server, Switch, Firewall and UPS &amp; Battery (A.M.C: 20% total cost)</t>
  </si>
  <si>
    <t>Symantec Backup (LA): A.M.C</t>
  </si>
  <si>
    <t>Symantec Anti-Virus (LA): A.M.C</t>
  </si>
  <si>
    <t>Official email-ID subscription</t>
  </si>
  <si>
    <t>LA</t>
  </si>
  <si>
    <t>Airtel WiFi Monthly Billing Charges</t>
  </si>
  <si>
    <t>Printer Cartridges</t>
  </si>
  <si>
    <t>AMC Cost of HR Software, Tally Software, CCTV</t>
  </si>
  <si>
    <t>Desktop Rentals</t>
  </si>
  <si>
    <t>Rs/No</t>
  </si>
  <si>
    <t>Total of IT Opex Expenses</t>
  </si>
  <si>
    <t>Bank Charges (including Processing fee)</t>
  </si>
  <si>
    <t>Legal &amp; Consultancy</t>
  </si>
  <si>
    <t>Rating Fees</t>
  </si>
  <si>
    <t>Certification Exp</t>
  </si>
  <si>
    <t>DMAT Fees</t>
  </si>
  <si>
    <t>Acturial Valuation</t>
  </si>
  <si>
    <t>Insurance Cash &amp; Fidelity</t>
  </si>
  <si>
    <t>Tax Audit Fees</t>
  </si>
  <si>
    <t>Statutory Audit Fees</t>
  </si>
  <si>
    <t>Internal Audit Fees</t>
  </si>
  <si>
    <t>Stock Audit Fees</t>
  </si>
  <si>
    <t xml:space="preserve">Total debited to Opeartion Cost (A) </t>
  </si>
  <si>
    <t xml:space="preserve">Certification Exp </t>
  </si>
  <si>
    <t>Sources &amp; Utilisation</t>
  </si>
  <si>
    <t>CA/ROC Certificates</t>
  </si>
  <si>
    <t>GST Certificate</t>
  </si>
  <si>
    <t>SBI cap trustee cost</t>
  </si>
  <si>
    <t>LLC</t>
  </si>
  <si>
    <t>LIA</t>
  </si>
  <si>
    <t>LIE</t>
  </si>
  <si>
    <t>Indirect &amp; Direct Tax- GST</t>
  </si>
  <si>
    <t>Secretarial+ XBRL Filing</t>
  </si>
  <si>
    <t>Income Tax-197 Certificates</t>
  </si>
  <si>
    <t>DAB Cases</t>
  </si>
  <si>
    <t>GST Claim Settlement</t>
  </si>
  <si>
    <t>Tax Assessments</t>
  </si>
  <si>
    <t>Bank Charges</t>
  </si>
  <si>
    <t>Inspection Charges</t>
  </si>
  <si>
    <t>RTL Review Charges</t>
  </si>
  <si>
    <t>LC Charges</t>
  </si>
  <si>
    <t>BG Issue Charges</t>
  </si>
  <si>
    <t>WC Review Charges</t>
  </si>
  <si>
    <t>Travelling-Staff</t>
  </si>
  <si>
    <t>Fare</t>
  </si>
  <si>
    <t>Boarding- Hotel</t>
  </si>
  <si>
    <t>Misc</t>
  </si>
  <si>
    <t>Travelling-Banker</t>
  </si>
  <si>
    <t>Fare ( 2 person from each lender)</t>
  </si>
  <si>
    <t>Grand Total</t>
  </si>
  <si>
    <t>Interest on C/C A/c.</t>
  </si>
  <si>
    <t>O&amp;M Working Capital Requirement as WC (In Cr.)</t>
  </si>
  <si>
    <t xml:space="preserve">G&amp;A Budget </t>
  </si>
  <si>
    <t>Vehicle Running &amp; Maintainance</t>
  </si>
  <si>
    <t>Vehicle Hire Charges</t>
  </si>
  <si>
    <t>Conveyance Expenses (NWS/Outsource Employees)</t>
  </si>
  <si>
    <t>Electricity &amp; Fuel including DG (H.O. &amp; CSC's)</t>
  </si>
  <si>
    <t>Health Check-Up</t>
  </si>
  <si>
    <t>OPD/Medical Expenses for emergency incident</t>
  </si>
  <si>
    <t>Travelling including Hotel Stay</t>
  </si>
  <si>
    <t>Security Charges - Nangloi Head office</t>
  </si>
  <si>
    <t>Security Charges- WTP</t>
  </si>
  <si>
    <t>Security Charges- Mohan Garden</t>
  </si>
  <si>
    <t>Security Charges- Nangloi OHT</t>
  </si>
  <si>
    <t>Security Charges- Nangloi CSC (Bhaira Enclaive)</t>
  </si>
  <si>
    <t>Security Charges- Najafgarh A (Tanker Filling &amp; UGR)</t>
  </si>
  <si>
    <t>Security Charges- Najafgarh CSC (Nagli Dairy)</t>
  </si>
  <si>
    <t>Security Charges- Najafgarh B UGR</t>
  </si>
  <si>
    <t>Security Charges- Mundka UGR</t>
  </si>
  <si>
    <t>Rent-Office-Head Office</t>
  </si>
  <si>
    <t>Rent-Office-Nangloi CSC (Bhaira Enclave)</t>
  </si>
  <si>
    <t>Rent-Office-Najafgarh CSC (Nangali Dairy)</t>
  </si>
  <si>
    <t>Rent-Guest House</t>
  </si>
  <si>
    <t>Rent Store Yard-Puth Khurd</t>
  </si>
  <si>
    <t>Telephone &amp; Internet Expenses</t>
  </si>
  <si>
    <t>Pantry Expenses -WTP-Production</t>
  </si>
  <si>
    <t>Pantry Expenses -Mohan Garden CSC &amp; UGR</t>
  </si>
  <si>
    <t>Pantry Expenses -Nangloi OHT</t>
  </si>
  <si>
    <t>Pantry Expenses -Nangloi CSC (Bhaira Enclave)</t>
  </si>
  <si>
    <t>Pantry Expenses -Najafgarh OHT</t>
  </si>
  <si>
    <t>Pantry Expenses-Najafgarh CSC</t>
  </si>
  <si>
    <t>Pantry Expenses -HO</t>
  </si>
  <si>
    <t>Printing &amp; Stationery</t>
  </si>
  <si>
    <t>Books &amp; Periodicals</t>
  </si>
  <si>
    <t>Training for Employees</t>
  </si>
  <si>
    <t>Postage &amp; Courier</t>
  </si>
  <si>
    <t>HR Legal &amp; Labour Law Consultancy</t>
  </si>
  <si>
    <t>Recruitment Expenses</t>
  </si>
  <si>
    <t>Naukri Portal Subscription</t>
  </si>
  <si>
    <t>Diwali Festival Gift/Get together</t>
  </si>
  <si>
    <t>Mediclaim Insurance/GPA</t>
  </si>
  <si>
    <t>Workmen Compensation Insurance</t>
  </si>
  <si>
    <t>Insuranaces-Projects &amp; Opertions</t>
  </si>
  <si>
    <t>Department</t>
  </si>
  <si>
    <t>GL</t>
  </si>
  <si>
    <t>General &amp; Admin</t>
  </si>
  <si>
    <t>Vehicle Hire &amp; Running Charges</t>
  </si>
  <si>
    <t>Other expenses</t>
  </si>
  <si>
    <t xml:space="preserve">Travelling For NWS Employees </t>
  </si>
  <si>
    <t>Security Charges</t>
  </si>
  <si>
    <t>Rent-Office</t>
  </si>
  <si>
    <t>Telephone &amp; Communication Expenses (Airtel Bill)</t>
  </si>
  <si>
    <t>Diwali Festival Gift/ Staff Get together</t>
  </si>
  <si>
    <t>Legal &amp; Professional</t>
  </si>
  <si>
    <t>Insunaces-Projects &amp; Opertions</t>
  </si>
  <si>
    <t>Repair &amp; Maintenance</t>
  </si>
  <si>
    <t>Hire Charges</t>
  </si>
  <si>
    <t>Consumption of Chemicals</t>
  </si>
  <si>
    <t>Hiring of Tankers-DJB</t>
  </si>
  <si>
    <t>Repairs &amp; maintenance Printers &amp; Plotters</t>
  </si>
  <si>
    <t>AMC Cost of HR Software</t>
  </si>
  <si>
    <t>AMC Cost of Tally Software</t>
  </si>
  <si>
    <t>Additional interest</t>
  </si>
  <si>
    <t>All</t>
  </si>
  <si>
    <t>Employee benefits expense</t>
  </si>
  <si>
    <t>Contractual Staff Expenses</t>
  </si>
  <si>
    <t>Finance costs- Interest on CC</t>
  </si>
  <si>
    <t>Service fee-operation</t>
  </si>
  <si>
    <t>Project Supervision &amp; Service Fees</t>
  </si>
  <si>
    <t>Service fee-works</t>
  </si>
  <si>
    <t>Revenue NOR</t>
  </si>
  <si>
    <t>Billing Power Incentive</t>
  </si>
  <si>
    <t>Power Saving Incentive</t>
  </si>
  <si>
    <t>New HSC Margin Post Capex</t>
  </si>
  <si>
    <t>Tanker</t>
  </si>
  <si>
    <t>Billings reimburement of Tanker hiring</t>
  </si>
  <si>
    <t>TTD</t>
  </si>
  <si>
    <t>New UGRs</t>
  </si>
  <si>
    <t>WTP</t>
  </si>
  <si>
    <t>Existing UGRs</t>
  </si>
  <si>
    <t>Automation</t>
  </si>
  <si>
    <t>RWTM-1500mm Dia</t>
  </si>
  <si>
    <t>TM-700mm &amp; 900mm Dia</t>
  </si>
  <si>
    <t>Distribution Network</t>
  </si>
  <si>
    <t>Road Work</t>
  </si>
  <si>
    <t>Margin</t>
  </si>
  <si>
    <t>Revenue Without RR</t>
  </si>
  <si>
    <t>Cost Without RR</t>
  </si>
  <si>
    <t>Project Revenue</t>
  </si>
  <si>
    <t>Escalation Without RR</t>
  </si>
  <si>
    <t>Inflow</t>
  </si>
  <si>
    <t>Procurement@30 Days</t>
  </si>
  <si>
    <t>Execution@60 Days</t>
  </si>
  <si>
    <t>Eascalation@30 Days</t>
  </si>
  <si>
    <t>Total/Month</t>
  </si>
  <si>
    <t>Outflow</t>
  </si>
  <si>
    <t>Procurement@90 Days</t>
  </si>
  <si>
    <t>Execution@30 Days</t>
  </si>
  <si>
    <t>Pipe Line Civil Work@60 Days</t>
  </si>
  <si>
    <t>DI Pipe Procurement@30 Days</t>
  </si>
  <si>
    <t>DI Pipe Work(66%)@60 Days</t>
  </si>
  <si>
    <t>DI Pipe Work(34%)@90 Days</t>
  </si>
  <si>
    <t>HDPE Pipe Procurement@30 Days</t>
  </si>
  <si>
    <t>HDPE Pipe Work (66%)@60 Days</t>
  </si>
  <si>
    <t>HDPE Pipe Work (34%)@90 Days</t>
  </si>
  <si>
    <t>MS Pipe Procurement@30 Days</t>
  </si>
  <si>
    <t>DI Fitting Procurement@90 Days</t>
  </si>
  <si>
    <t>HDPE Fitting Procurement@90 Days</t>
  </si>
  <si>
    <t>Trenchless@90 Days</t>
  </si>
  <si>
    <t>Valve Procurement@30 Days</t>
  </si>
  <si>
    <t>Valve Works@90 Days</t>
  </si>
  <si>
    <t>Flow Meter Procurement@30 Days</t>
  </si>
  <si>
    <t>Flow Meter Work@90 Days</t>
  </si>
  <si>
    <t>Water Meter Procurement@30 Days</t>
  </si>
  <si>
    <t>Water Meter Work@60 Days</t>
  </si>
  <si>
    <t>HSC Procurement@60 Days</t>
  </si>
  <si>
    <t>HSC Work@60 Days</t>
  </si>
  <si>
    <t>Escalation@30 Days</t>
  </si>
  <si>
    <t>Pipe Line Civil Work@90 Days</t>
  </si>
  <si>
    <t>DI Pipe Procurement@90 Days</t>
  </si>
  <si>
    <t>DI Pipe Work(66%)@30 Days</t>
  </si>
  <si>
    <t>DI Pipe Work(34%)@30 Days</t>
  </si>
  <si>
    <t>HDPE Pipe Procurement@90 Days</t>
  </si>
  <si>
    <t>HDPE Pipe Work (66%)@30 Days</t>
  </si>
  <si>
    <t>HDPE Pipe Work (34%)@60 Days</t>
  </si>
  <si>
    <t>MS Pipe Procurement@90 Days</t>
  </si>
  <si>
    <t>Valve Procurement@90 Days</t>
  </si>
  <si>
    <t>Valve Works@30 Days</t>
  </si>
  <si>
    <t>Flow Meter Procurement@90 Days</t>
  </si>
  <si>
    <t>Flow Meter Work@60 Days</t>
  </si>
  <si>
    <t>Water Meter Procurement@90 Days</t>
  </si>
  <si>
    <t>HSC Procurement@90 Days</t>
  </si>
  <si>
    <t>HSC Work@30 Days</t>
  </si>
  <si>
    <t>Road Restoration</t>
  </si>
  <si>
    <t>Civil@60 Days</t>
  </si>
  <si>
    <t>Eascalation@60 Days</t>
  </si>
  <si>
    <t>Procurement</t>
  </si>
  <si>
    <t>Execution</t>
  </si>
  <si>
    <t>Eascalation on Revenue</t>
  </si>
  <si>
    <t>Pipe Line Civil Work</t>
  </si>
  <si>
    <t>DI Pipe Procurement</t>
  </si>
  <si>
    <t>DI Pipe Work(66%)</t>
  </si>
  <si>
    <t>DI Pipe Work(34%)</t>
  </si>
  <si>
    <t>HDPE Pipe Procurement(100%)</t>
  </si>
  <si>
    <t>HDPE Pipe Work (66%)</t>
  </si>
  <si>
    <t>HDPE Pipe Work (34%)</t>
  </si>
  <si>
    <t>MS Pipe Procurement</t>
  </si>
  <si>
    <t>DI Fitting Procurement</t>
  </si>
  <si>
    <t>HDPE Fitting Procurement</t>
  </si>
  <si>
    <t>Trenchless</t>
  </si>
  <si>
    <t>Valve Procurement</t>
  </si>
  <si>
    <t>Valve Works</t>
  </si>
  <si>
    <t>Flow Meter Procurement</t>
  </si>
  <si>
    <t>Flow Meter Work</t>
  </si>
  <si>
    <t>Water Meter Procurement</t>
  </si>
  <si>
    <t>Water Meter Work</t>
  </si>
  <si>
    <t>HSC Procurement</t>
  </si>
  <si>
    <t>HSC Work</t>
  </si>
  <si>
    <t>Civil</t>
  </si>
  <si>
    <t>Eascalation</t>
  </si>
  <si>
    <t>Group</t>
  </si>
  <si>
    <t>Quantity</t>
  </si>
  <si>
    <t>Rate</t>
  </si>
  <si>
    <t>Current</t>
  </si>
  <si>
    <t>6I</t>
  </si>
  <si>
    <t>6P</t>
  </si>
  <si>
    <t>Automation of WTP</t>
  </si>
  <si>
    <t>Automation of Existing UGRs</t>
  </si>
  <si>
    <t>Automation of New UGRs</t>
  </si>
  <si>
    <t>Automation of Distribution System</t>
  </si>
  <si>
    <t>-</t>
  </si>
  <si>
    <t>All above Ground in Nov, to Feb Equal</t>
  </si>
  <si>
    <t>Below for Mar,22</t>
  </si>
  <si>
    <t>Pipe Nov to Mar, 22 Equal</t>
  </si>
  <si>
    <t>6D</t>
  </si>
  <si>
    <t>4PMG</t>
  </si>
  <si>
    <t>Design &amp; Survey</t>
  </si>
  <si>
    <t>6C</t>
  </si>
  <si>
    <t>Civil-Works Rehabilitation Of Existing Facitlities</t>
  </si>
  <si>
    <t>6M</t>
  </si>
  <si>
    <t>Mechanical work</t>
  </si>
  <si>
    <t>6E</t>
  </si>
  <si>
    <t>Electrical work</t>
  </si>
  <si>
    <t>4PNA</t>
  </si>
  <si>
    <t>4PNG</t>
  </si>
  <si>
    <t>MG</t>
  </si>
  <si>
    <t>Mohan Garden</t>
  </si>
  <si>
    <t>NA</t>
  </si>
  <si>
    <t>Najafgarh</t>
  </si>
  <si>
    <t>NG</t>
  </si>
  <si>
    <t>Nangloi</t>
  </si>
  <si>
    <t>Area</t>
  </si>
  <si>
    <t>3P</t>
  </si>
  <si>
    <t>Design &amp; Survey - Civil</t>
  </si>
  <si>
    <t>Mundka</t>
  </si>
  <si>
    <t>Design &amp; Survey- E&amp;M</t>
  </si>
  <si>
    <t>Civil-Works Construction Of NEW Facitlities</t>
  </si>
  <si>
    <t>6S</t>
  </si>
  <si>
    <t>Soil Improvement</t>
  </si>
  <si>
    <t>2P</t>
  </si>
  <si>
    <t>Design &amp; Survey - E&amp;M</t>
  </si>
  <si>
    <t>MOC</t>
  </si>
  <si>
    <t>Dia</t>
  </si>
  <si>
    <t>Qty.</t>
  </si>
  <si>
    <t>Supply</t>
  </si>
  <si>
    <t>Amt (Rs)</t>
  </si>
  <si>
    <t>HDPE</t>
  </si>
  <si>
    <t>Mtr</t>
  </si>
  <si>
    <t>DI</t>
  </si>
  <si>
    <t>MS</t>
  </si>
  <si>
    <t xml:space="preserve">Domestic Water Meter </t>
  </si>
  <si>
    <t>15 mm</t>
  </si>
  <si>
    <t>Nos</t>
  </si>
  <si>
    <t>HSC- Partial</t>
  </si>
  <si>
    <t>HSC-Partial to Complete</t>
  </si>
  <si>
    <t>HSC-Full</t>
  </si>
  <si>
    <t>Replacement HSC</t>
  </si>
  <si>
    <t>Base-Amount</t>
  </si>
  <si>
    <t>Domestic Water Meter 15 mm</t>
  </si>
  <si>
    <t>Existing UGR</t>
  </si>
  <si>
    <t>Execution Distribution</t>
  </si>
  <si>
    <t>Supply Distribution</t>
  </si>
  <si>
    <t>This gap is due to opening payables.</t>
  </si>
  <si>
    <t>Nangloi Water Services Pvt. Ltd.</t>
  </si>
  <si>
    <t>30.12.2023</t>
  </si>
  <si>
    <t>Right-of-use assets</t>
  </si>
  <si>
    <t>Equity Share Capital</t>
  </si>
  <si>
    <t>Lease liabilities</t>
  </si>
  <si>
    <t>Value as on 31.03.2023</t>
  </si>
  <si>
    <t>Assets to be taken over by DJB on end of concession, intangible to be written off</t>
  </si>
  <si>
    <t>Lease Liabilities</t>
  </si>
  <si>
    <t>Add: Total Debt</t>
  </si>
  <si>
    <t>Adjusted NAV as on 31.03.2023</t>
  </si>
  <si>
    <t>Market Closing [29-12-2023]</t>
  </si>
  <si>
    <t>Market Closing [1-1-2014]</t>
  </si>
  <si>
    <t>Excludes inter-corporate and related party, leases</t>
  </si>
  <si>
    <t>Without escalation</t>
  </si>
  <si>
    <t>With escalation</t>
  </si>
  <si>
    <t>Payable</t>
  </si>
  <si>
    <t>Net Capex less grant plus payables</t>
  </si>
  <si>
    <t>Less: Capital Expenditure net of grants</t>
  </si>
  <si>
    <t>M/s Nangloi Water Services Pvt. Ltd.</t>
  </si>
  <si>
    <t xml:space="preserve">Number of Months </t>
  </si>
  <si>
    <t>Dep &amp; Amortization</t>
  </si>
  <si>
    <t>(1-t)</t>
  </si>
  <si>
    <t>NOPAT = EBIT*(1-T)</t>
  </si>
  <si>
    <t>+ Dep &amp; Amortization</t>
  </si>
  <si>
    <t>WCC</t>
  </si>
  <si>
    <t>- CAPEX</t>
  </si>
  <si>
    <t>FCFF</t>
  </si>
  <si>
    <t>Discount Period</t>
  </si>
  <si>
    <t>Dicount Factor</t>
  </si>
  <si>
    <t>PV of FCFF</t>
  </si>
  <si>
    <t>Adjusted EV</t>
  </si>
  <si>
    <t>Weighted Average Cost Of Capital (WACC)</t>
  </si>
  <si>
    <t>Weight Of Debt (Wd)</t>
  </si>
  <si>
    <t>Post-tax Cost Of Debt (Kd)</t>
  </si>
  <si>
    <t>Weight of Equity (We)</t>
  </si>
  <si>
    <t>Cost of Equity (Ke)</t>
  </si>
  <si>
    <t>Capital Structure</t>
  </si>
  <si>
    <t>INR Crore</t>
  </si>
  <si>
    <t>Total Equity</t>
  </si>
  <si>
    <t>Debt + Equity</t>
  </si>
  <si>
    <t>Wd</t>
  </si>
  <si>
    <t>We</t>
  </si>
  <si>
    <t>Company Risk Premium</t>
  </si>
  <si>
    <t>Cost Of Debt (Kd)</t>
  </si>
  <si>
    <t>Effective Tax Rate (t)</t>
  </si>
  <si>
    <t>Post-tax Cost of Debt</t>
  </si>
  <si>
    <t>Cost Of Equity (Ke)</t>
  </si>
  <si>
    <t>CAPM</t>
  </si>
  <si>
    <t>Risk-free Rate (Rf)</t>
  </si>
  <si>
    <t>10-year govt. bond rate as on 12/12/2023</t>
  </si>
  <si>
    <t>Market Return (Rm)</t>
  </si>
  <si>
    <t>Market Risk Premium(Rm-Rf)</t>
  </si>
  <si>
    <t>https://in.investing.com/rates-bonds/india-10-year-bond-yield-historical-data</t>
  </si>
  <si>
    <t>Nifty 50 Returns (CAGR) in the Last 20 Years</t>
  </si>
  <si>
    <t>https://kunaldesai.blog/nifty-returns/</t>
  </si>
  <si>
    <t>As on 29.12.2023</t>
  </si>
  <si>
    <t>As per audited B/s</t>
  </si>
  <si>
    <t>Dep &amp; Am</t>
  </si>
  <si>
    <t>EBITDA MARGIN %</t>
  </si>
  <si>
    <t>EBIT MARGIN %</t>
  </si>
  <si>
    <t>PAT MARGIN %</t>
  </si>
  <si>
    <t>Revenue Growth Rate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</si>
</sst>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6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Rs.&quot;\ #,##0.00;[Red]&quot;Rs.&quot;\ \-#,##0.00"/>
    <numFmt numFmtId="167" formatCode="_ &quot;Rs.&quot;\ * #,##0_ ;_ &quot;Rs.&quot;\ * \-#,##0_ ;_ &quot;Rs.&quot;\ * &quot;-&quot;_ ;_ @_ "/>
    <numFmt numFmtId="168" formatCode="_ &quot;Rs.&quot;\ * #,##0.00_ ;_ &quot;Rs.&quot;\ * \-#,##0.00_ ;_ &quot;Rs.&quot;\ * &quot;-&quot;??_ ;_ @_ "/>
    <numFmt numFmtId="169" formatCode="[$-409]d\-mmm\-yy;@"/>
    <numFmt numFmtId="170" formatCode="\Te\x\t"/>
    <numFmt numFmtId="171" formatCode="#,##0\ ;\(#,##0\);\–\ "/>
    <numFmt numFmtId="172" formatCode="General_)"/>
    <numFmt numFmtId="173" formatCode="0.0_)\%;\(0.0\)\%;0.0_)\%;@_)_%"/>
    <numFmt numFmtId="174" formatCode="#,##0.0_)_%;\(#,##0.0\)_%;0.0_)_%;@_)_%"/>
    <numFmt numFmtId="175" formatCode="0.00_)"/>
    <numFmt numFmtId="176" formatCode="#,##0.0_);\(#,##0.0\);#,##0.0_);@_)"/>
    <numFmt numFmtId="177" formatCode="&quot;Rs.&quot;_(#,##0.00_);&quot;Rs.&quot;\(#,##0.00\);&quot;Rs.&quot;_(0.00_);@_)"/>
    <numFmt numFmtId="178" formatCode="#,##0.00_);\(#,##0.00\);0.00_);@_)"/>
    <numFmt numFmtId="179" formatCode="#,##0.00\ _$;[Red]\-#,##0.00\ _$"/>
    <numFmt numFmtId="180" formatCode="_(* #,##0.00_);_(* \(#,##0.00\);_(* \-??_);_(@_)"/>
    <numFmt numFmtId="181" formatCode="\€_(#,##0.00_);\€\(#,##0.00\);\€_(0.00_);@_)"/>
    <numFmt numFmtId="182" formatCode="#,##0_)\x;\(#,##0\)\x;0_)\x;@_)_x"/>
    <numFmt numFmtId="183" formatCode="#,##0_)_x;\(#,##0\)_x;0_)_x;@_)_x"/>
    <numFmt numFmtId="184" formatCode="#,"/>
    <numFmt numFmtId="185" formatCode="dd\-mm\-yy"/>
    <numFmt numFmtId="186" formatCode="&quot; \&quot;#,##0\ ;&quot; \-&quot;#,##0\ ;&quot; \- &quot;;@\ "/>
    <numFmt numFmtId="187" formatCode="&quot; \&quot;#,##0.00\ ;&quot; \-&quot;#,##0.00\ ;&quot; \-&quot;#\ ;@\ "/>
    <numFmt numFmtId="188" formatCode="#,##0\ ;&quot; -&quot;#,##0\ ;&quot; - &quot;;@\ "/>
    <numFmt numFmtId="189" formatCode="#,##0.00\ ;&quot; -&quot;#,##0.00\ ;&quot; -&quot;#\ ;@\ "/>
    <numFmt numFmtId="190" formatCode="#,##0,;\-#,##0,"/>
    <numFmt numFmtId="191" formatCode="#,##0;\(#,##0\);&quot; - &quot;"/>
    <numFmt numFmtId="192" formatCode="&quot;Rs.&quot;#,##0.00"/>
    <numFmt numFmtId="193" formatCode="_(* #,##0.0_);_(* \(#,##0.00\);_(* &quot;-&quot;??_);_(@_)"/>
    <numFmt numFmtId="194" formatCode="0.000"/>
    <numFmt numFmtId="195" formatCode="&quot;fl&quot;#,##0_);\(&quot;fl&quot;#,##0\)"/>
    <numFmt numFmtId="196" formatCode="&quot;fl&quot;#,##0_);[Red]\(&quot;fl&quot;#,##0\)"/>
    <numFmt numFmtId="197" formatCode="&quot;fl&quot;#,##0.00_);\(&quot;fl&quot;#,##0.00\)"/>
    <numFmt numFmtId="198" formatCode="\\#,##0.00;[Red]&quot;-\&quot;#,##0.00"/>
    <numFmt numFmtId="199" formatCode="&quot;\&quot;#,##0.00;[Red]\-&quot;\&quot;#,##0.00"/>
    <numFmt numFmtId="200" formatCode="_-* #,##0\ _P_t_s_-;\-* #,##0\ _P_t_s_-;_-* &quot;-&quot;\ _P_t_s_-;_-@_-"/>
    <numFmt numFmtId="201" formatCode="_(* #,##0_);_(* \(#,##0\);_(* &quot;-&quot;??_);_(@_)"/>
    <numFmt numFmtId="202" formatCode="_-* #,##0.00_-;\-* #,##0.00_-;_-* &quot;-&quot;??_-;_-@_-"/>
    <numFmt numFmtId="203" formatCode="_ * #,##0.0_ ;_ * \-#,##0.0_ ;_ * &quot;-&quot;??_ ;_ @_ "/>
    <numFmt numFmtId="204" formatCode="&quot;$&quot;\ #,##0_);&quot;$&quot;\ \(#,##0\);&quot;$&quot;\ \ \ \-\ \ "/>
    <numFmt numFmtId="205" formatCode="0.00\ ;\(0.00\)"/>
    <numFmt numFmtId="206" formatCode="\5\ \-\ \6"/>
    <numFmt numFmtId="207" formatCode="\$#,##0\ ;&quot;($&quot;#,##0\)"/>
    <numFmt numFmtId="208" formatCode="&quot;Rs.&quot;#,##0\ ;\(&quot;Rs.&quot;#,##0\)"/>
    <numFmt numFmtId="209" formatCode="_-* #,##0_-;\-* #,##0_-;_-* &quot;-&quot;_-;_-@_-"/>
    <numFmt numFmtId="210" formatCode="_ [$€]* #,##0.00_ ;_ [$€]* \-#,##0.00_ ;_ [$€]* &quot;-&quot;??_ ;_ @_ "/>
    <numFmt numFmtId="211" formatCode="_([$€]* #,##0.00_);_([$€]* \(#,##0.00\);_([$€]* &quot;-&quot;??_);_(@_)"/>
    <numFmt numFmtId="212" formatCode="00000"/>
    <numFmt numFmtId="213" formatCode="#,##0.0_);[Red]\(#,##0.0\)"/>
    <numFmt numFmtId="214" formatCode="#,##0.0"/>
    <numFmt numFmtId="215" formatCode="#,##0.0_);\(#,##0.0\)"/>
    <numFmt numFmtId="216" formatCode="0.0%"/>
    <numFmt numFmtId="217" formatCode="#,##0\ &quot;F&quot;;[Red]\-#,##0\ &quot;F&quot;"/>
    <numFmt numFmtId="218" formatCode="#,##0.00\ &quot;F&quot;;[Red]\-#,##0.00\ &quot;F&quot;"/>
    <numFmt numFmtId="219" formatCode="#,##0.0\ \P;[Red]\-#,##0.0\ \P"/>
    <numFmt numFmtId="220" formatCode="&quot;$&quot;#,##0.0000_);\(&quot;$&quot;#,##0.0000\)"/>
    <numFmt numFmtId="221" formatCode="#,##0;\-#,##0;&quot;-&quot;"/>
    <numFmt numFmtId="222" formatCode="[$-409]dd\-mmm\-yy;@"/>
    <numFmt numFmtId="223" formatCode="_(* #,##0.0000000_);_(* \(#,##0.0000000\);_(* &quot;-&quot;??_);_(@_)"/>
    <numFmt numFmtId="224" formatCode="#,##0\ ;\(#,##0\)"/>
    <numFmt numFmtId="225" formatCode="#,##0;&quot;(&quot;&quot;-&quot;&quot;)&quot;#,##0"/>
    <numFmt numFmtId="226" formatCode="\60\4\7\:"/>
    <numFmt numFmtId="227" formatCode="0.0"/>
    <numFmt numFmtId="228" formatCode="mm/dd/yy"/>
    <numFmt numFmtId="229" formatCode="&quot;fl&quot;#,##0.00_);[Red]\(&quot;fl&quot;#,##0.00\)"/>
    <numFmt numFmtId="230" formatCode="_(&quot;fl&quot;* #,##0_);_(&quot;fl&quot;* \(#,##0\);_(&quot;fl&quot;* &quot;-&quot;_);_(@_)"/>
    <numFmt numFmtId="231" formatCode="_-&quot;£&quot;* #,##0_-;\-&quot;£&quot;* #,##0_-;_-&quot;£&quot;* &quot;-&quot;_-;_-@_-"/>
    <numFmt numFmtId="232" formatCode="_-&quot;£&quot;* #,##0.00_-;\-&quot;£&quot;* #,##0.00_-;_-&quot;£&quot;* &quot;-&quot;??_-;_-@_-"/>
    <numFmt numFmtId="233" formatCode="_-&quot;Rs.&quot;* #,##0_-;\-&quot;Rs.&quot;* #,##0_-;_-&quot;Rs.&quot;* &quot;-&quot;_-;_-@_-"/>
    <numFmt numFmtId="234" formatCode="_-&quot;Rs.&quot;* #,##0.00_-;\-&quot;Rs.&quot;* #,##0.00_-;_-&quot;Rs.&quot;* &quot;-&quot;??_-;_-@_-"/>
    <numFmt numFmtId="235" formatCode="_ * #,##0_ ;_ * \-#,##0_ ;_ * &quot;-&quot;??_ ;_ @_ "/>
    <numFmt numFmtId="236" formatCode="[$-14009]dd\ mmmm\ yyyy;@"/>
    <numFmt numFmtId="237" formatCode="[$$]#,##0.0_);\([$$]#,##0.0\);[$$]#,##0.0_);@_)"/>
    <numFmt numFmtId="238" formatCode="_ * #,##0.0000000000_ ;_ * \-#,##0.0000000000_ ;_ * &quot;-&quot;??_ ;_ @_ "/>
    <numFmt numFmtId="239" formatCode="_([$€-2]* #,##0.00_);_([$€-2]* \(#,##0.00\);_([$€-2]* &quot;-&quot;??_)"/>
    <numFmt numFmtId="240" formatCode="_-* #,##0.00\ [$€]_-;\-* #,##0.00\ [$€]_-;_-* &quot;-&quot;??\ [$€]_-;_-@_-"/>
    <numFmt numFmtId="241" formatCode="_(* #,##0.0_);_(* \(#,##0.0\);_(* &quot;-&quot;??_);_(@_)"/>
    <numFmt numFmtId="242" formatCode="#,##0.00_ ;\-#,##0.00\ "/>
    <numFmt numFmtId="243" formatCode="_(* #,##0.000_);_(* \(#,##0.000\);_(* &quot;-&quot;??_);_(@_)"/>
    <numFmt numFmtId="244" formatCode="0.00;[Red]0.00"/>
    <numFmt numFmtId="245" formatCode="[$-409]mmm\-yy;@"/>
    <numFmt numFmtId="246" formatCode="_(* #,##0.0000_);_(* \(#,##0.0000\);_(* &quot;-&quot;??_);_(@_)"/>
    <numFmt numFmtId="247" formatCode="0.00000%"/>
    <numFmt numFmtId="248" formatCode="0.000000000000000%"/>
  </numFmts>
  <fonts count="18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2C485E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12"/>
      <name val="Helv"/>
    </font>
    <font>
      <sz val="10"/>
      <color indexed="8"/>
      <name val="Arial"/>
      <family val="2"/>
    </font>
    <font>
      <sz val="10"/>
      <name val="Helv"/>
      <family val="2"/>
    </font>
    <font>
      <sz val="10"/>
      <name val="Courier"/>
      <family val="3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Helv"/>
      <charset val="204"/>
    </font>
    <font>
      <b/>
      <sz val="10"/>
      <name val="Arial"/>
      <family val="2"/>
    </font>
    <font>
      <i/>
      <sz val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palatino"/>
    </font>
    <font>
      <sz val="10"/>
      <name val="MS Sans Serif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0"/>
      <name val="Helv"/>
    </font>
    <font>
      <sz val="14"/>
      <name val="AngsanaUPC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b/>
      <sz val="7"/>
      <name val="Zurich Cn BT"/>
    </font>
    <font>
      <sz val="7"/>
      <name val="Swis721 BlkCn BT"/>
      <family val="2"/>
    </font>
    <font>
      <sz val="12"/>
      <name val="System"/>
      <family val="1"/>
      <charset val="129"/>
    </font>
    <font>
      <sz val="12"/>
      <name val="¹ÙÅÁÃ¼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0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color indexed="8"/>
      <name val="Impact"/>
      <family val="2"/>
    </font>
    <font>
      <sz val="11"/>
      <color indexed="12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1"/>
      <color indexed="14"/>
      <name val="Calibri"/>
      <family val="2"/>
    </font>
    <font>
      <sz val="10"/>
      <color indexed="8"/>
      <name val="Tahoma"/>
      <family val="2"/>
    </font>
    <font>
      <sz val="10"/>
      <name val="Arial Narrow"/>
      <family val="2"/>
    </font>
    <font>
      <sz val="10"/>
      <color indexed="22"/>
      <name val="MS Sans Serif"/>
      <family val="2"/>
    </font>
    <font>
      <b/>
      <u/>
      <sz val="10"/>
      <color indexed="16"/>
      <name val="Arial"/>
      <family val="2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10"/>
      <name val="Tms Rmn"/>
    </font>
    <font>
      <sz val="10"/>
      <name val="Times New Roman"/>
      <family val="1"/>
    </font>
    <font>
      <sz val="24"/>
      <color indexed="13"/>
      <name val="SWISS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0"/>
      <name val="Century Schoolbook"/>
      <family val="1"/>
    </font>
    <font>
      <i/>
      <sz val="6"/>
      <name val="Times New Roman"/>
      <family val="1"/>
    </font>
    <font>
      <b/>
      <sz val="14"/>
      <name val="SWIS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u/>
      <sz val="10"/>
      <name val="Arial"/>
      <family val="2"/>
    </font>
    <font>
      <b/>
      <u/>
      <sz val="1"/>
      <color indexed="8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Arial Black"/>
      <family val="2"/>
    </font>
    <font>
      <b/>
      <sz val="8"/>
      <name val="MS Sans Serif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theme="1"/>
      <name val="Bookman Old Style"/>
      <family val="2"/>
    </font>
    <font>
      <sz val="11"/>
      <name val="Tahoma"/>
      <family val="2"/>
    </font>
    <font>
      <sz val="10"/>
      <color indexed="8"/>
      <name val="MS Sans Serif"/>
      <family val="2"/>
    </font>
    <font>
      <sz val="11"/>
      <name val="Book Antiqua"/>
      <family val="1"/>
    </font>
    <font>
      <sz val="11"/>
      <name val="Garamond"/>
      <family val="1"/>
    </font>
    <font>
      <u/>
      <sz val="18"/>
      <name val="Times New Roman"/>
      <family val="1"/>
    </font>
    <font>
      <sz val="14"/>
      <name val="Arial"/>
      <family val="2"/>
    </font>
    <font>
      <sz val="14"/>
      <name val="–¾’©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sz val="16"/>
      <color indexed="8"/>
      <name val="Times New Roman"/>
      <family val="1"/>
    </font>
    <font>
      <b/>
      <u/>
      <sz val="10"/>
      <name val="Arial"/>
      <family val="2"/>
    </font>
    <font>
      <b/>
      <sz val="10"/>
      <name val="Arial CE"/>
      <family val="2"/>
      <charset val="238"/>
    </font>
    <font>
      <b/>
      <sz val="10"/>
      <color indexed="8"/>
      <name val="MS Sans Serif"/>
      <family val="2"/>
    </font>
    <font>
      <b/>
      <sz val="10"/>
      <name val="MS Sans Serif"/>
      <family val="2"/>
    </font>
    <font>
      <b/>
      <sz val="8"/>
      <color indexed="38"/>
      <name val="Arial"/>
      <family val="2"/>
    </font>
    <font>
      <sz val="8"/>
      <color indexed="61"/>
      <name val="Arial"/>
      <family val="2"/>
    </font>
    <font>
      <b/>
      <i/>
      <sz val="10"/>
      <color indexed="32"/>
      <name val="Arial"/>
      <family val="2"/>
    </font>
    <font>
      <b/>
      <sz val="10"/>
      <color indexed="16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8"/>
      <name val="Wingdings"/>
      <charset val="2"/>
    </font>
    <font>
      <sz val="8"/>
      <name val="Helv"/>
    </font>
    <font>
      <u/>
      <sz val="9"/>
      <color indexed="20"/>
      <name val="Arial"/>
      <family val="2"/>
    </font>
    <font>
      <u/>
      <sz val="9"/>
      <color indexed="36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b/>
      <sz val="11"/>
      <name val="Times New Roman"/>
      <family val="1"/>
    </font>
    <font>
      <sz val="24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Helv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sz val="12"/>
      <name val="新細明體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0"/>
      <color rgb="FF78686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2C485E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783A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2" tint="-0.89999084444715716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2C485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12"/>
      </patternFill>
    </fill>
    <fill>
      <patternFill patternType="solid">
        <fgColor indexed="10"/>
        <bgColor indexed="8"/>
      </patternFill>
    </fill>
    <fill>
      <patternFill patternType="solid">
        <fgColor indexed="13"/>
        <bgColor indexed="1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783A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2C485E"/>
      </bottom>
      <diagonal/>
    </border>
    <border>
      <left style="hair">
        <color rgb="FF2C485E"/>
      </left>
      <right style="hair">
        <color rgb="FF2C485E"/>
      </right>
      <top/>
      <bottom/>
      <diagonal/>
    </border>
    <border>
      <left style="hair">
        <color rgb="FF2C485E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rgb="FFFF783A"/>
      </left>
      <right/>
      <top style="dashed">
        <color rgb="FFFF783A"/>
      </top>
      <bottom/>
      <diagonal/>
    </border>
    <border>
      <left/>
      <right/>
      <top style="dashed">
        <color rgb="FFFF783A"/>
      </top>
      <bottom/>
      <diagonal/>
    </border>
    <border>
      <left/>
      <right style="dashed">
        <color rgb="FFFF783A"/>
      </right>
      <top style="dashed">
        <color rgb="FFFF783A"/>
      </top>
      <bottom/>
      <diagonal/>
    </border>
    <border>
      <left style="dashed">
        <color rgb="FFFF783A"/>
      </left>
      <right style="dashed">
        <color rgb="FFFF783A"/>
      </right>
      <top style="dashed">
        <color rgb="FFFF783A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rgb="FFFF783A"/>
      </bottom>
      <diagonal/>
    </border>
    <border>
      <left/>
      <right/>
      <top/>
      <bottom style="medium">
        <color theme="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3"/>
      </bottom>
      <diagonal/>
    </border>
    <border>
      <left/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 style="hair">
        <color rgb="FF2C485E"/>
      </right>
      <top style="thin">
        <color rgb="FF2C485E"/>
      </top>
      <bottom style="thick">
        <color rgb="FF2C485E"/>
      </bottom>
      <diagonal/>
    </border>
    <border>
      <left style="thin">
        <color rgb="FFFF783A"/>
      </left>
      <right style="thin">
        <color rgb="FFFF783A"/>
      </right>
      <top/>
      <bottom/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thin">
        <color rgb="FFFF783A"/>
      </bottom>
      <diagonal/>
    </border>
    <border>
      <left/>
      <right/>
      <top style="thin">
        <color rgb="FFFF783A"/>
      </top>
      <bottom style="thin">
        <color rgb="FFFF783A"/>
      </bottom>
      <diagonal/>
    </border>
    <border>
      <left style="thin">
        <color rgb="FFFF783A"/>
      </left>
      <right style="thin">
        <color rgb="FFFF783A"/>
      </right>
      <top style="hair">
        <color rgb="FFFF783A"/>
      </top>
      <bottom/>
      <diagonal/>
    </border>
    <border>
      <left/>
      <right/>
      <top style="hair">
        <color rgb="FFFF783A"/>
      </top>
      <bottom/>
      <diagonal/>
    </border>
    <border>
      <left/>
      <right/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medium">
        <color rgb="FFFF783A"/>
      </bottom>
      <diagonal/>
    </border>
    <border>
      <left/>
      <right/>
      <top style="thin">
        <color rgb="FFFF783A"/>
      </top>
      <bottom style="medium">
        <color rgb="FFFF783A"/>
      </bottom>
      <diagonal/>
    </border>
    <border>
      <left style="thin">
        <color rgb="FFFF783A"/>
      </left>
      <right/>
      <top/>
      <bottom/>
      <diagonal/>
    </border>
    <border>
      <left style="hair">
        <color rgb="FFFF783A"/>
      </left>
      <right style="hair">
        <color rgb="FFFF783A"/>
      </right>
      <top/>
      <bottom/>
      <diagonal/>
    </border>
    <border>
      <left style="thin">
        <color rgb="FFFF783A"/>
      </left>
      <right/>
      <top style="thin">
        <color rgb="FFFF783A"/>
      </top>
      <bottom style="thin">
        <color rgb="FFFF783A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thin">
        <color rgb="FFFF783A"/>
      </bottom>
      <diagonal/>
    </border>
    <border>
      <left style="thin">
        <color rgb="FFFF783A"/>
      </left>
      <right/>
      <top style="thin">
        <color rgb="FFFF783A"/>
      </top>
      <bottom style="medium">
        <color rgb="FF2C485E"/>
      </bottom>
      <diagonal/>
    </border>
    <border>
      <left/>
      <right/>
      <top style="thin">
        <color rgb="FFFF783A"/>
      </top>
      <bottom style="medium">
        <color rgb="FF2C485E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medium">
        <color rgb="FF2C485E"/>
      </bottom>
      <diagonal/>
    </border>
    <border>
      <left/>
      <right style="thin">
        <color rgb="FFFF783A"/>
      </right>
      <top/>
      <bottom/>
      <diagonal/>
    </border>
    <border>
      <left style="thin">
        <color rgb="FFFF783A"/>
      </left>
      <right/>
      <top/>
      <bottom style="hair">
        <color rgb="FFFF783A"/>
      </bottom>
      <diagonal/>
    </border>
    <border>
      <left/>
      <right style="thin">
        <color rgb="FFFF783A"/>
      </right>
      <top/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 style="hair">
        <color rgb="FFFF783A"/>
      </bottom>
      <diagonal/>
    </border>
    <border>
      <left/>
      <right style="thin">
        <color rgb="FFFF783A"/>
      </right>
      <top style="hair">
        <color rgb="FFFF783A"/>
      </top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/>
      <diagonal/>
    </border>
    <border>
      <left/>
      <right style="thin">
        <color rgb="FFFF783A"/>
      </right>
      <top style="hair">
        <color rgb="FFFF783A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rgb="FF2C485E"/>
      </left>
      <right style="hair">
        <color rgb="FF2C485E"/>
      </right>
      <top style="medium">
        <color rgb="FF2C485E"/>
      </top>
      <bottom style="medium">
        <color rgb="FF2C485E"/>
      </bottom>
      <diagonal/>
    </border>
    <border>
      <left style="hair">
        <color rgb="FF2C485E"/>
      </left>
      <right/>
      <top style="medium">
        <color rgb="FF2C485E"/>
      </top>
      <bottom style="medium">
        <color rgb="FF2C485E"/>
      </bottom>
      <diagonal/>
    </border>
    <border>
      <left/>
      <right/>
      <top style="medium">
        <color rgb="FF2C485E"/>
      </top>
      <bottom style="medium">
        <color rgb="FF2C485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/>
      <bottom/>
      <diagonal/>
    </border>
  </borders>
  <cellStyleXfs count="120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1" fillId="0" borderId="0"/>
    <xf numFmtId="172" fontId="13" fillId="0" borderId="0"/>
    <xf numFmtId="172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175" fontId="16" fillId="0" borderId="0"/>
    <xf numFmtId="175" fontId="16" fillId="0" borderId="0"/>
    <xf numFmtId="0" fontId="11" fillId="0" borderId="0"/>
    <xf numFmtId="0" fontId="11" fillId="0" borderId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17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" fontId="11" fillId="7" borderId="0"/>
    <xf numFmtId="0" fontId="11" fillId="0" borderId="0"/>
    <xf numFmtId="0" fontId="11" fillId="0" borderId="0"/>
    <xf numFmtId="0" fontId="23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1" fillId="0" borderId="0"/>
    <xf numFmtId="181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/>
    <xf numFmtId="0" fontId="25" fillId="8" borderId="0"/>
    <xf numFmtId="0" fontId="26" fillId="0" borderId="0" applyNumberFormat="0" applyFill="0" applyBorder="0" applyAlignment="0" applyProtection="0"/>
    <xf numFmtId="0" fontId="11" fillId="9" borderId="0" applyNumberFormat="0" applyFon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2" fontId="11" fillId="0" borderId="0" applyFont="0" applyFill="0" applyBorder="0" applyAlignment="0" applyProtection="0"/>
    <xf numFmtId="183" fontId="11" fillId="0" borderId="0" applyFont="0" applyFill="0" applyBorder="0" applyProtection="0">
      <alignment horizontal="right"/>
    </xf>
    <xf numFmtId="0" fontId="11" fillId="0" borderId="0" applyNumberFormat="0" applyFill="0" applyBorder="0" applyAlignment="0" applyProtection="0"/>
    <xf numFmtId="175" fontId="16" fillId="0" borderId="0"/>
    <xf numFmtId="175" fontId="16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 applyNumberFormat="0" applyFill="0" applyBorder="0" applyProtection="0">
      <alignment vertical="top"/>
    </xf>
    <xf numFmtId="0" fontId="28" fillId="0" borderId="5" applyNumberFormat="0" applyFill="0" applyAlignment="0" applyProtection="0"/>
    <xf numFmtId="0" fontId="29" fillId="0" borderId="6" applyNumberFormat="0" applyFill="0" applyProtection="0">
      <alignment horizontal="center"/>
    </xf>
    <xf numFmtId="0" fontId="29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centerContinuous"/>
    </xf>
    <xf numFmtId="0" fontId="31" fillId="0" borderId="0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2" fontId="13" fillId="0" borderId="0"/>
    <xf numFmtId="0" fontId="11" fillId="0" borderId="0"/>
    <xf numFmtId="0" fontId="11" fillId="0" borderId="0"/>
    <xf numFmtId="0" fontId="11" fillId="0" borderId="0"/>
    <xf numFmtId="1" fontId="32" fillId="0" borderId="0"/>
    <xf numFmtId="184" fontId="33" fillId="0" borderId="0" applyBorder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85" fontId="11" fillId="0" borderId="0" applyProtection="0">
      <protection locked="0"/>
    </xf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0" borderId="0">
      <protection locked="0"/>
    </xf>
    <xf numFmtId="9" fontId="36" fillId="0" borderId="0"/>
    <xf numFmtId="9" fontId="36" fillId="0" borderId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22" fillId="0" borderId="0" applyNumberFormat="0" applyAlignment="0"/>
    <xf numFmtId="186" fontId="11" fillId="0" borderId="0" applyFill="0" applyBorder="0" applyAlignment="0" applyProtection="0"/>
    <xf numFmtId="187" fontId="11" fillId="0" borderId="0" applyFill="0" applyBorder="0" applyAlignment="0" applyProtection="0"/>
    <xf numFmtId="0" fontId="37" fillId="0" borderId="0">
      <alignment horizontal="center" wrapText="1"/>
      <protection locked="0"/>
    </xf>
    <xf numFmtId="188" fontId="11" fillId="0" borderId="0" applyFill="0" applyBorder="0" applyAlignment="0" applyProtection="0"/>
    <xf numFmtId="189" fontId="11" fillId="0" borderId="0" applyFill="0" applyBorder="0" applyAlignment="0" applyProtection="0"/>
    <xf numFmtId="190" fontId="11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9" fillId="0" borderId="0" applyNumberFormat="0" applyFill="0" applyBorder="0" applyAlignment="0" applyProtection="0"/>
    <xf numFmtId="191" fontId="40" fillId="0" borderId="0" applyAlignment="0"/>
    <xf numFmtId="191" fontId="41" fillId="0" borderId="0" applyAlignment="0">
      <alignment horizontal="right"/>
    </xf>
    <xf numFmtId="0" fontId="42" fillId="0" borderId="0"/>
    <xf numFmtId="0" fontId="43" fillId="0" borderId="0"/>
    <xf numFmtId="0" fontId="44" fillId="0" borderId="0"/>
    <xf numFmtId="0" fontId="42" fillId="0" borderId="0"/>
    <xf numFmtId="0" fontId="42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6" fillId="0" borderId="0"/>
    <xf numFmtId="192" fontId="22" fillId="0" borderId="0" applyFill="0"/>
    <xf numFmtId="192" fontId="22" fillId="0" borderId="0">
      <alignment horizontal="center"/>
    </xf>
    <xf numFmtId="0" fontId="22" fillId="0" borderId="0" applyFill="0">
      <alignment horizontal="center"/>
    </xf>
    <xf numFmtId="192" fontId="47" fillId="0" borderId="7" applyFill="0"/>
    <xf numFmtId="0" fontId="11" fillId="0" borderId="0" applyFont="0" applyAlignment="0"/>
    <xf numFmtId="0" fontId="48" fillId="0" borderId="0" applyFill="0">
      <alignment vertical="top"/>
    </xf>
    <xf numFmtId="0" fontId="47" fillId="0" borderId="0" applyFill="0">
      <alignment horizontal="left" vertical="top"/>
    </xf>
    <xf numFmtId="192" fontId="49" fillId="0" borderId="1" applyFill="0"/>
    <xf numFmtId="0" fontId="11" fillId="0" borderId="0" applyNumberFormat="0" applyFont="0" applyAlignment="0"/>
    <xf numFmtId="0" fontId="48" fillId="0" borderId="0" applyFill="0">
      <alignment wrapText="1"/>
    </xf>
    <xf numFmtId="0" fontId="47" fillId="0" borderId="0" applyFill="0">
      <alignment horizontal="left" vertical="top" wrapText="1"/>
    </xf>
    <xf numFmtId="192" fontId="50" fillId="0" borderId="0" applyFill="0"/>
    <xf numFmtId="0" fontId="51" fillId="0" borderId="0" applyNumberFormat="0" applyFont="0" applyAlignment="0">
      <alignment horizontal="center"/>
    </xf>
    <xf numFmtId="0" fontId="52" fillId="0" borderId="0" applyFill="0">
      <alignment vertical="top" wrapText="1"/>
    </xf>
    <xf numFmtId="0" fontId="49" fillId="0" borderId="0" applyFill="0">
      <alignment horizontal="left" vertical="top" wrapText="1"/>
    </xf>
    <xf numFmtId="192" fontId="11" fillId="0" borderId="0" applyFill="0"/>
    <xf numFmtId="0" fontId="51" fillId="0" borderId="0" applyNumberFormat="0" applyFont="0" applyAlignment="0">
      <alignment horizontal="center"/>
    </xf>
    <xf numFmtId="0" fontId="53" fillId="0" borderId="0" applyFill="0">
      <alignment vertical="center" wrapText="1"/>
    </xf>
    <xf numFmtId="0" fontId="54" fillId="0" borderId="0">
      <alignment horizontal="left" vertical="center" wrapText="1"/>
    </xf>
    <xf numFmtId="192" fontId="55" fillId="0" borderId="0" applyFill="0"/>
    <xf numFmtId="0" fontId="5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11" fillId="0" borderId="0" applyFill="0">
      <alignment horizontal="center" vertical="center" wrapText="1"/>
    </xf>
    <xf numFmtId="192" fontId="56" fillId="0" borderId="0" applyFill="0"/>
    <xf numFmtId="0" fontId="51" fillId="0" borderId="0" applyNumberFormat="0" applyFont="0" applyAlignment="0">
      <alignment horizontal="center"/>
    </xf>
    <xf numFmtId="0" fontId="57" fillId="0" borderId="0" applyFill="0">
      <alignment horizontal="center" vertical="center" wrapText="1"/>
    </xf>
    <xf numFmtId="0" fontId="58" fillId="0" borderId="0" applyFill="0">
      <alignment horizontal="center" vertical="center" wrapText="1"/>
    </xf>
    <xf numFmtId="192" fontId="59" fillId="0" borderId="0" applyFill="0"/>
    <xf numFmtId="0" fontId="51" fillId="0" borderId="0" applyNumberFormat="0" applyFont="0" applyAlignment="0">
      <alignment horizontal="center"/>
    </xf>
    <xf numFmtId="0" fontId="60" fillId="0" borderId="0">
      <alignment horizontal="center" wrapText="1"/>
    </xf>
    <xf numFmtId="0" fontId="56" fillId="0" borderId="0" applyFill="0">
      <alignment horizontal="center" wrapText="1"/>
    </xf>
    <xf numFmtId="193" fontId="61" fillId="0" borderId="0" applyFill="0" applyBorder="0" applyAlignment="0"/>
    <xf numFmtId="172" fontId="61" fillId="0" borderId="0" applyFill="0" applyBorder="0" applyAlignment="0"/>
    <xf numFmtId="194" fontId="61" fillId="0" borderId="0" applyFill="0" applyBorder="0" applyAlignment="0"/>
    <xf numFmtId="195" fontId="61" fillId="0" borderId="0" applyFill="0" applyBorder="0" applyAlignment="0"/>
    <xf numFmtId="196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3" fillId="0" borderId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5" fillId="7" borderId="10">
      <alignment horizontal="center" wrapText="1"/>
    </xf>
    <xf numFmtId="0" fontId="66" fillId="0" borderId="0">
      <alignment horizontal="right"/>
    </xf>
    <xf numFmtId="0" fontId="67" fillId="0" borderId="11">
      <alignment horizontal="center"/>
    </xf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3" fontId="61" fillId="0" borderId="0" applyFont="0" applyFill="0" applyBorder="0" applyAlignment="0" applyProtection="0"/>
    <xf numFmtId="200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2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68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4" fontId="7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12" fillId="0" borderId="0" applyFont="0" applyFill="0" applyBorder="0" applyAlignment="0" applyProtection="0"/>
    <xf numFmtId="205" fontId="11" fillId="0" borderId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72" fillId="0" borderId="0" applyFont="0" applyFill="0" applyBorder="0" applyAlignment="0" applyProtection="0"/>
    <xf numFmtId="0" fontId="73" fillId="0" borderId="0"/>
    <xf numFmtId="0" fontId="74" fillId="0" borderId="0" applyNumberFormat="0" applyAlignment="0">
      <alignment horizontal="left"/>
    </xf>
    <xf numFmtId="167" fontId="75" fillId="0" borderId="12" applyBorder="0"/>
    <xf numFmtId="172" fontId="6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206" fontId="11" fillId="0" borderId="0">
      <protection locked="0"/>
    </xf>
    <xf numFmtId="207" fontId="11" fillId="0" borderId="0" applyFill="0" applyBorder="0" applyAlignment="0" applyProtection="0"/>
    <xf numFmtId="208" fontId="7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13"/>
    <xf numFmtId="0" fontId="11" fillId="0" borderId="0" applyFill="0" applyBorder="0" applyAlignment="0" applyProtection="0"/>
    <xf numFmtId="15" fontId="32" fillId="0" borderId="0"/>
    <xf numFmtId="14" fontId="14" fillId="0" borderId="0" applyFill="0" applyBorder="0" applyAlignment="0"/>
    <xf numFmtId="15" fontId="32" fillId="0" borderId="0"/>
    <xf numFmtId="0" fontId="12" fillId="0" borderId="0" applyNumberFormat="0" applyFont="0" applyFill="0" applyBorder="0" applyAlignment="0" applyProtection="0"/>
    <xf numFmtId="0" fontId="16" fillId="0" borderId="0"/>
    <xf numFmtId="38" fontId="32" fillId="0" borderId="14">
      <alignment vertical="center"/>
    </xf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1" fontId="77" fillId="0" borderId="15" applyNumberFormat="0" applyFont="0"/>
    <xf numFmtId="0" fontId="16" fillId="0" borderId="13"/>
    <xf numFmtId="0" fontId="16" fillId="0" borderId="13"/>
    <xf numFmtId="0" fontId="78" fillId="0" borderId="0">
      <alignment horizontal="left" vertical="center" wrapText="1"/>
    </xf>
    <xf numFmtId="0" fontId="39" fillId="0" borderId="0" applyNumberFormat="0" applyFill="0" applyBorder="0" applyAlignment="0" applyProtection="0"/>
    <xf numFmtId="0" fontId="79" fillId="30" borderId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80" fillId="0" borderId="0" applyNumberFormat="0" applyAlignment="0">
      <alignment horizontal="left"/>
    </xf>
    <xf numFmtId="0" fontId="14" fillId="31" borderId="0" applyNumberFormat="0">
      <alignment horizontal="left" vertical="top"/>
    </xf>
    <xf numFmtId="210" fontId="11" fillId="0" borderId="0" applyFont="0" applyFill="0" applyBorder="0" applyAlignment="0" applyProtection="0">
      <alignment vertical="top"/>
    </xf>
    <xf numFmtId="210" fontId="11" fillId="0" borderId="0" applyFont="0" applyFill="0" applyBorder="0" applyAlignment="0" applyProtection="0">
      <alignment vertical="top"/>
    </xf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" fontId="12" fillId="0" borderId="0" applyFill="0" applyBorder="0" applyAlignment="0" applyProtection="0"/>
    <xf numFmtId="0" fontId="12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3" fontId="33" fillId="0" borderId="0"/>
    <xf numFmtId="2" fontId="11" fillId="0" borderId="0" applyFill="0" applyBorder="0" applyAlignment="0" applyProtection="0"/>
    <xf numFmtId="2" fontId="82" fillId="0" borderId="0" applyFont="0" applyFill="0" applyBorder="0" applyAlignment="0" applyProtection="0">
      <alignment vertical="top"/>
    </xf>
    <xf numFmtId="0" fontId="83" fillId="0" borderId="0" applyNumberFormat="0" applyFill="0" applyBorder="0" applyAlignment="0" applyProtection="0"/>
    <xf numFmtId="0" fontId="84" fillId="0" borderId="16"/>
    <xf numFmtId="0" fontId="84" fillId="0" borderId="13"/>
    <xf numFmtId="0" fontId="84" fillId="32" borderId="13"/>
    <xf numFmtId="214" fontId="85" fillId="0" borderId="17">
      <alignment horizontal="right"/>
    </xf>
    <xf numFmtId="214" fontId="85" fillId="0" borderId="18">
      <alignment horizontal="right"/>
    </xf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38" fontId="22" fillId="3" borderId="0" applyNumberFormat="0" applyBorder="0" applyAlignment="0" applyProtection="0"/>
    <xf numFmtId="0" fontId="11" fillId="28" borderId="0" applyNumberFormat="0" applyFont="0" applyBorder="0" applyAlignment="0" applyProtection="0"/>
    <xf numFmtId="175" fontId="87" fillId="0" borderId="0"/>
    <xf numFmtId="0" fontId="88" fillId="0" borderId="0">
      <protection locked="0"/>
    </xf>
    <xf numFmtId="0" fontId="11" fillId="0" borderId="0">
      <alignment horizontal="left"/>
    </xf>
    <xf numFmtId="0" fontId="49" fillId="0" borderId="19" applyNumberFormat="0" applyAlignment="0" applyProtection="0">
      <alignment horizontal="left" vertical="center"/>
    </xf>
    <xf numFmtId="0" fontId="49" fillId="0" borderId="19" applyNumberFormat="0" applyAlignment="0" applyProtection="0">
      <alignment horizontal="left" vertical="center"/>
    </xf>
    <xf numFmtId="0" fontId="49" fillId="0" borderId="20">
      <alignment horizontal="left" vertical="center"/>
    </xf>
    <xf numFmtId="0" fontId="49" fillId="0" borderId="20">
      <alignment horizontal="left" vertical="center"/>
    </xf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>
      <alignment horizontal="left" vertical="top"/>
    </xf>
    <xf numFmtId="0" fontId="93" fillId="0" borderId="24">
      <alignment horizontal="center"/>
    </xf>
    <xf numFmtId="0" fontId="93" fillId="0" borderId="0">
      <alignment horizontal="center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10" fontId="22" fillId="7" borderId="25" applyNumberFormat="0" applyBorder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215" fontId="76" fillId="33" borderId="0"/>
    <xf numFmtId="0" fontId="98" fillId="34" borderId="13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215" fontId="11" fillId="35" borderId="0"/>
    <xf numFmtId="216" fontId="100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11" fillId="0" borderId="24"/>
    <xf numFmtId="0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9" fontId="11" fillId="0" borderId="27" applyBorder="0" applyAlignment="0" applyProtection="0">
      <alignment horizontal="center"/>
    </xf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78" fillId="0" borderId="0"/>
    <xf numFmtId="37" fontId="102" fillId="0" borderId="0"/>
    <xf numFmtId="37" fontId="102" fillId="0" borderId="0"/>
    <xf numFmtId="38" fontId="33" fillId="0" borderId="0" applyFill="0" applyBorder="0"/>
    <xf numFmtId="0" fontId="11" fillId="0" borderId="0"/>
    <xf numFmtId="220" fontId="11" fillId="0" borderId="0"/>
    <xf numFmtId="194" fontId="11" fillId="0" borderId="0"/>
    <xf numFmtId="221" fontId="11" fillId="0" borderId="0"/>
    <xf numFmtId="221" fontId="11" fillId="0" borderId="0"/>
    <xf numFmtId="221" fontId="11" fillId="0" borderId="0"/>
    <xf numFmtId="0" fontId="55" fillId="0" borderId="0"/>
    <xf numFmtId="0" fontId="11" fillId="0" borderId="0"/>
    <xf numFmtId="0" fontId="11" fillId="0" borderId="0"/>
    <xf numFmtId="0" fontId="11" fillId="0" borderId="0"/>
    <xf numFmtId="222" fontId="11" fillId="0" borderId="0"/>
    <xf numFmtId="201" fontId="11" fillId="0" borderId="0"/>
    <xf numFmtId="201" fontId="11" fillId="0" borderId="0"/>
    <xf numFmtId="0" fontId="11" fillId="0" borderId="0"/>
    <xf numFmtId="0" fontId="11" fillId="0" borderId="0"/>
    <xf numFmtId="216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6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horizontal="left" wrapText="1"/>
    </xf>
    <xf numFmtId="223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4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04" fillId="0" borderId="0"/>
    <xf numFmtId="0" fontId="11" fillId="0" borderId="0"/>
    <xf numFmtId="224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0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7" fillId="0" borderId="0"/>
    <xf numFmtId="0" fontId="11" fillId="0" borderId="0" applyNumberFormat="0" applyFill="0" applyBorder="0" applyAlignment="0" applyProtection="0"/>
    <xf numFmtId="225" fontId="108" fillId="0" borderId="0" applyFont="0" applyFill="0" applyBorder="0" applyAlignment="0" applyProtection="0">
      <alignment horizontal="centerContinuous"/>
    </xf>
    <xf numFmtId="0" fontId="109" fillId="0" borderId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40" fontId="110" fillId="0" borderId="0" applyFont="0" applyFill="0" applyBorder="0" applyAlignment="0" applyProtection="0"/>
    <xf numFmtId="38" fontId="110" fillId="0" borderId="0" applyFont="0" applyFill="0" applyBorder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3" fontId="112" fillId="37" borderId="0" applyBorder="0"/>
    <xf numFmtId="17" fontId="112" fillId="38" borderId="0" applyBorder="0">
      <alignment horizontal="right"/>
    </xf>
    <xf numFmtId="0" fontId="112" fillId="39" borderId="0" applyBorder="0"/>
    <xf numFmtId="0" fontId="113" fillId="40" borderId="0" applyBorder="0">
      <alignment horizontal="centerContinuous"/>
    </xf>
    <xf numFmtId="0" fontId="114" fillId="37" borderId="0" applyBorder="0">
      <alignment horizontal="centerContinuous"/>
    </xf>
    <xf numFmtId="14" fontId="37" fillId="0" borderId="0">
      <alignment horizontal="center" wrapText="1"/>
      <protection locked="0"/>
    </xf>
    <xf numFmtId="196" fontId="61" fillId="0" borderId="0" applyFont="0" applyFill="0" applyBorder="0" applyAlignment="0" applyProtection="0"/>
    <xf numFmtId="226" fontId="6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/>
    <xf numFmtId="9" fontId="70" fillId="0" borderId="0" applyFont="0" applyFill="0" applyBorder="0" applyAlignment="0" applyProtection="0"/>
    <xf numFmtId="9" fontId="11" fillId="0" borderId="0" applyFill="0" applyBorder="0" applyAlignment="0" applyProtection="0"/>
    <xf numFmtId="9" fontId="2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30" applyNumberFormat="0" applyBorder="0"/>
    <xf numFmtId="3" fontId="11" fillId="0" borderId="0">
      <protection locked="0"/>
    </xf>
    <xf numFmtId="0" fontId="115" fillId="0" borderId="0">
      <alignment wrapText="1"/>
      <protection locked="0"/>
    </xf>
    <xf numFmtId="0" fontId="11" fillId="0" borderId="0">
      <protection locked="0"/>
    </xf>
    <xf numFmtId="3" fontId="24" fillId="41" borderId="0">
      <protection locked="0"/>
    </xf>
    <xf numFmtId="0" fontId="11" fillId="0" borderId="0"/>
    <xf numFmtId="0" fontId="116" fillId="0" borderId="0" applyFont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227" fontId="14" fillId="0" borderId="0"/>
    <xf numFmtId="0" fontId="117" fillId="0" borderId="31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118" fillId="0" borderId="24">
      <alignment horizontal="center"/>
    </xf>
    <xf numFmtId="3" fontId="32" fillId="0" borderId="0" applyFont="0" applyFill="0" applyBorder="0" applyAlignment="0" applyProtection="0"/>
    <xf numFmtId="0" fontId="32" fillId="42" borderId="0" applyNumberFormat="0" applyFont="0" applyBorder="0" applyAlignment="0" applyProtection="0"/>
    <xf numFmtId="3" fontId="119" fillId="37" borderId="0"/>
    <xf numFmtId="0" fontId="120" fillId="37" borderId="0">
      <alignment horizontal="left" indent="7"/>
    </xf>
    <xf numFmtId="0" fontId="119" fillId="37" borderId="0">
      <alignment horizontal="left" indent="6"/>
    </xf>
    <xf numFmtId="3" fontId="24" fillId="0" borderId="7" applyFill="0"/>
    <xf numFmtId="0" fontId="67" fillId="43" borderId="25" applyNumberFormat="0" applyBorder="0" applyAlignment="0">
      <alignment horizontal="right"/>
    </xf>
    <xf numFmtId="0" fontId="121" fillId="44" borderId="0"/>
    <xf numFmtId="0" fontId="24" fillId="0" borderId="0" applyFill="0"/>
    <xf numFmtId="3" fontId="24" fillId="0" borderId="1" applyFill="0"/>
    <xf numFmtId="0" fontId="11" fillId="45" borderId="0" applyNumberFormat="0" applyFont="0" applyBorder="0" applyAlignment="0"/>
    <xf numFmtId="0" fontId="121" fillId="46" borderId="0">
      <alignment horizontal="left" indent="2"/>
    </xf>
    <xf numFmtId="0" fontId="121" fillId="0" borderId="0" applyFill="0">
      <alignment horizontal="left" indent="2"/>
    </xf>
    <xf numFmtId="3" fontId="24" fillId="0" borderId="0" applyFill="0"/>
    <xf numFmtId="0" fontId="11" fillId="47" borderId="0" applyNumberFormat="0" applyFont="0" applyBorder="0" applyAlignment="0"/>
    <xf numFmtId="0" fontId="122" fillId="47" borderId="0">
      <alignment horizontal="left" indent="4"/>
    </xf>
    <xf numFmtId="0" fontId="123" fillId="47" borderId="0">
      <alignment horizontal="left" indent="4"/>
    </xf>
    <xf numFmtId="3" fontId="25" fillId="0" borderId="0" applyFill="0"/>
    <xf numFmtId="0" fontId="11" fillId="0" borderId="0" applyNumberFormat="0" applyFont="0" applyBorder="0" applyAlignment="0"/>
    <xf numFmtId="0" fontId="124" fillId="0" borderId="0">
      <alignment horizontal="left" indent="6"/>
    </xf>
    <xf numFmtId="0" fontId="124" fillId="0" borderId="0" applyFill="0">
      <alignment horizontal="left" indent="6"/>
    </xf>
    <xf numFmtId="192" fontId="55" fillId="0" borderId="0" applyFill="0"/>
    <xf numFmtId="0" fontId="11" fillId="0" borderId="0" applyNumberFormat="0" applyFont="0" applyBorder="0" applyAlignment="0"/>
    <xf numFmtId="0" fontId="125" fillId="0" borderId="0">
      <alignment horizontal="left" indent="7"/>
    </xf>
    <xf numFmtId="214" fontId="125" fillId="0" borderId="0" applyFill="0">
      <alignment horizontal="left" indent="7"/>
    </xf>
    <xf numFmtId="192" fontId="56" fillId="0" borderId="0" applyFill="0"/>
    <xf numFmtId="0" fontId="11" fillId="0" borderId="0" applyNumberFormat="0" applyFont="0" applyBorder="0" applyAlignment="0"/>
    <xf numFmtId="0" fontId="57" fillId="0" borderId="0">
      <alignment horizontal="left" indent="8"/>
    </xf>
    <xf numFmtId="0" fontId="58" fillId="0" borderId="0" applyFill="0">
      <alignment horizontal="left" indent="8"/>
    </xf>
    <xf numFmtId="192" fontId="59" fillId="0" borderId="0" applyFill="0"/>
    <xf numFmtId="0" fontId="11" fillId="0" borderId="0" applyNumberFormat="0" applyFont="0" applyFill="0" applyBorder="0" applyAlignment="0"/>
    <xf numFmtId="0" fontId="60" fillId="0" borderId="0" applyFill="0">
      <alignment horizontal="left" indent="9"/>
    </xf>
    <xf numFmtId="0" fontId="56" fillId="0" borderId="0" applyFill="0">
      <alignment horizontal="left" indent="9"/>
    </xf>
    <xf numFmtId="0" fontId="126" fillId="48" borderId="0" applyNumberFormat="0" applyFont="0" applyBorder="0" applyAlignment="0">
      <alignment horizontal="center"/>
    </xf>
    <xf numFmtId="0" fontId="76" fillId="0" borderId="0"/>
    <xf numFmtId="0" fontId="76" fillId="0" borderId="0"/>
    <xf numFmtId="0" fontId="16" fillId="0" borderId="0"/>
    <xf numFmtId="228" fontId="127" fillId="0" borderId="0" applyNumberFormat="0" applyFill="0" applyBorder="0" applyAlignment="0" applyProtection="0">
      <alignment horizontal="left"/>
    </xf>
    <xf numFmtId="0" fontId="126" fillId="1" borderId="20" applyNumberFormat="0" applyFont="0" applyAlignment="0">
      <alignment horizontal="center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>
      <alignment horizontal="center"/>
    </xf>
    <xf numFmtId="218" fontId="32" fillId="0" borderId="0">
      <alignment horizontal="center"/>
    </xf>
    <xf numFmtId="175" fontId="16" fillId="0" borderId="0"/>
    <xf numFmtId="0" fontId="2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0" borderId="0">
      <alignment vertical="top"/>
    </xf>
    <xf numFmtId="0" fontId="11" fillId="0" borderId="0"/>
    <xf numFmtId="40" fontId="131" fillId="0" borderId="0" applyBorder="0">
      <alignment horizontal="right"/>
    </xf>
    <xf numFmtId="0" fontId="76" fillId="0" borderId="13"/>
    <xf numFmtId="0" fontId="76" fillId="0" borderId="13"/>
    <xf numFmtId="3" fontId="22" fillId="3" borderId="0">
      <alignment horizontal="center"/>
    </xf>
    <xf numFmtId="49" fontId="14" fillId="0" borderId="0" applyFill="0" applyBorder="0" applyAlignment="0"/>
    <xf numFmtId="229" fontId="61" fillId="0" borderId="0" applyFill="0" applyBorder="0" applyAlignment="0"/>
    <xf numFmtId="230" fontId="61" fillId="0" borderId="0" applyFill="0" applyBorder="0" applyAlignment="0"/>
    <xf numFmtId="40" fontId="132" fillId="0" borderId="0"/>
    <xf numFmtId="0" fontId="133" fillId="35" borderId="0"/>
    <xf numFmtId="0" fontId="134" fillId="35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98" fillId="0" borderId="16"/>
    <xf numFmtId="0" fontId="137" fillId="0" borderId="16"/>
    <xf numFmtId="0" fontId="98" fillId="0" borderId="13"/>
    <xf numFmtId="0" fontId="137" fillId="0" borderId="13"/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72" fontId="13" fillId="0" borderId="0"/>
    <xf numFmtId="0" fontId="138" fillId="0" borderId="0">
      <alignment vertical="top"/>
    </xf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" fillId="36" borderId="0" applyNumberFormat="0" applyFont="0" applyBorder="0" applyAlignment="0" applyProtection="0"/>
    <xf numFmtId="0" fontId="140" fillId="0" borderId="0">
      <alignment horizontal="left"/>
    </xf>
    <xf numFmtId="0" fontId="141" fillId="0" borderId="0"/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43" fillId="0" borderId="0"/>
    <xf numFmtId="0" fontId="144" fillId="0" borderId="0"/>
    <xf numFmtId="209" fontId="144" fillId="0" borderId="0" applyFont="0" applyFill="0" applyBorder="0" applyAlignment="0" applyProtection="0"/>
    <xf numFmtId="202" fontId="14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233" fontId="144" fillId="0" borderId="0" applyFont="0" applyFill="0" applyBorder="0" applyAlignment="0" applyProtection="0"/>
    <xf numFmtId="234" fontId="144" fillId="0" borderId="0" applyFont="0" applyFill="0" applyBorder="0" applyAlignment="0" applyProtection="0"/>
    <xf numFmtId="234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238" fontId="12" fillId="0" borderId="0"/>
    <xf numFmtId="201" fontId="4" fillId="0" borderId="0" applyFont="0" applyFill="0" applyBorder="0" applyAlignment="0" applyProtection="0"/>
    <xf numFmtId="237" fontId="71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11" fillId="0" borderId="0"/>
    <xf numFmtId="239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3" fillId="0" borderId="0"/>
    <xf numFmtId="0" fontId="164" fillId="0" borderId="0"/>
    <xf numFmtId="43" fontId="16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9" fillId="0" borderId="0"/>
    <xf numFmtId="165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159" fillId="0" borderId="0"/>
    <xf numFmtId="240" fontId="11" fillId="0" borderId="0"/>
    <xf numFmtId="0" fontId="4" fillId="0" borderId="0"/>
    <xf numFmtId="240" fontId="4" fillId="0" borderId="0"/>
    <xf numFmtId="0" fontId="159" fillId="0" borderId="0"/>
    <xf numFmtId="165" fontId="159" fillId="0" borderId="0" applyFont="0" applyFill="0" applyBorder="0" applyAlignment="0" applyProtection="0"/>
    <xf numFmtId="242" fontId="4" fillId="0" borderId="0"/>
    <xf numFmtId="0" fontId="4" fillId="0" borderId="0"/>
    <xf numFmtId="240" fontId="4" fillId="0" borderId="0"/>
    <xf numFmtId="0" fontId="4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11" fillId="0" borderId="0" applyFont="0" applyFill="0" applyBorder="0" applyAlignment="0" applyProtection="0"/>
    <xf numFmtId="0" fontId="11" fillId="0" borderId="0"/>
    <xf numFmtId="0" fontId="23" fillId="0" borderId="0"/>
    <xf numFmtId="0" fontId="4" fillId="0" borderId="0"/>
    <xf numFmtId="0" fontId="181" fillId="0" borderId="0" applyNumberFormat="0" applyFill="0" applyBorder="0" applyAlignment="0" applyProtection="0"/>
  </cellStyleXfs>
  <cellXfs count="599">
    <xf numFmtId="0" fontId="0" fillId="0" borderId="0" xfId="0"/>
    <xf numFmtId="0" fontId="1" fillId="0" borderId="0" xfId="0" applyFont="1"/>
    <xf numFmtId="0" fontId="2" fillId="2" borderId="0" xfId="0" applyFont="1" applyFill="1"/>
    <xf numFmtId="17" fontId="2" fillId="2" borderId="0" xfId="0" applyNumberFormat="1" applyFont="1" applyFill="1"/>
    <xf numFmtId="0" fontId="3" fillId="0" borderId="0" xfId="0" applyFont="1" applyAlignment="1">
      <alignment horizontal="left" indent="2"/>
    </xf>
    <xf numFmtId="43" fontId="1" fillId="0" borderId="0" xfId="1" applyFont="1"/>
    <xf numFmtId="43" fontId="1" fillId="0" borderId="0" xfId="0" applyNumberFormat="1" applyFont="1"/>
    <xf numFmtId="0" fontId="5" fillId="0" borderId="0" xfId="0" applyFont="1"/>
    <xf numFmtId="0" fontId="3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left" indent="3"/>
    </xf>
    <xf numFmtId="0" fontId="6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 indent="4"/>
    </xf>
    <xf numFmtId="0" fontId="8" fillId="0" borderId="0" xfId="0" applyFont="1"/>
    <xf numFmtId="0" fontId="1" fillId="0" borderId="0" xfId="0" applyFont="1" applyAlignment="1">
      <alignment wrapText="1"/>
    </xf>
    <xf numFmtId="0" fontId="6" fillId="0" borderId="33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34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2" fillId="49" borderId="0" xfId="0" applyFont="1" applyFill="1" applyAlignment="1">
      <alignment horizontal="left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9" borderId="0" xfId="0" applyFont="1" applyFill="1" applyAlignment="1">
      <alignment horizontal="center" vertical="center" wrapText="1"/>
    </xf>
    <xf numFmtId="0" fontId="147" fillId="49" borderId="39" xfId="3" applyFont="1" applyFill="1" applyBorder="1" applyAlignment="1">
      <alignment horizontal="center" vertical="center" wrapText="1"/>
    </xf>
    <xf numFmtId="0" fontId="1" fillId="0" borderId="38" xfId="0" applyFont="1" applyBorder="1" applyAlignment="1">
      <alignment wrapText="1"/>
    </xf>
    <xf numFmtId="43" fontId="1" fillId="0" borderId="38" xfId="1" applyFont="1" applyBorder="1" applyAlignment="1">
      <alignment wrapText="1"/>
    </xf>
    <xf numFmtId="235" fontId="1" fillId="0" borderId="38" xfId="1" applyNumberFormat="1" applyFont="1" applyBorder="1" applyAlignment="1">
      <alignment wrapText="1"/>
    </xf>
    <xf numFmtId="43" fontId="1" fillId="0" borderId="0" xfId="1" applyFont="1" applyAlignment="1">
      <alignment wrapText="1"/>
    </xf>
    <xf numFmtId="10" fontId="1" fillId="0" borderId="38" xfId="2" applyNumberFormat="1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1" fillId="0" borderId="41" xfId="0" applyFont="1" applyBorder="1" applyAlignment="1">
      <alignment wrapText="1"/>
    </xf>
    <xf numFmtId="43" fontId="1" fillId="0" borderId="41" xfId="1" applyFont="1" applyBorder="1" applyAlignment="1">
      <alignment wrapText="1"/>
    </xf>
    <xf numFmtId="43" fontId="1" fillId="0" borderId="40" xfId="1" applyFont="1" applyBorder="1" applyAlignment="1">
      <alignment wrapText="1"/>
    </xf>
    <xf numFmtId="10" fontId="1" fillId="0" borderId="41" xfId="2" applyNumberFormat="1" applyFont="1" applyBorder="1" applyAlignment="1">
      <alignment wrapText="1"/>
    </xf>
    <xf numFmtId="0" fontId="7" fillId="50" borderId="0" xfId="0" applyFont="1" applyFill="1" applyAlignment="1">
      <alignment wrapText="1"/>
    </xf>
    <xf numFmtId="0" fontId="1" fillId="50" borderId="0" xfId="0" applyFont="1" applyFill="1" applyAlignment="1">
      <alignment wrapText="1"/>
    </xf>
    <xf numFmtId="203" fontId="1" fillId="50" borderId="0" xfId="1" applyNumberFormat="1" applyFont="1" applyFill="1" applyAlignment="1">
      <alignment wrapText="1"/>
    </xf>
    <xf numFmtId="203" fontId="6" fillId="51" borderId="0" xfId="1" applyNumberFormat="1" applyFont="1" applyFill="1" applyAlignment="1">
      <alignment wrapText="1"/>
    </xf>
    <xf numFmtId="0" fontId="1" fillId="0" borderId="38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52" borderId="0" xfId="0" applyFont="1" applyFill="1"/>
    <xf numFmtId="0" fontId="6" fillId="52" borderId="0" xfId="0" applyFont="1" applyFill="1" applyAlignment="1">
      <alignment wrapText="1"/>
    </xf>
    <xf numFmtId="15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43" fontId="6" fillId="0" borderId="0" xfId="0" applyNumberFormat="1" applyFont="1" applyAlignment="1">
      <alignment wrapText="1"/>
    </xf>
    <xf numFmtId="43" fontId="1" fillId="0" borderId="38" xfId="1" applyFont="1" applyFill="1" applyBorder="1" applyAlignment="1">
      <alignment wrapText="1"/>
    </xf>
    <xf numFmtId="43" fontId="6" fillId="0" borderId="0" xfId="0" applyNumberFormat="1" applyFont="1"/>
    <xf numFmtId="43" fontId="1" fillId="0" borderId="41" xfId="1" applyFont="1" applyFill="1" applyBorder="1" applyAlignment="1">
      <alignment wrapText="1"/>
    </xf>
    <xf numFmtId="0" fontId="148" fillId="0" borderId="0" xfId="3" applyFont="1"/>
    <xf numFmtId="15" fontId="149" fillId="0" borderId="0" xfId="4" applyNumberFormat="1" applyFont="1" applyAlignment="1">
      <alignment horizontal="left"/>
    </xf>
    <xf numFmtId="169" fontId="148" fillId="0" borderId="0" xfId="3" applyNumberFormat="1" applyFont="1"/>
    <xf numFmtId="170" fontId="151" fillId="0" borderId="0" xfId="3" applyNumberFormat="1" applyFont="1" applyAlignment="1">
      <alignment horizontal="left"/>
    </xf>
    <xf numFmtId="171" fontId="151" fillId="0" borderId="0" xfId="3" applyNumberFormat="1" applyFont="1" applyAlignment="1">
      <alignment horizontal="right"/>
    </xf>
    <xf numFmtId="165" fontId="148" fillId="0" borderId="0" xfId="3" applyNumberFormat="1" applyFont="1"/>
    <xf numFmtId="15" fontId="152" fillId="0" borderId="0" xfId="4" applyNumberFormat="1" applyFont="1" applyAlignment="1">
      <alignment horizontal="left"/>
    </xf>
    <xf numFmtId="169" fontId="152" fillId="0" borderId="0" xfId="3" applyNumberFormat="1" applyFont="1" applyAlignment="1">
      <alignment horizontal="center"/>
    </xf>
    <xf numFmtId="170" fontId="2" fillId="51" borderId="0" xfId="3" applyNumberFormat="1" applyFont="1" applyFill="1" applyAlignment="1">
      <alignment horizontal="center" vertical="center"/>
    </xf>
    <xf numFmtId="0" fontId="152" fillId="0" borderId="0" xfId="3" applyFont="1"/>
    <xf numFmtId="15" fontId="149" fillId="0" borderId="0" xfId="1083" applyNumberFormat="1" applyFont="1" applyAlignment="1">
      <alignment horizontal="left"/>
    </xf>
    <xf numFmtId="169" fontId="149" fillId="0" borderId="0" xfId="1083" applyFont="1" applyAlignment="1">
      <alignment horizontal="left"/>
    </xf>
    <xf numFmtId="0" fontId="153" fillId="0" borderId="0" xfId="883" applyFont="1"/>
    <xf numFmtId="0" fontId="153" fillId="0" borderId="0" xfId="3" applyFont="1"/>
    <xf numFmtId="165" fontId="148" fillId="0" borderId="0" xfId="485" applyFont="1"/>
    <xf numFmtId="201" fontId="148" fillId="0" borderId="0" xfId="3" applyNumberFormat="1" applyFont="1"/>
    <xf numFmtId="43" fontId="148" fillId="0" borderId="0" xfId="3" applyNumberFormat="1" applyFont="1"/>
    <xf numFmtId="170" fontId="147" fillId="2" borderId="0" xfId="3" applyNumberFormat="1" applyFont="1" applyFill="1"/>
    <xf numFmtId="170" fontId="2" fillId="2" borderId="0" xfId="3" applyNumberFormat="1" applyFont="1" applyFill="1"/>
    <xf numFmtId="170" fontId="2" fillId="51" borderId="0" xfId="3" applyNumberFormat="1" applyFont="1" applyFill="1"/>
    <xf numFmtId="170" fontId="150" fillId="0" borderId="0" xfId="3" applyNumberFormat="1" applyFont="1" applyAlignment="1">
      <alignment horizontal="left"/>
    </xf>
    <xf numFmtId="0" fontId="9" fillId="53" borderId="0" xfId="3" applyFont="1" applyFill="1"/>
    <xf numFmtId="170" fontId="9" fillId="53" borderId="2" xfId="3" applyNumberFormat="1" applyFont="1" applyFill="1" applyBorder="1"/>
    <xf numFmtId="15" fontId="149" fillId="0" borderId="0" xfId="1084" applyNumberFormat="1" applyFont="1" applyAlignment="1">
      <alignment horizontal="left"/>
    </xf>
    <xf numFmtId="165" fontId="148" fillId="0" borderId="0" xfId="1084" applyNumberFormat="1" applyFont="1"/>
    <xf numFmtId="9" fontId="153" fillId="0" borderId="0" xfId="932" applyFont="1" applyFill="1" applyBorder="1"/>
    <xf numFmtId="0" fontId="9" fillId="0" borderId="42" xfId="3" applyFont="1" applyBorder="1"/>
    <xf numFmtId="0" fontId="148" fillId="0" borderId="4" xfId="888" applyFont="1" applyBorder="1" applyAlignment="1">
      <alignment horizontal="left"/>
    </xf>
    <xf numFmtId="0" fontId="9" fillId="0" borderId="43" xfId="3" applyFont="1" applyBorder="1"/>
    <xf numFmtId="43" fontId="148" fillId="0" borderId="3" xfId="1" applyFont="1" applyBorder="1"/>
    <xf numFmtId="43" fontId="148" fillId="0" borderId="3" xfId="1" applyFont="1" applyFill="1" applyBorder="1" applyAlignment="1">
      <alignment horizontal="centerContinuous"/>
    </xf>
    <xf numFmtId="43" fontId="149" fillId="0" borderId="44" xfId="1" applyFont="1" applyFill="1" applyBorder="1"/>
    <xf numFmtId="0" fontId="152" fillId="0" borderId="4" xfId="888" applyFont="1" applyBorder="1" applyAlignment="1">
      <alignment horizontal="left" indent="2"/>
    </xf>
    <xf numFmtId="9" fontId="148" fillId="0" borderId="0" xfId="932" applyFont="1" applyFill="1" applyBorder="1" applyAlignment="1">
      <alignment horizontal="center"/>
    </xf>
    <xf numFmtId="0" fontId="155" fillId="0" borderId="4" xfId="888" applyFont="1" applyBorder="1" applyAlignment="1">
      <alignment horizontal="left"/>
    </xf>
    <xf numFmtId="0" fontId="152" fillId="0" borderId="4" xfId="3" applyFont="1" applyBorder="1" applyAlignment="1">
      <alignment horizontal="left" indent="1"/>
    </xf>
    <xf numFmtId="9" fontId="3" fillId="0" borderId="0" xfId="889" applyNumberFormat="1" applyFont="1" applyFill="1" applyBorder="1" applyAlignment="1">
      <alignment horizontal="left" wrapText="1" indent="1"/>
    </xf>
    <xf numFmtId="9" fontId="1" fillId="0" borderId="0" xfId="889" applyNumberFormat="1" applyFont="1" applyFill="1" applyBorder="1" applyAlignment="1">
      <alignment horizontal="center" wrapText="1"/>
    </xf>
    <xf numFmtId="201" fontId="1" fillId="0" borderId="0" xfId="3" applyNumberFormat="1" applyFont="1" applyAlignment="1">
      <alignment horizontal="right"/>
    </xf>
    <xf numFmtId="0" fontId="147" fillId="51" borderId="3" xfId="889" applyFont="1" applyFill="1" applyBorder="1" applyAlignment="1">
      <alignment horizontal="left" indent="1"/>
    </xf>
    <xf numFmtId="0" fontId="147" fillId="51" borderId="3" xfId="889" applyFont="1" applyFill="1" applyBorder="1" applyAlignment="1">
      <alignment horizontal="center"/>
    </xf>
    <xf numFmtId="169" fontId="147" fillId="51" borderId="3" xfId="1083" applyFont="1" applyFill="1" applyBorder="1" applyAlignment="1">
      <alignment horizontal="center"/>
    </xf>
    <xf numFmtId="0" fontId="9" fillId="0" borderId="3" xfId="889" applyFont="1" applyFill="1" applyBorder="1" applyAlignment="1">
      <alignment horizontal="left"/>
    </xf>
    <xf numFmtId="0" fontId="6" fillId="0" borderId="3" xfId="889" applyFont="1" applyFill="1" applyBorder="1" applyAlignment="1">
      <alignment horizontal="center"/>
    </xf>
    <xf numFmtId="201" fontId="1" fillId="0" borderId="3" xfId="537" applyNumberFormat="1" applyFont="1" applyFill="1" applyBorder="1"/>
    <xf numFmtId="0" fontId="9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left" indent="3"/>
    </xf>
    <xf numFmtId="0" fontId="9" fillId="53" borderId="3" xfId="889" applyFont="1" applyFill="1" applyBorder="1" applyAlignment="1">
      <alignment horizontal="left" indent="1"/>
    </xf>
    <xf numFmtId="0" fontId="6" fillId="0" borderId="3" xfId="889" applyFont="1" applyFill="1" applyBorder="1" applyAlignment="1">
      <alignment horizontal="left" indent="1"/>
    </xf>
    <xf numFmtId="0" fontId="1" fillId="0" borderId="3" xfId="889" applyFont="1" applyBorder="1" applyAlignment="1">
      <alignment horizontal="left" indent="1"/>
    </xf>
    <xf numFmtId="0" fontId="9" fillId="53" borderId="3" xfId="889" applyFont="1" applyFill="1" applyBorder="1" applyAlignment="1">
      <alignment horizontal="left" wrapText="1" indent="1"/>
    </xf>
    <xf numFmtId="0" fontId="1" fillId="0" borderId="3" xfId="889" applyFont="1" applyFill="1" applyBorder="1" applyAlignment="1">
      <alignment horizontal="left" wrapText="1" indent="1"/>
    </xf>
    <xf numFmtId="0" fontId="154" fillId="53" borderId="3" xfId="889" applyFont="1" applyFill="1" applyBorder="1" applyAlignment="1">
      <alignment horizontal="left" wrapText="1" indent="1"/>
    </xf>
    <xf numFmtId="0" fontId="9" fillId="53" borderId="44" xfId="889" applyFont="1" applyFill="1" applyBorder="1" applyAlignment="1">
      <alignment horizontal="left" indent="1"/>
    </xf>
    <xf numFmtId="170" fontId="148" fillId="0" borderId="0" xfId="3" applyNumberFormat="1" applyFont="1" applyAlignment="1">
      <alignment horizontal="left" wrapText="1" indent="2"/>
    </xf>
    <xf numFmtId="170" fontId="148" fillId="0" borderId="0" xfId="3" applyNumberFormat="1" applyFont="1" applyAlignment="1">
      <alignment horizontal="left" indent="2"/>
    </xf>
    <xf numFmtId="43" fontId="148" fillId="0" borderId="3" xfId="1" applyFont="1" applyFill="1" applyBorder="1" applyAlignment="1">
      <alignment horizontal="center"/>
    </xf>
    <xf numFmtId="43" fontId="148" fillId="0" borderId="3" xfId="1" applyFont="1" applyFill="1" applyBorder="1" applyAlignment="1">
      <alignment horizontal="right"/>
    </xf>
    <xf numFmtId="43" fontId="148" fillId="0" borderId="3" xfId="1" applyFont="1" applyFill="1" applyBorder="1" applyAlignment="1">
      <alignment horizontal="left" indent="2"/>
    </xf>
    <xf numFmtId="43" fontId="148" fillId="0" borderId="3" xfId="1" applyFont="1" applyFill="1" applyBorder="1" applyAlignment="1">
      <alignment horizontal="left" indent="1"/>
    </xf>
    <xf numFmtId="43" fontId="148" fillId="0" borderId="3" xfId="1" applyFont="1" applyFill="1" applyBorder="1" applyAlignment="1">
      <alignment horizontal="left" indent="3"/>
    </xf>
    <xf numFmtId="43" fontId="148" fillId="0" borderId="3" xfId="1" applyFont="1" applyBorder="1" applyAlignment="1">
      <alignment horizontal="left" indent="1"/>
    </xf>
    <xf numFmtId="43" fontId="148" fillId="0" borderId="3" xfId="1" applyFont="1" applyFill="1" applyBorder="1" applyAlignment="1">
      <alignment horizontal="left" wrapText="1" indent="1"/>
    </xf>
    <xf numFmtId="43" fontId="148" fillId="0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left" wrapText="1" indent="1"/>
    </xf>
    <xf numFmtId="43" fontId="148" fillId="53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right"/>
    </xf>
    <xf numFmtId="43" fontId="148" fillId="53" borderId="3" xfId="1" applyFont="1" applyFill="1" applyBorder="1" applyAlignment="1">
      <alignment horizontal="left" indent="1"/>
    </xf>
    <xf numFmtId="43" fontId="148" fillId="53" borderId="3" xfId="1" applyFont="1" applyFill="1" applyBorder="1" applyAlignment="1">
      <alignment horizontal="center"/>
    </xf>
    <xf numFmtId="43" fontId="148" fillId="53" borderId="44" xfId="1" applyFont="1" applyFill="1" applyBorder="1" applyAlignment="1">
      <alignment horizontal="left" indent="1"/>
    </xf>
    <xf numFmtId="43" fontId="148" fillId="53" borderId="44" xfId="1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/>
    </xf>
    <xf numFmtId="9" fontId="148" fillId="0" borderId="3" xfId="1" applyNumberFormat="1" applyFont="1" applyFill="1" applyBorder="1" applyAlignment="1">
      <alignment horizontal="center"/>
    </xf>
    <xf numFmtId="43" fontId="148" fillId="0" borderId="0" xfId="1" applyFont="1"/>
    <xf numFmtId="43" fontId="9" fillId="0" borderId="3" xfId="1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0" borderId="4" xfId="0" applyFont="1" applyBorder="1"/>
    <xf numFmtId="0" fontId="3" fillId="0" borderId="4" xfId="0" applyFont="1" applyBorder="1" applyAlignment="1">
      <alignment horizontal="left" indent="4"/>
    </xf>
    <xf numFmtId="0" fontId="156" fillId="0" borderId="33" xfId="0" applyFont="1" applyBorder="1" applyAlignment="1">
      <alignment vertical="center"/>
    </xf>
    <xf numFmtId="0" fontId="152" fillId="0" borderId="0" xfId="3" applyFont="1" applyAlignment="1">
      <alignment horizontal="center"/>
    </xf>
    <xf numFmtId="235" fontId="148" fillId="0" borderId="0" xfId="3" applyNumberFormat="1" applyFont="1"/>
    <xf numFmtId="235" fontId="148" fillId="0" borderId="0" xfId="1" applyNumberFormat="1" applyFont="1" applyFill="1" applyBorder="1" applyAlignment="1">
      <alignment horizontal="center"/>
    </xf>
    <xf numFmtId="235" fontId="148" fillId="0" borderId="0" xfId="1" applyNumberFormat="1" applyFont="1" applyBorder="1" applyAlignment="1">
      <alignment horizontal="center"/>
    </xf>
    <xf numFmtId="235" fontId="148" fillId="0" borderId="0" xfId="1" applyNumberFormat="1" applyFont="1"/>
    <xf numFmtId="235" fontId="9" fillId="53" borderId="0" xfId="1" applyNumberFormat="1" applyFont="1" applyFill="1" applyBorder="1" applyAlignment="1">
      <alignment horizontal="center"/>
    </xf>
    <xf numFmtId="235" fontId="148" fillId="0" borderId="0" xfId="1" applyNumberFormat="1" applyFont="1" applyFill="1"/>
    <xf numFmtId="235" fontId="9" fillId="53" borderId="2" xfId="1" applyNumberFormat="1" applyFont="1" applyFill="1" applyBorder="1" applyAlignment="1">
      <alignment horizontal="center"/>
    </xf>
    <xf numFmtId="9" fontId="148" fillId="0" borderId="0" xfId="2" applyFont="1" applyBorder="1" applyAlignment="1">
      <alignment horizontal="center"/>
    </xf>
    <xf numFmtId="43" fontId="1" fillId="0" borderId="0" xfId="0" applyNumberFormat="1" applyFont="1" applyAlignment="1">
      <alignment wrapText="1"/>
    </xf>
    <xf numFmtId="0" fontId="1" fillId="0" borderId="0" xfId="1" applyNumberFormat="1" applyFont="1"/>
    <xf numFmtId="0" fontId="157" fillId="0" borderId="0" xfId="0" applyFont="1"/>
    <xf numFmtId="17" fontId="2" fillId="2" borderId="45" xfId="0" applyNumberFormat="1" applyFont="1" applyFill="1" applyBorder="1"/>
    <xf numFmtId="43" fontId="1" fillId="0" borderId="45" xfId="1" applyFont="1" applyBorder="1"/>
    <xf numFmtId="43" fontId="6" fillId="0" borderId="46" xfId="1" applyFont="1" applyBorder="1"/>
    <xf numFmtId="43" fontId="6" fillId="0" borderId="47" xfId="1" applyFont="1" applyBorder="1"/>
    <xf numFmtId="43" fontId="1" fillId="0" borderId="1" xfId="1" applyFont="1" applyBorder="1"/>
    <xf numFmtId="43" fontId="6" fillId="0" borderId="48" xfId="1" applyFont="1" applyBorder="1"/>
    <xf numFmtId="43" fontId="6" fillId="0" borderId="49" xfId="1" applyFont="1" applyBorder="1"/>
    <xf numFmtId="0" fontId="6" fillId="50" borderId="0" xfId="0" applyFont="1" applyFill="1"/>
    <xf numFmtId="43" fontId="6" fillId="50" borderId="46" xfId="1" applyFont="1" applyFill="1" applyBorder="1"/>
    <xf numFmtId="43" fontId="6" fillId="50" borderId="47" xfId="1" applyFont="1" applyFill="1" applyBorder="1"/>
    <xf numFmtId="216" fontId="3" fillId="0" borderId="45" xfId="2" applyNumberFormat="1" applyFont="1" applyBorder="1"/>
    <xf numFmtId="216" fontId="3" fillId="0" borderId="0" xfId="2" applyNumberFormat="1" applyFont="1"/>
    <xf numFmtId="0" fontId="3" fillId="0" borderId="50" xfId="0" applyFont="1" applyBorder="1"/>
    <xf numFmtId="216" fontId="3" fillId="0" borderId="51" xfId="2" applyNumberFormat="1" applyFont="1" applyBorder="1"/>
    <xf numFmtId="216" fontId="3" fillId="0" borderId="50" xfId="2" applyNumberFormat="1" applyFont="1" applyBorder="1"/>
    <xf numFmtId="0" fontId="6" fillId="55" borderId="0" xfId="0" applyFont="1" applyFill="1"/>
    <xf numFmtId="0" fontId="1" fillId="55" borderId="45" xfId="0" applyFont="1" applyFill="1" applyBorder="1"/>
    <xf numFmtId="0" fontId="1" fillId="55" borderId="0" xfId="0" applyFont="1" applyFill="1"/>
    <xf numFmtId="43" fontId="6" fillId="0" borderId="45" xfId="0" applyNumberFormat="1" applyFont="1" applyBorder="1"/>
    <xf numFmtId="43" fontId="6" fillId="0" borderId="45" xfId="1" applyFont="1" applyBorder="1"/>
    <xf numFmtId="43" fontId="6" fillId="0" borderId="0" xfId="1" applyFont="1"/>
    <xf numFmtId="43" fontId="1" fillId="55" borderId="45" xfId="1" applyFont="1" applyFill="1" applyBorder="1"/>
    <xf numFmtId="43" fontId="1" fillId="55" borderId="0" xfId="1" applyFont="1" applyFill="1"/>
    <xf numFmtId="43" fontId="3" fillId="0" borderId="45" xfId="1" applyFont="1" applyBorder="1"/>
    <xf numFmtId="43" fontId="3" fillId="0" borderId="0" xfId="1" applyFont="1"/>
    <xf numFmtId="0" fontId="5" fillId="0" borderId="0" xfId="0" applyFont="1" applyAlignment="1">
      <alignment horizontal="left" indent="2"/>
    </xf>
    <xf numFmtId="0" fontId="1" fillId="0" borderId="45" xfId="0" applyFont="1" applyBorder="1"/>
    <xf numFmtId="0" fontId="6" fillId="0" borderId="50" xfId="0" applyFont="1" applyBorder="1"/>
    <xf numFmtId="43" fontId="6" fillId="0" borderId="52" xfId="1" applyFont="1" applyBorder="1"/>
    <xf numFmtId="43" fontId="6" fillId="0" borderId="53" xfId="1" applyFont="1" applyBorder="1"/>
    <xf numFmtId="0" fontId="1" fillId="0" borderId="0" xfId="0" applyFont="1" applyAlignment="1">
      <alignment horizontal="center"/>
    </xf>
    <xf numFmtId="0" fontId="147" fillId="2" borderId="54" xfId="0" applyFont="1" applyFill="1" applyBorder="1"/>
    <xf numFmtId="0" fontId="147" fillId="2" borderId="0" xfId="0" applyFont="1" applyFill="1"/>
    <xf numFmtId="236" fontId="147" fillId="2" borderId="0" xfId="0" applyNumberFormat="1" applyFont="1" applyFill="1"/>
    <xf numFmtId="236" fontId="147" fillId="2" borderId="55" xfId="0" applyNumberFormat="1" applyFont="1" applyFill="1" applyBorder="1"/>
    <xf numFmtId="0" fontId="1" fillId="0" borderId="54" xfId="0" applyFont="1" applyBorder="1"/>
    <xf numFmtId="1" fontId="1" fillId="0" borderId="55" xfId="0" applyNumberFormat="1" applyFont="1" applyBorder="1"/>
    <xf numFmtId="43" fontId="1" fillId="0" borderId="55" xfId="1" applyFont="1" applyBorder="1"/>
    <xf numFmtId="0" fontId="3" fillId="0" borderId="54" xfId="0" applyFont="1" applyBorder="1"/>
    <xf numFmtId="10" fontId="3" fillId="0" borderId="55" xfId="2" applyNumberFormat="1" applyFont="1" applyBorder="1"/>
    <xf numFmtId="10" fontId="1" fillId="0" borderId="55" xfId="2" applyNumberFormat="1" applyFont="1" applyBorder="1"/>
    <xf numFmtId="0" fontId="6" fillId="0" borderId="56" xfId="0" applyFont="1" applyBorder="1"/>
    <xf numFmtId="0" fontId="6" fillId="0" borderId="47" xfId="0" applyFont="1" applyBorder="1"/>
    <xf numFmtId="43" fontId="6" fillId="0" borderId="57" xfId="1" applyFont="1" applyBorder="1"/>
    <xf numFmtId="0" fontId="1" fillId="0" borderId="55" xfId="0" applyFont="1" applyBorder="1"/>
    <xf numFmtId="0" fontId="147" fillId="2" borderId="58" xfId="0" applyFont="1" applyFill="1" applyBorder="1"/>
    <xf numFmtId="43" fontId="147" fillId="2" borderId="59" xfId="0" applyNumberFormat="1" applyFont="1" applyFill="1" applyBorder="1"/>
    <xf numFmtId="0" fontId="147" fillId="2" borderId="59" xfId="0" applyFont="1" applyFill="1" applyBorder="1"/>
    <xf numFmtId="0" fontId="147" fillId="2" borderId="60" xfId="0" applyFont="1" applyFill="1" applyBorder="1"/>
    <xf numFmtId="0" fontId="6" fillId="56" borderId="0" xfId="0" applyFont="1" applyFill="1"/>
    <xf numFmtId="0" fontId="2" fillId="2" borderId="61" xfId="0" applyFont="1" applyFill="1" applyBorder="1"/>
    <xf numFmtId="0" fontId="1" fillId="0" borderId="62" xfId="0" applyFont="1" applyBorder="1"/>
    <xf numFmtId="10" fontId="1" fillId="0" borderId="63" xfId="0" applyNumberFormat="1" applyFont="1" applyBorder="1"/>
    <xf numFmtId="0" fontId="1" fillId="0" borderId="64" xfId="0" applyFont="1" applyBorder="1"/>
    <xf numFmtId="10" fontId="1" fillId="0" borderId="65" xfId="2" applyNumberFormat="1" applyFont="1" applyBorder="1"/>
    <xf numFmtId="0" fontId="1" fillId="0" borderId="66" xfId="0" applyFont="1" applyBorder="1"/>
    <xf numFmtId="10" fontId="1" fillId="0" borderId="67" xfId="0" applyNumberFormat="1" applyFont="1" applyBorder="1"/>
    <xf numFmtId="10" fontId="147" fillId="2" borderId="61" xfId="0" applyNumberFormat="1" applyFont="1" applyFill="1" applyBorder="1"/>
    <xf numFmtId="0" fontId="147" fillId="2" borderId="61" xfId="0" applyFont="1" applyFill="1" applyBorder="1"/>
    <xf numFmtId="0" fontId="6" fillId="0" borderId="64" xfId="0" applyFont="1" applyBorder="1"/>
    <xf numFmtId="0" fontId="1" fillId="0" borderId="65" xfId="0" applyFont="1" applyBorder="1"/>
    <xf numFmtId="165" fontId="1" fillId="0" borderId="65" xfId="1" applyNumberFormat="1" applyFont="1" applyBorder="1"/>
    <xf numFmtId="165" fontId="1" fillId="0" borderId="65" xfId="1" applyNumberFormat="1" applyFont="1" applyFill="1" applyBorder="1"/>
    <xf numFmtId="0" fontId="1" fillId="0" borderId="67" xfId="0" applyFont="1" applyBorder="1"/>
    <xf numFmtId="10" fontId="147" fillId="2" borderId="61" xfId="2" applyNumberFormat="1" applyFont="1" applyFill="1" applyBorder="1"/>
    <xf numFmtId="0" fontId="147" fillId="2" borderId="0" xfId="0" applyFont="1" applyFill="1" applyAlignment="1">
      <alignment horizontal="center"/>
    </xf>
    <xf numFmtId="0" fontId="147" fillId="2" borderId="61" xfId="0" applyFont="1" applyFill="1" applyBorder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2" applyFont="1" applyAlignment="1">
      <alignment horizontal="center"/>
    </xf>
    <xf numFmtId="0" fontId="6" fillId="58" borderId="0" xfId="0" applyFont="1" applyFill="1"/>
    <xf numFmtId="0" fontId="1" fillId="58" borderId="0" xfId="0" applyFont="1" applyFill="1"/>
    <xf numFmtId="0" fontId="6" fillId="58" borderId="0" xfId="0" applyFont="1" applyFill="1" applyAlignment="1">
      <alignment horizontal="center"/>
    </xf>
    <xf numFmtId="2" fontId="1" fillId="0" borderId="0" xfId="0" applyNumberFormat="1" applyFont="1"/>
    <xf numFmtId="0" fontId="160" fillId="0" borderId="70" xfId="0" applyFont="1" applyBorder="1"/>
    <xf numFmtId="0" fontId="1" fillId="0" borderId="1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2" fontId="1" fillId="0" borderId="74" xfId="0" applyNumberFormat="1" applyFont="1" applyBorder="1"/>
    <xf numFmtId="0" fontId="161" fillId="0" borderId="0" xfId="0" applyFont="1"/>
    <xf numFmtId="0" fontId="7" fillId="0" borderId="0" xfId="0" applyFont="1" applyAlignment="1">
      <alignment horizontal="right"/>
    </xf>
    <xf numFmtId="2" fontId="7" fillId="0" borderId="0" xfId="0" applyNumberFormat="1" applyFont="1"/>
    <xf numFmtId="0" fontId="147" fillId="57" borderId="25" xfId="0" applyFont="1" applyFill="1" applyBorder="1" applyAlignment="1">
      <alignment horizontal="center" vertical="center" wrapText="1"/>
    </xf>
    <xf numFmtId="0" fontId="147" fillId="57" borderId="25" xfId="0" applyFont="1" applyFill="1" applyBorder="1" applyAlignment="1">
      <alignment horizontal="center" vertical="center"/>
    </xf>
    <xf numFmtId="0" fontId="147" fillId="57" borderId="11" xfId="0" applyFont="1" applyFill="1" applyBorder="1" applyAlignment="1">
      <alignment horizontal="center" vertical="center"/>
    </xf>
    <xf numFmtId="15" fontId="1" fillId="0" borderId="70" xfId="0" applyNumberFormat="1" applyFont="1" applyBorder="1"/>
    <xf numFmtId="2" fontId="1" fillId="0" borderId="1" xfId="0" applyNumberFormat="1" applyFont="1" applyBorder="1"/>
    <xf numFmtId="15" fontId="1" fillId="0" borderId="75" xfId="0" applyNumberFormat="1" applyFont="1" applyBorder="1"/>
    <xf numFmtId="0" fontId="1" fillId="0" borderId="76" xfId="0" applyFont="1" applyBorder="1"/>
    <xf numFmtId="15" fontId="1" fillId="0" borderId="72" xfId="0" applyNumberFormat="1" applyFont="1" applyBorder="1"/>
    <xf numFmtId="2" fontId="1" fillId="0" borderId="73" xfId="0" applyNumberFormat="1" applyFont="1" applyBorder="1"/>
    <xf numFmtId="0" fontId="1" fillId="0" borderId="74" xfId="0" applyFont="1" applyBorder="1"/>
    <xf numFmtId="0" fontId="10" fillId="57" borderId="70" xfId="0" applyFont="1" applyFill="1" applyBorder="1" applyAlignment="1">
      <alignment horizontal="center" vertical="center"/>
    </xf>
    <xf numFmtId="0" fontId="10" fillId="57" borderId="1" xfId="0" applyFont="1" applyFill="1" applyBorder="1" applyAlignment="1">
      <alignment horizontal="center" vertical="center" wrapText="1"/>
    </xf>
    <xf numFmtId="0" fontId="10" fillId="57" borderId="1" xfId="0" applyFont="1" applyFill="1" applyBorder="1" applyAlignment="1">
      <alignment horizontal="center" vertical="center"/>
    </xf>
    <xf numFmtId="0" fontId="10" fillId="57" borderId="71" xfId="0" applyFont="1" applyFill="1" applyBorder="1" applyAlignment="1">
      <alignment horizontal="center" vertical="center"/>
    </xf>
    <xf numFmtId="0" fontId="0" fillId="0" borderId="75" xfId="0" applyBorder="1"/>
    <xf numFmtId="43" fontId="0" fillId="0" borderId="0" xfId="1" applyFont="1" applyBorder="1"/>
    <xf numFmtId="9" fontId="0" fillId="0" borderId="76" xfId="2" applyFont="1" applyBorder="1"/>
    <xf numFmtId="0" fontId="0" fillId="0" borderId="76" xfId="0" applyBorder="1"/>
    <xf numFmtId="0" fontId="158" fillId="0" borderId="68" xfId="0" applyFont="1" applyBorder="1"/>
    <xf numFmtId="0" fontId="158" fillId="0" borderId="69" xfId="0" applyFont="1" applyBorder="1"/>
    <xf numFmtId="9" fontId="0" fillId="0" borderId="0" xfId="0" applyNumberFormat="1"/>
    <xf numFmtId="43" fontId="0" fillId="0" borderId="0" xfId="1091" applyFont="1" applyBorder="1"/>
    <xf numFmtId="43" fontId="0" fillId="0" borderId="76" xfId="0" applyNumberFormat="1" applyBorder="1"/>
    <xf numFmtId="0" fontId="158" fillId="0" borderId="72" xfId="0" applyFont="1" applyBorder="1"/>
    <xf numFmtId="0" fontId="158" fillId="0" borderId="73" xfId="0" applyFont="1" applyBorder="1"/>
    <xf numFmtId="43" fontId="158" fillId="0" borderId="73" xfId="0" applyNumberFormat="1" applyFont="1" applyBorder="1"/>
    <xf numFmtId="43" fontId="158" fillId="0" borderId="74" xfId="0" applyNumberFormat="1" applyFont="1" applyBorder="1"/>
    <xf numFmtId="43" fontId="0" fillId="0" borderId="0" xfId="0" applyNumberFormat="1"/>
    <xf numFmtId="9" fontId="0" fillId="0" borderId="0" xfId="2" applyFont="1"/>
    <xf numFmtId="15" fontId="1" fillId="0" borderId="0" xfId="0" applyNumberFormat="1" applyFont="1"/>
    <xf numFmtId="0" fontId="147" fillId="57" borderId="11" xfId="0" applyFont="1" applyFill="1" applyBorder="1" applyAlignment="1">
      <alignment horizontal="center" vertical="center" wrapText="1"/>
    </xf>
    <xf numFmtId="235" fontId="1" fillId="0" borderId="41" xfId="1" applyNumberFormat="1" applyFont="1" applyFill="1" applyBorder="1" applyAlignment="1">
      <alignment wrapText="1"/>
    </xf>
    <xf numFmtId="0" fontId="0" fillId="0" borderId="72" xfId="0" applyBorder="1"/>
    <xf numFmtId="43" fontId="0" fillId="0" borderId="73" xfId="1" applyFont="1" applyFill="1" applyBorder="1"/>
    <xf numFmtId="9" fontId="0" fillId="0" borderId="74" xfId="2" applyFont="1" applyFill="1" applyBorder="1"/>
    <xf numFmtId="10" fontId="1" fillId="0" borderId="61" xfId="2" applyNumberFormat="1" applyFont="1" applyBorder="1" applyAlignment="1">
      <alignment horizontal="center"/>
    </xf>
    <xf numFmtId="10" fontId="1" fillId="0" borderId="61" xfId="0" applyNumberFormat="1" applyFont="1" applyBorder="1" applyAlignment="1">
      <alignment horizontal="center"/>
    </xf>
    <xf numFmtId="10" fontId="147" fillId="2" borderId="61" xfId="0" applyNumberFormat="1" applyFont="1" applyFill="1" applyBorder="1" applyAlignment="1">
      <alignment horizontal="center"/>
    </xf>
    <xf numFmtId="10" fontId="1" fillId="0" borderId="0" xfId="1" applyNumberFormat="1" applyFont="1"/>
    <xf numFmtId="10" fontId="1" fillId="53" borderId="0" xfId="0" applyNumberFormat="1" applyFont="1" applyFill="1"/>
    <xf numFmtId="43" fontId="1" fillId="59" borderId="65" xfId="1" applyFont="1" applyFill="1" applyBorder="1"/>
    <xf numFmtId="43" fontId="1" fillId="0" borderId="0" xfId="1" applyFont="1" applyFill="1"/>
    <xf numFmtId="43" fontId="1" fillId="0" borderId="55" xfId="1" applyFont="1" applyFill="1" applyBorder="1"/>
    <xf numFmtId="10" fontId="1" fillId="0" borderId="61" xfId="0" applyNumberFormat="1" applyFont="1" applyBorder="1"/>
    <xf numFmtId="43" fontId="1" fillId="53" borderId="0" xfId="1" applyFont="1" applyFill="1"/>
    <xf numFmtId="10" fontId="1" fillId="0" borderId="0" xfId="2" applyNumberFormat="1" applyFont="1"/>
    <xf numFmtId="216" fontId="1" fillId="0" borderId="0" xfId="2" applyNumberFormat="1" applyFont="1"/>
    <xf numFmtId="9" fontId="1" fillId="0" borderId="61" xfId="2" applyFont="1" applyBorder="1" applyAlignment="1">
      <alignment horizontal="center"/>
    </xf>
    <xf numFmtId="43" fontId="149" fillId="53" borderId="44" xfId="1" applyFont="1" applyFill="1" applyBorder="1" applyAlignment="1">
      <alignment horizontal="right"/>
    </xf>
    <xf numFmtId="43" fontId="147" fillId="2" borderId="0" xfId="0" applyNumberFormat="1" applyFont="1" applyFill="1"/>
    <xf numFmtId="0" fontId="147" fillId="2" borderId="0" xfId="0" quotePrefix="1" applyFont="1" applyFill="1"/>
    <xf numFmtId="9" fontId="1" fillId="0" borderId="74" xfId="2" applyFont="1" applyBorder="1"/>
    <xf numFmtId="9" fontId="1" fillId="0" borderId="73" xfId="2" applyFont="1" applyBorder="1"/>
    <xf numFmtId="43" fontId="1" fillId="0" borderId="71" xfId="1" applyFont="1" applyBorder="1"/>
    <xf numFmtId="0" fontId="1" fillId="0" borderId="70" xfId="0" applyFont="1" applyBorder="1"/>
    <xf numFmtId="43" fontId="9" fillId="0" borderId="43" xfId="1" applyFont="1" applyBorder="1"/>
    <xf numFmtId="9" fontId="1" fillId="0" borderId="0" xfId="2" applyFont="1" applyAlignment="1">
      <alignment wrapText="1"/>
    </xf>
    <xf numFmtId="0" fontId="147" fillId="51" borderId="78" xfId="888" applyFont="1" applyFill="1" applyBorder="1" applyAlignment="1">
      <alignment horizontal="left" vertical="center"/>
    </xf>
    <xf numFmtId="0" fontId="148" fillId="51" borderId="79" xfId="3" applyFont="1" applyFill="1" applyBorder="1"/>
    <xf numFmtId="170" fontId="147" fillId="51" borderId="77" xfId="888" applyNumberFormat="1" applyFont="1" applyFill="1" applyBorder="1" applyAlignment="1">
      <alignment horizontal="center" vertical="center"/>
    </xf>
    <xf numFmtId="43" fontId="1" fillId="53" borderId="0" xfId="0" applyNumberFormat="1" applyFont="1" applyFill="1"/>
    <xf numFmtId="43" fontId="148" fillId="53" borderId="0" xfId="3" applyNumberFormat="1" applyFont="1" applyFill="1"/>
    <xf numFmtId="170" fontId="9" fillId="59" borderId="0" xfId="3" applyNumberFormat="1" applyFont="1" applyFill="1"/>
    <xf numFmtId="235" fontId="9" fillId="59" borderId="0" xfId="1" applyNumberFormat="1" applyFont="1" applyFill="1" applyBorder="1" applyAlignment="1">
      <alignment horizontal="center"/>
    </xf>
    <xf numFmtId="43" fontId="9" fillId="59" borderId="0" xfId="1" applyFont="1" applyFill="1" applyBorder="1" applyAlignment="1">
      <alignment horizontal="center"/>
    </xf>
    <xf numFmtId="0" fontId="166" fillId="0" borderId="0" xfId="1177" applyFont="1" applyAlignment="1">
      <alignment horizontal="left"/>
    </xf>
    <xf numFmtId="0" fontId="166" fillId="0" borderId="0" xfId="1177" applyFont="1" applyAlignment="1">
      <alignment horizontal="center"/>
    </xf>
    <xf numFmtId="17" fontId="166" fillId="0" borderId="0" xfId="1177" applyNumberFormat="1" applyFont="1" applyAlignment="1">
      <alignment horizontal="center"/>
    </xf>
    <xf numFmtId="0" fontId="167" fillId="0" borderId="0" xfId="1177" applyFont="1"/>
    <xf numFmtId="0" fontId="167" fillId="0" borderId="0" xfId="1177" applyFont="1" applyAlignment="1">
      <alignment horizontal="left"/>
    </xf>
    <xf numFmtId="165" fontId="167" fillId="0" borderId="0" xfId="1178" applyFont="1" applyFill="1" applyBorder="1" applyAlignment="1">
      <alignment vertical="center"/>
    </xf>
    <xf numFmtId="165" fontId="166" fillId="0" borderId="0" xfId="1178" applyFont="1" applyFill="1" applyBorder="1" applyAlignment="1">
      <alignment vertical="center"/>
    </xf>
    <xf numFmtId="9" fontId="166" fillId="0" borderId="0" xfId="1179" applyFont="1"/>
    <xf numFmtId="9" fontId="167" fillId="0" borderId="0" xfId="1179" applyFont="1"/>
    <xf numFmtId="165" fontId="166" fillId="0" borderId="0" xfId="1178" applyFont="1" applyFill="1" applyBorder="1"/>
    <xf numFmtId="2" fontId="167" fillId="0" borderId="0" xfId="1177" applyNumberFormat="1" applyFont="1"/>
    <xf numFmtId="43" fontId="167" fillId="0" borderId="0" xfId="1177" applyNumberFormat="1" applyFont="1"/>
    <xf numFmtId="165" fontId="167" fillId="0" borderId="0" xfId="1177" applyNumberFormat="1" applyFont="1"/>
    <xf numFmtId="165" fontId="166" fillId="0" borderId="0" xfId="1177" applyNumberFormat="1" applyFont="1" applyAlignment="1">
      <alignment horizontal="center"/>
    </xf>
    <xf numFmtId="165" fontId="167" fillId="0" borderId="0" xfId="1178" applyFont="1" applyFill="1" applyBorder="1" applyAlignment="1">
      <alignment horizontal="right"/>
    </xf>
    <xf numFmtId="165" fontId="166" fillId="0" borderId="0" xfId="1178" applyFont="1" applyFill="1" applyBorder="1" applyAlignment="1">
      <alignment horizontal="right"/>
    </xf>
    <xf numFmtId="10" fontId="167" fillId="0" borderId="0" xfId="1178" applyNumberFormat="1" applyFont="1" applyFill="1" applyBorder="1" applyAlignment="1">
      <alignment horizontal="right"/>
    </xf>
    <xf numFmtId="201" fontId="167" fillId="0" borderId="0" xfId="1178" applyNumberFormat="1" applyFont="1" applyFill="1" applyBorder="1" applyAlignment="1">
      <alignment horizontal="right"/>
    </xf>
    <xf numFmtId="165" fontId="167" fillId="0" borderId="0" xfId="1177" applyNumberFormat="1" applyFont="1" applyAlignment="1">
      <alignment horizontal="left"/>
    </xf>
    <xf numFmtId="165" fontId="167" fillId="0" borderId="0" xfId="1178" applyFont="1" applyFill="1" applyBorder="1" applyAlignment="1">
      <alignment horizontal="left"/>
    </xf>
    <xf numFmtId="0" fontId="167" fillId="0" borderId="0" xfId="1180" applyFont="1"/>
    <xf numFmtId="43" fontId="167" fillId="0" borderId="0" xfId="1177" applyNumberFormat="1" applyFont="1" applyAlignment="1">
      <alignment horizontal="left"/>
    </xf>
    <xf numFmtId="165" fontId="166" fillId="0" borderId="0" xfId="1177" applyNumberFormat="1" applyFont="1" applyAlignment="1">
      <alignment horizontal="left"/>
    </xf>
    <xf numFmtId="165" fontId="166" fillId="0" borderId="0" xfId="1178" applyFont="1" applyBorder="1" applyAlignment="1">
      <alignment horizontal="right"/>
    </xf>
    <xf numFmtId="165" fontId="167" fillId="0" borderId="0" xfId="1178" applyFont="1" applyBorder="1" applyAlignment="1">
      <alignment horizontal="right"/>
    </xf>
    <xf numFmtId="0" fontId="167" fillId="0" borderId="0" xfId="1177" applyFont="1" applyAlignment="1">
      <alignment horizontal="right"/>
    </xf>
    <xf numFmtId="165" fontId="166" fillId="0" borderId="0" xfId="1177" applyNumberFormat="1" applyFont="1" applyAlignment="1">
      <alignment horizontal="right"/>
    </xf>
    <xf numFmtId="0" fontId="166" fillId="0" borderId="0" xfId="1177" applyFont="1" applyAlignment="1">
      <alignment horizontal="right"/>
    </xf>
    <xf numFmtId="165" fontId="167" fillId="0" borderId="0" xfId="1177" applyNumberFormat="1" applyFont="1" applyAlignment="1">
      <alignment horizontal="right"/>
    </xf>
    <xf numFmtId="0" fontId="159" fillId="0" borderId="0" xfId="1177"/>
    <xf numFmtId="0" fontId="168" fillId="0" borderId="0" xfId="1177" applyFont="1" applyAlignment="1">
      <alignment horizontal="right"/>
    </xf>
    <xf numFmtId="0" fontId="168" fillId="0" borderId="0" xfId="1177" applyFont="1"/>
    <xf numFmtId="1" fontId="162" fillId="0" borderId="0" xfId="1181" applyNumberFormat="1" applyFont="1" applyAlignment="1">
      <alignment horizontal="center"/>
    </xf>
    <xf numFmtId="165" fontId="159" fillId="0" borderId="0" xfId="1177" applyNumberFormat="1"/>
    <xf numFmtId="165" fontId="0" fillId="0" borderId="0" xfId="1178" applyFont="1" applyFill="1"/>
    <xf numFmtId="165" fontId="0" fillId="0" borderId="0" xfId="1178" applyFont="1"/>
    <xf numFmtId="165" fontId="168" fillId="0" borderId="80" xfId="1177" applyNumberFormat="1" applyFont="1" applyBorder="1"/>
    <xf numFmtId="43" fontId="159" fillId="0" borderId="0" xfId="1177" applyNumberFormat="1"/>
    <xf numFmtId="0" fontId="169" fillId="0" borderId="0" xfId="1177" applyFont="1"/>
    <xf numFmtId="241" fontId="0" fillId="0" borderId="0" xfId="1178" applyNumberFormat="1" applyFont="1"/>
    <xf numFmtId="241" fontId="159" fillId="0" borderId="0" xfId="1177" applyNumberFormat="1"/>
    <xf numFmtId="0" fontId="170" fillId="0" borderId="0" xfId="1177" applyFont="1"/>
    <xf numFmtId="17" fontId="162" fillId="0" borderId="0" xfId="1182" applyNumberFormat="1" applyFont="1" applyAlignment="1">
      <alignment horizontal="center"/>
    </xf>
    <xf numFmtId="165" fontId="165" fillId="0" borderId="0" xfId="1178" applyFont="1"/>
    <xf numFmtId="0" fontId="165" fillId="0" borderId="0" xfId="1177" applyFont="1"/>
    <xf numFmtId="43" fontId="159" fillId="54" borderId="0" xfId="1177" applyNumberFormat="1" applyFill="1"/>
    <xf numFmtId="165" fontId="168" fillId="0" borderId="0" xfId="1177" applyNumberFormat="1" applyFont="1" applyAlignment="1">
      <alignment horizontal="right"/>
    </xf>
    <xf numFmtId="0" fontId="168" fillId="0" borderId="0" xfId="1177" applyFont="1" applyAlignment="1">
      <alignment horizontal="center"/>
    </xf>
    <xf numFmtId="0" fontId="159" fillId="0" borderId="0" xfId="1177" quotePrefix="1"/>
    <xf numFmtId="240" fontId="159" fillId="0" borderId="0" xfId="1183" applyFont="1" applyAlignment="1">
      <alignment horizontal="center"/>
    </xf>
    <xf numFmtId="165" fontId="0" fillId="0" borderId="0" xfId="1178" applyFont="1" applyFill="1" applyBorder="1"/>
    <xf numFmtId="165" fontId="159" fillId="0" borderId="0" xfId="1178" applyFont="1" applyFill="1" applyBorder="1"/>
    <xf numFmtId="240" fontId="159" fillId="0" borderId="0" xfId="1183" applyFont="1"/>
    <xf numFmtId="165" fontId="168" fillId="0" borderId="80" xfId="1178" applyFont="1" applyFill="1" applyBorder="1"/>
    <xf numFmtId="240" fontId="162" fillId="0" borderId="0" xfId="1183" applyFont="1" applyAlignment="1">
      <alignment horizontal="left"/>
    </xf>
    <xf numFmtId="0" fontId="166" fillId="0" borderId="0" xfId="1180" applyFont="1"/>
    <xf numFmtId="240" fontId="159" fillId="0" borderId="0" xfId="1183" applyFont="1" applyAlignment="1">
      <alignment horizontal="left"/>
    </xf>
    <xf numFmtId="165" fontId="159" fillId="0" borderId="0" xfId="1178" applyFont="1" applyFill="1"/>
    <xf numFmtId="0" fontId="171" fillId="0" borderId="81" xfId="1177" applyFont="1" applyBorder="1" applyAlignment="1">
      <alignment horizontal="center" vertical="center" wrapText="1" readingOrder="1"/>
    </xf>
    <xf numFmtId="201" fontId="165" fillId="0" borderId="0" xfId="1178" applyNumberFormat="1" applyFont="1" applyFill="1" applyBorder="1" applyAlignment="1"/>
    <xf numFmtId="0" fontId="162" fillId="0" borderId="0" xfId="1184" applyFont="1"/>
    <xf numFmtId="0" fontId="162" fillId="0" borderId="0" xfId="1184" applyFont="1" applyAlignment="1">
      <alignment horizontal="right"/>
    </xf>
    <xf numFmtId="0" fontId="162" fillId="0" borderId="75" xfId="1184" applyFont="1" applyBorder="1" applyAlignment="1">
      <alignment horizontal="right"/>
    </xf>
    <xf numFmtId="165" fontId="165" fillId="0" borderId="0" xfId="1185" applyFont="1" applyFill="1"/>
    <xf numFmtId="0" fontId="165" fillId="0" borderId="0" xfId="1184" applyFont="1"/>
    <xf numFmtId="165" fontId="162" fillId="0" borderId="0" xfId="1185" applyFont="1" applyFill="1" applyBorder="1" applyAlignment="1">
      <alignment horizontal="center"/>
    </xf>
    <xf numFmtId="165" fontId="162" fillId="0" borderId="75" xfId="1185" applyFont="1" applyFill="1" applyBorder="1" applyAlignment="1">
      <alignment horizontal="center"/>
    </xf>
    <xf numFmtId="240" fontId="165" fillId="0" borderId="0" xfId="1183" applyFont="1" applyAlignment="1">
      <alignment horizontal="center"/>
    </xf>
    <xf numFmtId="165" fontId="165" fillId="0" borderId="0" xfId="1185" applyFont="1" applyFill="1" applyBorder="1"/>
    <xf numFmtId="165" fontId="165" fillId="0" borderId="75" xfId="1185" applyFont="1" applyFill="1" applyBorder="1"/>
    <xf numFmtId="240" fontId="165" fillId="0" borderId="0" xfId="1183" applyFont="1"/>
    <xf numFmtId="165" fontId="162" fillId="0" borderId="80" xfId="1185" applyFont="1" applyFill="1" applyBorder="1"/>
    <xf numFmtId="165" fontId="162" fillId="0" borderId="82" xfId="1185" applyFont="1" applyFill="1" applyBorder="1"/>
    <xf numFmtId="165" fontId="162" fillId="0" borderId="0" xfId="1185" applyFont="1" applyFill="1" applyBorder="1"/>
    <xf numFmtId="165" fontId="165" fillId="0" borderId="0" xfId="1185" applyFont="1" applyFill="1" applyBorder="1" applyAlignment="1">
      <alignment horizontal="center"/>
    </xf>
    <xf numFmtId="242" fontId="162" fillId="0" borderId="80" xfId="1183" applyNumberFormat="1" applyFont="1" applyBorder="1"/>
    <xf numFmtId="242" fontId="162" fillId="0" borderId="82" xfId="1183" applyNumberFormat="1" applyFont="1" applyBorder="1"/>
    <xf numFmtId="240" fontId="165" fillId="0" borderId="0" xfId="1183" applyFont="1" applyAlignment="1">
      <alignment horizontal="left"/>
    </xf>
    <xf numFmtId="242" fontId="165" fillId="0" borderId="0" xfId="1183" applyNumberFormat="1" applyFont="1"/>
    <xf numFmtId="165" fontId="162" fillId="0" borderId="75" xfId="1185" applyFont="1" applyFill="1" applyBorder="1"/>
    <xf numFmtId="165" fontId="166" fillId="0" borderId="0" xfId="1178" applyFont="1" applyFill="1" applyBorder="1" applyAlignment="1">
      <alignment horizontal="center"/>
    </xf>
    <xf numFmtId="243" fontId="166" fillId="0" borderId="0" xfId="1180" applyNumberFormat="1" applyFont="1" applyAlignment="1">
      <alignment horizontal="center"/>
    </xf>
    <xf numFmtId="0" fontId="167" fillId="0" borderId="0" xfId="1180" applyFont="1" applyAlignment="1">
      <alignment horizontal="center"/>
    </xf>
    <xf numFmtId="240" fontId="166" fillId="0" borderId="0" xfId="1186" applyNumberFormat="1" applyFont="1" applyAlignment="1">
      <alignment horizontal="center"/>
    </xf>
    <xf numFmtId="17" fontId="166" fillId="0" borderId="0" xfId="1180" applyNumberFormat="1" applyFont="1" applyAlignment="1">
      <alignment horizontal="center"/>
    </xf>
    <xf numFmtId="165" fontId="167" fillId="0" borderId="0" xfId="1178" applyFont="1" applyFill="1" applyBorder="1"/>
    <xf numFmtId="165" fontId="167" fillId="0" borderId="0" xfId="1180" applyNumberFormat="1" applyFont="1"/>
    <xf numFmtId="165" fontId="166" fillId="0" borderId="80" xfId="1180" applyNumberFormat="1" applyFont="1" applyBorder="1"/>
    <xf numFmtId="165" fontId="166" fillId="0" borderId="0" xfId="1180" applyNumberFormat="1" applyFont="1"/>
    <xf numFmtId="165" fontId="166" fillId="0" borderId="80" xfId="1178" applyFont="1" applyFill="1" applyBorder="1"/>
    <xf numFmtId="240" fontId="162" fillId="0" borderId="0" xfId="1181" applyFont="1" applyAlignment="1">
      <alignment horizontal="left"/>
    </xf>
    <xf numFmtId="165" fontId="168" fillId="0" borderId="0" xfId="1178" applyFont="1" applyFill="1" applyBorder="1"/>
    <xf numFmtId="240" fontId="168" fillId="0" borderId="0" xfId="1183" applyFont="1"/>
    <xf numFmtId="240" fontId="0" fillId="0" borderId="0" xfId="1183" applyFont="1" applyAlignment="1">
      <alignment horizontal="left"/>
    </xf>
    <xf numFmtId="0" fontId="159" fillId="0" borderId="0" xfId="1177" applyAlignment="1">
      <alignment horizontal="center"/>
    </xf>
    <xf numFmtId="165" fontId="165" fillId="0" borderId="0" xfId="1178" applyFont="1" applyFill="1" applyBorder="1" applyAlignment="1">
      <alignment horizontal="center"/>
    </xf>
    <xf numFmtId="10" fontId="0" fillId="0" borderId="0" xfId="1179" applyNumberFormat="1" applyFont="1" applyFill="1"/>
    <xf numFmtId="10" fontId="170" fillId="0" borderId="0" xfId="1179" applyNumberFormat="1" applyFont="1" applyFill="1"/>
    <xf numFmtId="165" fontId="168" fillId="0" borderId="0" xfId="1177" applyNumberFormat="1" applyFont="1"/>
    <xf numFmtId="0" fontId="166" fillId="0" borderId="0" xfId="1187" applyFont="1" applyAlignment="1">
      <alignment horizontal="left"/>
    </xf>
    <xf numFmtId="165" fontId="167" fillId="0" borderId="0" xfId="1178" applyFont="1" applyFill="1" applyBorder="1" applyAlignment="1">
      <alignment horizontal="center"/>
    </xf>
    <xf numFmtId="0" fontId="167" fillId="0" borderId="0" xfId="1177" applyFont="1" applyAlignment="1">
      <alignment horizontal="center"/>
    </xf>
    <xf numFmtId="165" fontId="167" fillId="0" borderId="0" xfId="1178" applyFont="1" applyFill="1" applyAlignment="1">
      <alignment horizontal="center"/>
    </xf>
    <xf numFmtId="0" fontId="167" fillId="0" borderId="0" xfId="1187" applyFont="1"/>
    <xf numFmtId="0" fontId="166" fillId="0" borderId="0" xfId="1187" applyFont="1" applyAlignment="1">
      <alignment horizontal="center"/>
    </xf>
    <xf numFmtId="17" fontId="166" fillId="0" borderId="0" xfId="1187" applyNumberFormat="1" applyFont="1" applyAlignment="1">
      <alignment horizontal="center"/>
    </xf>
    <xf numFmtId="0" fontId="167" fillId="0" borderId="0" xfId="1187" applyFont="1" applyAlignment="1">
      <alignment horizontal="left"/>
    </xf>
    <xf numFmtId="165" fontId="166" fillId="0" borderId="80" xfId="1178" applyFont="1" applyFill="1" applyBorder="1" applyAlignment="1">
      <alignment horizontal="center"/>
    </xf>
    <xf numFmtId="0" fontId="167" fillId="0" borderId="0" xfId="1187" applyFont="1" applyAlignment="1">
      <alignment horizontal="center"/>
    </xf>
    <xf numFmtId="165" fontId="167" fillId="0" borderId="0" xfId="1187" applyNumberFormat="1" applyFont="1" applyAlignment="1">
      <alignment horizontal="center"/>
    </xf>
    <xf numFmtId="165" fontId="166" fillId="0" borderId="80" xfId="1187" applyNumberFormat="1" applyFont="1" applyBorder="1" applyAlignment="1">
      <alignment horizontal="center"/>
    </xf>
    <xf numFmtId="165" fontId="166" fillId="0" borderId="0" xfId="1187" applyNumberFormat="1" applyFont="1" applyAlignment="1">
      <alignment horizontal="center"/>
    </xf>
    <xf numFmtId="165" fontId="167" fillId="0" borderId="0" xfId="1187" applyNumberFormat="1" applyFont="1"/>
    <xf numFmtId="165" fontId="167" fillId="0" borderId="0" xfId="1178" applyFont="1" applyFill="1"/>
    <xf numFmtId="0" fontId="162" fillId="0" borderId="0" xfId="1182" applyFont="1" applyAlignment="1">
      <alignment horizontal="left" vertical="center"/>
    </xf>
    <xf numFmtId="0" fontId="162" fillId="0" borderId="0" xfId="1182" applyFont="1" applyAlignment="1">
      <alignment horizontal="center" vertical="center"/>
    </xf>
    <xf numFmtId="0" fontId="159" fillId="0" borderId="0" xfId="1182" applyFont="1"/>
    <xf numFmtId="165" fontId="159" fillId="0" borderId="0" xfId="1178" applyFont="1" applyFill="1" applyBorder="1" applyAlignment="1">
      <alignment horizontal="center"/>
    </xf>
    <xf numFmtId="201" fontId="159" fillId="0" borderId="0" xfId="1178" applyNumberFormat="1" applyFont="1" applyFill="1" applyBorder="1" applyAlignment="1">
      <alignment horizontal="center"/>
    </xf>
    <xf numFmtId="10" fontId="159" fillId="0" borderId="0" xfId="1179" applyNumberFormat="1" applyFont="1" applyFill="1" applyBorder="1" applyAlignment="1">
      <alignment horizontal="center"/>
    </xf>
    <xf numFmtId="0" fontId="165" fillId="0" borderId="0" xfId="1188" applyNumberFormat="1" applyFont="1" applyAlignment="1">
      <alignment horizontal="center" vertical="center"/>
    </xf>
    <xf numFmtId="9" fontId="159" fillId="0" borderId="0" xfId="1179" applyFont="1" applyFill="1" applyBorder="1" applyAlignment="1">
      <alignment horizontal="center"/>
    </xf>
    <xf numFmtId="201" fontId="159" fillId="0" borderId="0" xfId="1178" applyNumberFormat="1" applyFont="1" applyFill="1" applyBorder="1"/>
    <xf numFmtId="0" fontId="165" fillId="0" borderId="0" xfId="1182" applyFont="1" applyAlignment="1">
      <alignment horizontal="left" vertical="center"/>
    </xf>
    <xf numFmtId="201" fontId="168" fillId="0" borderId="80" xfId="1178" applyNumberFormat="1" applyFont="1" applyFill="1" applyBorder="1"/>
    <xf numFmtId="243" fontId="159" fillId="0" borderId="0" xfId="1178" applyNumberFormat="1" applyFont="1" applyFill="1" applyBorder="1"/>
    <xf numFmtId="165" fontId="165" fillId="0" borderId="0" xfId="1178" applyFont="1" applyFill="1" applyBorder="1"/>
    <xf numFmtId="0" fontId="165" fillId="0" borderId="0" xfId="1182" applyFont="1" applyAlignment="1">
      <alignment horizontal="center" vertical="center"/>
    </xf>
    <xf numFmtId="165" fontId="159" fillId="0" borderId="0" xfId="1182" applyNumberFormat="1" applyFont="1"/>
    <xf numFmtId="0" fontId="165" fillId="0" borderId="0" xfId="1189" applyFont="1" applyAlignment="1">
      <alignment horizontal="left" vertical="center"/>
    </xf>
    <xf numFmtId="0" fontId="0" fillId="0" borderId="0" xfId="1189" applyFont="1" applyAlignment="1">
      <alignment horizontal="center"/>
    </xf>
    <xf numFmtId="43" fontId="159" fillId="0" borderId="0" xfId="1189" applyNumberFormat="1" applyFont="1"/>
    <xf numFmtId="0" fontId="159" fillId="0" borderId="0" xfId="1189" applyFont="1"/>
    <xf numFmtId="43" fontId="0" fillId="0" borderId="0" xfId="1189" applyNumberFormat="1" applyFont="1"/>
    <xf numFmtId="0" fontId="0" fillId="0" borderId="0" xfId="1182" applyFont="1"/>
    <xf numFmtId="0" fontId="159" fillId="0" borderId="0" xfId="1182" applyFont="1" applyAlignment="1">
      <alignment horizontal="center"/>
    </xf>
    <xf numFmtId="165" fontId="159" fillId="54" borderId="0" xfId="1178" applyFont="1" applyFill="1" applyBorder="1"/>
    <xf numFmtId="0" fontId="162" fillId="0" borderId="0" xfId="1188" applyNumberFormat="1" applyFont="1" applyAlignment="1">
      <alignment horizontal="center" vertical="center"/>
    </xf>
    <xf numFmtId="165" fontId="159" fillId="54" borderId="0" xfId="1182" applyNumberFormat="1" applyFont="1" applyFill="1"/>
    <xf numFmtId="0" fontId="168" fillId="0" borderId="0" xfId="1182" applyFont="1"/>
    <xf numFmtId="0" fontId="168" fillId="0" borderId="0" xfId="1182" applyFont="1" applyAlignment="1">
      <alignment horizontal="center"/>
    </xf>
    <xf numFmtId="244" fontId="165" fillId="0" borderId="0" xfId="1188" applyNumberFormat="1" applyFont="1" applyAlignment="1">
      <alignment horizontal="center" vertical="center"/>
    </xf>
    <xf numFmtId="244" fontId="159" fillId="0" borderId="0" xfId="1182" applyNumberFormat="1" applyFont="1"/>
    <xf numFmtId="43" fontId="159" fillId="0" borderId="0" xfId="1182" applyNumberFormat="1" applyFont="1"/>
    <xf numFmtId="0" fontId="168" fillId="0" borderId="0" xfId="1189" applyFont="1" applyAlignment="1">
      <alignment horizontal="center"/>
    </xf>
    <xf numFmtId="165" fontId="159" fillId="0" borderId="0" xfId="1189" applyNumberFormat="1" applyFont="1"/>
    <xf numFmtId="165" fontId="159" fillId="0" borderId="0" xfId="1178" applyFont="1"/>
    <xf numFmtId="0" fontId="166" fillId="0" borderId="0" xfId="1180" applyFont="1" applyAlignment="1">
      <alignment horizontal="center"/>
    </xf>
    <xf numFmtId="17" fontId="162" fillId="0" borderId="0" xfId="1189" applyNumberFormat="1" applyFont="1" applyAlignment="1">
      <alignment horizontal="center"/>
    </xf>
    <xf numFmtId="201" fontId="167" fillId="0" borderId="0" xfId="1178" applyNumberFormat="1" applyFont="1" applyFill="1" applyBorder="1"/>
    <xf numFmtId="201" fontId="166" fillId="0" borderId="80" xfId="1178" applyNumberFormat="1" applyFont="1" applyFill="1" applyBorder="1"/>
    <xf numFmtId="201" fontId="172" fillId="0" borderId="0" xfId="1178" applyNumberFormat="1" applyFont="1" applyFill="1" applyBorder="1"/>
    <xf numFmtId="0" fontId="172" fillId="0" borderId="0" xfId="1180" applyFont="1"/>
    <xf numFmtId="201" fontId="167" fillId="0" borderId="0" xfId="1180" applyNumberFormat="1" applyFont="1"/>
    <xf numFmtId="0" fontId="166" fillId="0" borderId="0" xfId="1177" applyFont="1"/>
    <xf numFmtId="165" fontId="166" fillId="0" borderId="80" xfId="1177" applyNumberFormat="1" applyFont="1" applyBorder="1"/>
    <xf numFmtId="0" fontId="166" fillId="0" borderId="0" xfId="1190" applyFont="1"/>
    <xf numFmtId="0" fontId="166" fillId="0" borderId="0" xfId="1190" applyFont="1" applyAlignment="1">
      <alignment horizontal="center"/>
    </xf>
    <xf numFmtId="17" fontId="166" fillId="0" borderId="0" xfId="1190" applyNumberFormat="1" applyFont="1" applyAlignment="1">
      <alignment horizontal="center"/>
    </xf>
    <xf numFmtId="0" fontId="173" fillId="0" borderId="0" xfId="1190" applyFont="1"/>
    <xf numFmtId="0" fontId="173" fillId="0" borderId="0" xfId="1190" applyFont="1" applyAlignment="1">
      <alignment horizontal="center"/>
    </xf>
    <xf numFmtId="165" fontId="173" fillId="0" borderId="0" xfId="1178" applyFont="1" applyFill="1" applyBorder="1"/>
    <xf numFmtId="0" fontId="167" fillId="0" borderId="0" xfId="1190" applyFont="1"/>
    <xf numFmtId="0" fontId="174" fillId="0" borderId="0" xfId="1190" applyFont="1" applyAlignment="1">
      <alignment horizontal="center"/>
    </xf>
    <xf numFmtId="0" fontId="166" fillId="0" borderId="0" xfId="1182" applyFont="1" applyAlignment="1">
      <alignment horizontal="center" vertical="center"/>
    </xf>
    <xf numFmtId="165" fontId="166" fillId="0" borderId="80" xfId="1178" applyFont="1" applyFill="1" applyBorder="1" applyAlignment="1">
      <alignment horizontal="center" vertical="top"/>
    </xf>
    <xf numFmtId="0" fontId="166" fillId="0" borderId="0" xfId="1191" applyFont="1"/>
    <xf numFmtId="201" fontId="167" fillId="0" borderId="0" xfId="1178" applyNumberFormat="1" applyFont="1" applyFill="1" applyBorder="1" applyAlignment="1">
      <alignment horizontal="left"/>
    </xf>
    <xf numFmtId="0" fontId="165" fillId="0" borderId="0" xfId="1191" applyFont="1"/>
    <xf numFmtId="0" fontId="167" fillId="0" borderId="0" xfId="1192" applyFont="1"/>
    <xf numFmtId="17" fontId="166" fillId="0" borderId="0" xfId="1180" applyNumberFormat="1" applyFont="1" applyAlignment="1">
      <alignment horizontal="center" vertical="top"/>
    </xf>
    <xf numFmtId="0" fontId="159" fillId="0" borderId="0" xfId="1177" applyAlignment="1">
      <alignment horizontal="left"/>
    </xf>
    <xf numFmtId="0" fontId="159" fillId="0" borderId="0" xfId="1193" applyFont="1"/>
    <xf numFmtId="0" fontId="168" fillId="0" borderId="0" xfId="1193" applyFont="1" applyAlignment="1">
      <alignment horizontal="center"/>
    </xf>
    <xf numFmtId="0" fontId="168" fillId="0" borderId="0" xfId="1193" applyFont="1"/>
    <xf numFmtId="0" fontId="168" fillId="0" borderId="83" xfId="1193" applyFont="1" applyBorder="1"/>
    <xf numFmtId="245" fontId="168" fillId="0" borderId="0" xfId="1193" applyNumberFormat="1" applyFont="1" applyAlignment="1">
      <alignment horizontal="center"/>
    </xf>
    <xf numFmtId="245" fontId="168" fillId="0" borderId="0" xfId="1193" applyNumberFormat="1" applyFont="1"/>
    <xf numFmtId="0" fontId="159" fillId="0" borderId="0" xfId="1193" applyFont="1" applyAlignment="1">
      <alignment horizontal="left"/>
    </xf>
    <xf numFmtId="165" fontId="159" fillId="0" borderId="0" xfId="1194" applyFont="1" applyFill="1" applyBorder="1" applyAlignment="1">
      <alignment horizontal="center"/>
    </xf>
    <xf numFmtId="165" fontId="159" fillId="0" borderId="0" xfId="1194" applyFont="1" applyFill="1" applyBorder="1"/>
    <xf numFmtId="165" fontId="159" fillId="0" borderId="0" xfId="1193" applyNumberFormat="1" applyFont="1" applyAlignment="1">
      <alignment horizontal="center"/>
    </xf>
    <xf numFmtId="165" fontId="168" fillId="0" borderId="80" xfId="1193" applyNumberFormat="1" applyFont="1" applyBorder="1" applyAlignment="1">
      <alignment horizontal="center"/>
    </xf>
    <xf numFmtId="165" fontId="168" fillId="0" borderId="0" xfId="1193" applyNumberFormat="1" applyFont="1"/>
    <xf numFmtId="165" fontId="159" fillId="0" borderId="0" xfId="1195" applyNumberFormat="1" applyFont="1" applyAlignment="1">
      <alignment horizontal="center"/>
    </xf>
    <xf numFmtId="0" fontId="159" fillId="0" borderId="0" xfId="1193" applyFont="1" applyAlignment="1">
      <alignment horizontal="center"/>
    </xf>
    <xf numFmtId="165" fontId="168" fillId="0" borderId="0" xfId="1193" applyNumberFormat="1" applyFont="1" applyAlignment="1">
      <alignment horizontal="center"/>
    </xf>
    <xf numFmtId="0" fontId="0" fillId="0" borderId="0" xfId="1193" applyFont="1"/>
    <xf numFmtId="165" fontId="168" fillId="0" borderId="80" xfId="1194" applyFont="1" applyFill="1" applyBorder="1" applyAlignment="1">
      <alignment horizontal="center"/>
    </xf>
    <xf numFmtId="165" fontId="168" fillId="0" borderId="80" xfId="1194" applyFont="1" applyFill="1" applyBorder="1"/>
    <xf numFmtId="165" fontId="159" fillId="0" borderId="0" xfId="1193" applyNumberFormat="1" applyFont="1"/>
    <xf numFmtId="165" fontId="159" fillId="0" borderId="0" xfId="1178" applyFont="1" applyFill="1" applyAlignment="1">
      <alignment horizontal="center"/>
    </xf>
    <xf numFmtId="165" fontId="168" fillId="0" borderId="0" xfId="1194" applyFont="1" applyFill="1" applyBorder="1" applyAlignment="1">
      <alignment horizontal="center"/>
    </xf>
    <xf numFmtId="165" fontId="168" fillId="0" borderId="0" xfId="1194" applyFont="1" applyFill="1" applyBorder="1"/>
    <xf numFmtId="0" fontId="0" fillId="0" borderId="83" xfId="1193" applyFont="1" applyBorder="1"/>
    <xf numFmtId="165" fontId="168" fillId="0" borderId="0" xfId="1178" applyFont="1" applyFill="1" applyBorder="1" applyAlignment="1">
      <alignment horizontal="center"/>
    </xf>
    <xf numFmtId="0" fontId="159" fillId="0" borderId="83" xfId="1193" applyFont="1" applyBorder="1"/>
    <xf numFmtId="165" fontId="159" fillId="0" borderId="0" xfId="1196" applyFont="1" applyFill="1" applyAlignment="1">
      <alignment horizontal="center"/>
    </xf>
    <xf numFmtId="0" fontId="165" fillId="0" borderId="83" xfId="1193" applyFont="1" applyBorder="1"/>
    <xf numFmtId="43" fontId="159" fillId="0" borderId="0" xfId="1193" applyNumberFormat="1" applyFont="1"/>
    <xf numFmtId="0" fontId="165" fillId="0" borderId="0" xfId="1193" applyFont="1"/>
    <xf numFmtId="0" fontId="162" fillId="0" borderId="0" xfId="1197" applyFont="1" applyAlignment="1">
      <alignment horizontal="center" vertical="center"/>
    </xf>
    <xf numFmtId="0" fontId="162" fillId="0" borderId="0" xfId="1198" applyFont="1" applyAlignment="1">
      <alignment vertical="center"/>
    </xf>
    <xf numFmtId="0" fontId="162" fillId="0" borderId="0" xfId="1198" applyFont="1" applyAlignment="1">
      <alignment horizontal="center" vertical="center"/>
    </xf>
    <xf numFmtId="201" fontId="162" fillId="0" borderId="0" xfId="1198" applyNumberFormat="1" applyFont="1" applyAlignment="1">
      <alignment horizontal="center" vertical="center"/>
    </xf>
    <xf numFmtId="17" fontId="162" fillId="0" borderId="0" xfId="1197" applyNumberFormat="1" applyFont="1" applyAlignment="1">
      <alignment horizontal="center" vertical="center"/>
    </xf>
    <xf numFmtId="201" fontId="0" fillId="0" borderId="0" xfId="1178" applyNumberFormat="1" applyFont="1" applyFill="1"/>
    <xf numFmtId="201" fontId="165" fillId="0" borderId="0" xfId="1178" applyNumberFormat="1" applyFont="1" applyFill="1"/>
    <xf numFmtId="201" fontId="168" fillId="0" borderId="0" xfId="1178" applyNumberFormat="1" applyFont="1" applyFill="1" applyAlignment="1">
      <alignment horizontal="center"/>
    </xf>
    <xf numFmtId="201" fontId="168" fillId="0" borderId="0" xfId="1178" applyNumberFormat="1" applyFont="1" applyFill="1" applyBorder="1"/>
    <xf numFmtId="201" fontId="159" fillId="0" borderId="0" xfId="1177" applyNumberFormat="1"/>
    <xf numFmtId="201" fontId="0" fillId="0" borderId="0" xfId="1178" applyNumberFormat="1" applyFont="1"/>
    <xf numFmtId="0" fontId="165" fillId="0" borderId="0" xfId="1177" applyFont="1" applyAlignment="1">
      <alignment horizontal="center"/>
    </xf>
    <xf numFmtId="165" fontId="165" fillId="0" borderId="0" xfId="1178" applyFont="1" applyFill="1"/>
    <xf numFmtId="201" fontId="162" fillId="0" borderId="0" xfId="1178" applyNumberFormat="1" applyFont="1" applyFill="1" applyAlignment="1">
      <alignment horizontal="center"/>
    </xf>
    <xf numFmtId="201" fontId="162" fillId="0" borderId="80" xfId="1178" applyNumberFormat="1" applyFont="1" applyFill="1" applyBorder="1"/>
    <xf numFmtId="201" fontId="162" fillId="0" borderId="0" xfId="1178" applyNumberFormat="1" applyFont="1" applyFill="1" applyBorder="1"/>
    <xf numFmtId="201" fontId="165" fillId="0" borderId="0" xfId="1177" applyNumberFormat="1" applyFont="1"/>
    <xf numFmtId="243" fontId="165" fillId="0" borderId="0" xfId="1178" applyNumberFormat="1" applyFont="1" applyFill="1"/>
    <xf numFmtId="246" fontId="165" fillId="0" borderId="0" xfId="1178" applyNumberFormat="1" applyFont="1" applyFill="1"/>
    <xf numFmtId="0" fontId="168" fillId="0" borderId="0" xfId="1199" applyFont="1" applyAlignment="1">
      <alignment horizontal="center"/>
    </xf>
    <xf numFmtId="245" fontId="168" fillId="0" borderId="75" xfId="1199" applyNumberFormat="1" applyFont="1" applyBorder="1" applyAlignment="1">
      <alignment horizontal="center"/>
    </xf>
    <xf numFmtId="245" fontId="168" fillId="0" borderId="0" xfId="1199" applyNumberFormat="1" applyFont="1" applyAlignment="1">
      <alignment horizontal="center"/>
    </xf>
    <xf numFmtId="0" fontId="159" fillId="0" borderId="0" xfId="1199" applyFont="1"/>
    <xf numFmtId="0" fontId="159" fillId="0" borderId="0" xfId="1199" applyFont="1" applyAlignment="1">
      <alignment horizontal="center"/>
    </xf>
    <xf numFmtId="165" fontId="159" fillId="0" borderId="0" xfId="1178" applyFont="1" applyBorder="1"/>
    <xf numFmtId="201" fontId="159" fillId="0" borderId="0" xfId="1178" applyNumberFormat="1" applyFont="1" applyBorder="1"/>
    <xf numFmtId="201" fontId="159" fillId="0" borderId="75" xfId="1178" applyNumberFormat="1" applyFont="1" applyBorder="1"/>
    <xf numFmtId="0" fontId="159" fillId="0" borderId="75" xfId="1199" applyFont="1" applyBorder="1"/>
    <xf numFmtId="0" fontId="168" fillId="0" borderId="0" xfId="1199" applyFont="1"/>
    <xf numFmtId="245" fontId="168" fillId="0" borderId="75" xfId="1199" applyNumberFormat="1" applyFont="1" applyBorder="1"/>
    <xf numFmtId="245" fontId="168" fillId="0" borderId="0" xfId="1199" applyNumberFormat="1" applyFont="1"/>
    <xf numFmtId="201" fontId="159" fillId="0" borderId="75" xfId="1178" applyNumberFormat="1" applyFont="1" applyFill="1" applyBorder="1"/>
    <xf numFmtId="2" fontId="159" fillId="0" borderId="0" xfId="1199" applyNumberFormat="1" applyFont="1"/>
    <xf numFmtId="201" fontId="159" fillId="0" borderId="0" xfId="1199" applyNumberFormat="1" applyFont="1"/>
    <xf numFmtId="165" fontId="0" fillId="0" borderId="0" xfId="1178" applyFont="1" applyBorder="1"/>
    <xf numFmtId="165" fontId="168" fillId="0" borderId="80" xfId="1178" applyFont="1" applyBorder="1"/>
    <xf numFmtId="201" fontId="0" fillId="0" borderId="0" xfId="1178" applyNumberFormat="1" applyFont="1" applyBorder="1"/>
    <xf numFmtId="165" fontId="168" fillId="0" borderId="0" xfId="1178" applyFont="1" applyBorder="1"/>
    <xf numFmtId="201" fontId="175" fillId="0" borderId="0" xfId="1177" applyNumberFormat="1" applyFont="1"/>
    <xf numFmtId="9" fontId="3" fillId="0" borderId="0" xfId="2" applyFont="1"/>
    <xf numFmtId="9" fontId="3" fillId="0" borderId="45" xfId="2" applyFont="1" applyBorder="1"/>
    <xf numFmtId="165" fontId="1" fillId="0" borderId="0" xfId="0" applyNumberFormat="1" applyFont="1"/>
    <xf numFmtId="165" fontId="159" fillId="60" borderId="0" xfId="1178" applyFont="1" applyFill="1" applyBorder="1"/>
    <xf numFmtId="165" fontId="165" fillId="60" borderId="0" xfId="1185" applyFont="1" applyFill="1" applyBorder="1"/>
    <xf numFmtId="0" fontId="168" fillId="0" borderId="0" xfId="0" applyFont="1"/>
    <xf numFmtId="0" fontId="176" fillId="0" borderId="0" xfId="0" applyFont="1"/>
    <xf numFmtId="0" fontId="159" fillId="0" borderId="0" xfId="0" applyFont="1"/>
    <xf numFmtId="165" fontId="159" fillId="0" borderId="0" xfId="0" applyNumberFormat="1" applyFont="1"/>
    <xf numFmtId="9" fontId="159" fillId="0" borderId="0" xfId="0" applyNumberFormat="1" applyFont="1"/>
    <xf numFmtId="43" fontId="159" fillId="0" borderId="0" xfId="0" applyNumberFormat="1" applyFont="1"/>
    <xf numFmtId="9" fontId="159" fillId="60" borderId="0" xfId="0" applyNumberFormat="1" applyFont="1" applyFill="1"/>
    <xf numFmtId="170" fontId="148" fillId="0" borderId="0" xfId="3" applyNumberFormat="1" applyFont="1"/>
    <xf numFmtId="9" fontId="165" fillId="0" borderId="0" xfId="1185" applyNumberFormat="1" applyFont="1" applyFill="1" applyBorder="1"/>
    <xf numFmtId="243" fontId="159" fillId="54" borderId="0" xfId="1178" applyNumberFormat="1" applyFont="1" applyFill="1" applyBorder="1"/>
    <xf numFmtId="43" fontId="159" fillId="0" borderId="25" xfId="0" applyNumberFormat="1" applyFont="1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77" fillId="61" borderId="0" xfId="0" applyFont="1" applyFill="1" applyAlignment="1">
      <alignment horizontal="center" vertical="center"/>
    </xf>
    <xf numFmtId="0" fontId="10" fillId="62" borderId="0" xfId="0" applyFont="1" applyFill="1" applyAlignment="1">
      <alignment vertical="center"/>
    </xf>
    <xf numFmtId="0" fontId="10" fillId="62" borderId="0" xfId="0" applyFont="1" applyFill="1" applyAlignment="1">
      <alignment horizontal="center" vertical="center"/>
    </xf>
    <xf numFmtId="14" fontId="10" fillId="62" borderId="0" xfId="0" applyNumberFormat="1" applyFont="1" applyFill="1" applyAlignment="1">
      <alignment horizontal="center" vertical="center"/>
    </xf>
    <xf numFmtId="0" fontId="178" fillId="61" borderId="0" xfId="0" applyFont="1" applyFill="1" applyAlignment="1">
      <alignment vertical="center"/>
    </xf>
    <xf numFmtId="0" fontId="179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quotePrefix="1" applyAlignment="1">
      <alignment vertical="center"/>
    </xf>
    <xf numFmtId="2" fontId="10" fillId="62" borderId="0" xfId="0" applyNumberFormat="1" applyFont="1" applyFill="1" applyAlignment="1">
      <alignment horizontal="center" vertical="center"/>
    </xf>
    <xf numFmtId="0" fontId="10" fillId="62" borderId="0" xfId="0" applyFont="1" applyFill="1"/>
    <xf numFmtId="0" fontId="158" fillId="0" borderId="0" xfId="0" quotePrefix="1" applyFont="1" applyAlignment="1">
      <alignment vertical="center"/>
    </xf>
    <xf numFmtId="10" fontId="0" fillId="0" borderId="0" xfId="0" applyNumberFormat="1"/>
    <xf numFmtId="0" fontId="158" fillId="0" borderId="20" xfId="0" applyFont="1" applyBorder="1" applyAlignment="1">
      <alignment vertical="center"/>
    </xf>
    <xf numFmtId="0" fontId="158" fillId="0" borderId="20" xfId="0" applyFont="1" applyBorder="1"/>
    <xf numFmtId="10" fontId="158" fillId="0" borderId="20" xfId="0" applyNumberFormat="1" applyFont="1" applyBorder="1"/>
    <xf numFmtId="0" fontId="158" fillId="0" borderId="0" xfId="0" applyFont="1"/>
    <xf numFmtId="10" fontId="0" fillId="0" borderId="0" xfId="2" applyNumberFormat="1" applyFont="1" applyAlignment="1">
      <alignment vertical="center"/>
    </xf>
    <xf numFmtId="10" fontId="0" fillId="0" borderId="0" xfId="2" applyNumberFormat="1" applyFont="1" applyAlignment="1"/>
    <xf numFmtId="0" fontId="180" fillId="62" borderId="0" xfId="0" applyFont="1" applyFill="1"/>
    <xf numFmtId="10" fontId="0" fillId="0" borderId="0" xfId="0" applyNumberFormat="1" applyAlignment="1">
      <alignment horizontal="center"/>
    </xf>
    <xf numFmtId="0" fontId="180" fillId="62" borderId="0" xfId="0" applyFont="1" applyFill="1" applyAlignment="1">
      <alignment vertical="center"/>
    </xf>
    <xf numFmtId="10" fontId="10" fillId="62" borderId="0" xfId="2" applyNumberFormat="1" applyFont="1" applyFill="1" applyAlignment="1">
      <alignment horizontal="center" vertical="center"/>
    </xf>
    <xf numFmtId="2" fontId="0" fillId="0" borderId="0" xfId="0" applyNumberFormat="1"/>
    <xf numFmtId="0" fontId="181" fillId="0" borderId="0" xfId="1200"/>
    <xf numFmtId="247" fontId="0" fillId="0" borderId="0" xfId="0" applyNumberFormat="1"/>
    <xf numFmtId="243" fontId="172" fillId="0" borderId="0" xfId="1178" applyNumberFormat="1" applyFont="1" applyFill="1" applyBorder="1"/>
    <xf numFmtId="10" fontId="162" fillId="0" borderId="0" xfId="2" applyNumberFormat="1" applyFont="1" applyFill="1" applyBorder="1"/>
    <xf numFmtId="240" fontId="182" fillId="0" borderId="0" xfId="1183" applyFont="1"/>
    <xf numFmtId="240" fontId="184" fillId="0" borderId="0" xfId="1183" applyFont="1"/>
    <xf numFmtId="240" fontId="184" fillId="0" borderId="0" xfId="1183" applyFont="1" applyAlignment="1">
      <alignment horizontal="left"/>
    </xf>
    <xf numFmtId="165" fontId="184" fillId="0" borderId="0" xfId="1185" applyFont="1" applyFill="1" applyBorder="1"/>
    <xf numFmtId="240" fontId="183" fillId="0" borderId="0" xfId="1183" applyFont="1" applyAlignment="1">
      <alignment horizontal="left"/>
    </xf>
    <xf numFmtId="10" fontId="182" fillId="0" borderId="0" xfId="2" applyNumberFormat="1" applyFont="1" applyFill="1" applyBorder="1"/>
    <xf numFmtId="216" fontId="182" fillId="0" borderId="0" xfId="2" applyNumberFormat="1" applyFont="1" applyFill="1" applyBorder="1"/>
    <xf numFmtId="10" fontId="159" fillId="0" borderId="0" xfId="2" applyNumberFormat="1" applyFont="1" applyFill="1" applyBorder="1"/>
    <xf numFmtId="201" fontId="159" fillId="54" borderId="0" xfId="1178" applyNumberFormat="1" applyFont="1" applyFill="1" applyBorder="1"/>
    <xf numFmtId="10" fontId="159" fillId="54" borderId="0" xfId="2" applyNumberFormat="1" applyFont="1" applyFill="1" applyBorder="1"/>
    <xf numFmtId="165" fontId="185" fillId="63" borderId="0" xfId="1178" applyFont="1" applyFill="1" applyBorder="1"/>
    <xf numFmtId="248" fontId="0" fillId="0" borderId="0" xfId="0" applyNumberFormat="1"/>
    <xf numFmtId="0" fontId="10" fillId="2" borderId="0" xfId="3" applyFont="1" applyFill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10" fillId="57" borderId="70" xfId="0" applyFont="1" applyFill="1" applyBorder="1" applyAlignment="1">
      <alignment horizontal="center"/>
    </xf>
    <xf numFmtId="0" fontId="10" fillId="57" borderId="71" xfId="0" applyFont="1" applyFill="1" applyBorder="1" applyAlignment="1">
      <alignment horizontal="center"/>
    </xf>
    <xf numFmtId="165" fontId="162" fillId="0" borderId="0" xfId="1185" applyFont="1" applyFill="1" applyAlignment="1">
      <alignment horizontal="center"/>
    </xf>
    <xf numFmtId="216" fontId="159" fillId="0" borderId="0" xfId="2" applyNumberFormat="1" applyFont="1"/>
    <xf numFmtId="10" fontId="159" fillId="0" borderId="0" xfId="2" applyNumberFormat="1" applyFont="1"/>
  </cellXfs>
  <cellStyles count="1201">
    <cellStyle name="_x0010_" xfId="7"/>
    <cellStyle name="_x001c__x0006_" xfId="8"/>
    <cellStyle name="_x001d_" xfId="9"/>
    <cellStyle name="_x0010_ 2" xfId="10"/>
    <cellStyle name="%" xfId="11"/>
    <cellStyle name="% 2" xfId="12"/>
    <cellStyle name="%_021208Si mobil slovenia" xfId="13"/>
    <cellStyle name="%_Croatia_final110208" xfId="14"/>
    <cellStyle name="%_Financial Model" xfId="15"/>
    <cellStyle name="%_Financial Model-Telekom Austria_021108" xfId="16"/>
    <cellStyle name="%_Liechstein" xfId="17"/>
    <cellStyle name="%_other markets150208" xfId="18"/>
    <cellStyle name="_%(SignOnly)" xfId="19"/>
    <cellStyle name="_%(SignSpaceOnly)" xfId="20"/>
    <cellStyle name="_020708Mobilekomaustria" xfId="21"/>
    <cellStyle name="_April 2007 Invoice" xfId="22"/>
    <cellStyle name="_April 2007 Invoice 2" xfId="23"/>
    <cellStyle name="_April 2007 Invoice_Cost &amp; Revenue file FLSL" xfId="24"/>
    <cellStyle name="_April 2007 Invoice_MOnthly Revenue cost formatwise" xfId="25"/>
    <cellStyle name="_Balance sheet AR -31-Oct-08 RHI Clasil" xfId="26"/>
    <cellStyle name="_Bhiwandi Total" xfId="27"/>
    <cellStyle name="_BS  PL - Proposal for Capex Funding 61207" xfId="28"/>
    <cellStyle name="_BS  PL - Proposal for Capex Funding 61207 2" xfId="29"/>
    <cellStyle name="_CMA- Ceasan Glass 150308" xfId="30"/>
    <cellStyle name="_CMA- Ceasan Glass 150308 2" xfId="31"/>
    <cellStyle name="_CMA- Ceasan Glass 170308 (Final)" xfId="32"/>
    <cellStyle name="_CMA- Ceasan Glass 170308 (Final) 2" xfId="33"/>
    <cellStyle name="_CMA- Future Logistic 070208" xfId="34"/>
    <cellStyle name="_CMA- Future Logistic 070208 2" xfId="35"/>
    <cellStyle name="_CMA- Green Brilliance- 11.12.07" xfId="36"/>
    <cellStyle name="_CMA- Green Brilliance- 11.12.07 2" xfId="37"/>
    <cellStyle name="_CMA- I CARE" xfId="38"/>
    <cellStyle name="_CMA- I CARE 2" xfId="39"/>
    <cellStyle name="_CMA- Jabamayee ferro alloys 110208" xfId="40"/>
    <cellStyle name="_CMA- Jabamayee ferro alloys 110208 2" xfId="41"/>
    <cellStyle name="_Column1" xfId="42"/>
    <cellStyle name="_Column2" xfId="43"/>
    <cellStyle name="_Column3" xfId="44"/>
    <cellStyle name="_Column4" xfId="45"/>
    <cellStyle name="_Column5" xfId="46"/>
    <cellStyle name="_Column6" xfId="47"/>
    <cellStyle name="_Column7" xfId="48"/>
    <cellStyle name="_Comma" xfId="49"/>
    <cellStyle name="_Copy of Financials SCEL" xfId="50"/>
    <cellStyle name="_Copy of Summary billing" xfId="51"/>
    <cellStyle name="_Copy of Summary billing 2" xfId="52"/>
    <cellStyle name="_Currency" xfId="53"/>
    <cellStyle name="_CurrencySpace" xfId="54"/>
    <cellStyle name="_Data" xfId="55"/>
    <cellStyle name="_Deferred Tax Workings" xfId="56"/>
    <cellStyle name="_Deferred Tax Workings 2" xfId="57"/>
    <cellStyle name="_Depr Dec'09-final" xfId="58"/>
    <cellStyle name="_DSHP03-FINAL" xfId="59"/>
    <cellStyle name="_DSHP03-FINAL_1" xfId="60"/>
    <cellStyle name="_DSHP03-FINAL_2" xfId="61"/>
    <cellStyle name="_Euro" xfId="62"/>
    <cellStyle name="_fixed assets-30 june 08" xfId="63"/>
    <cellStyle name="_Formatted Financials_TSI CHN 113" xfId="64"/>
    <cellStyle name="_Header" xfId="65"/>
    <cellStyle name="_Heading" xfId="66"/>
    <cellStyle name="_Highlight" xfId="67"/>
    <cellStyle name="_Monthly ABP 100707" xfId="68"/>
    <cellStyle name="_Monthly ABP 100707 2" xfId="69"/>
    <cellStyle name="_Monthly ABP 100707_Cost &amp; Revenue file FLSL" xfId="70"/>
    <cellStyle name="_Monthly ABP 100707_MOnthly Revenue cost formatwise" xfId="71"/>
    <cellStyle name="_MOnthly Revenue cost formatwise" xfId="72"/>
    <cellStyle name="_MOnthly Revenue cost formatwise 2" xfId="73"/>
    <cellStyle name="_Multiple" xfId="74"/>
    <cellStyle name="_MultipleSpace" xfId="75"/>
    <cellStyle name="_PL AR - 31 Mar 09-RHI Clasil ( Mar 09)-year end" xfId="76"/>
    <cellStyle name="_PROJECT - 28(1)(1).05.2007" xfId="77"/>
    <cellStyle name="_PROJECT - 28(1)(1).05.2007 2" xfId="78"/>
    <cellStyle name="_Projections Final" xfId="79"/>
    <cellStyle name="_Projections Final 2" xfId="80"/>
    <cellStyle name="_Row1" xfId="81"/>
    <cellStyle name="_Row2" xfId="82"/>
    <cellStyle name="_Row3" xfId="83"/>
    <cellStyle name="_Row4" xfId="84"/>
    <cellStyle name="_Row5" xfId="85"/>
    <cellStyle name="_Row6" xfId="86"/>
    <cellStyle name="_Row7" xfId="87"/>
    <cellStyle name="_Schedule VI- GLSP - BSR" xfId="88"/>
    <cellStyle name="_Sieger Financials June 2008 " xfId="89"/>
    <cellStyle name="_Sieger Financials June 2008  2" xfId="90"/>
    <cellStyle name="_SPCL BS as on 31ST Mar 2010 - Final" xfId="91"/>
    <cellStyle name="_SPCL Combined BS as on 30th Sep'09 give to SBI" xfId="92"/>
    <cellStyle name="_SPCL Financials PE- 31-Dec-09 to SBI kolkata" xfId="93"/>
    <cellStyle name="_SPCL Financials PE- 31-Dec-09 to SBI kolkata 2" xfId="94"/>
    <cellStyle name="_SPCL Financials PE- 31-Dec-09 to SBI kolkata Coal &amp; Power" xfId="95"/>
    <cellStyle name="_SPCL Financials PE- 31-Dec-09 to SBI kolkata Coal &amp; Power 2" xfId="96"/>
    <cellStyle name="_SubHeading" xfId="97"/>
    <cellStyle name="_Table" xfId="98"/>
    <cellStyle name="_TableHead" xfId="99"/>
    <cellStyle name="_TableRowHead" xfId="100"/>
    <cellStyle name="_TableSuperHead" xfId="101"/>
    <cellStyle name="_Template mobile (2)" xfId="102"/>
    <cellStyle name="_TEV study details" xfId="103"/>
    <cellStyle name="_TEV study details 2" xfId="104"/>
    <cellStyle name="_Warehouse Area details - Apportionmetnt RR" xfId="105"/>
    <cellStyle name="_Warehouse Area details - Apportionmetnt RR 2" xfId="106"/>
    <cellStyle name="&lt;ï_x0014_æŠc" xfId="107"/>
    <cellStyle name="=C:\WINNT\SYSTEM32\COMMAND.COM" xfId="108"/>
    <cellStyle name="=C:\WINNT\SYSTEM32\COMMAND.COM 2" xfId="109"/>
    <cellStyle name="=C:\WINNT35\SYSTEM32\COMMAND.COM" xfId="110"/>
    <cellStyle name="0" xfId="111"/>
    <cellStyle name="000" xfId="112"/>
    <cellStyle name="20% - Accent1 2" xfId="113"/>
    <cellStyle name="20% - Accent1 2 2" xfId="114"/>
    <cellStyle name="20% - Accent1 3" xfId="115"/>
    <cellStyle name="20% - Accent1 3 2" xfId="116"/>
    <cellStyle name="20% - Accent1 4" xfId="117"/>
    <cellStyle name="20% - Accent1 4 2" xfId="118"/>
    <cellStyle name="20% - Accent1 5" xfId="119"/>
    <cellStyle name="20% - Accent1 5 2" xfId="120"/>
    <cellStyle name="20% - Accent1 6" xfId="121"/>
    <cellStyle name="20% - Accent1 6 2" xfId="122"/>
    <cellStyle name="20% - Accent1 7" xfId="123"/>
    <cellStyle name="20% - Accent1 8" xfId="124"/>
    <cellStyle name="20% - Accent1 9" xfId="125"/>
    <cellStyle name="20% - Accent2 2" xfId="126"/>
    <cellStyle name="20% - Accent2 2 2" xfId="127"/>
    <cellStyle name="20% - Accent2 3" xfId="128"/>
    <cellStyle name="20% - Accent2 3 2" xfId="129"/>
    <cellStyle name="20% - Accent2 4" xfId="130"/>
    <cellStyle name="20% - Accent2 4 2" xfId="131"/>
    <cellStyle name="20% - Accent2 5" xfId="132"/>
    <cellStyle name="20% - Accent2 5 2" xfId="133"/>
    <cellStyle name="20% - Accent2 6" xfId="134"/>
    <cellStyle name="20% - Accent2 6 2" xfId="135"/>
    <cellStyle name="20% - Accent2 7" xfId="136"/>
    <cellStyle name="20% - Accent2 8" xfId="137"/>
    <cellStyle name="20% - Accent2 9" xfId="138"/>
    <cellStyle name="20% - Accent3 2" xfId="139"/>
    <cellStyle name="20% - Accent3 2 2" xfId="140"/>
    <cellStyle name="20% - Accent3 3" xfId="141"/>
    <cellStyle name="20% - Accent3 3 2" xfId="142"/>
    <cellStyle name="20% - Accent3 4" xfId="143"/>
    <cellStyle name="20% - Accent3 4 2" xfId="144"/>
    <cellStyle name="20% - Accent3 5" xfId="145"/>
    <cellStyle name="20% - Accent3 5 2" xfId="146"/>
    <cellStyle name="20% - Accent3 6" xfId="147"/>
    <cellStyle name="20% - Accent3 6 2" xfId="148"/>
    <cellStyle name="20% - Accent3 7" xfId="149"/>
    <cellStyle name="20% - Accent3 8" xfId="150"/>
    <cellStyle name="20% - Accent3 9" xfId="151"/>
    <cellStyle name="20% - Accent4 2" xfId="152"/>
    <cellStyle name="20% - Accent4 2 2" xfId="153"/>
    <cellStyle name="20% - Accent4 3" xfId="154"/>
    <cellStyle name="20% - Accent4 3 2" xfId="155"/>
    <cellStyle name="20% - Accent4 4" xfId="156"/>
    <cellStyle name="20% - Accent4 4 2" xfId="157"/>
    <cellStyle name="20% - Accent4 5" xfId="158"/>
    <cellStyle name="20% - Accent4 5 2" xfId="159"/>
    <cellStyle name="20% - Accent4 6" xfId="160"/>
    <cellStyle name="20% - Accent4 6 2" xfId="161"/>
    <cellStyle name="20% - Accent4 7" xfId="162"/>
    <cellStyle name="20% - Accent4 8" xfId="163"/>
    <cellStyle name="20% - Accent4 9" xfId="164"/>
    <cellStyle name="20% - Accent5 2" xfId="165"/>
    <cellStyle name="20% - Accent5 2 2" xfId="166"/>
    <cellStyle name="20% - Accent5 3" xfId="167"/>
    <cellStyle name="20% - Accent5 3 2" xfId="168"/>
    <cellStyle name="20% - Accent5 4" xfId="169"/>
    <cellStyle name="20% - Accent5 4 2" xfId="170"/>
    <cellStyle name="20% - Accent5 5" xfId="171"/>
    <cellStyle name="20% - Accent5 5 2" xfId="172"/>
    <cellStyle name="20% - Accent5 6" xfId="173"/>
    <cellStyle name="20% - Accent5 6 2" xfId="174"/>
    <cellStyle name="20% - Accent5 7" xfId="175"/>
    <cellStyle name="20% - Accent5 8" xfId="176"/>
    <cellStyle name="20% - Accent5 9" xfId="177"/>
    <cellStyle name="20% - Accent6 2" xfId="178"/>
    <cellStyle name="20% - Accent6 2 2" xfId="179"/>
    <cellStyle name="20% - Accent6 3" xfId="180"/>
    <cellStyle name="20% - Accent6 3 2" xfId="181"/>
    <cellStyle name="20% - Accent6 4" xfId="182"/>
    <cellStyle name="20% - Accent6 4 2" xfId="183"/>
    <cellStyle name="20% - Accent6 5" xfId="184"/>
    <cellStyle name="20% - Accent6 5 2" xfId="185"/>
    <cellStyle name="20% - Accent6 6" xfId="186"/>
    <cellStyle name="20% - Accent6 6 2" xfId="187"/>
    <cellStyle name="20% - Accent6 7" xfId="188"/>
    <cellStyle name="20% - Accent6 8" xfId="189"/>
    <cellStyle name="20% - Accent6 9" xfId="190"/>
    <cellStyle name="2decimal" xfId="191"/>
    <cellStyle name="40% - Accent1 2" xfId="192"/>
    <cellStyle name="40% - Accent1 2 2" xfId="193"/>
    <cellStyle name="40% - Accent1 3" xfId="194"/>
    <cellStyle name="40% - Accent1 3 2" xfId="195"/>
    <cellStyle name="40% - Accent1 4" xfId="196"/>
    <cellStyle name="40% - Accent1 4 2" xfId="197"/>
    <cellStyle name="40% - Accent1 5" xfId="198"/>
    <cellStyle name="40% - Accent1 5 2" xfId="199"/>
    <cellStyle name="40% - Accent1 6" xfId="200"/>
    <cellStyle name="40% - Accent1 6 2" xfId="201"/>
    <cellStyle name="40% - Accent1 7" xfId="202"/>
    <cellStyle name="40% - Accent1 8" xfId="203"/>
    <cellStyle name="40% - Accent1 9" xfId="204"/>
    <cellStyle name="40% - Accent2 2" xfId="205"/>
    <cellStyle name="40% - Accent2 2 2" xfId="206"/>
    <cellStyle name="40% - Accent2 3" xfId="207"/>
    <cellStyle name="40% - Accent2 3 2" xfId="208"/>
    <cellStyle name="40% - Accent2 4" xfId="209"/>
    <cellStyle name="40% - Accent2 4 2" xfId="210"/>
    <cellStyle name="40% - Accent2 5" xfId="211"/>
    <cellStyle name="40% - Accent2 5 2" xfId="212"/>
    <cellStyle name="40% - Accent2 6" xfId="213"/>
    <cellStyle name="40% - Accent2 6 2" xfId="214"/>
    <cellStyle name="40% - Accent2 7" xfId="215"/>
    <cellStyle name="40% - Accent2 8" xfId="216"/>
    <cellStyle name="40% - Accent2 9" xfId="217"/>
    <cellStyle name="40% - Accent3 2" xfId="218"/>
    <cellStyle name="40% - Accent3 2 2" xfId="219"/>
    <cellStyle name="40% - Accent3 3" xfId="220"/>
    <cellStyle name="40% - Accent3 3 2" xfId="221"/>
    <cellStyle name="40% - Accent3 4" xfId="222"/>
    <cellStyle name="40% - Accent3 4 2" xfId="223"/>
    <cellStyle name="40% - Accent3 5" xfId="224"/>
    <cellStyle name="40% - Accent3 5 2" xfId="225"/>
    <cellStyle name="40% - Accent3 6" xfId="226"/>
    <cellStyle name="40% - Accent3 6 2" xfId="227"/>
    <cellStyle name="40% - Accent3 7" xfId="228"/>
    <cellStyle name="40% - Accent3 8" xfId="229"/>
    <cellStyle name="40% - Accent3 9" xfId="230"/>
    <cellStyle name="40% - Accent4 2" xfId="231"/>
    <cellStyle name="40% - Accent4 2 2" xfId="232"/>
    <cellStyle name="40% - Accent4 3" xfId="233"/>
    <cellStyle name="40% - Accent4 3 2" xfId="234"/>
    <cellStyle name="40% - Accent4 4" xfId="235"/>
    <cellStyle name="40% - Accent4 4 2" xfId="236"/>
    <cellStyle name="40% - Accent4 5" xfId="237"/>
    <cellStyle name="40% - Accent4 5 2" xfId="238"/>
    <cellStyle name="40% - Accent4 6" xfId="239"/>
    <cellStyle name="40% - Accent4 6 2" xfId="240"/>
    <cellStyle name="40% - Accent4 7" xfId="241"/>
    <cellStyle name="40% - Accent4 8" xfId="242"/>
    <cellStyle name="40% - Accent4 9" xfId="243"/>
    <cellStyle name="40% - Accent5 2" xfId="244"/>
    <cellStyle name="40% - Accent5 2 2" xfId="245"/>
    <cellStyle name="40% - Accent5 3" xfId="246"/>
    <cellStyle name="40% - Accent5 3 2" xfId="247"/>
    <cellStyle name="40% - Accent5 4" xfId="248"/>
    <cellStyle name="40% - Accent5 4 2" xfId="249"/>
    <cellStyle name="40% - Accent5 5" xfId="250"/>
    <cellStyle name="40% - Accent5 5 2" xfId="251"/>
    <cellStyle name="40% - Accent5 6" xfId="252"/>
    <cellStyle name="40% - Accent5 6 2" xfId="253"/>
    <cellStyle name="40% - Accent5 7" xfId="254"/>
    <cellStyle name="40% - Accent5 8" xfId="255"/>
    <cellStyle name="40% - Accent5 9" xfId="256"/>
    <cellStyle name="40% - Accent6 2" xfId="257"/>
    <cellStyle name="40% - Accent6 2 2" xfId="258"/>
    <cellStyle name="40% - Accent6 3" xfId="259"/>
    <cellStyle name="40% - Accent6 3 2" xfId="260"/>
    <cellStyle name="40% - Accent6 4" xfId="261"/>
    <cellStyle name="40% - Accent6 4 2" xfId="262"/>
    <cellStyle name="40% - Accent6 5" xfId="263"/>
    <cellStyle name="40% - Accent6 5 2" xfId="264"/>
    <cellStyle name="40% - Accent6 6" xfId="265"/>
    <cellStyle name="40% - Accent6 6 2" xfId="266"/>
    <cellStyle name="40% - Accent6 7" xfId="267"/>
    <cellStyle name="40% - Accent6 8" xfId="268"/>
    <cellStyle name="40% - Accent6 9" xfId="269"/>
    <cellStyle name="60% - Accent1 2" xfId="270"/>
    <cellStyle name="60% - Accent1 3" xfId="271"/>
    <cellStyle name="60% - Accent1 4" xfId="272"/>
    <cellStyle name="60% - Accent1 5" xfId="273"/>
    <cellStyle name="60% - Accent1 6" xfId="274"/>
    <cellStyle name="60% - Accent1 7" xfId="275"/>
    <cellStyle name="60% - Accent1 8" xfId="276"/>
    <cellStyle name="60% - Accent1 9" xfId="277"/>
    <cellStyle name="60% - Accent2 2" xfId="278"/>
    <cellStyle name="60% - Accent2 3" xfId="279"/>
    <cellStyle name="60% - Accent2 4" xfId="280"/>
    <cellStyle name="60% - Accent2 5" xfId="281"/>
    <cellStyle name="60% - Accent2 6" xfId="282"/>
    <cellStyle name="60% - Accent2 7" xfId="283"/>
    <cellStyle name="60% - Accent2 8" xfId="284"/>
    <cellStyle name="60% - Accent2 9" xfId="285"/>
    <cellStyle name="60% - Accent3 2" xfId="286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293"/>
    <cellStyle name="60% - Accent4 2" xfId="294"/>
    <cellStyle name="60% - Accent4 3" xfId="295"/>
    <cellStyle name="60% - Accent4 4" xfId="296"/>
    <cellStyle name="60% - Accent4 5" xfId="297"/>
    <cellStyle name="60% - Accent4 6" xfId="298"/>
    <cellStyle name="60% - Accent4 7" xfId="299"/>
    <cellStyle name="60% - Accent4 8" xfId="300"/>
    <cellStyle name="60% - Accent4 9" xfId="301"/>
    <cellStyle name="60% - Accent5 2" xfId="302"/>
    <cellStyle name="60% - Accent5 3" xfId="303"/>
    <cellStyle name="60% - Accent5 4" xfId="304"/>
    <cellStyle name="60% - Accent5 5" xfId="305"/>
    <cellStyle name="60% - Accent5 6" xfId="306"/>
    <cellStyle name="60% - Accent5 7" xfId="307"/>
    <cellStyle name="60% - Accent5 8" xfId="308"/>
    <cellStyle name="60% - Accent5 9" xfId="309"/>
    <cellStyle name="60% - Accent6 2" xfId="310"/>
    <cellStyle name="60% - Accent6 3" xfId="311"/>
    <cellStyle name="60% - Accent6 4" xfId="312"/>
    <cellStyle name="60% - Accent6 5" xfId="313"/>
    <cellStyle name="60% - Accent6 6" xfId="314"/>
    <cellStyle name="60% - Accent6 7" xfId="315"/>
    <cellStyle name="60% - Accent6 8" xfId="316"/>
    <cellStyle name="60% - Accent6 9" xfId="317"/>
    <cellStyle name="6mal" xfId="318"/>
    <cellStyle name="75" xfId="319"/>
    <cellStyle name="75 2" xfId="320"/>
    <cellStyle name="Accent1 2" xfId="321"/>
    <cellStyle name="Accent1 3" xfId="322"/>
    <cellStyle name="Accent1 4" xfId="323"/>
    <cellStyle name="Accent1 5" xfId="324"/>
    <cellStyle name="Accent1 6" xfId="325"/>
    <cellStyle name="Accent1 7" xfId="326"/>
    <cellStyle name="Accent1 8" xfId="327"/>
    <cellStyle name="Accent1 9" xfId="328"/>
    <cellStyle name="Accent2 2" xfId="329"/>
    <cellStyle name="Accent2 3" xfId="330"/>
    <cellStyle name="Accent2 4" xfId="331"/>
    <cellStyle name="Accent2 5" xfId="332"/>
    <cellStyle name="Accent2 6" xfId="333"/>
    <cellStyle name="Accent2 7" xfId="334"/>
    <cellStyle name="Accent2 8" xfId="335"/>
    <cellStyle name="Accent2 9" xfId="336"/>
    <cellStyle name="Accent3 2" xfId="337"/>
    <cellStyle name="Accent3 3" xfId="338"/>
    <cellStyle name="Accent3 4" xfId="339"/>
    <cellStyle name="Accent3 5" xfId="340"/>
    <cellStyle name="Accent3 6" xfId="341"/>
    <cellStyle name="Accent3 7" xfId="342"/>
    <cellStyle name="Accent3 8" xfId="343"/>
    <cellStyle name="Accent3 9" xfId="344"/>
    <cellStyle name="Accent4 2" xfId="345"/>
    <cellStyle name="Accent4 3" xfId="346"/>
    <cellStyle name="Accent4 4" xfId="347"/>
    <cellStyle name="Accent4 5" xfId="348"/>
    <cellStyle name="Accent4 6" xfId="349"/>
    <cellStyle name="Accent4 7" xfId="350"/>
    <cellStyle name="Accent4 8" xfId="351"/>
    <cellStyle name="Accent4 9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2" xfId="361"/>
    <cellStyle name="Accent6 3" xfId="362"/>
    <cellStyle name="Accent6 4" xfId="363"/>
    <cellStyle name="Accent6 5" xfId="364"/>
    <cellStyle name="Accent6 6" xfId="365"/>
    <cellStyle name="Accent6 7" xfId="366"/>
    <cellStyle name="Accent6 8" xfId="367"/>
    <cellStyle name="Accent6 9" xfId="368"/>
    <cellStyle name="active" xfId="369"/>
    <cellStyle name="ÅëÈ­ [0]_±âÅ¸" xfId="370"/>
    <cellStyle name="ÅëÈ­_±âÅ¸" xfId="371"/>
    <cellStyle name="args.style" xfId="372"/>
    <cellStyle name="ÄÞ¸¶ [0]_±âÅ¸" xfId="373"/>
    <cellStyle name="ÄÞ¸¶_±âÅ¸" xfId="374"/>
    <cellStyle name="auf tausender" xfId="375"/>
    <cellStyle name="Bad 2" xfId="376"/>
    <cellStyle name="Bad 3" xfId="377"/>
    <cellStyle name="Bad 4" xfId="378"/>
    <cellStyle name="Bad 5" xfId="379"/>
    <cellStyle name="Bad 6" xfId="380"/>
    <cellStyle name="Bad 7" xfId="381"/>
    <cellStyle name="Bad 8" xfId="382"/>
    <cellStyle name="Bad 9" xfId="383"/>
    <cellStyle name="Body" xfId="384"/>
    <cellStyle name="Bold" xfId="385"/>
    <cellStyle name="Bold Label" xfId="386"/>
    <cellStyle name="C¡IA¨ª_¡ic¨u¡A¨￢I¨￢¡Æ AN¡Æe " xfId="387"/>
    <cellStyle name="Ç¥ÁØ_¿¬°£´©°è¿¹»ó" xfId="388"/>
    <cellStyle name="C￥AØ_¿uº°A¸≫c½CAu_³≫ºI°eE¹´e AßA¤A÷AI " xfId="389"/>
    <cellStyle name="Ç¥ÁØ_»ç¾÷ºÎº° ÃÑ°è " xfId="390"/>
    <cellStyle name="C￥AØ_≫c¾÷ºIº° AN°e " xfId="391"/>
    <cellStyle name="Ç¥ÁØ_0N-HANDLING " xfId="392"/>
    <cellStyle name="C￥AØ_¼±AoAc°i_1_³≫ºI°eE¹´e AßA¤A÷AI " xfId="393"/>
    <cellStyle name="Ç¥ÁØ_5-1±¤°í " xfId="394"/>
    <cellStyle name="C￥AØ_5-1±¤°i _6RCB1 " xfId="395"/>
    <cellStyle name="Ç¥ÁØ_Áý°èÇ¥(2¿ù) " xfId="396"/>
    <cellStyle name="C￥AØ_CoAo¹yAI °A¾×¿ⓒ½A " xfId="397"/>
    <cellStyle name="Ç¥ÁØ_Sheet1_¿µ¾÷ÇöÈ² " xfId="398"/>
    <cellStyle name="C00A" xfId="399"/>
    <cellStyle name="C00B" xfId="400"/>
    <cellStyle name="C00L" xfId="401"/>
    <cellStyle name="C01A" xfId="402"/>
    <cellStyle name="C01B" xfId="403"/>
    <cellStyle name="C01H" xfId="404"/>
    <cellStyle name="C01L" xfId="405"/>
    <cellStyle name="C02A" xfId="406"/>
    <cellStyle name="C02B" xfId="407"/>
    <cellStyle name="C02H" xfId="408"/>
    <cellStyle name="C02L" xfId="409"/>
    <cellStyle name="C03A" xfId="410"/>
    <cellStyle name="C03B" xfId="411"/>
    <cellStyle name="C03H" xfId="412"/>
    <cellStyle name="C03L" xfId="413"/>
    <cellStyle name="C04A" xfId="414"/>
    <cellStyle name="C04B" xfId="415"/>
    <cellStyle name="C04H" xfId="416"/>
    <cellStyle name="C04L" xfId="417"/>
    <cellStyle name="C05A" xfId="418"/>
    <cellStyle name="C05B" xfId="419"/>
    <cellStyle name="C05H" xfId="420"/>
    <cellStyle name="C05L" xfId="421"/>
    <cellStyle name="C06A" xfId="422"/>
    <cellStyle name="C06B" xfId="423"/>
    <cellStyle name="C06H" xfId="424"/>
    <cellStyle name="C06L" xfId="425"/>
    <cellStyle name="C07A" xfId="426"/>
    <cellStyle name="C07B" xfId="427"/>
    <cellStyle name="C07H" xfId="428"/>
    <cellStyle name="C07L" xfId="429"/>
    <cellStyle name="Calc Currency (0)" xfId="430"/>
    <cellStyle name="Calc Currency (2)" xfId="431"/>
    <cellStyle name="Calc Percent (0)" xfId="432"/>
    <cellStyle name="Calc Percent (1)" xfId="433"/>
    <cellStyle name="Calc Percent (2)" xfId="434"/>
    <cellStyle name="Calc Units (0)" xfId="435"/>
    <cellStyle name="Calc Units (1)" xfId="436"/>
    <cellStyle name="Calc Units (2)" xfId="437"/>
    <cellStyle name="Calculation 2" xfId="438"/>
    <cellStyle name="Calculation 3" xfId="439"/>
    <cellStyle name="Calculation 4" xfId="440"/>
    <cellStyle name="Calculation 5" xfId="441"/>
    <cellStyle name="Calculation 6" xfId="442"/>
    <cellStyle name="Calculation 7" xfId="443"/>
    <cellStyle name="Calculation 8" xfId="444"/>
    <cellStyle name="Calculation 9" xfId="445"/>
    <cellStyle name="category" xfId="446"/>
    <cellStyle name="Check Cell 2" xfId="447"/>
    <cellStyle name="Check Cell 3" xfId="448"/>
    <cellStyle name="Check Cell 4" xfId="449"/>
    <cellStyle name="Check Cell 5" xfId="450"/>
    <cellStyle name="Check Cell 6" xfId="451"/>
    <cellStyle name="Check Cell 7" xfId="452"/>
    <cellStyle name="Check Cell 8" xfId="453"/>
    <cellStyle name="Check Cell 9" xfId="454"/>
    <cellStyle name="Column Heading" xfId="455"/>
    <cellStyle name="Column Title" xfId="456"/>
    <cellStyle name="Column_Title" xfId="457"/>
    <cellStyle name="Comma" xfId="1" builtinId="3"/>
    <cellStyle name="Comma  - Style1" xfId="458"/>
    <cellStyle name="Comma  - Style1 2" xfId="459"/>
    <cellStyle name="Comma  - Style1 3" xfId="460"/>
    <cellStyle name="Comma  - Style2" xfId="461"/>
    <cellStyle name="Comma  - Style2 2" xfId="462"/>
    <cellStyle name="Comma  - Style2 3" xfId="463"/>
    <cellStyle name="Comma  - Style3" xfId="464"/>
    <cellStyle name="Comma  - Style3 2" xfId="465"/>
    <cellStyle name="Comma  - Style3 3" xfId="466"/>
    <cellStyle name="Comma  - Style4" xfId="467"/>
    <cellStyle name="Comma  - Style4 2" xfId="468"/>
    <cellStyle name="Comma  - Style4 3" xfId="469"/>
    <cellStyle name="Comma  - Style5" xfId="470"/>
    <cellStyle name="Comma  - Style5 2" xfId="471"/>
    <cellStyle name="Comma  - Style5 3" xfId="472"/>
    <cellStyle name="Comma  - Style6" xfId="473"/>
    <cellStyle name="Comma  - Style6 2" xfId="474"/>
    <cellStyle name="Comma  - Style6 3" xfId="475"/>
    <cellStyle name="Comma  - Style7" xfId="476"/>
    <cellStyle name="Comma  - Style7 2" xfId="477"/>
    <cellStyle name="Comma  - Style7 3" xfId="478"/>
    <cellStyle name="Comma  - Style8" xfId="479"/>
    <cellStyle name="Comma  - Style8 2" xfId="480"/>
    <cellStyle name="Comma  - Style8 3" xfId="481"/>
    <cellStyle name="Comma [00]" xfId="482"/>
    <cellStyle name="Comma [2]" xfId="483"/>
    <cellStyle name="Comma 10" xfId="5"/>
    <cellStyle name="Comma 10 10 10" xfId="484"/>
    <cellStyle name="Comma 10 10 10 2" xfId="1089"/>
    <cellStyle name="Comma 10 10 10 3" xfId="1099"/>
    <cellStyle name="Comma 10 2" xfId="485"/>
    <cellStyle name="Comma 10 2 2" xfId="1100"/>
    <cellStyle name="Comma 10 3" xfId="486"/>
    <cellStyle name="Comma 10 4" xfId="487"/>
    <cellStyle name="Comma 10 4 2" xfId="1094"/>
    <cellStyle name="Comma 10 4 3" xfId="1101"/>
    <cellStyle name="Comma 10 5" xfId="1087"/>
    <cellStyle name="Comma 100" xfId="1091"/>
    <cellStyle name="Comma 11" xfId="488"/>
    <cellStyle name="Comma 11 2" xfId="1102"/>
    <cellStyle name="Comma 12" xfId="489"/>
    <cellStyle name="Comma 12 2" xfId="1103"/>
    <cellStyle name="Comma 13" xfId="490"/>
    <cellStyle name="Comma 13 2" xfId="1104"/>
    <cellStyle name="Comma 14" xfId="491"/>
    <cellStyle name="Comma 14 2" xfId="1105"/>
    <cellStyle name="Comma 15" xfId="492"/>
    <cellStyle name="Comma 15 2" xfId="1106"/>
    <cellStyle name="Comma 16" xfId="493"/>
    <cellStyle name="Comma 16 2" xfId="1107"/>
    <cellStyle name="Comma 17" xfId="494"/>
    <cellStyle name="Comma 17 2" xfId="1108"/>
    <cellStyle name="Comma 18" xfId="495"/>
    <cellStyle name="Comma 18 2" xfId="1109"/>
    <cellStyle name="Comma 19" xfId="496"/>
    <cellStyle name="Comma 19 2" xfId="1110"/>
    <cellStyle name="Comma 2" xfId="6"/>
    <cellStyle name="Comma 2 10" xfId="497"/>
    <cellStyle name="Comma 2 2" xfId="498"/>
    <cellStyle name="Comma 2 2 2" xfId="4"/>
    <cellStyle name="Comma 2 2 2 2" xfId="1083"/>
    <cellStyle name="Comma 2 2 2 3" xfId="1084"/>
    <cellStyle name="Comma 2 2 3" xfId="1111"/>
    <cellStyle name="Comma 2 3" xfId="499"/>
    <cellStyle name="Comma 2 3 2" xfId="1112"/>
    <cellStyle name="Comma 2 3 3" xfId="1178"/>
    <cellStyle name="Comma 2 4" xfId="500"/>
    <cellStyle name="Comma 2 4 2" xfId="1113"/>
    <cellStyle name="Comma 2 5" xfId="501"/>
    <cellStyle name="Comma 2 5 2" xfId="1114"/>
    <cellStyle name="Comma 2 6" xfId="502"/>
    <cellStyle name="Comma 2 7" xfId="503"/>
    <cellStyle name="Comma 2 8" xfId="504"/>
    <cellStyle name="Comma 2 9" xfId="505"/>
    <cellStyle name="Comma 2_Book1 2" xfId="506"/>
    <cellStyle name="Comma 20" xfId="507"/>
    <cellStyle name="Comma 20 2" xfId="1115"/>
    <cellStyle name="Comma 21" xfId="508"/>
    <cellStyle name="Comma 21 2" xfId="1116"/>
    <cellStyle name="Comma 22" xfId="509"/>
    <cellStyle name="Comma 22 2" xfId="510"/>
    <cellStyle name="Comma 22 3" xfId="1117"/>
    <cellStyle name="Comma 23" xfId="511"/>
    <cellStyle name="Comma 23 2" xfId="1118"/>
    <cellStyle name="Comma 24" xfId="512"/>
    <cellStyle name="Comma 24 2" xfId="1119"/>
    <cellStyle name="Comma 25" xfId="513"/>
    <cellStyle name="Comma 25 2" xfId="1120"/>
    <cellStyle name="Comma 26" xfId="514"/>
    <cellStyle name="Comma 26 2" xfId="1121"/>
    <cellStyle name="Comma 264" xfId="515"/>
    <cellStyle name="Comma 264 2" xfId="1122"/>
    <cellStyle name="Comma 27" xfId="516"/>
    <cellStyle name="Comma 27 2" xfId="1123"/>
    <cellStyle name="Comma 28" xfId="517"/>
    <cellStyle name="Comma 28 2" xfId="1124"/>
    <cellStyle name="Comma 29" xfId="518"/>
    <cellStyle name="Comma 29 2" xfId="1125"/>
    <cellStyle name="Comma 3" xfId="519"/>
    <cellStyle name="Comma 3 2" xfId="520"/>
    <cellStyle name="Comma 3 2 2" xfId="521"/>
    <cellStyle name="Comma 3 2 2 2" xfId="1126"/>
    <cellStyle name="Comma 3 2 4" xfId="1194"/>
    <cellStyle name="Comma 3 3" xfId="522"/>
    <cellStyle name="Comma 3 3 2" xfId="1127"/>
    <cellStyle name="Comma 3 4" xfId="523"/>
    <cellStyle name="Comma 3 4 2" xfId="1128"/>
    <cellStyle name="Comma 3 5" xfId="524"/>
    <cellStyle name="Comma 3 5 2" xfId="1129"/>
    <cellStyle name="Comma 30" xfId="525"/>
    <cellStyle name="Comma 30 2" xfId="1130"/>
    <cellStyle name="Comma 31" xfId="526"/>
    <cellStyle name="Comma 31 2" xfId="1131"/>
    <cellStyle name="Comma 32" xfId="527"/>
    <cellStyle name="Comma 32 2" xfId="1132"/>
    <cellStyle name="Comma 33" xfId="528"/>
    <cellStyle name="Comma 33 2" xfId="1133"/>
    <cellStyle name="Comma 34" xfId="529"/>
    <cellStyle name="Comma 34 2" xfId="1134"/>
    <cellStyle name="Comma 35" xfId="530"/>
    <cellStyle name="Comma 35 2" xfId="1135"/>
    <cellStyle name="Comma 36" xfId="531"/>
    <cellStyle name="Comma 36 2" xfId="1136"/>
    <cellStyle name="Comma 37" xfId="532"/>
    <cellStyle name="Comma 37 2" xfId="1137"/>
    <cellStyle name="Comma 38" xfId="533"/>
    <cellStyle name="Comma 38 2" xfId="1138"/>
    <cellStyle name="Comma 39" xfId="534"/>
    <cellStyle name="Comma 39 2" xfId="1139"/>
    <cellStyle name="Comma 4" xfId="535"/>
    <cellStyle name="Comma 4 2" xfId="536"/>
    <cellStyle name="Comma 4 2 2" xfId="537"/>
    <cellStyle name="Comma 4 2 2 2" xfId="1141"/>
    <cellStyle name="Comma 4 3" xfId="538"/>
    <cellStyle name="Comma 4 3 2" xfId="1142"/>
    <cellStyle name="Comma 4 3 3" xfId="1196"/>
    <cellStyle name="Comma 4 4" xfId="539"/>
    <cellStyle name="Comma 4 4 2" xfId="1143"/>
    <cellStyle name="Comma 4 5" xfId="1140"/>
    <cellStyle name="Comma 40" xfId="540"/>
    <cellStyle name="Comma 40 2" xfId="1144"/>
    <cellStyle name="Comma 41" xfId="541"/>
    <cellStyle name="Comma 41 2" xfId="1145"/>
    <cellStyle name="Comma 42" xfId="542"/>
    <cellStyle name="Comma 42 2" xfId="1146"/>
    <cellStyle name="Comma 43" xfId="543"/>
    <cellStyle name="Comma 43 2" xfId="1147"/>
    <cellStyle name="Comma 44" xfId="544"/>
    <cellStyle name="Comma 44 2" xfId="1148"/>
    <cellStyle name="Comma 45" xfId="545"/>
    <cellStyle name="Comma 45 2" xfId="1149"/>
    <cellStyle name="Comma 46" xfId="546"/>
    <cellStyle name="Comma 46 2" xfId="1150"/>
    <cellStyle name="Comma 47" xfId="547"/>
    <cellStyle name="Comma 47 2" xfId="548"/>
    <cellStyle name="Comma 48" xfId="549"/>
    <cellStyle name="Comma 48 2" xfId="1151"/>
    <cellStyle name="Comma 49" xfId="550"/>
    <cellStyle name="Comma 49 2" xfId="1152"/>
    <cellStyle name="Comma 5" xfId="551"/>
    <cellStyle name="Comma 5 2" xfId="552"/>
    <cellStyle name="Comma 5 2 2" xfId="1154"/>
    <cellStyle name="Comma 5 3" xfId="1153"/>
    <cellStyle name="Comma 5 3 4" xfId="553"/>
    <cellStyle name="Comma 5 3 4 2" xfId="1155"/>
    <cellStyle name="Comma 50" xfId="554"/>
    <cellStyle name="Comma 50 2" xfId="1156"/>
    <cellStyle name="Comma 51" xfId="555"/>
    <cellStyle name="Comma 51 2" xfId="1157"/>
    <cellStyle name="Comma 52" xfId="556"/>
    <cellStyle name="Comma 52 2" xfId="1158"/>
    <cellStyle name="Comma 53" xfId="557"/>
    <cellStyle name="Comma 53 2" xfId="1159"/>
    <cellStyle name="Comma 54" xfId="558"/>
    <cellStyle name="Comma 54 2" xfId="1160"/>
    <cellStyle name="Comma 55" xfId="559"/>
    <cellStyle name="Comma 55 2" xfId="1161"/>
    <cellStyle name="Comma 56" xfId="560"/>
    <cellStyle name="Comma 56 2" xfId="1162"/>
    <cellStyle name="Comma 57" xfId="561"/>
    <cellStyle name="Comma 57 2" xfId="1163"/>
    <cellStyle name="Comma 58" xfId="562"/>
    <cellStyle name="Comma 58 2" xfId="1164"/>
    <cellStyle name="Comma 59" xfId="563"/>
    <cellStyle name="Comma 59 2" xfId="1165"/>
    <cellStyle name="Comma 6" xfId="564"/>
    <cellStyle name="Comma 6 2" xfId="565"/>
    <cellStyle name="Comma 6 2 2" xfId="1166"/>
    <cellStyle name="Comma 6 2 2 2 3 2 2" xfId="566"/>
    <cellStyle name="Comma 6 2 2 2 3 2 2 2" xfId="1167"/>
    <cellStyle name="Comma 60" xfId="567"/>
    <cellStyle name="Comma 60 2" xfId="568"/>
    <cellStyle name="Comma 60 3" xfId="1168"/>
    <cellStyle name="Comma 61" xfId="569"/>
    <cellStyle name="Comma 61 2" xfId="570"/>
    <cellStyle name="Comma 61 2 2" xfId="1090"/>
    <cellStyle name="Comma 62" xfId="571"/>
    <cellStyle name="Comma 63" xfId="572"/>
    <cellStyle name="Comma 64" xfId="1097"/>
    <cellStyle name="Comma 65" xfId="1098"/>
    <cellStyle name="Comma 67" xfId="1185"/>
    <cellStyle name="Comma 7" xfId="573"/>
    <cellStyle name="Comma 7 2" xfId="574"/>
    <cellStyle name="Comma 7 2 2" xfId="1170"/>
    <cellStyle name="Comma 7 3" xfId="575"/>
    <cellStyle name="Comma 7 3 2" xfId="1171"/>
    <cellStyle name="Comma 7 4" xfId="576"/>
    <cellStyle name="Comma 7 4 2" xfId="1172"/>
    <cellStyle name="Comma 7 5" xfId="1169"/>
    <cellStyle name="Comma 7_it dep and ann-V" xfId="577"/>
    <cellStyle name="Comma 8" xfId="578"/>
    <cellStyle name="Comma 8 2" xfId="1173"/>
    <cellStyle name="Comma 9" xfId="579"/>
    <cellStyle name="Comma 9 2" xfId="580"/>
    <cellStyle name="Comma 9 2 2" xfId="1175"/>
    <cellStyle name="Comma 9 3" xfId="581"/>
    <cellStyle name="Comma 9 3 2" xfId="1176"/>
    <cellStyle name="Comma 9 4" xfId="1174"/>
    <cellStyle name="Comma0" xfId="582"/>
    <cellStyle name="Comma0 2" xfId="583"/>
    <cellStyle name="Company" xfId="584"/>
    <cellStyle name="Copied" xfId="585"/>
    <cellStyle name="Currency [0]b" xfId="586"/>
    <cellStyle name="Currency [00]" xfId="587"/>
    <cellStyle name="Currency 2" xfId="588"/>
    <cellStyle name="Currency 2 2" xfId="589"/>
    <cellStyle name="Currency 5" xfId="590"/>
    <cellStyle name="currency(2)" xfId="591"/>
    <cellStyle name="Currency0" xfId="592"/>
    <cellStyle name="Currency0 2" xfId="593"/>
    <cellStyle name="Currwncy [0]_laroux_1¿ùÈ¸ºñ³»¿ª (2)_±¸¹Ì´ëÃ¥" xfId="594"/>
    <cellStyle name="Custom - Style1" xfId="595"/>
    <cellStyle name="Custom - Style8" xfId="596"/>
    <cellStyle name="Data   - Style2" xfId="597"/>
    <cellStyle name="Date" xfId="598"/>
    <cellStyle name="Date 2" xfId="599"/>
    <cellStyle name="Date Short" xfId="600"/>
    <cellStyle name="Date_Book3" xfId="601"/>
    <cellStyle name="Default" xfId="602"/>
    <cellStyle name="Define your own named style" xfId="603"/>
    <cellStyle name="DELTA" xfId="604"/>
    <cellStyle name="Dezimal [0]_Compiling Utility Macros" xfId="605"/>
    <cellStyle name="Dezimal_Compiling Utility Macros" xfId="606"/>
    <cellStyle name="dotted line" xfId="607"/>
    <cellStyle name="Draw lines around data in range" xfId="608"/>
    <cellStyle name="Draw shadow and lines within range" xfId="609"/>
    <cellStyle name="DSSTD" xfId="610"/>
    <cellStyle name="E&amp;Y House" xfId="611"/>
    <cellStyle name="Enlarge title text, yellow on blue" xfId="612"/>
    <cellStyle name="Enter Currency (0)" xfId="613"/>
    <cellStyle name="Enter Currency (2)" xfId="614"/>
    <cellStyle name="Enter Units (0)" xfId="615"/>
    <cellStyle name="Enter Units (1)" xfId="616"/>
    <cellStyle name="Enter Units (2)" xfId="617"/>
    <cellStyle name="Entered" xfId="618"/>
    <cellStyle name="EOL" xfId="619"/>
    <cellStyle name="Euro" xfId="620"/>
    <cellStyle name="Euro 2" xfId="621"/>
    <cellStyle name="Euro 3" xfId="622"/>
    <cellStyle name="Euro 4" xfId="623"/>
    <cellStyle name="Euro 5" xfId="624"/>
    <cellStyle name="Euro 6" xfId="1093"/>
    <cellStyle name="Excel Built-in Normal" xfId="625"/>
    <cellStyle name="Excel Built-in Normal 2" xfId="626"/>
    <cellStyle name="Explanatory Text 2" xfId="627"/>
    <cellStyle name="Explanatory Text 3" xfId="628"/>
    <cellStyle name="Explanatory Text 4" xfId="629"/>
    <cellStyle name="Explanatory Text 5" xfId="630"/>
    <cellStyle name="Explanatory Text 6" xfId="631"/>
    <cellStyle name="Explanatory Text 7" xfId="632"/>
    <cellStyle name="Explanatory Text 8" xfId="633"/>
    <cellStyle name="Explanatory Text 9" xfId="634"/>
    <cellStyle name="F2" xfId="635"/>
    <cellStyle name="F2 2" xfId="636"/>
    <cellStyle name="F3" xfId="637"/>
    <cellStyle name="F3 2" xfId="638"/>
    <cellStyle name="F4" xfId="639"/>
    <cellStyle name="F4 2" xfId="640"/>
    <cellStyle name="F5" xfId="641"/>
    <cellStyle name="F5 2" xfId="642"/>
    <cellStyle name="F6" xfId="643"/>
    <cellStyle name="F6 2" xfId="644"/>
    <cellStyle name="F7" xfId="645"/>
    <cellStyle name="F7 2" xfId="646"/>
    <cellStyle name="F8" xfId="647"/>
    <cellStyle name="F8 2" xfId="648"/>
    <cellStyle name="Finance-normal" xfId="649"/>
    <cellStyle name="Fixed" xfId="650"/>
    <cellStyle name="Fixed 2" xfId="651"/>
    <cellStyle name="Footnote" xfId="652"/>
    <cellStyle name="Format a column of totals" xfId="653"/>
    <cellStyle name="Format a row of totals" xfId="654"/>
    <cellStyle name="Format text as bold, black on yellow" xfId="655"/>
    <cellStyle name="Formula" xfId="656"/>
    <cellStyle name="Formula 2" xfId="657"/>
    <cellStyle name="Good 2" xfId="658"/>
    <cellStyle name="Good 3" xfId="659"/>
    <cellStyle name="Good 4" xfId="660"/>
    <cellStyle name="Good 5" xfId="661"/>
    <cellStyle name="Good 6" xfId="662"/>
    <cellStyle name="Good 7" xfId="663"/>
    <cellStyle name="Good 8" xfId="664"/>
    <cellStyle name="Good 9" xfId="665"/>
    <cellStyle name="Grey" xfId="666"/>
    <cellStyle name="GreyOrWhite" xfId="667"/>
    <cellStyle name="H1" xfId="668"/>
    <cellStyle name="H2" xfId="669"/>
    <cellStyle name="HEADER" xfId="670"/>
    <cellStyle name="Header1" xfId="671"/>
    <cellStyle name="Header1 2" xfId="672"/>
    <cellStyle name="Header2" xfId="673"/>
    <cellStyle name="Header2 2" xfId="674"/>
    <cellStyle name="Heading 1 2" xfId="675"/>
    <cellStyle name="Heading 1 3" xfId="676"/>
    <cellStyle name="Heading 1 4" xfId="677"/>
    <cellStyle name="Heading 1 5" xfId="678"/>
    <cellStyle name="Heading 1 6" xfId="679"/>
    <cellStyle name="Heading 1 7" xfId="680"/>
    <cellStyle name="Heading 1 8" xfId="681"/>
    <cellStyle name="Heading 1 9" xfId="682"/>
    <cellStyle name="Heading 2 2" xfId="683"/>
    <cellStyle name="Heading 2 3" xfId="684"/>
    <cellStyle name="Heading 2 4" xfId="685"/>
    <cellStyle name="Heading 2 5" xfId="686"/>
    <cellStyle name="Heading 2 6" xfId="687"/>
    <cellStyle name="Heading 2 7" xfId="688"/>
    <cellStyle name="Heading 2 8" xfId="689"/>
    <cellStyle name="Heading 2 9" xfId="690"/>
    <cellStyle name="Heading 3 2" xfId="691"/>
    <cellStyle name="Heading 3 3" xfId="692"/>
    <cellStyle name="Heading 3 4" xfId="693"/>
    <cellStyle name="Heading 3 5" xfId="694"/>
    <cellStyle name="Heading 3 6" xfId="695"/>
    <cellStyle name="Heading 3 7" xfId="696"/>
    <cellStyle name="Heading 3 8" xfId="697"/>
    <cellStyle name="Heading 3 9" xfId="698"/>
    <cellStyle name="Heading 4 2" xfId="699"/>
    <cellStyle name="Heading 4 3" xfId="700"/>
    <cellStyle name="Heading 4 4" xfId="701"/>
    <cellStyle name="Heading 4 5" xfId="702"/>
    <cellStyle name="Heading 4 6" xfId="703"/>
    <cellStyle name="Heading 4 7" xfId="704"/>
    <cellStyle name="Heading 4 8" xfId="705"/>
    <cellStyle name="Heading 4 9" xfId="706"/>
    <cellStyle name="heading1" xfId="707"/>
    <cellStyle name="HEADINGS" xfId="708"/>
    <cellStyle name="HEADINGSTOP" xfId="709"/>
    <cellStyle name="Hyperlink" xfId="1200" builtinId="8"/>
    <cellStyle name="Hyperlink 2" xfId="710"/>
    <cellStyle name="Hyperlink 3" xfId="711"/>
    <cellStyle name="Hypertextový odkaz" xfId="712"/>
    <cellStyle name="Hypertextový odkaz 2" xfId="713"/>
    <cellStyle name="InLink" xfId="714"/>
    <cellStyle name="Input [yellow]" xfId="715"/>
    <cellStyle name="Input 10" xfId="716"/>
    <cellStyle name="Input 11" xfId="717"/>
    <cellStyle name="Input 12" xfId="718"/>
    <cellStyle name="Input 13" xfId="719"/>
    <cellStyle name="Input 14" xfId="720"/>
    <cellStyle name="Input 15" xfId="721"/>
    <cellStyle name="Input 16" xfId="722"/>
    <cellStyle name="Input 17" xfId="723"/>
    <cellStyle name="Input 18" xfId="724"/>
    <cellStyle name="Input 19" xfId="725"/>
    <cellStyle name="Input 2" xfId="726"/>
    <cellStyle name="Input 20" xfId="727"/>
    <cellStyle name="Input 21" xfId="728"/>
    <cellStyle name="Input 22" xfId="729"/>
    <cellStyle name="Input 23" xfId="730"/>
    <cellStyle name="Input 24" xfId="731"/>
    <cellStyle name="Input 25" xfId="732"/>
    <cellStyle name="Input 26" xfId="733"/>
    <cellStyle name="Input 27" xfId="734"/>
    <cellStyle name="Input 28" xfId="735"/>
    <cellStyle name="Input 29" xfId="736"/>
    <cellStyle name="Input 3" xfId="737"/>
    <cellStyle name="Input 30" xfId="738"/>
    <cellStyle name="Input 31" xfId="739"/>
    <cellStyle name="Input 32" xfId="740"/>
    <cellStyle name="Input 33" xfId="741"/>
    <cellStyle name="Input 34" xfId="742"/>
    <cellStyle name="Input 35" xfId="743"/>
    <cellStyle name="Input 36" xfId="744"/>
    <cellStyle name="Input 37" xfId="745"/>
    <cellStyle name="Input 38" xfId="746"/>
    <cellStyle name="Input 4" xfId="747"/>
    <cellStyle name="Input 5" xfId="748"/>
    <cellStyle name="Input 6" xfId="749"/>
    <cellStyle name="Input 7" xfId="750"/>
    <cellStyle name="Input 8" xfId="751"/>
    <cellStyle name="Input 9" xfId="752"/>
    <cellStyle name="Input Cells" xfId="753"/>
    <cellStyle name="Labels - Style3" xfId="754"/>
    <cellStyle name="Link Currency (0)" xfId="755"/>
    <cellStyle name="Link Currency (2)" xfId="756"/>
    <cellStyle name="Link Units (0)" xfId="757"/>
    <cellStyle name="Link Units (1)" xfId="758"/>
    <cellStyle name="Link Units (2)" xfId="759"/>
    <cellStyle name="Linked Cell 2" xfId="760"/>
    <cellStyle name="Linked Cell 3" xfId="761"/>
    <cellStyle name="Linked Cell 4" xfId="762"/>
    <cellStyle name="Linked Cell 5" xfId="763"/>
    <cellStyle name="Linked Cell 6" xfId="764"/>
    <cellStyle name="Linked Cell 7" xfId="765"/>
    <cellStyle name="Linked Cell 8" xfId="766"/>
    <cellStyle name="Linked Cell 9" xfId="767"/>
    <cellStyle name="Linked Cells" xfId="768"/>
    <cellStyle name="Margin" xfId="769"/>
    <cellStyle name="Migliaia_Foglio1" xfId="770"/>
    <cellStyle name="Millares [0]_96 Risk" xfId="771"/>
    <cellStyle name="Millares_96 Risk" xfId="772"/>
    <cellStyle name="Milliers [0]_!!!GO" xfId="773"/>
    <cellStyle name="Milliers_!!!GO" xfId="774"/>
    <cellStyle name="Model" xfId="775"/>
    <cellStyle name="Moneda [0]_96 Risk" xfId="776"/>
    <cellStyle name="Moneda_96 Risk" xfId="777"/>
    <cellStyle name="Monétaire [0]_!!!GO" xfId="778"/>
    <cellStyle name="Monétaire_!!!GO" xfId="779"/>
    <cellStyle name="Mon彋aire [0]_!!!GO" xfId="780"/>
    <cellStyle name="Mon彋aire_!!!GO" xfId="781"/>
    <cellStyle name="neg0.0" xfId="782"/>
    <cellStyle name="Neutral 2" xfId="783"/>
    <cellStyle name="Neutral 3" xfId="784"/>
    <cellStyle name="Neutral 4" xfId="785"/>
    <cellStyle name="Neutral 5" xfId="786"/>
    <cellStyle name="Neutral 6" xfId="787"/>
    <cellStyle name="Neutral 7" xfId="788"/>
    <cellStyle name="Neutral 8" xfId="789"/>
    <cellStyle name="Neutral 9" xfId="790"/>
    <cellStyle name="New Times Roman" xfId="791"/>
    <cellStyle name="no dec" xfId="792"/>
    <cellStyle name="no dec 2" xfId="793"/>
    <cellStyle name="no decimal" xfId="794"/>
    <cellStyle name="Nor}al" xfId="795"/>
    <cellStyle name="Normal" xfId="0" builtinId="0"/>
    <cellStyle name="Normal - Style1" xfId="796"/>
    <cellStyle name="Normal - Style1 2" xfId="797"/>
    <cellStyle name="Normal - Style1 3" xfId="798"/>
    <cellStyle name="Normal - Style1 4" xfId="799"/>
    <cellStyle name="Normal - Style1 5" xfId="800"/>
    <cellStyle name="Normal 10" xfId="801"/>
    <cellStyle name="Normal 10 2" xfId="802"/>
    <cellStyle name="Normal 11" xfId="803"/>
    <cellStyle name="Normal 12" xfId="804"/>
    <cellStyle name="Normal 13" xfId="805"/>
    <cellStyle name="Normal 14" xfId="806"/>
    <cellStyle name="Normal 14 2" xfId="807"/>
    <cellStyle name="Normal 15" xfId="808"/>
    <cellStyle name="Normal 15 2" xfId="809"/>
    <cellStyle name="Normal 16" xfId="810"/>
    <cellStyle name="Normal 16 2" xfId="811"/>
    <cellStyle name="Normal 16 2 2" xfId="812"/>
    <cellStyle name="Normal 16 2 3" xfId="813"/>
    <cellStyle name="Normal 16 2 4" xfId="814"/>
    <cellStyle name="Normal 17" xfId="815"/>
    <cellStyle name="Normal 18" xfId="816"/>
    <cellStyle name="Normal 19" xfId="817"/>
    <cellStyle name="Normal 2" xfId="818"/>
    <cellStyle name="Normal 2 10" xfId="1177"/>
    <cellStyle name="Normal 2 12" xfId="819"/>
    <cellStyle name="Normal 2 13" xfId="820"/>
    <cellStyle name="Normal 2 2" xfId="3"/>
    <cellStyle name="Normal 2 2 2" xfId="821"/>
    <cellStyle name="Normal 2 3" xfId="822"/>
    <cellStyle name="Normal 2 3 2 2" xfId="823"/>
    <cellStyle name="Normal 2 4" xfId="824"/>
    <cellStyle name="Normal 2 4 2" xfId="825"/>
    <cellStyle name="Normal 2 4 2 3 3" xfId="1186"/>
    <cellStyle name="Normal 2 4 4" xfId="1188"/>
    <cellStyle name="Normal 2 5" xfId="826"/>
    <cellStyle name="Normal 2 6" xfId="827"/>
    <cellStyle name="Normal 2 7" xfId="828"/>
    <cellStyle name="Normal 2 8 2" xfId="1183"/>
    <cellStyle name="Normal 2_LPSL-BS 08-09 mahi-final" xfId="829"/>
    <cellStyle name="Normal 20" xfId="830"/>
    <cellStyle name="Normal 21" xfId="831"/>
    <cellStyle name="Normal 22" xfId="832"/>
    <cellStyle name="Normal 23" xfId="833"/>
    <cellStyle name="Normal 24" xfId="834"/>
    <cellStyle name="Normal 25" xfId="835"/>
    <cellStyle name="Normal 26" xfId="836"/>
    <cellStyle name="Normal 27" xfId="837"/>
    <cellStyle name="Normal 28" xfId="838"/>
    <cellStyle name="Normal 29" xfId="839"/>
    <cellStyle name="Normal 3" xfId="840"/>
    <cellStyle name="Normal 3 2" xfId="841"/>
    <cellStyle name="Normal 3 2 2" xfId="1180"/>
    <cellStyle name="Normal 3 3" xfId="842"/>
    <cellStyle name="Normal 3 4" xfId="1181"/>
    <cellStyle name="Normal 3 5" xfId="1085"/>
    <cellStyle name="Normal 3 6 2" xfId="843"/>
    <cellStyle name="Normal 3 6 2 2" xfId="1088"/>
    <cellStyle name="Normal 30" xfId="844"/>
    <cellStyle name="Normal 31" xfId="845"/>
    <cellStyle name="Normal 32" xfId="846"/>
    <cellStyle name="Normal 33" xfId="847"/>
    <cellStyle name="Normal 34" xfId="848"/>
    <cellStyle name="Normal 35" xfId="849"/>
    <cellStyle name="Normal 36" xfId="850"/>
    <cellStyle name="Normal 37" xfId="851"/>
    <cellStyle name="Normal 38" xfId="852"/>
    <cellStyle name="Normal 39" xfId="853"/>
    <cellStyle name="Normal 4" xfId="854"/>
    <cellStyle name="Normal 4 2" xfId="855"/>
    <cellStyle name="Normal 4 2 2 3" xfId="1192"/>
    <cellStyle name="Normal 4 2 2 5" xfId="1193"/>
    <cellStyle name="Normal 4 2 2 5 2" xfId="1195"/>
    <cellStyle name="Normal 4 3" xfId="856"/>
    <cellStyle name="Normal 40" xfId="857"/>
    <cellStyle name="Normal 41" xfId="858"/>
    <cellStyle name="Normal 42" xfId="859"/>
    <cellStyle name="Normal 43" xfId="860"/>
    <cellStyle name="Normal 44" xfId="861"/>
    <cellStyle name="Normal 45" xfId="862"/>
    <cellStyle name="Normal 46" xfId="863"/>
    <cellStyle name="Normal 47" xfId="864"/>
    <cellStyle name="Normal 48" xfId="865"/>
    <cellStyle name="Normal 49" xfId="866"/>
    <cellStyle name="Normal 49 4" xfId="867"/>
    <cellStyle name="Normal 5" xfId="868"/>
    <cellStyle name="Normal 5 2" xfId="869"/>
    <cellStyle name="Normal 5 2 2" xfId="1197"/>
    <cellStyle name="Normal 5 3" xfId="870"/>
    <cellStyle name="Normal 50" xfId="871"/>
    <cellStyle name="Normal 51" xfId="872"/>
    <cellStyle name="Normal 52" xfId="873"/>
    <cellStyle name="Normal 53" xfId="874"/>
    <cellStyle name="Normal 54" xfId="875"/>
    <cellStyle name="Normal 55" xfId="876"/>
    <cellStyle name="Normal 56" xfId="877"/>
    <cellStyle name="Normal 57" xfId="878"/>
    <cellStyle name="Normal 58" xfId="879"/>
    <cellStyle name="Normal 59" xfId="880"/>
    <cellStyle name="Normal 6" xfId="881"/>
    <cellStyle name="Normal 6 2" xfId="882"/>
    <cellStyle name="Normal 6 2 2 2 3 2 2" xfId="883"/>
    <cellStyle name="Normal 6 2 3" xfId="1182"/>
    <cellStyle name="Normal 6 2 3 2" xfId="1189"/>
    <cellStyle name="Normal 6 3" xfId="1092"/>
    <cellStyle name="Normal 6 3 4" xfId="1187"/>
    <cellStyle name="Normal 60" xfId="884"/>
    <cellStyle name="Normal 61" xfId="1095"/>
    <cellStyle name="Normal 62" xfId="1096"/>
    <cellStyle name="Normal 7" xfId="885"/>
    <cellStyle name="Normal 7 4" xfId="1190"/>
    <cellStyle name="Normal 728 2" xfId="1086"/>
    <cellStyle name="Normal 74" xfId="1184"/>
    <cellStyle name="Normal 8" xfId="886"/>
    <cellStyle name="Normal 82" xfId="1199"/>
    <cellStyle name="Normal 9" xfId="887"/>
    <cellStyle name="Normal 9 2" xfId="1191"/>
    <cellStyle name="Normal_1000mm dia_30092011_JNNURM (1A)" xfId="1198"/>
    <cellStyle name="Normal_ISSAL Val" xfId="888"/>
    <cellStyle name="Normal_LKP S&amp;S_Value_Ver2" xfId="889"/>
    <cellStyle name="Normal1" xfId="890"/>
    <cellStyle name="Normale_PERSONAL" xfId="891"/>
    <cellStyle name="Note 2" xfId="892"/>
    <cellStyle name="Note 3" xfId="893"/>
    <cellStyle name="Note 4" xfId="894"/>
    <cellStyle name="Note 5" xfId="895"/>
    <cellStyle name="Note 6" xfId="896"/>
    <cellStyle name="Note 7" xfId="897"/>
    <cellStyle name="Note 8" xfId="898"/>
    <cellStyle name="Note 9" xfId="899"/>
    <cellStyle name="Œ…‹æØ‚è [0.00]_PRODUCT DETAIL Q1" xfId="900"/>
    <cellStyle name="Œ…‹æØ‚è_PRODUCT DETAIL Q1" xfId="901"/>
    <cellStyle name="Output 2" xfId="902"/>
    <cellStyle name="Output 3" xfId="903"/>
    <cellStyle name="Output 4" xfId="904"/>
    <cellStyle name="Output 5" xfId="905"/>
    <cellStyle name="Output 6" xfId="906"/>
    <cellStyle name="Output 7" xfId="907"/>
    <cellStyle name="Output 8" xfId="908"/>
    <cellStyle name="Output 9" xfId="909"/>
    <cellStyle name="OUTPUT AMOUNTS" xfId="910"/>
    <cellStyle name="OUTPUT COLUMN HEADINGS" xfId="911"/>
    <cellStyle name="OUTPUT LINE ITEMS" xfId="912"/>
    <cellStyle name="OUTPUT REPORT HEADING" xfId="913"/>
    <cellStyle name="OUTPUT REPORT TITLE" xfId="914"/>
    <cellStyle name="Per cent 2" xfId="1179"/>
    <cellStyle name="per.style" xfId="915"/>
    <cellStyle name="Percent" xfId="2" builtinId="5"/>
    <cellStyle name="Percent [0]" xfId="916"/>
    <cellStyle name="Percent [00]" xfId="917"/>
    <cellStyle name="Percent [2]" xfId="918"/>
    <cellStyle name="Percent [2] 2" xfId="919"/>
    <cellStyle name="Percent [2] 3" xfId="920"/>
    <cellStyle name="Percent [2] 4" xfId="921"/>
    <cellStyle name="Percent [2] 5" xfId="922"/>
    <cellStyle name="Percent 10" xfId="923"/>
    <cellStyle name="Percent 11" xfId="924"/>
    <cellStyle name="Percent 12" xfId="925"/>
    <cellStyle name="Percent 13" xfId="926"/>
    <cellStyle name="Percent 14" xfId="927"/>
    <cellStyle name="Percent 14 2" xfId="928"/>
    <cellStyle name="Percent 14 3" xfId="929"/>
    <cellStyle name="Percent 15" xfId="930"/>
    <cellStyle name="Percent 16" xfId="931"/>
    <cellStyle name="Percent 17" xfId="932"/>
    <cellStyle name="Percent 18" xfId="933"/>
    <cellStyle name="Percent 19" xfId="934"/>
    <cellStyle name="Percent 2" xfId="935"/>
    <cellStyle name="Percent 2 2" xfId="936"/>
    <cellStyle name="Percent 2 2 2" xfId="937"/>
    <cellStyle name="Percent 2 3 2" xfId="938"/>
    <cellStyle name="Percent 20" xfId="939"/>
    <cellStyle name="Percent 26" xfId="940"/>
    <cellStyle name="Percent 3" xfId="941"/>
    <cellStyle name="Percent 3 2" xfId="942"/>
    <cellStyle name="Percent 3 3" xfId="943"/>
    <cellStyle name="Percent 4" xfId="944"/>
    <cellStyle name="Percent 4 2" xfId="945"/>
    <cellStyle name="Percent 4 3" xfId="946"/>
    <cellStyle name="Percent 5" xfId="947"/>
    <cellStyle name="Percent 5 2" xfId="948"/>
    <cellStyle name="Percent 6" xfId="949"/>
    <cellStyle name="Percent 7" xfId="950"/>
    <cellStyle name="Percent 8" xfId="951"/>
    <cellStyle name="Percent 9" xfId="952"/>
    <cellStyle name="PERCENTAGE" xfId="953"/>
    <cellStyle name="PillarData" xfId="954"/>
    <cellStyle name="PillarHeading" xfId="955"/>
    <cellStyle name="PillarText" xfId="956"/>
    <cellStyle name="PillarTotal" xfId="957"/>
    <cellStyle name="Popis" xfId="958"/>
    <cellStyle name="Popis 2" xfId="959"/>
    <cellStyle name="PrePop Currency (0)" xfId="960"/>
    <cellStyle name="PrePop Currency (2)" xfId="961"/>
    <cellStyle name="PrePop Units (0)" xfId="962"/>
    <cellStyle name="PrePop Units (1)" xfId="963"/>
    <cellStyle name="PrePop Units (2)" xfId="964"/>
    <cellStyle name="Profit figure" xfId="965"/>
    <cellStyle name="PROTECT" xfId="966"/>
    <cellStyle name="PSChar" xfId="967"/>
    <cellStyle name="PSDate" xfId="968"/>
    <cellStyle name="PSDec" xfId="969"/>
    <cellStyle name="PSHeading" xfId="970"/>
    <cellStyle name="PSInt" xfId="971"/>
    <cellStyle name="PSSpacer" xfId="972"/>
    <cellStyle name="R00A" xfId="973"/>
    <cellStyle name="R00B" xfId="974"/>
    <cellStyle name="R00L" xfId="975"/>
    <cellStyle name="R01A" xfId="976"/>
    <cellStyle name="R01B" xfId="977"/>
    <cellStyle name="R01H" xfId="978"/>
    <cellStyle name="R01L" xfId="979"/>
    <cellStyle name="R02A" xfId="980"/>
    <cellStyle name="R02B" xfId="981"/>
    <cellStyle name="R02H" xfId="982"/>
    <cellStyle name="R02L" xfId="983"/>
    <cellStyle name="R03A" xfId="984"/>
    <cellStyle name="R03B" xfId="985"/>
    <cellStyle name="R03H" xfId="986"/>
    <cellStyle name="R03L" xfId="987"/>
    <cellStyle name="R04A" xfId="988"/>
    <cellStyle name="R04B" xfId="989"/>
    <cellStyle name="R04H" xfId="990"/>
    <cellStyle name="R04L" xfId="991"/>
    <cellStyle name="R05A" xfId="992"/>
    <cellStyle name="R05B" xfId="993"/>
    <cellStyle name="R05H" xfId="994"/>
    <cellStyle name="R05L" xfId="995"/>
    <cellStyle name="R06A" xfId="996"/>
    <cellStyle name="R06B" xfId="997"/>
    <cellStyle name="R06H" xfId="998"/>
    <cellStyle name="R06L" xfId="999"/>
    <cellStyle name="R07A" xfId="1000"/>
    <cellStyle name="R07B" xfId="1001"/>
    <cellStyle name="R07H" xfId="1002"/>
    <cellStyle name="R07L" xfId="1003"/>
    <cellStyle name="regstoresfromspecstores" xfId="1004"/>
    <cellStyle name="Reset  - Style4" xfId="1005"/>
    <cellStyle name="Reset  - Style7" xfId="1006"/>
    <cellStyle name="Reset range style to defaults" xfId="1007"/>
    <cellStyle name="RevList" xfId="1008"/>
    <cellStyle name="SHADEDSTORES" xfId="1009"/>
    <cellStyle name="Sledovaný hypertextový odkaz" xfId="1010"/>
    <cellStyle name="Sledovaný hypertextový odkaz 2" xfId="1011"/>
    <cellStyle name="specstores" xfId="1012"/>
    <cellStyle name="STANDARD" xfId="1013"/>
    <cellStyle name="Style 1" xfId="1014"/>
    <cellStyle name="Style 1 2" xfId="1015"/>
    <cellStyle name="Style 1 3" xfId="1016"/>
    <cellStyle name="Style 1 4" xfId="1017"/>
    <cellStyle name="Style 1 5" xfId="1018"/>
    <cellStyle name="Style 1_Balance Sheet &amp; PL template" xfId="1019"/>
    <cellStyle name="subhead" xfId="1020"/>
    <cellStyle name="Subtotal" xfId="1021"/>
    <cellStyle name="Table  - Style5" xfId="1022"/>
    <cellStyle name="Table  - Style6" xfId="1023"/>
    <cellStyle name="Tbl_Detail" xfId="1024"/>
    <cellStyle name="Text Indent A" xfId="1025"/>
    <cellStyle name="Text Indent B" xfId="1026"/>
    <cellStyle name="Text Indent C" xfId="1027"/>
    <cellStyle name="Times New Roman" xfId="1028"/>
    <cellStyle name="Title  - Style1" xfId="1029"/>
    <cellStyle name="Title  - Style6" xfId="1030"/>
    <cellStyle name="Title 2" xfId="1031"/>
    <cellStyle name="Title 3" xfId="1032"/>
    <cellStyle name="Title 4" xfId="1033"/>
    <cellStyle name="Title 5" xfId="1034"/>
    <cellStyle name="Title 6" xfId="1035"/>
    <cellStyle name="Title 7" xfId="1036"/>
    <cellStyle name="Title 8" xfId="1037"/>
    <cellStyle name="Title 9" xfId="1038"/>
    <cellStyle name="Total 2" xfId="1039"/>
    <cellStyle name="Total 3" xfId="1040"/>
    <cellStyle name="Total 4" xfId="1041"/>
    <cellStyle name="Total 5" xfId="1042"/>
    <cellStyle name="Total 6" xfId="1043"/>
    <cellStyle name="Total 7" xfId="1044"/>
    <cellStyle name="Total 8" xfId="1045"/>
    <cellStyle name="Total 9" xfId="1046"/>
    <cellStyle name="TotCol - Style5" xfId="1047"/>
    <cellStyle name="TotCol - Style7" xfId="1048"/>
    <cellStyle name="TotRow - Style4" xfId="1049"/>
    <cellStyle name="TotRow - Style8" xfId="1050"/>
    <cellStyle name="Tusental (0)_pldt" xfId="1051"/>
    <cellStyle name="Tusental_pldt" xfId="1052"/>
    <cellStyle name="_x001d_™Š_x0018__x0002_7" xfId="1053"/>
    <cellStyle name="Update" xfId="1054"/>
    <cellStyle name="Valuta (0)_PERSONAL" xfId="1055"/>
    <cellStyle name="Valuta_PERSONAL" xfId="1056"/>
    <cellStyle name="Währung [0]_Compiling Utility Macros" xfId="1057"/>
    <cellStyle name="Währung_Compiling Utility Macros" xfId="1058"/>
    <cellStyle name="Warning Text 2" xfId="1059"/>
    <cellStyle name="Warning Text 3" xfId="1060"/>
    <cellStyle name="Warning Text 4" xfId="1061"/>
    <cellStyle name="Warning Text 5" xfId="1062"/>
    <cellStyle name="Warning Text 6" xfId="1063"/>
    <cellStyle name="Warning Text 7" xfId="1064"/>
    <cellStyle name="Warning Text 8" xfId="1065"/>
    <cellStyle name="Warning Text 9" xfId="1066"/>
    <cellStyle name="Yellow" xfId="1067"/>
    <cellStyle name="Обычный_44 расходы 2002" xfId="1068"/>
    <cellStyle name="뷭?_빟랹둴봃섟 " xfId="1069"/>
    <cellStyle name="콤마 [0]_ 견적기준 FLOW " xfId="1070"/>
    <cellStyle name="콤마_ 견적기준 FLOW " xfId="1071"/>
    <cellStyle name="표준_'97PLAN" xfId="1072"/>
    <cellStyle name="一般_!!!GO" xfId="1073"/>
    <cellStyle name="千分位[0]_!!!GO" xfId="1074"/>
    <cellStyle name="千分位_!!!GO" xfId="1075"/>
    <cellStyle name="桁区切り [0.00]_PERSONAL" xfId="1076"/>
    <cellStyle name="桁区切り_PERSONAL" xfId="1077"/>
    <cellStyle name="標準_PERSONAL" xfId="1078"/>
    <cellStyle name="貨幣 [0]_!!!GO" xfId="1079"/>
    <cellStyle name="貨幣_!!!GO" xfId="1080"/>
    <cellStyle name="通貨 [0.00]_PERSONAL" xfId="1081"/>
    <cellStyle name="通貨_PERSONAL" xfId="108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  <color rgb="FFFF783A"/>
      <color rgb="FF2C48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8.xml"/><Relationship Id="rId84" Type="http://schemas.openxmlformats.org/officeDocument/2006/relationships/externalLink" Target="externalLinks/externalLink39.xml"/><Relationship Id="rId138" Type="http://schemas.openxmlformats.org/officeDocument/2006/relationships/externalLink" Target="externalLinks/externalLink93.xml"/><Relationship Id="rId159" Type="http://schemas.openxmlformats.org/officeDocument/2006/relationships/externalLink" Target="externalLinks/externalLink114.xml"/><Relationship Id="rId170" Type="http://schemas.openxmlformats.org/officeDocument/2006/relationships/externalLink" Target="externalLinks/externalLink125.xml"/><Relationship Id="rId191" Type="http://schemas.openxmlformats.org/officeDocument/2006/relationships/externalLink" Target="externalLinks/externalLink146.xml"/><Relationship Id="rId205" Type="http://schemas.openxmlformats.org/officeDocument/2006/relationships/externalLink" Target="externalLinks/externalLink160.xml"/><Relationship Id="rId226" Type="http://schemas.openxmlformats.org/officeDocument/2006/relationships/externalLink" Target="externalLinks/externalLink181.xml"/><Relationship Id="rId247" Type="http://schemas.openxmlformats.org/officeDocument/2006/relationships/externalLink" Target="externalLinks/externalLink202.xml"/><Relationship Id="rId107" Type="http://schemas.openxmlformats.org/officeDocument/2006/relationships/externalLink" Target="externalLinks/externalLink62.xml"/><Relationship Id="rId268" Type="http://schemas.openxmlformats.org/officeDocument/2006/relationships/externalLink" Target="externalLinks/externalLink223.xml"/><Relationship Id="rId289" Type="http://schemas.openxmlformats.org/officeDocument/2006/relationships/externalLink" Target="externalLinks/externalLink24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8.xml"/><Relationship Id="rId74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83.xml"/><Relationship Id="rId149" Type="http://schemas.openxmlformats.org/officeDocument/2006/relationships/externalLink" Target="externalLinks/externalLink10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50.xml"/><Relationship Id="rId160" Type="http://schemas.openxmlformats.org/officeDocument/2006/relationships/externalLink" Target="externalLinks/externalLink115.xml"/><Relationship Id="rId181" Type="http://schemas.openxmlformats.org/officeDocument/2006/relationships/externalLink" Target="externalLinks/externalLink136.xml"/><Relationship Id="rId216" Type="http://schemas.openxmlformats.org/officeDocument/2006/relationships/externalLink" Target="externalLinks/externalLink171.xml"/><Relationship Id="rId237" Type="http://schemas.openxmlformats.org/officeDocument/2006/relationships/externalLink" Target="externalLinks/externalLink192.xml"/><Relationship Id="rId258" Type="http://schemas.openxmlformats.org/officeDocument/2006/relationships/externalLink" Target="externalLinks/externalLink213.xml"/><Relationship Id="rId279" Type="http://schemas.openxmlformats.org/officeDocument/2006/relationships/externalLink" Target="externalLinks/externalLink23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73.xml"/><Relationship Id="rId139" Type="http://schemas.openxmlformats.org/officeDocument/2006/relationships/externalLink" Target="externalLinks/externalLink94.xml"/><Relationship Id="rId290" Type="http://schemas.openxmlformats.org/officeDocument/2006/relationships/externalLink" Target="externalLinks/externalLink245.xml"/><Relationship Id="rId85" Type="http://schemas.openxmlformats.org/officeDocument/2006/relationships/externalLink" Target="externalLinks/externalLink40.xml"/><Relationship Id="rId150" Type="http://schemas.openxmlformats.org/officeDocument/2006/relationships/externalLink" Target="externalLinks/externalLink105.xml"/><Relationship Id="rId171" Type="http://schemas.openxmlformats.org/officeDocument/2006/relationships/externalLink" Target="externalLinks/externalLink126.xml"/><Relationship Id="rId192" Type="http://schemas.openxmlformats.org/officeDocument/2006/relationships/externalLink" Target="externalLinks/externalLink147.xml"/><Relationship Id="rId206" Type="http://schemas.openxmlformats.org/officeDocument/2006/relationships/externalLink" Target="externalLinks/externalLink161.xml"/><Relationship Id="rId227" Type="http://schemas.openxmlformats.org/officeDocument/2006/relationships/externalLink" Target="externalLinks/externalLink182.xml"/><Relationship Id="rId248" Type="http://schemas.openxmlformats.org/officeDocument/2006/relationships/externalLink" Target="externalLinks/externalLink203.xml"/><Relationship Id="rId269" Type="http://schemas.openxmlformats.org/officeDocument/2006/relationships/externalLink" Target="externalLinks/externalLink22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63.xml"/><Relationship Id="rId129" Type="http://schemas.openxmlformats.org/officeDocument/2006/relationships/externalLink" Target="externalLinks/externalLink84.xml"/><Relationship Id="rId280" Type="http://schemas.openxmlformats.org/officeDocument/2006/relationships/externalLink" Target="externalLinks/externalLink235.xml"/><Relationship Id="rId54" Type="http://schemas.openxmlformats.org/officeDocument/2006/relationships/externalLink" Target="externalLinks/externalLink9.xml"/><Relationship Id="rId75" Type="http://schemas.openxmlformats.org/officeDocument/2006/relationships/externalLink" Target="externalLinks/externalLink30.xml"/><Relationship Id="rId96" Type="http://schemas.openxmlformats.org/officeDocument/2006/relationships/externalLink" Target="externalLinks/externalLink51.xml"/><Relationship Id="rId140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16.xml"/><Relationship Id="rId182" Type="http://schemas.openxmlformats.org/officeDocument/2006/relationships/externalLink" Target="externalLinks/externalLink137.xml"/><Relationship Id="rId217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93.xml"/><Relationship Id="rId259" Type="http://schemas.openxmlformats.org/officeDocument/2006/relationships/externalLink" Target="externalLinks/externalLink214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74.xml"/><Relationship Id="rId270" Type="http://schemas.openxmlformats.org/officeDocument/2006/relationships/externalLink" Target="externalLinks/externalLink225.xml"/><Relationship Id="rId291" Type="http://schemas.openxmlformats.org/officeDocument/2006/relationships/externalLink" Target="externalLinks/externalLink246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20.xml"/><Relationship Id="rId86" Type="http://schemas.openxmlformats.org/officeDocument/2006/relationships/externalLink" Target="externalLinks/externalLink41.xml"/><Relationship Id="rId130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06.xml"/><Relationship Id="rId172" Type="http://schemas.openxmlformats.org/officeDocument/2006/relationships/externalLink" Target="externalLinks/externalLink127.xml"/><Relationship Id="rId193" Type="http://schemas.openxmlformats.org/officeDocument/2006/relationships/externalLink" Target="externalLinks/externalLink148.xml"/><Relationship Id="rId207" Type="http://schemas.openxmlformats.org/officeDocument/2006/relationships/externalLink" Target="externalLinks/externalLink162.xml"/><Relationship Id="rId228" Type="http://schemas.openxmlformats.org/officeDocument/2006/relationships/externalLink" Target="externalLinks/externalLink183.xml"/><Relationship Id="rId249" Type="http://schemas.openxmlformats.org/officeDocument/2006/relationships/externalLink" Target="externalLinks/externalLink204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64.xml"/><Relationship Id="rId260" Type="http://schemas.openxmlformats.org/officeDocument/2006/relationships/externalLink" Target="externalLinks/externalLink215.xml"/><Relationship Id="rId281" Type="http://schemas.openxmlformats.org/officeDocument/2006/relationships/externalLink" Target="externalLinks/externalLink236.xml"/><Relationship Id="rId34" Type="http://schemas.openxmlformats.org/officeDocument/2006/relationships/worksheet" Target="worksheets/sheet34.xml"/><Relationship Id="rId55" Type="http://schemas.openxmlformats.org/officeDocument/2006/relationships/externalLink" Target="externalLinks/externalLink10.xml"/><Relationship Id="rId76" Type="http://schemas.openxmlformats.org/officeDocument/2006/relationships/externalLink" Target="externalLinks/externalLink31.xml"/><Relationship Id="rId97" Type="http://schemas.openxmlformats.org/officeDocument/2006/relationships/externalLink" Target="externalLinks/externalLink52.xml"/><Relationship Id="rId120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92" Type="http://schemas.openxmlformats.org/officeDocument/2006/relationships/externalLink" Target="externalLinks/externalLink47.xml"/><Relationship Id="rId162" Type="http://schemas.openxmlformats.org/officeDocument/2006/relationships/externalLink" Target="externalLinks/externalLink117.xml"/><Relationship Id="rId183" Type="http://schemas.openxmlformats.org/officeDocument/2006/relationships/externalLink" Target="externalLinks/externalLink138.xml"/><Relationship Id="rId213" Type="http://schemas.openxmlformats.org/officeDocument/2006/relationships/externalLink" Target="externalLinks/externalLink168.xml"/><Relationship Id="rId218" Type="http://schemas.openxmlformats.org/officeDocument/2006/relationships/externalLink" Target="externalLinks/externalLink173.xml"/><Relationship Id="rId234" Type="http://schemas.openxmlformats.org/officeDocument/2006/relationships/externalLink" Target="externalLinks/externalLink189.xml"/><Relationship Id="rId239" Type="http://schemas.openxmlformats.org/officeDocument/2006/relationships/externalLink" Target="externalLinks/externalLink19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externalLink" Target="externalLinks/externalLink205.xml"/><Relationship Id="rId255" Type="http://schemas.openxmlformats.org/officeDocument/2006/relationships/externalLink" Target="externalLinks/externalLink210.xml"/><Relationship Id="rId271" Type="http://schemas.openxmlformats.org/officeDocument/2006/relationships/externalLink" Target="externalLinks/externalLink226.xml"/><Relationship Id="rId276" Type="http://schemas.openxmlformats.org/officeDocument/2006/relationships/externalLink" Target="externalLinks/externalLink231.xml"/><Relationship Id="rId292" Type="http://schemas.openxmlformats.org/officeDocument/2006/relationships/externalLink" Target="externalLinks/externalLink247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1.xml"/><Relationship Id="rId87" Type="http://schemas.openxmlformats.org/officeDocument/2006/relationships/externalLink" Target="externalLinks/externalLink42.xml"/><Relationship Id="rId110" Type="http://schemas.openxmlformats.org/officeDocument/2006/relationships/externalLink" Target="externalLinks/externalLink65.xml"/><Relationship Id="rId115" Type="http://schemas.openxmlformats.org/officeDocument/2006/relationships/externalLink" Target="externalLinks/externalLink70.xml"/><Relationship Id="rId131" Type="http://schemas.openxmlformats.org/officeDocument/2006/relationships/externalLink" Target="externalLinks/externalLink86.xml"/><Relationship Id="rId136" Type="http://schemas.openxmlformats.org/officeDocument/2006/relationships/externalLink" Target="externalLinks/externalLink91.xml"/><Relationship Id="rId157" Type="http://schemas.openxmlformats.org/officeDocument/2006/relationships/externalLink" Target="externalLinks/externalLink112.xml"/><Relationship Id="rId178" Type="http://schemas.openxmlformats.org/officeDocument/2006/relationships/externalLink" Target="externalLinks/externalLink133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52" Type="http://schemas.openxmlformats.org/officeDocument/2006/relationships/externalLink" Target="externalLinks/externalLink107.xml"/><Relationship Id="rId173" Type="http://schemas.openxmlformats.org/officeDocument/2006/relationships/externalLink" Target="externalLinks/externalLink128.xml"/><Relationship Id="rId194" Type="http://schemas.openxmlformats.org/officeDocument/2006/relationships/externalLink" Target="externalLinks/externalLink149.xml"/><Relationship Id="rId199" Type="http://schemas.openxmlformats.org/officeDocument/2006/relationships/externalLink" Target="externalLinks/externalLink154.xml"/><Relationship Id="rId203" Type="http://schemas.openxmlformats.org/officeDocument/2006/relationships/externalLink" Target="externalLinks/externalLink158.xml"/><Relationship Id="rId208" Type="http://schemas.openxmlformats.org/officeDocument/2006/relationships/externalLink" Target="externalLinks/externalLink163.xml"/><Relationship Id="rId229" Type="http://schemas.openxmlformats.org/officeDocument/2006/relationships/externalLink" Target="externalLinks/externalLink184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79.xml"/><Relationship Id="rId240" Type="http://schemas.openxmlformats.org/officeDocument/2006/relationships/externalLink" Target="externalLinks/externalLink195.xml"/><Relationship Id="rId245" Type="http://schemas.openxmlformats.org/officeDocument/2006/relationships/externalLink" Target="externalLinks/externalLink200.xml"/><Relationship Id="rId261" Type="http://schemas.openxmlformats.org/officeDocument/2006/relationships/externalLink" Target="externalLinks/externalLink216.xml"/><Relationship Id="rId266" Type="http://schemas.openxmlformats.org/officeDocument/2006/relationships/externalLink" Target="externalLinks/externalLink221.xml"/><Relationship Id="rId287" Type="http://schemas.openxmlformats.org/officeDocument/2006/relationships/externalLink" Target="externalLinks/externalLink24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1.xml"/><Relationship Id="rId77" Type="http://schemas.openxmlformats.org/officeDocument/2006/relationships/externalLink" Target="externalLinks/externalLink32.xml"/><Relationship Id="rId100" Type="http://schemas.openxmlformats.org/officeDocument/2006/relationships/externalLink" Target="externalLinks/externalLink55.xml"/><Relationship Id="rId105" Type="http://schemas.openxmlformats.org/officeDocument/2006/relationships/externalLink" Target="externalLinks/externalLink60.xml"/><Relationship Id="rId126" Type="http://schemas.openxmlformats.org/officeDocument/2006/relationships/externalLink" Target="externalLinks/externalLink81.xml"/><Relationship Id="rId147" Type="http://schemas.openxmlformats.org/officeDocument/2006/relationships/externalLink" Target="externalLinks/externalLink102.xml"/><Relationship Id="rId168" Type="http://schemas.openxmlformats.org/officeDocument/2006/relationships/externalLink" Target="externalLinks/externalLink123.xml"/><Relationship Id="rId282" Type="http://schemas.openxmlformats.org/officeDocument/2006/relationships/externalLink" Target="externalLinks/externalLink2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93" Type="http://schemas.openxmlformats.org/officeDocument/2006/relationships/externalLink" Target="externalLinks/externalLink48.xml"/><Relationship Id="rId98" Type="http://schemas.openxmlformats.org/officeDocument/2006/relationships/externalLink" Target="externalLinks/externalLink53.xml"/><Relationship Id="rId121" Type="http://schemas.openxmlformats.org/officeDocument/2006/relationships/externalLink" Target="externalLinks/externalLink76.xml"/><Relationship Id="rId142" Type="http://schemas.openxmlformats.org/officeDocument/2006/relationships/externalLink" Target="externalLinks/externalLink97.xml"/><Relationship Id="rId163" Type="http://schemas.openxmlformats.org/officeDocument/2006/relationships/externalLink" Target="externalLinks/externalLink118.xml"/><Relationship Id="rId184" Type="http://schemas.openxmlformats.org/officeDocument/2006/relationships/externalLink" Target="externalLinks/externalLink139.xml"/><Relationship Id="rId189" Type="http://schemas.openxmlformats.org/officeDocument/2006/relationships/externalLink" Target="externalLinks/externalLink144.xml"/><Relationship Id="rId21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69.xml"/><Relationship Id="rId230" Type="http://schemas.openxmlformats.org/officeDocument/2006/relationships/externalLink" Target="externalLinks/externalLink185.xml"/><Relationship Id="rId235" Type="http://schemas.openxmlformats.org/officeDocument/2006/relationships/externalLink" Target="externalLinks/externalLink190.xml"/><Relationship Id="rId251" Type="http://schemas.openxmlformats.org/officeDocument/2006/relationships/externalLink" Target="externalLinks/externalLink206.xml"/><Relationship Id="rId256" Type="http://schemas.openxmlformats.org/officeDocument/2006/relationships/externalLink" Target="externalLinks/externalLink211.xml"/><Relationship Id="rId277" Type="http://schemas.openxmlformats.org/officeDocument/2006/relationships/externalLink" Target="externalLinks/externalLink232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.xml"/><Relationship Id="rId67" Type="http://schemas.openxmlformats.org/officeDocument/2006/relationships/externalLink" Target="externalLinks/externalLink22.xml"/><Relationship Id="rId116" Type="http://schemas.openxmlformats.org/officeDocument/2006/relationships/externalLink" Target="externalLinks/externalLink71.xml"/><Relationship Id="rId137" Type="http://schemas.openxmlformats.org/officeDocument/2006/relationships/externalLink" Target="externalLinks/externalLink92.xml"/><Relationship Id="rId158" Type="http://schemas.openxmlformats.org/officeDocument/2006/relationships/externalLink" Target="externalLinks/externalLink113.xml"/><Relationship Id="rId272" Type="http://schemas.openxmlformats.org/officeDocument/2006/relationships/externalLink" Target="externalLinks/externalLink227.xml"/><Relationship Id="rId29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7.xml"/><Relationship Id="rId83" Type="http://schemas.openxmlformats.org/officeDocument/2006/relationships/externalLink" Target="externalLinks/externalLink38.xml"/><Relationship Id="rId88" Type="http://schemas.openxmlformats.org/officeDocument/2006/relationships/externalLink" Target="externalLinks/externalLink43.xml"/><Relationship Id="rId111" Type="http://schemas.openxmlformats.org/officeDocument/2006/relationships/externalLink" Target="externalLinks/externalLink66.xml"/><Relationship Id="rId132" Type="http://schemas.openxmlformats.org/officeDocument/2006/relationships/externalLink" Target="externalLinks/externalLink87.xml"/><Relationship Id="rId153" Type="http://schemas.openxmlformats.org/officeDocument/2006/relationships/externalLink" Target="externalLinks/externalLink108.xml"/><Relationship Id="rId174" Type="http://schemas.openxmlformats.org/officeDocument/2006/relationships/externalLink" Target="externalLinks/externalLink129.xml"/><Relationship Id="rId179" Type="http://schemas.openxmlformats.org/officeDocument/2006/relationships/externalLink" Target="externalLinks/externalLink134.xml"/><Relationship Id="rId195" Type="http://schemas.openxmlformats.org/officeDocument/2006/relationships/externalLink" Target="externalLinks/externalLink150.xml"/><Relationship Id="rId209" Type="http://schemas.openxmlformats.org/officeDocument/2006/relationships/externalLink" Target="externalLinks/externalLink164.xml"/><Relationship Id="rId190" Type="http://schemas.openxmlformats.org/officeDocument/2006/relationships/externalLink" Target="externalLinks/externalLink145.xml"/><Relationship Id="rId204" Type="http://schemas.openxmlformats.org/officeDocument/2006/relationships/externalLink" Target="externalLinks/externalLink159.xml"/><Relationship Id="rId220" Type="http://schemas.openxmlformats.org/officeDocument/2006/relationships/externalLink" Target="externalLinks/externalLink175.xml"/><Relationship Id="rId225" Type="http://schemas.openxmlformats.org/officeDocument/2006/relationships/externalLink" Target="externalLinks/externalLink180.xml"/><Relationship Id="rId241" Type="http://schemas.openxmlformats.org/officeDocument/2006/relationships/externalLink" Target="externalLinks/externalLink196.xml"/><Relationship Id="rId246" Type="http://schemas.openxmlformats.org/officeDocument/2006/relationships/externalLink" Target="externalLinks/externalLink201.xml"/><Relationship Id="rId267" Type="http://schemas.openxmlformats.org/officeDocument/2006/relationships/externalLink" Target="externalLinks/externalLink222.xml"/><Relationship Id="rId288" Type="http://schemas.openxmlformats.org/officeDocument/2006/relationships/externalLink" Target="externalLinks/externalLink24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2.xml"/><Relationship Id="rId106" Type="http://schemas.openxmlformats.org/officeDocument/2006/relationships/externalLink" Target="externalLinks/externalLink61.xml"/><Relationship Id="rId127" Type="http://schemas.openxmlformats.org/officeDocument/2006/relationships/externalLink" Target="externalLinks/externalLink82.xml"/><Relationship Id="rId262" Type="http://schemas.openxmlformats.org/officeDocument/2006/relationships/externalLink" Target="externalLinks/externalLink217.xml"/><Relationship Id="rId283" Type="http://schemas.openxmlformats.org/officeDocument/2006/relationships/externalLink" Target="externalLinks/externalLink23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7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94" Type="http://schemas.openxmlformats.org/officeDocument/2006/relationships/externalLink" Target="externalLinks/externalLink49.xml"/><Relationship Id="rId99" Type="http://schemas.openxmlformats.org/officeDocument/2006/relationships/externalLink" Target="externalLinks/externalLink54.xml"/><Relationship Id="rId101" Type="http://schemas.openxmlformats.org/officeDocument/2006/relationships/externalLink" Target="externalLinks/externalLink56.xml"/><Relationship Id="rId122" Type="http://schemas.openxmlformats.org/officeDocument/2006/relationships/externalLink" Target="externalLinks/externalLink77.xml"/><Relationship Id="rId143" Type="http://schemas.openxmlformats.org/officeDocument/2006/relationships/externalLink" Target="externalLinks/externalLink98.xml"/><Relationship Id="rId148" Type="http://schemas.openxmlformats.org/officeDocument/2006/relationships/externalLink" Target="externalLinks/externalLink103.xml"/><Relationship Id="rId164" Type="http://schemas.openxmlformats.org/officeDocument/2006/relationships/externalLink" Target="externalLinks/externalLink119.xml"/><Relationship Id="rId169" Type="http://schemas.openxmlformats.org/officeDocument/2006/relationships/externalLink" Target="externalLinks/externalLink124.xml"/><Relationship Id="rId185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35.xml"/><Relationship Id="rId210" Type="http://schemas.openxmlformats.org/officeDocument/2006/relationships/externalLink" Target="externalLinks/externalLink165.xml"/><Relationship Id="rId215" Type="http://schemas.openxmlformats.org/officeDocument/2006/relationships/externalLink" Target="externalLinks/externalLink170.xml"/><Relationship Id="rId236" Type="http://schemas.openxmlformats.org/officeDocument/2006/relationships/externalLink" Target="externalLinks/externalLink191.xml"/><Relationship Id="rId257" Type="http://schemas.openxmlformats.org/officeDocument/2006/relationships/externalLink" Target="externalLinks/externalLink212.xml"/><Relationship Id="rId278" Type="http://schemas.openxmlformats.org/officeDocument/2006/relationships/externalLink" Target="externalLinks/externalLink233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86.xml"/><Relationship Id="rId252" Type="http://schemas.openxmlformats.org/officeDocument/2006/relationships/externalLink" Target="externalLinks/externalLink207.xml"/><Relationship Id="rId273" Type="http://schemas.openxmlformats.org/officeDocument/2006/relationships/externalLink" Target="externalLinks/externalLink228.xml"/><Relationship Id="rId294" Type="http://schemas.openxmlformats.org/officeDocument/2006/relationships/styles" Target="styles.xml"/><Relationship Id="rId47" Type="http://schemas.openxmlformats.org/officeDocument/2006/relationships/externalLink" Target="externalLinks/externalLink2.xml"/><Relationship Id="rId68" Type="http://schemas.openxmlformats.org/officeDocument/2006/relationships/externalLink" Target="externalLinks/externalLink23.xml"/><Relationship Id="rId89" Type="http://schemas.openxmlformats.org/officeDocument/2006/relationships/externalLink" Target="externalLinks/externalLink44.xml"/><Relationship Id="rId112" Type="http://schemas.openxmlformats.org/officeDocument/2006/relationships/externalLink" Target="externalLinks/externalLink67.xml"/><Relationship Id="rId133" Type="http://schemas.openxmlformats.org/officeDocument/2006/relationships/externalLink" Target="externalLinks/externalLink88.xml"/><Relationship Id="rId154" Type="http://schemas.openxmlformats.org/officeDocument/2006/relationships/externalLink" Target="externalLinks/externalLink109.xml"/><Relationship Id="rId175" Type="http://schemas.openxmlformats.org/officeDocument/2006/relationships/externalLink" Target="externalLinks/externalLink130.xml"/><Relationship Id="rId196" Type="http://schemas.openxmlformats.org/officeDocument/2006/relationships/externalLink" Target="externalLinks/externalLink151.xml"/><Relationship Id="rId200" Type="http://schemas.openxmlformats.org/officeDocument/2006/relationships/externalLink" Target="externalLinks/externalLink155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76.xml"/><Relationship Id="rId242" Type="http://schemas.openxmlformats.org/officeDocument/2006/relationships/externalLink" Target="externalLinks/externalLink197.xml"/><Relationship Id="rId263" Type="http://schemas.openxmlformats.org/officeDocument/2006/relationships/externalLink" Target="externalLinks/externalLink218.xml"/><Relationship Id="rId284" Type="http://schemas.openxmlformats.org/officeDocument/2006/relationships/externalLink" Target="externalLinks/externalLink239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3.xml"/><Relationship Id="rId79" Type="http://schemas.openxmlformats.org/officeDocument/2006/relationships/externalLink" Target="externalLinks/externalLink34.xml"/><Relationship Id="rId102" Type="http://schemas.openxmlformats.org/officeDocument/2006/relationships/externalLink" Target="externalLinks/externalLink57.xml"/><Relationship Id="rId123" Type="http://schemas.openxmlformats.org/officeDocument/2006/relationships/externalLink" Target="externalLinks/externalLink78.xml"/><Relationship Id="rId144" Type="http://schemas.openxmlformats.org/officeDocument/2006/relationships/externalLink" Target="externalLinks/externalLink99.xml"/><Relationship Id="rId90" Type="http://schemas.openxmlformats.org/officeDocument/2006/relationships/externalLink" Target="externalLinks/externalLink45.xml"/><Relationship Id="rId165" Type="http://schemas.openxmlformats.org/officeDocument/2006/relationships/externalLink" Target="externalLinks/externalLink120.xml"/><Relationship Id="rId186" Type="http://schemas.openxmlformats.org/officeDocument/2006/relationships/externalLink" Target="externalLinks/externalLink141.xml"/><Relationship Id="rId211" Type="http://schemas.openxmlformats.org/officeDocument/2006/relationships/externalLink" Target="externalLinks/externalLink166.xml"/><Relationship Id="rId232" Type="http://schemas.openxmlformats.org/officeDocument/2006/relationships/externalLink" Target="externalLinks/externalLink187.xml"/><Relationship Id="rId253" Type="http://schemas.openxmlformats.org/officeDocument/2006/relationships/externalLink" Target="externalLinks/externalLink208.xml"/><Relationship Id="rId274" Type="http://schemas.openxmlformats.org/officeDocument/2006/relationships/externalLink" Target="externalLinks/externalLink229.xml"/><Relationship Id="rId29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3.xml"/><Relationship Id="rId69" Type="http://schemas.openxmlformats.org/officeDocument/2006/relationships/externalLink" Target="externalLinks/externalLink24.xml"/><Relationship Id="rId113" Type="http://schemas.openxmlformats.org/officeDocument/2006/relationships/externalLink" Target="externalLinks/externalLink68.xml"/><Relationship Id="rId134" Type="http://schemas.openxmlformats.org/officeDocument/2006/relationships/externalLink" Target="externalLinks/externalLink89.xml"/><Relationship Id="rId80" Type="http://schemas.openxmlformats.org/officeDocument/2006/relationships/externalLink" Target="externalLinks/externalLink35.xml"/><Relationship Id="rId155" Type="http://schemas.openxmlformats.org/officeDocument/2006/relationships/externalLink" Target="externalLinks/externalLink110.xml"/><Relationship Id="rId176" Type="http://schemas.openxmlformats.org/officeDocument/2006/relationships/externalLink" Target="externalLinks/externalLink131.xml"/><Relationship Id="rId197" Type="http://schemas.openxmlformats.org/officeDocument/2006/relationships/externalLink" Target="externalLinks/externalLink152.xml"/><Relationship Id="rId201" Type="http://schemas.openxmlformats.org/officeDocument/2006/relationships/externalLink" Target="externalLinks/externalLink156.xml"/><Relationship Id="rId222" Type="http://schemas.openxmlformats.org/officeDocument/2006/relationships/externalLink" Target="externalLinks/externalLink177.xml"/><Relationship Id="rId243" Type="http://schemas.openxmlformats.org/officeDocument/2006/relationships/externalLink" Target="externalLinks/externalLink198.xml"/><Relationship Id="rId264" Type="http://schemas.openxmlformats.org/officeDocument/2006/relationships/externalLink" Target="externalLinks/externalLink219.xml"/><Relationship Id="rId285" Type="http://schemas.openxmlformats.org/officeDocument/2006/relationships/externalLink" Target="externalLinks/externalLink24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4.xml"/><Relationship Id="rId103" Type="http://schemas.openxmlformats.org/officeDocument/2006/relationships/externalLink" Target="externalLinks/externalLink58.xml"/><Relationship Id="rId124" Type="http://schemas.openxmlformats.org/officeDocument/2006/relationships/externalLink" Target="externalLinks/externalLink79.xml"/><Relationship Id="rId70" Type="http://schemas.openxmlformats.org/officeDocument/2006/relationships/externalLink" Target="externalLinks/externalLink25.xml"/><Relationship Id="rId91" Type="http://schemas.openxmlformats.org/officeDocument/2006/relationships/externalLink" Target="externalLinks/externalLink46.xml"/><Relationship Id="rId145" Type="http://schemas.openxmlformats.org/officeDocument/2006/relationships/externalLink" Target="externalLinks/externalLink100.xml"/><Relationship Id="rId166" Type="http://schemas.openxmlformats.org/officeDocument/2006/relationships/externalLink" Target="externalLinks/externalLink121.xml"/><Relationship Id="rId187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67.xml"/><Relationship Id="rId233" Type="http://schemas.openxmlformats.org/officeDocument/2006/relationships/externalLink" Target="externalLinks/externalLink188.xml"/><Relationship Id="rId254" Type="http://schemas.openxmlformats.org/officeDocument/2006/relationships/externalLink" Target="externalLinks/externalLink209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4.xml"/><Relationship Id="rId114" Type="http://schemas.openxmlformats.org/officeDocument/2006/relationships/externalLink" Target="externalLinks/externalLink69.xml"/><Relationship Id="rId275" Type="http://schemas.openxmlformats.org/officeDocument/2006/relationships/externalLink" Target="externalLinks/externalLink230.xml"/><Relationship Id="rId296" Type="http://schemas.openxmlformats.org/officeDocument/2006/relationships/calcChain" Target="calcChain.xml"/><Relationship Id="rId60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36.xml"/><Relationship Id="rId135" Type="http://schemas.openxmlformats.org/officeDocument/2006/relationships/externalLink" Target="externalLinks/externalLink90.xml"/><Relationship Id="rId156" Type="http://schemas.openxmlformats.org/officeDocument/2006/relationships/externalLink" Target="externalLinks/externalLink111.xml"/><Relationship Id="rId177" Type="http://schemas.openxmlformats.org/officeDocument/2006/relationships/externalLink" Target="externalLinks/externalLink132.xml"/><Relationship Id="rId198" Type="http://schemas.openxmlformats.org/officeDocument/2006/relationships/externalLink" Target="externalLinks/externalLink153.xml"/><Relationship Id="rId202" Type="http://schemas.openxmlformats.org/officeDocument/2006/relationships/externalLink" Target="externalLinks/externalLink157.xml"/><Relationship Id="rId223" Type="http://schemas.openxmlformats.org/officeDocument/2006/relationships/externalLink" Target="externalLinks/externalLink178.xml"/><Relationship Id="rId244" Type="http://schemas.openxmlformats.org/officeDocument/2006/relationships/externalLink" Target="externalLinks/externalLink19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220.xml"/><Relationship Id="rId286" Type="http://schemas.openxmlformats.org/officeDocument/2006/relationships/externalLink" Target="externalLinks/externalLink241.xml"/><Relationship Id="rId50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59.xml"/><Relationship Id="rId125" Type="http://schemas.openxmlformats.org/officeDocument/2006/relationships/externalLink" Target="externalLinks/externalLink80.xml"/><Relationship Id="rId146" Type="http://schemas.openxmlformats.org/officeDocument/2006/relationships/externalLink" Target="externalLinks/externalLink101.xml"/><Relationship Id="rId167" Type="http://schemas.openxmlformats.org/officeDocument/2006/relationships/externalLink" Target="externalLinks/externalLink122.xml"/><Relationship Id="rId188" Type="http://schemas.openxmlformats.org/officeDocument/2006/relationships/externalLink" Target="externalLinks/externalLink1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PL!$A$67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PL!$B$67:$Q$67</c:f>
              <c:numCache>
                <c:formatCode>0.00%</c:formatCode>
                <c:ptCount val="6"/>
                <c:pt idx="0">
                  <c:v>0.31079213152678598</c:v>
                </c:pt>
                <c:pt idx="1">
                  <c:v>0.28521159350973602</c:v>
                </c:pt>
                <c:pt idx="2">
                  <c:v>0.38276341130955593</c:v>
                </c:pt>
                <c:pt idx="3">
                  <c:v>0.33210535005827652</c:v>
                </c:pt>
                <c:pt idx="4">
                  <c:v>0.4256322620924024</c:v>
                </c:pt>
                <c:pt idx="5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033344"/>
        <c:axId val="333036480"/>
      </c:barChart>
      <c:catAx>
        <c:axId val="33303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36480"/>
        <c:crosses val="autoZero"/>
        <c:auto val="1"/>
        <c:lblAlgn val="ctr"/>
        <c:lblOffset val="100"/>
        <c:noMultiLvlLbl val="0"/>
      </c:catAx>
      <c:valAx>
        <c:axId val="33303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EBITDA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2.0743299759918538E-2"/>
              <c:y val="0.3849923447069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3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PL!$A$68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PL!$B$68:$Q$68</c:f>
              <c:numCache>
                <c:formatCode>0.0%</c:formatCode>
                <c:ptCount val="6"/>
                <c:pt idx="0">
                  <c:v>-1.6147280765730776</c:v>
                </c:pt>
                <c:pt idx="1">
                  <c:v>-0.2383254609101528</c:v>
                </c:pt>
                <c:pt idx="2">
                  <c:v>-5.7806481722946106E-2</c:v>
                </c:pt>
                <c:pt idx="3">
                  <c:v>-5.6782049842266896E-2</c:v>
                </c:pt>
                <c:pt idx="4">
                  <c:v>6.1446598823444172E-2</c:v>
                </c:pt>
                <c:pt idx="5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034128"/>
        <c:axId val="333034520"/>
      </c:barChart>
      <c:catAx>
        <c:axId val="3330341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Fianncial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45571532815091093"/>
              <c:y val="0.89617432049181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34520"/>
        <c:crosses val="autoZero"/>
        <c:auto val="1"/>
        <c:lblAlgn val="ctr"/>
        <c:lblOffset val="100"/>
        <c:noMultiLvlLbl val="0"/>
      </c:catAx>
      <c:valAx>
        <c:axId val="33303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3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66127804482594"/>
          <c:y val="2.7777777777777776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PL!$A$69</c:f>
              <c:strCache>
                <c:ptCount val="1"/>
                <c:pt idx="0">
                  <c:v>PAT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PL!$B$69:$Q$69</c:f>
              <c:numCache>
                <c:formatCode>0.0%</c:formatCode>
                <c:ptCount val="6"/>
                <c:pt idx="0">
                  <c:v>-2.2727016937939784</c:v>
                </c:pt>
                <c:pt idx="1">
                  <c:v>-0.40558629334905771</c:v>
                </c:pt>
                <c:pt idx="2">
                  <c:v>-0.17624224020132764</c:v>
                </c:pt>
                <c:pt idx="3">
                  <c:v>-0.13730148261648589</c:v>
                </c:pt>
                <c:pt idx="4">
                  <c:v>1.5544432468002469E-2</c:v>
                </c:pt>
                <c:pt idx="5">
                  <c:v>0.46066086952878893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035304"/>
        <c:axId val="400084136"/>
      </c:barChart>
      <c:catAx>
        <c:axId val="333035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5093704079245812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084136"/>
        <c:crosses val="autoZero"/>
        <c:auto val="1"/>
        <c:lblAlgn val="ctr"/>
        <c:lblOffset val="100"/>
        <c:noMultiLvlLbl val="0"/>
      </c:catAx>
      <c:valAx>
        <c:axId val="40008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PAT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03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14286</xdr:colOff>
      <xdr:row>70</xdr:row>
      <xdr:rowOff>19050</xdr:rowOff>
    </xdr:from>
    <xdr:to>
      <xdr:col>27</xdr:col>
      <xdr:colOff>542925</xdr:colOff>
      <xdr:row>89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204787</xdr:colOff>
      <xdr:row>93</xdr:row>
      <xdr:rowOff>57150</xdr:rowOff>
    </xdr:from>
    <xdr:to>
      <xdr:col>33</xdr:col>
      <xdr:colOff>733425</xdr:colOff>
      <xdr:row>112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4761</xdr:colOff>
      <xdr:row>108</xdr:row>
      <xdr:rowOff>142874</xdr:rowOff>
    </xdr:from>
    <xdr:to>
      <xdr:col>26</xdr:col>
      <xdr:colOff>171450</xdr:colOff>
      <xdr:row>127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NING1\Share%20folder\Documents%20and%20Settings\P%20Hazra\My%20Documents\Planning%20pradeep\Season%20Budgets\2005-2006\Paradip%20Season%20budget%2005-06%20final%20HO-corrected\Backups%20for%20link%20files\Discarded%20li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Broking\TEMP\Hrevisedmodel\CADBUR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chitralekha.choudhur\AppData\Local\Microsoft\Windows\INetCache\Content.Outlook\C5HR4VIU\jsw%20projects%20ltd\knowledge\JSW%20Steel%20Ltd_Dolvi%20Works_Financial%20Model_0709-Cleanv3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Ashima%20Consolidate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Rajesh%20Sir\Wellberth\Financial%20model%20with%20CMA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ing\Ambica\Funding%20Banks\UBI\CMA_April%2011%202010_R_New%20Hotel_V%205_Final_Audite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TEV%20Study\63.%20Mihir%20Weavers\Report\Client%20Delivery%2029Nov07\Blank%20CMA%20TL%2065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BUDGET-KHEP%20late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z%20BS%20Energy%20FC%201%20200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a%20Langfristbetrachtung%20IFRS%20FC1_neu%20v%2013%2003%2009_mit%20Erg&#228;nzungen%20%20FRB%20v%2028%2007%2009%20mit%20Aufwertungskorrektur%20201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Ashima%20Consolidat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nbisl\AppData\Local\Microsoft\Windows\Temporary%20Internet%20Files\Content.IE5\A6OZE8RE\ARSS%20Business%20Plan%20Ver%209%20with%20CR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D1%20Data\Colgate%20Palmolive\MODEL\COLGATE%20F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vishal.vishwakarma\AppData\Local\Microsoft\Windows\Temporary%20Internet%20Files\Content.Outlook\ALB0RMTV\UGSL%2520Model_ECB(1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Work\Market%20Stats\hwcp-la\105245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adence\Bobcat\Models\Old\NEW%20BOBCAT%20MODEL%20V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t\c\Nitesh\DSIL\Files%20Came%20from%20DSIL\pvr-valu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urnendu.parui\Local%20Settings\Temp\Project%20Budget-Teesta%20LDPIV-R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5\MitconKubera\Akash%20Kochar\New%20data\Delhi\OSIL\2015-16\OCL%20Iron%20and%20Steel%20Shanu\OISL-Projections%20May%2021%20IDB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%20-%20Common%20drive\Deal%20files\Sakthi\Financial%20Model\Sakthi%20Model%20-%20new%20approach\Sakthi%20Revised%20Model%20-%2030.10.12-$%2050%20Mn-With%202x%20debt%20limits-V2.xlsm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hared\Work%20Areas\Project%20Costanza\Valuation\20050811%20costanza_forecas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wnloads\Users\sandip\AppData\Local\Microsoft\Windows\Temporary%20Internet%20Files\Content.Outlook\8J1EXMQ0\tsm\Fresh\Quarterly\Yearly%20accounts%20201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kulkarni/Local%20Settings/Temp/Toolbox/Documents%20and%20Settings/damienmartin/My%20Documents/Planning%20Archiv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nts%20and%20Settings\vibhav\My%20Documents\RIM%20%20list%20as%20on%2001.11.04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SUECA\PIEZSU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PIEZSU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NOVELDA\NOVELDA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NOVELDA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Treasury\Investments\FY03%20Investment%20Reporting\0602%20Investment%20Reporting\AlexBrown%20247-71002%206-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ureka\AppData\Local\Microsoft\Windows\Temporary%20Internet%20Files\Content.Outlook\5FDD8OR2\Nitesh\HNGIL\Bank%20related\SBI\Adhoc%20Limit\Nitesh\HNGIL\MIS%20Consolidated%20Dec'11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Nbd-Finance\Lilac\Pal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npoupard\My%20Documents\Trident\Copy%20of%20Copy%20of%20Project%20Trident%20-%20Financial%20%20Model%20Valuedg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ORATLA\NEWFI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Dye&amp;utiliti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RC\CDR%20Final%20Report\Samtel%20Mode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C_2006101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Prashant\KSK%20Surya\Final%20Files\Model%20PFSBU16110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4-05\09-MIS%20Preparation%20Dec'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HEC%20Scenarios\HEC%20Option%201%20B.%2005042016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~1\Rocky\LOCALS~1\Temp\notes6030C8\Rocky\Anpara\Input\Backup%20of%20Anpara%20Project%20Model%20-%207%20Feb.xlk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preeti.vora\Local%20Settings\Temporary%20Internet%20Files\OLK2\SITEWISEWIP(JUNE07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iru/Local%20Settings/Temporary%20Internet%20Files/OLK6E/IPU%20Mundra%20MIS%20Aug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shashank.chandak\Local%20Settings\Temporary%20Internet%20Files\OLK14C\Copy%20of%20debt%20equity%20position-30-09-10%20(2)%20(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PA-ASSET-M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opiwalla\D\CAD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CDR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ianto\budget%202006\Documents%20and%20Settings\CHENHUEI\Local%20Settings\Temporary%20Internet%20Files\OLK12\Bud_Rev_Form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vesh\dubey\Ramdhyan\MIS\misnew\Bsheet%20and%20MIS%20March-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\consolidation\june\temp\4%20HCC%20Master%20Consolidation_June2012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A2004E2_V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amat\kama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COMPUTERS%20310307(SAP%20DATA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URANGBHAI\new%20(E)\SORABH\Amin-Syndicate\Copy%20of%20Amin-CMA_Revised-dipen-13%2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yasha.bhanja\Desktop\OFFICE%20PROJECTS\CIAL\CIAL%20Final%20Files%20for%20All%20Banks\Final%20Model-CIAL_Consolidated080711_For_All_Banks(breakeven)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kagarwal\crka\Institution\EXIM\Rpmt01-no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cfsl\final\cashflow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DATEN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aditya.mohta2\Desktop\SEIL\UGSL_Financial%20Model_%2012%2011%202017%20Ver%202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backup17.12.2011\d%20backup\Documents\Work\My%20Projects\STEEL\My%20Projects\Uttam%20Group\UGML\Refinancing\Model\UGML%20Financial%20Model_Refinancing_02122014_COP%20-%20Copy%20(2)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zimbra.free.fr/service/home/~/VTest%20Maquette%20de%20saisie%20DALKIA%20(yc%20N&amp;N+1)%20-%20PBZ.xls?auth=co&amp;loc=fr&amp;id=24804&amp;part=2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X%20G&#233;n&#233;raux%20par%20UG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acer1\Desktop\Niranjan\Home%20Solutions\Projections%20for%20CMA%20-%20Feb07_Rev%20N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srickant\My%20Documents\Copy%20of%20Copy%20of%201000MW_IDFC_Monnet_Projns_100507_tri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OTSER\E%20drive\Pooja\Valuation%20-%20Daurala%20Sugar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NEEPCO%2031%2001%202017%20(2)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OXFORD\canara\cmamiscellaniou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jay's%20Data\2012-13\03.%20Green%20field%20Project%20Report\Sunshine%20Paptech\AML-3007_dividendFinal02082005exp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penses\8301%20Mum%20Operating%20Expenses%20Leadshee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lt2kserv\accpac\fund\Alia\Boyer%20Allan%20INDIA\Management%20accounts\30%20June%202004\BAIFI%20-%20Fin%20Stmts%2030.06.04%20-%2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cts\Uri2%20HEP\EIS\BUDGET%202002-2003\Purulia\revision1\KGT\YR98-99\DPR_9697\PLAN169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Shelly.Mehta\Local%20Settings\Temporary%20Internet%20Files\Content.IE5\7L9DNVSD\Warehouse%20strategy%20for%20Furniture%20&amp;%20HI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r\Ambica\Aroma\Banks\Andhra%20Bank\VENKAT%20CMA%20250%20lates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BRC\Desktop\Documents%20and%20Settings\nikhil.kumar\Local%20Settings\Temp\FINAL-%20Project%20Budget-V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usb\MIS\Documents%20and%20Settings\Administrator\Local%20Settings\Temp\SAI\LIAB.DET%20FOR%20MIS\SAI\LIAB.DET%20FOR%20MIS\Closing%20March-03(561)\enclmar'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&amp;D\financial%20mode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s%20Nangloi%20Water%20Services%20Pvt%20Ltd%20FY%202012-13%20Version%202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beare\Local%20Settings\Temporary%20Internet%20Files\Content.Outlook\BVDY9DW4\AM\Atansor%20KZ%20TEM%20V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%20RH%200604201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WINDOWS\Desktop\kdbsdec99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f\NPL\Nobles'proj16.06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4/apr_01_contingen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10\Week%20Ending%20_20020510revised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NWS_TECH/6_DESIGN/POP/IMP%20WARD%20WISE%20POP%20WORK/Ward%20Wise%20Population%20v07%20for%20stup%20repor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LIGHT%20VEHICLES%20310307(SAP%20DATA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ual%20Accounts%20Closing\IIIA\04-05\ENDING%2030.06.04\Encl%20%20ending-June-0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_Comex_Groupe%20E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FINAL-%20Project%20Budget-VA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ssignments\CESC\Dhariwal\Final%20DIL%20Model_26052017_SBICAPs.xlsm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CONE\ADL_JUNE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1.%20ISP-1.5Mn%20TP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P\ACP%20Assignment\Scan%20Energy%20&amp;%20Power\Scan%20Energy%20&amp;%20Power%20-MoU-R1-10.04.2007\Documents%20and%20Settings\All%20Users\Documents\Pawanjay-ReL-v-17.01.2007\Gita%20Sponge%20Iron%20Ltd.%20-%20Final-02.09.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itra\Kharkia%20-%20restructuring\model\ref%20models\AFL_CDR_150313v0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gisnap003\yleclerc\TEMP\MODE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Documents%20and%20Settings\D.Behera\Desktop\1.%20Integrated%20Steel%20Plant-Revised-1.5Mn%20TPA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5.%20Upgrade%20Existing%20FeCr%20FAP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ksomani.RSR\AppData\Local\Microsoft\Windows\Temporary%20Internet%20Files\Content.IE5\QNJ6WIYU\Details%20of%20assets\Details%20of%20assets\cwip%2020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5/may_01_contingent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tape%203%20CA%20v16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_rajnish/Downloads/150618_All%20Payables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uest\Downloads\Blues%20Clothing%20Company%20Fin%20Model%20v13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DOCUME~1/sumeetm/LOCALS~1/Temp/C.Lotus.Notes.Data/mallu%20BP%20for%20UTI%20third%20draft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U%20DIVISION%20-%20BRIDGE%20Q4%202012%20-%202013_01_17%20FINAL%20apr&#232;s%20CMEO%20Hellebo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My%20Documents\GIF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marketing.mis.amat.com/Cmm/Forecast/WKFLS/2XYRFCST/32705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TEMP\c.notes.data\Daisy%20Summary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Vivek\BussDev-Power\AnparaC\FinModels-Jun6,06-InLucknow\ANPARA'C'Model_Rev22_Base%20Case%2020%25IRR-AsBid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5-06\04%20Jul'05\Working-Jul'0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nts%20and%20Settings\tengmich\Desktop\ABC_Model_00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lina\shared%20folder\FRANGO_EXPORT\2004\Actual\FCAST0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24\Week%20Ending_2002052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Users\obreidt\Desktop\Biossence%20Management%20Accounts\Equitix\BS%20Debt%20Model%20model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ar\chargebacks\April%20&amp;%20May\Oct_May%20CB%20data%20_chart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P\RMGL\Lender%20Proposal\Final%20Restructuring%20Cum%20Settlement%20Proposal\July2000%20as%20of%2013.6.2000\Debt%20schedule-JKI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isk%20F1-2013_250313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microsoft.com/office/2019/04/relationships/externalLinkLongPath" Target="/Users/admin/AppData/Local/Microsoft/Windows/Temporary%20Internet%20Files/Content.IE5/Y1QOZ791/d/Users/Vinay%20Mishra/AppData/Local/Microsoft/Windows/Temporary%20Internet%20Files/Content.Outlook/J0VUKWH5/3.%20Cost%20Estimate%20(Ajmer-Nagaur)/Appendix%20-AOC.xls?B44FB0C9" TargetMode="External"/><Relationship Id="rId1" Type="http://schemas.openxmlformats.org/officeDocument/2006/relationships/externalLinkPath" Target="file:///\\B44FB0C9\Appendix%20-AO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kavitar\Local%20Settings\Temporary%20Internet%20Files\Content.Outlook\RWDACOP5\L-OTHER-INCOME-0910%20lacs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orecast\Q2_99\Quarter%20End%20Forecast\Q2%20Forecast%20Template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Schd.&amp;%20Workings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FURNITURE%20&amp;%20FIXTURE%20310307(SAP%20DATA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EIL%20-%20II\Model%20-%20SBI%20modified\DOCUME~1\rajag\LOCALS~1\Temp\BBG\MBF%20LM%20Cost-19th%20Jan'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PLAB\EXPANSION\BIPLAB\Expansion\Orissa\(Option%20-%207)%207_6Lac%20thru%20Ind%20(1)%20+EAF%20(2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microsoft.com/office/2006/relationships/xlExternalLinkPath/xlStartup" Target="MSOFFICE/EXCEL/YARN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basanta\Local%20Settings\Temporary%20Internet%20Files\OLKBD\L-OTHER-INCOME-1207%20lacs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akshman.MPA\Desktop\BEEKAY%20STEELS%20LTD\Beekay%20Steel%20Model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udora\Attach\New%20Hire%20Track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ish\c\WINDOWS\Desktop\Approved%20budgets%20summary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+150817+Efficiency%20Plan%202016-2018%204R%20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DOCUME~1\jallen\LOCALS~1\Temp\2Q02PCQSJAMS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DOCUME~1\balakria\LOCALS~1\Temp\C.DATA.Notes\Model%20021703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ExcelEVA%20Model-Samte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Projection%20GIIC%2026.06.01\Schd.&amp;%20Workings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BRAT\SML_300\SI+PP+FA\FERRO%20ALLOYS_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\Sakthi\Financial%20Model\Latest%20models%20with%20different%20deal%20size%20-10.08.12\Sakthi_Auto_Financial_Model-10.08.12-$120%20Mn%20-%20old%20version.xlsm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Investments%20Schedule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emiManufGroup%20(SMG)\'01%20Market%20Share\Pub%20Systems\Table%20Generator_0401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kbehera\Local%20Settings\Temporary%20Internet%20Files\OLK30\Consolidated_Financial%20Model_GSA%20Commercials%20Lt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ungupta\Local%20Settings\Temporary%20Internet%20Files\Content.Outlook\C4T627I0\HNG%20Float%20-%20Detailed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Projections\IDBI%20Mumbai%2031.5.2001\Schd.&amp;%20Workings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CF%20Bridge%20New%20Framework%202013%20for%20BUs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al%20files\Sakthi\Financial%20Model\Latest%20models%20with%20different%20deal%20size%20-10.08.12\Sakthi_Auto_Financial_Model-10.08.12-$120%20Mn%20-%20old%20version.xlsm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OSML%20-%20Restructured%20-%20%20with%20payments%20upto%20December%202010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301\My%20Documents\Reliance%20Power\Hydro%20Models\Model_Hydro_Siyom_040807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microsoft.com/office/2006/relationships/xlExternalLinkPath/xlStartup" Target="Nidhi/NPLBS399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rop%20Box\Documents%20and%20Settings\All%20Users\Documents\Drop%20Box\CMA\GPT%20Fin%20Model-3rd%20Dec%20revisionNo%202%20dated%2010th%20Aug%2005-latest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basanta\Local%20Settings\Temporary%20Internet%20Files\OLKBD\L-OTHER-INCOME-1207%20lac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Downloads\997164_59999_revised_schedule_vi_sch_iii_%20(1)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M&amp;A\Nguyen\Projects\eBay\Project%20Schumacher\Models\Schumacher%20Model%2012-1-03%20v17%20UPDATE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OLD%20TO%20NEW\BASANTA\BASANT\SCHEDULES%20JUNE08\SITEWISEWIP(JUNE07)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Workings/Aptuit%20Laurus/FIXED%20ASSETS/Old/FA%202008-09/R&amp;D%20FIXED%20ASSETS%20MARCH%202009%20FINAL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pmt06sept2000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Shraddha(user5)/Work_SK/Shri%20Vaishnavi%20Ispat/SVIL%20Financial%20Model_Cop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Prepaid%20Expenses%20(Loans%20&amp;%20Advances)%20-%20Substantive%20Testing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LD%20TO%20NEW\BASANTA\BASANT\SCHEDULES%20JUNE08\SITEWISEWIP(JUNE07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%20-%20Tax%20Audit\Tax%20Audit%2006-07\working%20files\Fixed%20Assets\Fixed%20Assets\BASANT%20LIST%2006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eeta\d\astprj\final\astprj\final\Vijay\vs\24rapdobb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Budget%202010-11\Hydro\Budgets%206.4.10\Chamera%20Budget2010-11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Pankaj%20Cottopn%20-%20New\CMA-Pankaj%20Cotton-GB%20final-7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ADL-IPO\ADL\Investors\Projections-KSA-27Aug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C\My%20Documents\MPR\FINDRDE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10_APR_2005_%20FX%20REPOR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2K3BOMBKH03\users\Users\research\PRASAD\pras1\ENERGY\Companies\IOCL\models\IOC%20mast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kesh\d\TEMP\Palanpur%20-%20Udaipur\Traffic%20Analysis\Socio-Economic%20data-%20Rajasth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VALLADO\CFVALLA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CFVALLA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BARCARRO\MEMORIA\CALCBA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ook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sh\f\G%20P%20A\Accounts\COMPANY\Rtn07\SIG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DSAL%203-00\madras%20knitwear\Admin\Final%20BS\MKLBS3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AUDIT%20SCHEDULES%202005-06\CHARAN\REVISED%20MIS%20REPORT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ngiaHiTech_Projectio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1v5v1\D%20OP%20KAAKLT\I\ITC\QUART\3Q99\MBIKE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preeti.vora\Local%20Settings\Temporary%20Internet%20Files\OLK2\SITEWISEWIP(JUNE07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services\Final\HX\HX%201year%20Rev%20Projection_ver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tinagarwal\New%20Folder\Documents%20and%20Settings\Ryan%20Lu\Local%20Settings\Temporary%20Internet%20Files\OLK1D2\Expense&#39791;&#20142;&#2153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~1\CKELLE~1\LOCALS~1\Temp\notes73E8BD\blue%204.24.06v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droach\Shockmachine%20Model\External%20Model\Model%20For%20PPM\OPERATING%20Model%2010%2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Book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hra\D\Temp\Traffic%20Count%20Volume%20(Blank%20Format)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SBAST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Doc-intro-DKI%20(1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d-2\KAMBAN\Documents%20and%20Settings\admin\Local%20Settings\Temp\040727%20OMC%20cost%20for%2015%20%20years_R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6-07\Finalisation\QTR%20II%200607\Sch%20VI%20format\Final%20Set%20Of%20BS%20for%20QTR%20II\BS%20in%20Sch%20VI%20format%20-%20Windmill%20-%2008.10.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PC03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LA\financial%20model_final_401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ject\project\Kalani%20Group\Malls\Mall%2019.06.06\Kalani%20Bplan9%20-%20ICICIrev%20%2024.05.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pin/Desktop/trial%20balance%20monthl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msun\Q4FY98%20Revenue\Q4FY98Audit1_Co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cific%20focus-Turnover%20and%20margin%20analyses_Dez.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AVHGB-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\NARAYAN\FMCG\ITC\IT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ynth&#232;se%20Europe%202008.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Naman\NMN\SWAAA%20CORPORATION\With%20New%20machinery\PHMPL-FINAL-UBI-04-11-2011--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nsolidated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SHIVSHAKTI%20on%20Corporate/Documents%20and%20Settings/MR.%20SONY/Desktop/ram%20final%20on%20Sagarwal/ramintegra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S\AUDIT398\DPC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Application%20Data\Microsoft\Excel\Dusi%20Siding%20(version%20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P\ACP%20Assignment\Scan%20Energy%20&amp;%20Power\Scan%20Energy%20&amp;%20Power%20-MoU-R1-10.04.2007\Documents%20and%20Settings\All%20Users\Documents\Pawanjay-ReL-v-17.01.2007\PSIL-Exp-Rel-R1-v-17.01.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%20V25-01-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2001024A_Kreisliste-AU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ADL\Projections\Projections-E&amp;y-4Sep01-Deta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RL-%20ICIC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Documents%20and%20Settings\sanjay.dave\Local%20Settings\Temporary%20Internet%20Files\OLK53\AS-9%20Monthwise%20Schedul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\c\Nitesh\FFB-Model\Valuation%20JKI%20Tyre%20-%20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ATA\Project%20data\Indus\Hallmark%20Citii\BOB\Documents%20and%20Settings\vishnu%20gupta\Local%20Settings\Temporary%20Internet%20Files\Content.IE5\SXIV05YR\EWDPL\JP%20Morgan\EWDPL_JPM_Model_v15%2023.06.0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Post%20Shundi\Birla%20Surya_reappraisal\BSl_Final%20Set_140312\BSL_Final%20Model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Project%20Finance\Butibori\Fin%20Model\Vivek\BussDev-Power\UltraMega\FinModels\Power\V4%20UMPP_Model_160806-R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ev\e\NH%2014-76\Final%20PPR\Volume%20II%20%20Design%20Report\Annexures\Inventory%20-%20NH-7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ikhil\ACCOUNTS\Accounts%202004-05\Accounts%2004-05\Final%20Financial%20Statement%2004%2005\Signed%20FY%202004-05\Linked%20Financial%20%20Statement%2004-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1\HR\~angier%20files\ONIGHT%20TRANSFER\HEADCOUNT\Mar%2001\CONTINGENT%20WORKER%20HEADCOUNT%20MAR%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lides%20Croiss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inental%20Europe%2004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REVISED%20MIS%20REPORT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Dip%20-Detail%20Working\Controllable_Cost\0405\MBF_LM%20Cost\MBF%20REPORT%20%20Sept'%202004-Ramc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tryan\temp%20projects\043001agin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ivilizations\Models\Oaxaca%203-8-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patil\takeover\sunil\SEPT03%20on%20p-!!!%20at%20bf%20acc...%20(Sunil%20tokarawat)\sunil\22092003\WINDOWS\TEMP\site\My%20Documents\Balance%20Sheet\Balance%20Sheet\Balance%20Sheet\Balance%20Sheet%203009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5.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BBG\MBF_LM%20Cost\MBF%20REPORT%20%20AUG%202004(Ramco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khil/ACCOUNTS/Accounts%202004-05/Accounts%2004-05/Final%20Financial%20Statement%2004%2005/Signed%20FY%202004-05/Linked%20Financial%20%20Statement%2004-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ndonOilCommentary-X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ontrole%20Gestion%20Bridges%20PAO%20CAFop%20BL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49ers-hq\accounting%20I\My%20Documents\Budget%20%2312%20-%20June%201%202001%20Upda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4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final_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-finance-f1\group-share\Documents%20and%20Settings\rsalama101272\My%20Documents\NBD\Brighton\Datenbank%20f&#252;r%20Gamma10%204%202005kd_softgamm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ttam%20Modelsv4\Users\priyadarshi.abhishek\AppData\Local\Microsoft\Windows\Temporary%20Internet%20Files\Content.Outlook\0F5W7RW1\LIL%20WC%20FY2013%20July%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Nikita_Office%20Work\Uttam%20Group\Uttam%20Metallics\CDR\Model\UGML_FM_July%2026_20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ICAP\Assignments\Birla%20Surya%20Limited\Debt%20Syndication%20-%20970.5%20Crore\BSL%20-Main%20Files\FAR&amp;MODEL\BirlaSuryafinal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3workplan"/>
      <sheetName val="cl14"/>
      <sheetName val="PLAN_FEB97"/>
      <sheetName val="Officer Budget Form"/>
      <sheetName val="bg-charges"/>
      <sheetName val="#REF"/>
      <sheetName val="BHANDUP"/>
      <sheetName val="S2groupcode"/>
      <sheetName val="Discarded links"/>
      <sheetName val="Form D1"/>
      <sheetName val="Form D12"/>
      <sheetName val="Form D13"/>
      <sheetName val="Index"/>
      <sheetName val="MATERIAL TOTAL"/>
      <sheetName val="Form 5"/>
      <sheetName val="BASIC-Roads"/>
      <sheetName val="Total summary"/>
      <sheetName val="FORM-W3"/>
      <sheetName val="Stock in Trade"/>
      <sheetName val="wip - erection items"/>
      <sheetName val="Anal"/>
      <sheetName val="LOCAL RATES"/>
      <sheetName val="_REF"/>
      <sheetName val="(31)"/>
      <sheetName val="RCC"/>
      <sheetName val="Summary of 13th RA"/>
      <sheetName val="progress"/>
      <sheetName val="AoR"/>
      <sheetName val="PO Status"/>
      <sheetName val="BOQ Distribution"/>
      <sheetName val="Rate Analysi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model"/>
      <sheetName val="Earnings model"/>
      <sheetName val="Questions"/>
      <sheetName val="Halfye"/>
      <sheetName val="Sugar"/>
      <sheetName val="Tex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Summary"/>
      <sheetName val="Sensitivity"/>
      <sheetName val="JSW "/>
      <sheetName val="Dolvi-Standalone EBITDA"/>
      <sheetName val="IM Datasheet"/>
      <sheetName val="Project Costing &amp; Phasing"/>
      <sheetName val="Dolvi"/>
      <sheetName val="Dolvi_COP"/>
      <sheetName val="Vijayanagar"/>
      <sheetName val="Vijayanagar_COP"/>
      <sheetName val="Salem"/>
      <sheetName val="Salem-COP"/>
      <sheetName val="Depn_Vij+Salem"/>
      <sheetName val="Depn_Dolvi"/>
      <sheetName val="Capex_Vij+Salem"/>
      <sheetName val="Loans_Dolvi"/>
      <sheetName val="Loans_Vij+Salem"/>
      <sheetName val="General Assumptions"/>
      <sheetName val="Freight Charges"/>
      <sheetName val="Taxes &amp; Custom Duty"/>
    </sheetNames>
    <sheetDataSet>
      <sheetData sheetId="0" refreshError="1"/>
      <sheetData sheetId="1">
        <row r="5">
          <cell r="K5">
            <v>0.98</v>
          </cell>
        </row>
        <row r="10">
          <cell r="K10">
            <v>1</v>
          </cell>
        </row>
        <row r="15">
          <cell r="K15">
            <v>1</v>
          </cell>
        </row>
        <row r="20">
          <cell r="K20">
            <v>1</v>
          </cell>
        </row>
        <row r="25">
          <cell r="K25">
            <v>0</v>
          </cell>
        </row>
        <row r="30">
          <cell r="K30">
            <v>0</v>
          </cell>
        </row>
      </sheetData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"/>
      <sheetName val="Format BS"/>
      <sheetName val="Format CF"/>
      <sheetName val="Final"/>
      <sheetName val="P&amp;L"/>
      <sheetName val="BS"/>
      <sheetName val="Cashflow"/>
      <sheetName val="Input"/>
      <sheetName val="Attires"/>
      <sheetName val="Parent"/>
      <sheetName val="Power"/>
      <sheetName val="Grey"/>
      <sheetName val="DenTot"/>
      <sheetName val="DenSpin"/>
      <sheetName val="Den Rincan"/>
      <sheetName val="DenWev"/>
      <sheetName val="SpinfabTotal for Compare"/>
      <sheetName val="SfabTot"/>
      <sheetName val="Spf32Total"/>
      <sheetName val="SFSpin"/>
      <sheetName val="SFweav"/>
      <sheetName val="Spg Upg"/>
      <sheetName val="H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E15">
            <v>0.01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read"/>
      <sheetName val="P&amp;L"/>
      <sheetName val="BS"/>
      <sheetName val="CF"/>
      <sheetName val="Schedule"/>
      <sheetName val="Term Loan"/>
      <sheetName val="Sale"/>
      <sheetName val="OHExp"/>
      <sheetName val="Other Assumptions"/>
      <sheetName val="FA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Y11Performance"/>
      <sheetName val="Graphs"/>
      <sheetName val="Valuation"/>
      <sheetName val="Process Form"/>
      <sheetName val="Hotel Bus"/>
      <sheetName val="Segment Revenue"/>
      <sheetName val="P&amp;L"/>
      <sheetName val="BS"/>
      <sheetName val="CF"/>
      <sheetName val="Schedule"/>
      <sheetName val="Assumptions"/>
      <sheetName val="FA"/>
      <sheetName val="Ratios"/>
      <sheetName val="CMA"/>
      <sheetName val="Debt Schld"/>
      <sheetName val="MPBF-N"/>
      <sheetName val="Debt Summary (2)"/>
      <sheetName val="Property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Assum"/>
      <sheetName val="Formula"/>
      <sheetName val="RM"/>
      <sheetName val="Wages"/>
      <sheetName val="SV"/>
      <sheetName val="QD"/>
      <sheetName val="DEP"/>
      <sheetName val="WC"/>
      <sheetName val="FR"/>
      <sheetName val="Term Loan"/>
      <sheetName val="Tax"/>
      <sheetName val="Cash Flow"/>
      <sheetName val="PS"/>
      <sheetName val="BS"/>
      <sheetName val="irr"/>
      <sheetName val="Curr. Rates"/>
      <sheetName val="Op-Smt"/>
      <sheetName val="Lib-Smt"/>
      <sheetName val="Ast-Smt"/>
      <sheetName val="Valid"/>
      <sheetName val="Fin-Ind."/>
      <sheetName val="WCC"/>
      <sheetName val="ABF"/>
      <sheetName val="TL_in"/>
      <sheetName val="DPG_in"/>
      <sheetName val="F-FL."/>
      <sheetName val="Sen_Anly"/>
      <sheetName val="Sen DSCR"/>
      <sheetName val="DSCR_SECU"/>
      <sheetName val="ICR_SEC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C2" t="str">
            <v xml:space="preserve">        ASSESSMENT OF WORKING CAPITAL REQUIREMENT</v>
          </cell>
        </row>
        <row r="3">
          <cell r="C3" t="str">
            <v xml:space="preserve">                                               FORM II  :  OPERATING STATEMENT</v>
          </cell>
        </row>
        <row r="4">
          <cell r="C4" t="str">
            <v xml:space="preserve">                                               --------------------------------------------------------</v>
          </cell>
        </row>
        <row r="5">
          <cell r="C5" t="str">
            <v>Sheet 1</v>
          </cell>
        </row>
        <row r="6">
          <cell r="F6" t="str">
            <v xml:space="preserve">  AMOUNT  IN  Rs  :</v>
          </cell>
          <cell r="H6" t="str">
            <v>Rs. Lakhs</v>
          </cell>
        </row>
        <row r="7">
          <cell r="A7" t="str">
            <v>Branch</v>
          </cell>
        </row>
        <row r="9">
          <cell r="C9" t="str">
            <v xml:space="preserve">NAME OF THE UNIT                 </v>
          </cell>
          <cell r="D9" t="str">
            <v>For the year ending  31st March</v>
          </cell>
        </row>
        <row r="10">
          <cell r="D10">
            <v>2005</v>
          </cell>
          <cell r="E10">
            <v>2006</v>
          </cell>
          <cell r="F10">
            <v>2007</v>
          </cell>
          <cell r="G10">
            <v>2008</v>
          </cell>
          <cell r="H10">
            <v>2009</v>
          </cell>
          <cell r="I10">
            <v>2010</v>
          </cell>
          <cell r="J10">
            <v>2011</v>
          </cell>
          <cell r="K10">
            <v>2012</v>
          </cell>
          <cell r="L10">
            <v>2013</v>
          </cell>
        </row>
        <row r="11">
          <cell r="D11" t="str">
            <v>Aud.</v>
          </cell>
          <cell r="E11" t="str">
            <v>Aud.</v>
          </cell>
          <cell r="F11" t="str">
            <v>Est.</v>
          </cell>
          <cell r="G11" t="str">
            <v>Proj.</v>
          </cell>
          <cell r="H11" t="str">
            <v>Proj.</v>
          </cell>
          <cell r="I11" t="str">
            <v>Proj.</v>
          </cell>
          <cell r="J11" t="str">
            <v>Proj.</v>
          </cell>
          <cell r="K11" t="str">
            <v>Proj.</v>
          </cell>
          <cell r="L11" t="str">
            <v>Proj.</v>
          </cell>
        </row>
        <row r="12">
          <cell r="A12">
            <v>1</v>
          </cell>
          <cell r="C12" t="str">
            <v>GROSS  SALES</v>
          </cell>
          <cell r="D12" t="str">
            <v>I</v>
          </cell>
          <cell r="E12" t="str">
            <v>II</v>
          </cell>
          <cell r="F12" t="str">
            <v>III</v>
          </cell>
          <cell r="G12" t="str">
            <v>IV</v>
          </cell>
          <cell r="H12" t="str">
            <v>I</v>
          </cell>
          <cell r="I12" t="str">
            <v>II</v>
          </cell>
          <cell r="J12" t="str">
            <v>III</v>
          </cell>
          <cell r="K12" t="str">
            <v>IV</v>
          </cell>
          <cell r="L12" t="str">
            <v>V</v>
          </cell>
        </row>
        <row r="13">
          <cell r="B13" t="str">
            <v>i.</v>
          </cell>
          <cell r="C13" t="str">
            <v xml:space="preserve"> Domestic sales</v>
          </cell>
          <cell r="H13">
            <v>238.95529411764704</v>
          </cell>
          <cell r="I13">
            <v>1322.9156101843726</v>
          </cell>
          <cell r="J13">
            <v>1421.2490254609304</v>
          </cell>
          <cell r="K13">
            <v>1430.6747673397717</v>
          </cell>
          <cell r="L13">
            <v>1430.6747673397717</v>
          </cell>
        </row>
        <row r="14">
          <cell r="C14" t="str">
            <v>Revenue income</v>
          </cell>
        </row>
        <row r="15">
          <cell r="B15" t="str">
            <v>ii</v>
          </cell>
          <cell r="C15" t="str">
            <v>Export Sales</v>
          </cell>
        </row>
        <row r="16">
          <cell r="C16" t="str">
            <v xml:space="preserve">                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238.95529411764704</v>
          </cell>
          <cell r="I16">
            <v>1322.9156101843726</v>
          </cell>
          <cell r="J16">
            <v>1421.2490254609304</v>
          </cell>
          <cell r="K16">
            <v>1430.6747673397717</v>
          </cell>
          <cell r="L16">
            <v>1430.6747673397717</v>
          </cell>
        </row>
        <row r="17">
          <cell r="A17">
            <v>2</v>
          </cell>
          <cell r="C17" t="str">
            <v>Less excise duty</v>
          </cell>
        </row>
        <row r="18">
          <cell r="A18">
            <v>3</v>
          </cell>
          <cell r="C18" t="str">
            <v>Net sales ( item 1 - item 2 )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238.95529411764704</v>
          </cell>
          <cell r="I18">
            <v>1322.9156101843726</v>
          </cell>
          <cell r="J18">
            <v>1421.2490254609304</v>
          </cell>
          <cell r="K18">
            <v>1430.6747673397717</v>
          </cell>
          <cell r="L18">
            <v>1430.6747673397717</v>
          </cell>
        </row>
        <row r="19">
          <cell r="A19">
            <v>4</v>
          </cell>
          <cell r="C19" t="str">
            <v xml:space="preserve">% age rise (+) or fall (-) in net </v>
          </cell>
          <cell r="D19">
            <v>0</v>
          </cell>
          <cell r="E19" t="e">
            <v>#DIV/0!</v>
          </cell>
          <cell r="F19" t="e">
            <v>#DIV/0!</v>
          </cell>
          <cell r="G19" t="e">
            <v>#DIV/0!</v>
          </cell>
          <cell r="H19" t="e">
            <v>#DIV/0!</v>
          </cell>
          <cell r="I19">
            <v>453.62473347547984</v>
          </cell>
          <cell r="J19">
            <v>7.4330829963411862</v>
          </cell>
          <cell r="K19">
            <v>0.66320129055388022</v>
          </cell>
          <cell r="L19">
            <v>0</v>
          </cell>
        </row>
        <row r="20">
          <cell r="C20" t="str">
            <v xml:space="preserve">sales compared to previous </v>
          </cell>
        </row>
        <row r="21">
          <cell r="C21" t="str">
            <v>year (annualised)</v>
          </cell>
        </row>
        <row r="22">
          <cell r="A22">
            <v>5</v>
          </cell>
          <cell r="C22" t="str">
            <v>Cost of Sales</v>
          </cell>
        </row>
        <row r="23">
          <cell r="B23" t="str">
            <v>i.)</v>
          </cell>
          <cell r="C23" t="str">
            <v xml:space="preserve"> Raw materials (including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243.71143043340609</v>
          </cell>
          <cell r="I23">
            <v>887.80592515026501</v>
          </cell>
          <cell r="J23">
            <v>940.02980310028079</v>
          </cell>
          <cell r="K23">
            <v>940.02980310028079</v>
          </cell>
          <cell r="L23">
            <v>940.02980310028079</v>
          </cell>
        </row>
        <row r="24">
          <cell r="C24" t="str">
            <v xml:space="preserve"> stores and other items used</v>
          </cell>
        </row>
        <row r="25">
          <cell r="C25" t="str">
            <v xml:space="preserve"> in the process of manufacture)</v>
          </cell>
        </row>
        <row r="26">
          <cell r="C26" t="str">
            <v xml:space="preserve"> (a)  imported</v>
          </cell>
        </row>
        <row r="27">
          <cell r="C27" t="str">
            <v xml:space="preserve"> (b)  Indigenous</v>
          </cell>
          <cell r="H27">
            <v>243.71143043340609</v>
          </cell>
          <cell r="I27">
            <v>887.80592515026501</v>
          </cell>
          <cell r="J27">
            <v>940.02980310028079</v>
          </cell>
          <cell r="K27">
            <v>940.02980310028079</v>
          </cell>
          <cell r="L27">
            <v>940.02980310028079</v>
          </cell>
        </row>
        <row r="28">
          <cell r="B28" t="str">
            <v>ii)</v>
          </cell>
          <cell r="C28" t="str">
            <v xml:space="preserve"> Other spares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2.3895529411764707</v>
          </cell>
          <cell r="I28">
            <v>13.229156101843726</v>
          </cell>
          <cell r="J28">
            <v>14.212490254609305</v>
          </cell>
          <cell r="K28">
            <v>14.306747673397718</v>
          </cell>
          <cell r="L28">
            <v>14.306747673397718</v>
          </cell>
        </row>
        <row r="29">
          <cell r="C29" t="str">
            <v xml:space="preserve"> (a)  Imported</v>
          </cell>
        </row>
        <row r="30">
          <cell r="C30" t="str">
            <v xml:space="preserve"> (b)  Indigenous  </v>
          </cell>
          <cell r="H30">
            <v>2.3895529411764707</v>
          </cell>
          <cell r="I30">
            <v>13.229156101843726</v>
          </cell>
          <cell r="J30">
            <v>14.212490254609305</v>
          </cell>
          <cell r="K30">
            <v>14.306747673397718</v>
          </cell>
          <cell r="L30">
            <v>14.306747673397718</v>
          </cell>
        </row>
        <row r="31">
          <cell r="B31" t="str">
            <v>iii)</v>
          </cell>
          <cell r="C31" t="str">
            <v xml:space="preserve"> Power and fuel</v>
          </cell>
          <cell r="H31">
            <v>4.6010764799999997</v>
          </cell>
          <cell r="I31">
            <v>18.284797439999998</v>
          </cell>
          <cell r="J31">
            <v>19.360373760000002</v>
          </cell>
          <cell r="K31">
            <v>19.360373760000002</v>
          </cell>
          <cell r="L31">
            <v>19.360373760000002</v>
          </cell>
        </row>
        <row r="32">
          <cell r="B32" t="str">
            <v>iv)</v>
          </cell>
          <cell r="C32" t="str">
            <v xml:space="preserve"> Direct labour</v>
          </cell>
          <cell r="H32">
            <v>9.8879999999999999</v>
          </cell>
          <cell r="I32">
            <v>29.664000000000001</v>
          </cell>
          <cell r="J32">
            <v>30.553920000000002</v>
          </cell>
          <cell r="K32">
            <v>31.4705376</v>
          </cell>
          <cell r="L32">
            <v>32.414653728000005</v>
          </cell>
        </row>
        <row r="33">
          <cell r="C33" t="str">
            <v xml:space="preserve">     (Factory wages &amp; salary)</v>
          </cell>
        </row>
        <row r="34">
          <cell r="B34" t="str">
            <v xml:space="preserve">v)   </v>
          </cell>
          <cell r="C34" t="str">
            <v>Other Expenses</v>
          </cell>
          <cell r="H34">
            <v>22.52896918927059</v>
          </cell>
          <cell r="I34">
            <v>39.162529165704655</v>
          </cell>
          <cell r="J34">
            <v>40.391696856661632</v>
          </cell>
          <cell r="K34">
            <v>40.509518630147149</v>
          </cell>
          <cell r="L34">
            <v>40.509518630147149</v>
          </cell>
        </row>
        <row r="35">
          <cell r="B35" t="str">
            <v>vi)</v>
          </cell>
          <cell r="C35" t="str">
            <v xml:space="preserve"> Depreciation</v>
          </cell>
          <cell r="H35">
            <v>32.132891569853776</v>
          </cell>
          <cell r="I35">
            <v>98.797116860686899</v>
          </cell>
          <cell r="J35">
            <v>96.209459417169768</v>
          </cell>
          <cell r="K35">
            <v>96.325449768169776</v>
          </cell>
          <cell r="L35">
            <v>97.254396357381921</v>
          </cell>
        </row>
        <row r="36">
          <cell r="B36" t="str">
            <v>vii)</v>
          </cell>
          <cell r="C36" t="str">
            <v xml:space="preserve"> SUB TOTAL (I TO VI)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315.25192061370689</v>
          </cell>
          <cell r="I36">
            <v>1086.9435247185004</v>
          </cell>
          <cell r="J36">
            <v>1140.7577433887213</v>
          </cell>
          <cell r="K36">
            <v>1142.0024305319955</v>
          </cell>
          <cell r="L36">
            <v>1143.8754932492075</v>
          </cell>
        </row>
        <row r="38">
          <cell r="B38" t="str">
            <v xml:space="preserve">viii)  </v>
          </cell>
          <cell r="C38" t="str">
            <v>ADD: Opening stocks-in-Process)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21.218879272076425</v>
          </cell>
          <cell r="J38">
            <v>24.386553439197122</v>
          </cell>
          <cell r="K38">
            <v>25.593923729875158</v>
          </cell>
          <cell r="L38">
            <v>25.621849402961438</v>
          </cell>
        </row>
        <row r="39">
          <cell r="C39" t="str">
            <v xml:space="preserve">             Sub-total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315.25192061370689</v>
          </cell>
          <cell r="I39">
            <v>1108.1624039905769</v>
          </cell>
          <cell r="J39">
            <v>1165.1442968279184</v>
          </cell>
          <cell r="K39">
            <v>1167.5963542618706</v>
          </cell>
          <cell r="L39">
            <v>1169.497342652169</v>
          </cell>
        </row>
        <row r="41">
          <cell r="C41" t="str">
            <v>Form II : Sheet 2</v>
          </cell>
          <cell r="D41">
            <v>2005</v>
          </cell>
          <cell r="E41">
            <v>2006</v>
          </cell>
          <cell r="F41">
            <v>2007</v>
          </cell>
          <cell r="G41">
            <v>2008</v>
          </cell>
          <cell r="H41">
            <v>2009</v>
          </cell>
          <cell r="I41">
            <v>2010</v>
          </cell>
          <cell r="J41">
            <v>2011</v>
          </cell>
          <cell r="K41">
            <v>2012</v>
          </cell>
          <cell r="L41">
            <v>2013</v>
          </cell>
        </row>
        <row r="42">
          <cell r="C42">
            <v>0</v>
          </cell>
          <cell r="D42" t="str">
            <v>Aud.</v>
          </cell>
          <cell r="E42" t="str">
            <v>Aud.</v>
          </cell>
          <cell r="F42" t="str">
            <v>Est.</v>
          </cell>
          <cell r="G42" t="str">
            <v>Proj.</v>
          </cell>
          <cell r="H42" t="str">
            <v>Proj.</v>
          </cell>
          <cell r="I42" t="str">
            <v>Proj.</v>
          </cell>
          <cell r="J42" t="str">
            <v>Proj.</v>
          </cell>
          <cell r="K42" t="str">
            <v>Proj.</v>
          </cell>
          <cell r="L42" t="str">
            <v>Proj.</v>
          </cell>
        </row>
        <row r="43">
          <cell r="B43" t="str">
            <v xml:space="preserve">ix) </v>
          </cell>
          <cell r="C43" t="str">
            <v xml:space="preserve"> Deduct : Closing stocks-in- </v>
          </cell>
        </row>
        <row r="44">
          <cell r="C44" t="str">
            <v xml:space="preserve">       process</v>
          </cell>
          <cell r="H44">
            <v>21.218879272076425</v>
          </cell>
          <cell r="I44">
            <v>24.386553439197122</v>
          </cell>
          <cell r="J44">
            <v>25.593923729875158</v>
          </cell>
          <cell r="K44">
            <v>25.621849402961438</v>
          </cell>
          <cell r="L44">
            <v>25.663873245975804</v>
          </cell>
        </row>
        <row r="45">
          <cell r="B45" t="str">
            <v xml:space="preserve">x)  </v>
          </cell>
          <cell r="C45" t="str">
            <v>Cost of Production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294.03304134163045</v>
          </cell>
          <cell r="I45">
            <v>1083.7758505513798</v>
          </cell>
          <cell r="J45">
            <v>1139.5503730980433</v>
          </cell>
          <cell r="K45">
            <v>1141.9745048589091</v>
          </cell>
          <cell r="L45">
            <v>1143.8334694061932</v>
          </cell>
        </row>
        <row r="46">
          <cell r="B46" t="str">
            <v xml:space="preserve">xi) </v>
          </cell>
          <cell r="C46" t="str">
            <v xml:space="preserve"> Add  :  Opening stock of</v>
          </cell>
        </row>
        <row r="47">
          <cell r="C47" t="str">
            <v xml:space="preserve">       finished goods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91.971995199655268</v>
          </cell>
          <cell r="J47">
            <v>106.42185181454482</v>
          </cell>
          <cell r="K47">
            <v>111.73812295871494</v>
          </cell>
          <cell r="L47">
            <v>111.87139923481654</v>
          </cell>
        </row>
        <row r="48">
          <cell r="C48" t="str">
            <v xml:space="preserve">             SUB-TOTAL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294.03304134163045</v>
          </cell>
          <cell r="I48">
            <v>1175.7478457510351</v>
          </cell>
          <cell r="J48">
            <v>1245.9722249125882</v>
          </cell>
          <cell r="K48">
            <v>1253.712627817624</v>
          </cell>
          <cell r="L48">
            <v>1255.7048686410099</v>
          </cell>
        </row>
        <row r="49">
          <cell r="B49" t="str">
            <v xml:space="preserve">xii) </v>
          </cell>
          <cell r="C49" t="str">
            <v>Deduct closing stock of</v>
          </cell>
        </row>
        <row r="50">
          <cell r="C50" t="str">
            <v xml:space="preserve">      finished goods</v>
          </cell>
          <cell r="H50">
            <v>91.971995199655268</v>
          </cell>
          <cell r="I50">
            <v>106.42185181454482</v>
          </cell>
          <cell r="J50">
            <v>111.73812295871494</v>
          </cell>
          <cell r="K50">
            <v>111.87139923481654</v>
          </cell>
          <cell r="L50">
            <v>112.05150141916384</v>
          </cell>
        </row>
        <row r="51">
          <cell r="B51" t="str">
            <v xml:space="preserve">xiii)    </v>
          </cell>
          <cell r="C51" t="str">
            <v xml:space="preserve"> SUB-TOTAL (Total cost of Sales)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202.06104614197517</v>
          </cell>
          <cell r="I51">
            <v>1069.3259939364902</v>
          </cell>
          <cell r="J51">
            <v>1134.2341019538733</v>
          </cell>
          <cell r="K51">
            <v>1141.8412285828074</v>
          </cell>
          <cell r="L51">
            <v>1143.6533672218461</v>
          </cell>
        </row>
        <row r="52">
          <cell r="A52">
            <v>6</v>
          </cell>
          <cell r="C52" t="str">
            <v>Selling general and administrtive</v>
          </cell>
        </row>
        <row r="53">
          <cell r="C53" t="str">
            <v>expenses</v>
          </cell>
          <cell r="H53">
            <v>3.5843294117647062</v>
          </cell>
          <cell r="I53">
            <v>19.843734152765588</v>
          </cell>
          <cell r="J53">
            <v>21.318735381913957</v>
          </cell>
          <cell r="K53">
            <v>21.460121510096577</v>
          </cell>
          <cell r="L53">
            <v>21.460121510096577</v>
          </cell>
        </row>
        <row r="54">
          <cell r="A54">
            <v>7</v>
          </cell>
          <cell r="C54" t="str">
            <v xml:space="preserve">              SUB-TOTAL  (5+6)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205.64537555373988</v>
          </cell>
          <cell r="I54">
            <v>1089.1697280892558</v>
          </cell>
          <cell r="J54">
            <v>1155.5528373357872</v>
          </cell>
          <cell r="K54">
            <v>1163.3013500929039</v>
          </cell>
          <cell r="L54">
            <v>1165.1134887319427</v>
          </cell>
        </row>
        <row r="55">
          <cell r="A55">
            <v>8</v>
          </cell>
          <cell r="C55" t="str">
            <v>Operating profit before interest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33.309918563907161</v>
          </cell>
          <cell r="I55">
            <v>233.74588209511671</v>
          </cell>
          <cell r="J55">
            <v>265.69618812514318</v>
          </cell>
          <cell r="K55">
            <v>267.3734172468678</v>
          </cell>
          <cell r="L55">
            <v>265.56127860782908</v>
          </cell>
        </row>
        <row r="56">
          <cell r="C56" t="str">
            <v>( 3-7 )</v>
          </cell>
        </row>
        <row r="57">
          <cell r="C57" t="str">
            <v>Working Capital Interest</v>
          </cell>
          <cell r="H57">
            <v>11.733333333333334</v>
          </cell>
          <cell r="I57">
            <v>47.987500000000004</v>
          </cell>
          <cell r="J57">
            <v>50.875000000000007</v>
          </cell>
          <cell r="K57">
            <v>51.012500000000003</v>
          </cell>
          <cell r="L57">
            <v>51.012500000000003</v>
          </cell>
        </row>
        <row r="58">
          <cell r="C58" t="str">
            <v>Term Loan Interest</v>
          </cell>
          <cell r="H58">
            <v>29.447916666666668</v>
          </cell>
          <cell r="I58">
            <v>82.547743055555529</v>
          </cell>
          <cell r="J58">
            <v>67.651909722222129</v>
          </cell>
          <cell r="K58">
            <v>52.7560763888888</v>
          </cell>
          <cell r="L58">
            <v>37.860243055555472</v>
          </cell>
        </row>
        <row r="59">
          <cell r="A59">
            <v>9</v>
          </cell>
          <cell r="C59" t="str">
            <v>Total Interest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41.181250000000006</v>
          </cell>
          <cell r="I59">
            <v>130.53524305555553</v>
          </cell>
          <cell r="J59">
            <v>118.52690972222214</v>
          </cell>
          <cell r="K59">
            <v>103.7685763888888</v>
          </cell>
          <cell r="L59">
            <v>88.872743055555475</v>
          </cell>
        </row>
        <row r="60">
          <cell r="A60">
            <v>10</v>
          </cell>
          <cell r="C60" t="str">
            <v>Operating profit after interest (8-9)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-7.871331436092845</v>
          </cell>
          <cell r="I60">
            <v>103.21063903956119</v>
          </cell>
          <cell r="J60">
            <v>147.16927840292104</v>
          </cell>
          <cell r="K60">
            <v>163.60484085797901</v>
          </cell>
          <cell r="L60">
            <v>176.68853555227361</v>
          </cell>
        </row>
        <row r="61">
          <cell r="A61">
            <v>11</v>
          </cell>
          <cell r="B61" t="str">
            <v xml:space="preserve">(i) </v>
          </cell>
          <cell r="C61" t="str">
            <v xml:space="preserve"> Add other non-operating income</v>
          </cell>
        </row>
        <row r="62">
          <cell r="B62" t="str">
            <v>(a)</v>
          </cell>
          <cell r="C62" t="str">
            <v>Misc. income</v>
          </cell>
        </row>
        <row r="63">
          <cell r="B63" t="str">
            <v>(b)</v>
          </cell>
          <cell r="C63" t="str">
            <v>Sale of scrap</v>
          </cell>
        </row>
        <row r="64">
          <cell r="B64" t="str">
            <v>(c)</v>
          </cell>
          <cell r="C64" t="str">
            <v>Profit on sale of machinery</v>
          </cell>
        </row>
        <row r="65">
          <cell r="B65" t="str">
            <v>(d)</v>
          </cell>
          <cell r="C65" t="str">
            <v>Agriculture income</v>
          </cell>
        </row>
        <row r="66">
          <cell r="C66" t="str">
            <v xml:space="preserve">            Sub-total   ( income )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 xml:space="preserve">(ii) </v>
          </cell>
          <cell r="C67" t="str">
            <v xml:space="preserve"> Deduct other non-operating expenses</v>
          </cell>
        </row>
        <row r="68">
          <cell r="B68" t="str">
            <v>(a)</v>
          </cell>
          <cell r="C68" t="str">
            <v xml:space="preserve"> P&amp;P expense inncluding </v>
          </cell>
          <cell r="G68">
            <v>0</v>
          </cell>
          <cell r="H68">
            <v>4.1670835096000003</v>
          </cell>
          <cell r="I68">
            <v>4.1670835096000003</v>
          </cell>
          <cell r="J68">
            <v>4.1670835096000003</v>
          </cell>
          <cell r="K68">
            <v>4.1670835096000003</v>
          </cell>
          <cell r="L68">
            <v>4.1670835096000003</v>
          </cell>
        </row>
        <row r="69">
          <cell r="C69" t="str">
            <v xml:space="preserve">      all book entries written off</v>
          </cell>
        </row>
        <row r="70">
          <cell r="B70" t="str">
            <v>(b)</v>
          </cell>
          <cell r="C70" t="str">
            <v>Loss on sale of assets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(c)</v>
          </cell>
          <cell r="C71" t="str">
            <v>Others</v>
          </cell>
        </row>
        <row r="72">
          <cell r="B72" t="str">
            <v>(d)</v>
          </cell>
          <cell r="D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 xml:space="preserve">           Sub-total ( expenses )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4.1670835096000003</v>
          </cell>
          <cell r="I73">
            <v>4.1670835096000003</v>
          </cell>
          <cell r="J73">
            <v>4.1670835096000003</v>
          </cell>
          <cell r="K73">
            <v>4.1670835096000003</v>
          </cell>
          <cell r="L73">
            <v>4.1670835096000003</v>
          </cell>
        </row>
        <row r="74">
          <cell r="B74" t="str">
            <v>(iii)</v>
          </cell>
          <cell r="C74" t="str">
            <v xml:space="preserve"> Net of other non-operating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-4.1670835096000003</v>
          </cell>
          <cell r="I74">
            <v>-4.1670835096000003</v>
          </cell>
          <cell r="J74">
            <v>-4.1670835096000003</v>
          </cell>
          <cell r="K74">
            <v>-4.1670835096000003</v>
          </cell>
          <cell r="L74">
            <v>-4.1670835096000003</v>
          </cell>
        </row>
        <row r="75">
          <cell r="C75" t="str">
            <v xml:space="preserve">      income/expenses</v>
          </cell>
        </row>
        <row r="76">
          <cell r="A76">
            <v>12</v>
          </cell>
          <cell r="C76" t="str">
            <v xml:space="preserve"> Profit before tax/loss[10+11(iii)]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-12.038414945692846</v>
          </cell>
          <cell r="I76">
            <v>99.043555529961182</v>
          </cell>
          <cell r="J76">
            <v>143.00219489332105</v>
          </cell>
          <cell r="K76">
            <v>159.43775734837902</v>
          </cell>
          <cell r="L76">
            <v>172.52145204267362</v>
          </cell>
        </row>
        <row r="77">
          <cell r="A77">
            <v>13</v>
          </cell>
          <cell r="C77" t="str">
            <v xml:space="preserve"> Provision for taxes</v>
          </cell>
          <cell r="H77">
            <v>2.7488347631551062</v>
          </cell>
          <cell r="I77">
            <v>21.523526330151107</v>
          </cell>
          <cell r="J77">
            <v>27.574810995016275</v>
          </cell>
          <cell r="K77">
            <v>35.052288799519914</v>
          </cell>
          <cell r="L77">
            <v>42.35430464757416</v>
          </cell>
        </row>
        <row r="78">
          <cell r="A78">
            <v>14</v>
          </cell>
          <cell r="C78" t="str">
            <v>Prior Years Adjustment(if any)#</v>
          </cell>
        </row>
        <row r="79">
          <cell r="A79">
            <v>15</v>
          </cell>
          <cell r="C79" t="str">
            <v>Net profit/loss for the year ( 12-13 )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-14.787249708847952</v>
          </cell>
          <cell r="I79">
            <v>77.520029199810068</v>
          </cell>
          <cell r="J79">
            <v>115.42738389830477</v>
          </cell>
          <cell r="K79">
            <v>124.38546854885911</v>
          </cell>
          <cell r="L79">
            <v>130.16714739509945</v>
          </cell>
        </row>
        <row r="80">
          <cell r="A80">
            <v>16</v>
          </cell>
          <cell r="C80" t="str">
            <v>(a) Equity dividend paid-amt</v>
          </cell>
        </row>
        <row r="81">
          <cell r="C81" t="str">
            <v xml:space="preserve"> (Already paid+ B.S. provision)</v>
          </cell>
        </row>
        <row r="82">
          <cell r="C82" t="str">
            <v>(b) Dividend Tax Including Surcharge</v>
          </cell>
        </row>
        <row r="83">
          <cell r="C83" t="str">
            <v>(c) Dividend  Rate</v>
          </cell>
        </row>
        <row r="84">
          <cell r="C84" t="str">
            <v>(d) Transfer to DTL</v>
          </cell>
        </row>
        <row r="85">
          <cell r="A85">
            <v>17</v>
          </cell>
          <cell r="C85" t="str">
            <v>Retained profit  ( 14-15 )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-14.787249708847952</v>
          </cell>
          <cell r="I85">
            <v>77.520029199810068</v>
          </cell>
          <cell r="J85">
            <v>115.42738389830477</v>
          </cell>
          <cell r="K85">
            <v>124.38546854885911</v>
          </cell>
          <cell r="L85">
            <v>130.16714739509945</v>
          </cell>
        </row>
        <row r="86">
          <cell r="A86">
            <v>18</v>
          </cell>
          <cell r="C86" t="str">
            <v>Retained profit/Net profit (% age)</v>
          </cell>
          <cell r="D86" t="e">
            <v>#DIV/0!</v>
          </cell>
          <cell r="E86" t="e">
            <v>#DIV/0!</v>
          </cell>
          <cell r="F86" t="e">
            <v>#DIV/0!</v>
          </cell>
          <cell r="G86" t="e">
            <v>#DIV/0!</v>
          </cell>
          <cell r="H86">
            <v>100</v>
          </cell>
          <cell r="I86">
            <v>100</v>
          </cell>
          <cell r="J86">
            <v>100</v>
          </cell>
          <cell r="K86">
            <v>100</v>
          </cell>
          <cell r="L86">
            <v>100</v>
          </cell>
        </row>
        <row r="88">
          <cell r="C88" t="str">
            <v># (-)ve for expense/provisions and (+) ve for gains</v>
          </cell>
        </row>
      </sheetData>
      <sheetData sheetId="18" refreshError="1">
        <row r="3">
          <cell r="B3" t="str">
            <v>LIABILITIES    STATEMENT</v>
          </cell>
        </row>
        <row r="4">
          <cell r="F4" t="str">
            <v>FORM III</v>
          </cell>
        </row>
        <row r="5">
          <cell r="B5" t="str">
            <v>Sheet 1                                    AS PER BALANCE SHEET AS AT 31st MARCH</v>
          </cell>
        </row>
        <row r="6">
          <cell r="B6">
            <v>0</v>
          </cell>
        </row>
        <row r="7">
          <cell r="B7" t="str">
            <v/>
          </cell>
          <cell r="F7" t="str">
            <v xml:space="preserve">        Rs in</v>
          </cell>
          <cell r="G7" t="str">
            <v>Rs. Lakhs</v>
          </cell>
        </row>
        <row r="8">
          <cell r="A8" t="str">
            <v>Sl.</v>
          </cell>
          <cell r="B8" t="str">
            <v xml:space="preserve">LIABILITIES    </v>
          </cell>
          <cell r="C8">
            <v>2005</v>
          </cell>
          <cell r="D8">
            <v>2006</v>
          </cell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  <cell r="K8">
            <v>2013</v>
          </cell>
        </row>
        <row r="9">
          <cell r="A9" t="str">
            <v>No.</v>
          </cell>
          <cell r="C9" t="str">
            <v>Aud.</v>
          </cell>
          <cell r="D9" t="str">
            <v>Aud.</v>
          </cell>
          <cell r="E9" t="str">
            <v>Est.</v>
          </cell>
          <cell r="F9" t="str">
            <v>Proj.</v>
          </cell>
          <cell r="G9" t="str">
            <v>Proj.</v>
          </cell>
          <cell r="H9" t="str">
            <v>Proj.</v>
          </cell>
          <cell r="I9" t="str">
            <v>Proj.</v>
          </cell>
          <cell r="J9" t="str">
            <v>Proj.</v>
          </cell>
          <cell r="K9" t="str">
            <v>Proj.</v>
          </cell>
        </row>
        <row r="10">
          <cell r="B10" t="str">
            <v>CURRENT LIABILITIES</v>
          </cell>
          <cell r="C10" t="str">
            <v>I</v>
          </cell>
          <cell r="D10" t="str">
            <v>II</v>
          </cell>
          <cell r="E10" t="str">
            <v>III</v>
          </cell>
          <cell r="F10" t="str">
            <v>IV</v>
          </cell>
          <cell r="G10" t="str">
            <v>I</v>
          </cell>
          <cell r="H10" t="str">
            <v>II</v>
          </cell>
          <cell r="I10" t="str">
            <v>III</v>
          </cell>
          <cell r="J10" t="str">
            <v>IV</v>
          </cell>
          <cell r="K10" t="str">
            <v>V</v>
          </cell>
        </row>
        <row r="11">
          <cell r="A11">
            <v>1</v>
          </cell>
          <cell r="B11" t="str">
            <v xml:space="preserve"> Short-term borrowings from </v>
          </cell>
        </row>
        <row r="12">
          <cell r="B12" t="str">
            <v>banks(including bills purchased,</v>
          </cell>
        </row>
        <row r="13">
          <cell r="B13" t="str">
            <v>discounted &amp; excess borrowing</v>
          </cell>
        </row>
        <row r="14">
          <cell r="B14" t="str">
            <v>placed on repayment basis)</v>
          </cell>
        </row>
        <row r="15">
          <cell r="B15" t="str">
            <v>(i.)  From applicant banks</v>
          </cell>
          <cell r="C15">
            <v>0</v>
          </cell>
          <cell r="G15">
            <v>256</v>
          </cell>
          <cell r="H15">
            <v>349</v>
          </cell>
          <cell r="I15">
            <v>370</v>
          </cell>
          <cell r="J15">
            <v>371</v>
          </cell>
          <cell r="K15">
            <v>371</v>
          </cell>
        </row>
        <row r="16">
          <cell r="B16" t="str">
            <v>(ii.) From other banks</v>
          </cell>
        </row>
        <row r="17">
          <cell r="B17" t="str">
            <v xml:space="preserve">(iii) Of which BP &amp; BD </v>
          </cell>
        </row>
        <row r="18">
          <cell r="B18" t="str">
            <v xml:space="preserve">          SUB TOTAL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256</v>
          </cell>
          <cell r="H18">
            <v>349</v>
          </cell>
          <cell r="I18">
            <v>370</v>
          </cell>
          <cell r="J18">
            <v>371</v>
          </cell>
          <cell r="K18">
            <v>371</v>
          </cell>
        </row>
        <row r="19">
          <cell r="A19">
            <v>2</v>
          </cell>
          <cell r="B19" t="str">
            <v>Short term borrowings from others</v>
          </cell>
        </row>
        <row r="20">
          <cell r="A20">
            <v>3</v>
          </cell>
          <cell r="B20" t="str">
            <v>Sundry Creditors (Trade)</v>
          </cell>
          <cell r="G20">
            <v>16.403653971479255</v>
          </cell>
          <cell r="H20">
            <v>19.918722679653381</v>
          </cell>
          <cell r="I20">
            <v>21.090412249044764</v>
          </cell>
          <cell r="J20">
            <v>21.090412249044764</v>
          </cell>
          <cell r="K20">
            <v>21.090412249044764</v>
          </cell>
        </row>
        <row r="21">
          <cell r="A21">
            <v>4</v>
          </cell>
          <cell r="B21" t="str">
            <v>Advance payments from custo-</v>
          </cell>
        </row>
        <row r="22">
          <cell r="B22" t="str">
            <v>mers/deposits from dealers</v>
          </cell>
        </row>
        <row r="23">
          <cell r="A23">
            <v>5</v>
          </cell>
          <cell r="B23" t="str">
            <v>Provision for taxes</v>
          </cell>
          <cell r="E23">
            <v>0</v>
          </cell>
          <cell r="F23">
            <v>0</v>
          </cell>
          <cell r="G23">
            <v>2.7488347631551062</v>
          </cell>
          <cell r="H23">
            <v>21.523526330151107</v>
          </cell>
          <cell r="I23">
            <v>27.574810995016275</v>
          </cell>
          <cell r="J23">
            <v>35.052288799519914</v>
          </cell>
          <cell r="K23">
            <v>42.35430464757416</v>
          </cell>
        </row>
        <row r="24">
          <cell r="A24">
            <v>6</v>
          </cell>
          <cell r="B24" t="str">
            <v>Dividend payable</v>
          </cell>
        </row>
        <row r="25">
          <cell r="A25">
            <v>7</v>
          </cell>
          <cell r="B25" t="str">
            <v>Other statutory liabilities</v>
          </cell>
        </row>
        <row r="26">
          <cell r="B26" t="str">
            <v xml:space="preserve">(due within one year) </v>
          </cell>
        </row>
        <row r="27">
          <cell r="A27">
            <v>8</v>
          </cell>
          <cell r="B27" t="str">
            <v>Deposits/instalments of TL</v>
          </cell>
          <cell r="G27">
            <v>108.33333333333331</v>
          </cell>
          <cell r="H27">
            <v>108.33333333333331</v>
          </cell>
          <cell r="I27">
            <v>108.33333333333331</v>
          </cell>
          <cell r="J27">
            <v>108.33333333333331</v>
          </cell>
          <cell r="K27">
            <v>108.33333333333331</v>
          </cell>
        </row>
        <row r="28">
          <cell r="B28" t="str">
            <v>lDPGs/Debentures,etc.due &lt;12m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IFST Loan   &lt; 12 m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9</v>
          </cell>
          <cell r="B30" t="str">
            <v>Other current liabilities &amp;</v>
          </cell>
        </row>
        <row r="31">
          <cell r="B31" t="str">
            <v>provisions(due within 1 Yr)</v>
          </cell>
        </row>
        <row r="32">
          <cell r="B32" t="str">
            <v>Other current liabilities</v>
          </cell>
          <cell r="G32">
            <v>1.2897578406663521</v>
          </cell>
          <cell r="H32">
            <v>3.6055265058094199</v>
          </cell>
          <cell r="I32">
            <v>3.7751164875955441</v>
          </cell>
          <cell r="J32">
            <v>3.8132189752092427</v>
          </cell>
          <cell r="K32">
            <v>3.8415424590492395</v>
          </cell>
        </row>
        <row r="33">
          <cell r="B33" t="str">
            <v>Creditors for capital goods</v>
          </cell>
        </row>
        <row r="34">
          <cell r="B34" t="str">
            <v>Liability for Expenses</v>
          </cell>
        </row>
        <row r="35">
          <cell r="B35" t="str">
            <v>Liabilities for other Expenses</v>
          </cell>
        </row>
        <row r="36">
          <cell r="B36" t="str">
            <v>Liability for Capital Goods</v>
          </cell>
        </row>
        <row r="37">
          <cell r="B37" t="str">
            <v>Expenses Payable</v>
          </cell>
        </row>
        <row r="38">
          <cell r="B38" t="str">
            <v xml:space="preserve">    SUB-TOTAL (B)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128.77557990863403</v>
          </cell>
          <cell r="H38">
            <v>153.38110884894721</v>
          </cell>
          <cell r="I38">
            <v>160.77367306498991</v>
          </cell>
          <cell r="J38">
            <v>168.28925335710724</v>
          </cell>
          <cell r="K38">
            <v>175.61959268900148</v>
          </cell>
        </row>
        <row r="39">
          <cell r="B39" t="str">
            <v>TOTAL CURRENT LIABILITIES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384.77557990863403</v>
          </cell>
          <cell r="H39">
            <v>502.38110884894718</v>
          </cell>
          <cell r="I39">
            <v>530.77367306498991</v>
          </cell>
          <cell r="J39">
            <v>539.28925335710721</v>
          </cell>
          <cell r="K39">
            <v>546.61959268900148</v>
          </cell>
        </row>
        <row r="40">
          <cell r="B40" t="str">
            <v xml:space="preserve">           TERM    LIABILITIES</v>
          </cell>
          <cell r="F40" t="str">
            <v>As on 31st March</v>
          </cell>
        </row>
        <row r="41">
          <cell r="A41">
            <v>11</v>
          </cell>
          <cell r="B41" t="str">
            <v>Debentures (not maturing</v>
          </cell>
        </row>
        <row r="42">
          <cell r="B42" t="str">
            <v>within one year)</v>
          </cell>
        </row>
        <row r="43">
          <cell r="A43">
            <v>12</v>
          </cell>
          <cell r="B43" t="str">
            <v>Preference shares</v>
          </cell>
        </row>
        <row r="44">
          <cell r="B44" t="str">
            <v xml:space="preserve">  (redeemable after one year)</v>
          </cell>
        </row>
        <row r="45">
          <cell r="A45">
            <v>13</v>
          </cell>
          <cell r="B45" t="str">
            <v>Term loans(excluding instalment)</v>
          </cell>
          <cell r="C45">
            <v>0</v>
          </cell>
          <cell r="G45">
            <v>541.66666666666674</v>
          </cell>
          <cell r="H45">
            <v>433.33333333333275</v>
          </cell>
          <cell r="I45">
            <v>324.99999999999932</v>
          </cell>
          <cell r="J45">
            <v>216.66666666666606</v>
          </cell>
          <cell r="K45">
            <v>108.3333333333328</v>
          </cell>
        </row>
        <row r="46">
          <cell r="B46" t="str">
            <v>payable within one year)</v>
          </cell>
        </row>
        <row r="47">
          <cell r="A47">
            <v>14</v>
          </cell>
          <cell r="B47" t="str">
            <v>Sales Tax Deferred Credits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(excluding instalments due</v>
          </cell>
        </row>
        <row r="49">
          <cell r="B49" t="str">
            <v>within one year)</v>
          </cell>
        </row>
        <row r="50">
          <cell r="A50">
            <v>15</v>
          </cell>
          <cell r="B50" t="str">
            <v>Hire Purchase Loan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Creditors for capital goods</v>
          </cell>
        </row>
        <row r="52">
          <cell r="A52">
            <v>16</v>
          </cell>
          <cell r="B52" t="str">
            <v xml:space="preserve">Other Term Liabilities </v>
          </cell>
        </row>
        <row r="53">
          <cell r="B53" t="str">
            <v>Unsecure Loans from Directors/frds</v>
          </cell>
          <cell r="G53">
            <v>284.47513522807049</v>
          </cell>
          <cell r="H53">
            <v>284.47513522807049</v>
          </cell>
          <cell r="I53">
            <v>284.47513522807049</v>
          </cell>
          <cell r="J53">
            <v>284.47513522807049</v>
          </cell>
          <cell r="K53">
            <v>284.47513522807049</v>
          </cell>
        </row>
        <row r="54">
          <cell r="A54">
            <v>17</v>
          </cell>
          <cell r="B54" t="str">
            <v>TOTAL TERM LIABILITIES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826.14180189473723</v>
          </cell>
          <cell r="H54">
            <v>717.80846856140329</v>
          </cell>
          <cell r="I54">
            <v>609.4751352280698</v>
          </cell>
          <cell r="J54">
            <v>501.14180189473655</v>
          </cell>
          <cell r="K54">
            <v>392.80846856140329</v>
          </cell>
        </row>
        <row r="55">
          <cell r="A55">
            <v>18</v>
          </cell>
          <cell r="B55" t="str">
            <v xml:space="preserve">TOTAL OUTSIDE LIABILITIES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1210.9173818033712</v>
          </cell>
          <cell r="H55">
            <v>1220.1895774103505</v>
          </cell>
          <cell r="I55">
            <v>1140.2488082930597</v>
          </cell>
          <cell r="J55">
            <v>1040.4310552518436</v>
          </cell>
          <cell r="K55">
            <v>939.42806125040477</v>
          </cell>
        </row>
        <row r="56">
          <cell r="B56" t="str">
            <v xml:space="preserve">           NET WORTH</v>
          </cell>
        </row>
        <row r="57">
          <cell r="A57">
            <v>19</v>
          </cell>
          <cell r="B57" t="str">
            <v>Ordinary share capital</v>
          </cell>
          <cell r="G57">
            <v>400</v>
          </cell>
          <cell r="H57">
            <v>400</v>
          </cell>
          <cell r="I57">
            <v>400</v>
          </cell>
          <cell r="J57">
            <v>400</v>
          </cell>
          <cell r="K57">
            <v>400</v>
          </cell>
        </row>
        <row r="58">
          <cell r="A58">
            <v>20</v>
          </cell>
          <cell r="B58" t="str">
            <v>Capital reserve</v>
          </cell>
        </row>
        <row r="59">
          <cell r="A59">
            <v>21</v>
          </cell>
          <cell r="B59" t="str">
            <v>General reserve</v>
          </cell>
        </row>
        <row r="60">
          <cell r="A60">
            <v>22</v>
          </cell>
          <cell r="B60" t="str">
            <v>Revaluation Reserve</v>
          </cell>
        </row>
        <row r="61">
          <cell r="A61">
            <v>23</v>
          </cell>
          <cell r="B61" t="str">
            <v>Investment Allowance Reserve</v>
          </cell>
        </row>
        <row r="62">
          <cell r="B62" t="str">
            <v>Share Premium</v>
          </cell>
        </row>
        <row r="63">
          <cell r="A63">
            <v>24</v>
          </cell>
          <cell r="B63" t="str">
            <v>Surplus (+) or deficit (-) in</v>
          </cell>
          <cell r="G63">
            <v>-14.787249708847952</v>
          </cell>
          <cell r="H63">
            <v>62.732779490962116</v>
          </cell>
          <cell r="I63">
            <v>178.16016338926687</v>
          </cell>
          <cell r="J63">
            <v>302.54563193812601</v>
          </cell>
          <cell r="K63">
            <v>432.71277933322546</v>
          </cell>
        </row>
        <row r="64">
          <cell r="A64" t="str">
            <v/>
          </cell>
          <cell r="B64" t="str">
            <v>Profit &amp; Loss Account</v>
          </cell>
        </row>
        <row r="65">
          <cell r="A65" t="str">
            <v>24a</v>
          </cell>
          <cell r="B65" t="str">
            <v>Deffered Tax Liability (DTL)</v>
          </cell>
        </row>
        <row r="70">
          <cell r="A70">
            <v>25</v>
          </cell>
          <cell r="B70" t="str">
            <v>NET WORTH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385.21275029115202</v>
          </cell>
          <cell r="H70">
            <v>462.73277949096212</v>
          </cell>
          <cell r="I70">
            <v>578.16016338926693</v>
          </cell>
          <cell r="J70">
            <v>702.54563193812601</v>
          </cell>
          <cell r="K70">
            <v>832.7127793332254</v>
          </cell>
        </row>
        <row r="71">
          <cell r="A71">
            <v>26</v>
          </cell>
          <cell r="B71" t="str">
            <v>TOTAL LIABILITIES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1596.1301320945231</v>
          </cell>
          <cell r="H71">
            <v>1682.9223569013125</v>
          </cell>
          <cell r="I71">
            <v>1718.4089716823266</v>
          </cell>
          <cell r="J71">
            <v>1742.9766871899697</v>
          </cell>
          <cell r="K71">
            <v>1772.1408405836301</v>
          </cell>
        </row>
      </sheetData>
      <sheetData sheetId="19" refreshError="1">
        <row r="2">
          <cell r="F2" t="str">
            <v>FORM III</v>
          </cell>
        </row>
        <row r="3">
          <cell r="B3" t="str">
            <v xml:space="preserve">  Sheet 3                                  AS PER  BALANCE SHEET  AS AT : 31st MARCH</v>
          </cell>
        </row>
        <row r="4">
          <cell r="B4">
            <v>0</v>
          </cell>
        </row>
        <row r="5">
          <cell r="B5" t="str">
            <v/>
          </cell>
          <cell r="F5" t="str">
            <v xml:space="preserve">      Rs. in</v>
          </cell>
          <cell r="G5" t="str">
            <v>Rs. Lakhs</v>
          </cell>
        </row>
        <row r="6">
          <cell r="A6" t="str">
            <v>Sl.</v>
          </cell>
          <cell r="B6" t="str">
            <v>ASSETS</v>
          </cell>
          <cell r="C6">
            <v>2005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I6">
            <v>2011</v>
          </cell>
          <cell r="J6">
            <v>2012</v>
          </cell>
          <cell r="K6">
            <v>2013</v>
          </cell>
        </row>
        <row r="7">
          <cell r="A7" t="str">
            <v>No.</v>
          </cell>
          <cell r="C7" t="str">
            <v>Aud.</v>
          </cell>
          <cell r="D7" t="str">
            <v>Aud.</v>
          </cell>
          <cell r="E7" t="str">
            <v>Est.</v>
          </cell>
          <cell r="F7" t="str">
            <v>Proj.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</row>
        <row r="8">
          <cell r="C8" t="str">
            <v>I</v>
          </cell>
          <cell r="D8" t="str">
            <v>II</v>
          </cell>
          <cell r="E8" t="str">
            <v>III</v>
          </cell>
          <cell r="F8" t="str">
            <v>IV</v>
          </cell>
          <cell r="G8" t="str">
            <v>I</v>
          </cell>
          <cell r="H8" t="str">
            <v>II</v>
          </cell>
          <cell r="I8" t="str">
            <v>III</v>
          </cell>
          <cell r="J8" t="str">
            <v>IV</v>
          </cell>
          <cell r="K8" t="str">
            <v>V</v>
          </cell>
        </row>
        <row r="9">
          <cell r="A9">
            <v>26</v>
          </cell>
          <cell r="B9" t="str">
            <v>Cash and bank balances</v>
          </cell>
          <cell r="G9">
            <v>15.261560133760884</v>
          </cell>
          <cell r="H9">
            <v>16.155769010364679</v>
          </cell>
          <cell r="I9">
            <v>56.850008237167188</v>
          </cell>
          <cell r="J9">
            <v>85.51655485301788</v>
          </cell>
          <cell r="K9">
            <v>110.86895578493053</v>
          </cell>
        </row>
        <row r="10">
          <cell r="B10" t="str">
            <v xml:space="preserve"> Fixed Deposits with Banks  </v>
          </cell>
        </row>
        <row r="11">
          <cell r="A11">
            <v>28</v>
          </cell>
          <cell r="B11" t="str">
            <v xml:space="preserve"> (i)  Receivables other than </v>
          </cell>
          <cell r="G11">
            <v>80.417647058823519</v>
          </cell>
          <cell r="H11">
            <v>148.40399473222126</v>
          </cell>
          <cell r="I11">
            <v>159.43498683055307</v>
          </cell>
          <cell r="J11">
            <v>160.49236172080774</v>
          </cell>
          <cell r="K11">
            <v>160.49236172080774</v>
          </cell>
        </row>
        <row r="12">
          <cell r="B12" t="str">
            <v xml:space="preserve">      deferred &amp; exports (include </v>
          </cell>
        </row>
        <row r="13">
          <cell r="B13" t="str">
            <v xml:space="preserve">      bills purchased and </v>
          </cell>
        </row>
        <row r="14">
          <cell r="B14" t="str">
            <v xml:space="preserve">      discounted by Banks)</v>
          </cell>
        </row>
        <row r="15">
          <cell r="B15" t="str">
            <v>(ii)  Export receivables(include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 xml:space="preserve">      bills purchased and </v>
          </cell>
        </row>
        <row r="17">
          <cell r="B17" t="str">
            <v xml:space="preserve">      discounted by banks) </v>
          </cell>
        </row>
        <row r="18">
          <cell r="A18">
            <v>29</v>
          </cell>
          <cell r="B18" t="str">
            <v xml:space="preserve">Instalments of deferred </v>
          </cell>
          <cell r="C18">
            <v>0</v>
          </cell>
          <cell r="D18">
            <v>0</v>
          </cell>
          <cell r="E18">
            <v>0</v>
          </cell>
        </row>
        <row r="19">
          <cell r="B19" t="str">
            <v>receivables(due with in one yr.)</v>
          </cell>
        </row>
        <row r="20">
          <cell r="A20">
            <v>30</v>
          </cell>
          <cell r="B20" t="str">
            <v>Inventory: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262.06515221046152</v>
          </cell>
          <cell r="H20">
            <v>316.80472482322796</v>
          </cell>
          <cell r="I20">
            <v>334.50603604011638</v>
          </cell>
          <cell r="J20">
            <v>334.7759965494447</v>
          </cell>
          <cell r="K20">
            <v>334.9981225768064</v>
          </cell>
        </row>
        <row r="21">
          <cell r="B21" t="str">
            <v>(i)Raw materials(including stores</v>
          </cell>
        </row>
        <row r="22">
          <cell r="B22" t="str">
            <v xml:space="preserve">&amp; other items used in the </v>
          </cell>
        </row>
        <row r="23">
          <cell r="B23" t="str">
            <v xml:space="preserve">   process of manufacture)</v>
          </cell>
        </row>
        <row r="24">
          <cell r="B24" t="str">
            <v xml:space="preserve">     (a) Imported</v>
          </cell>
        </row>
        <row r="25">
          <cell r="B25" t="str">
            <v xml:space="preserve">     (b) Indigenous</v>
          </cell>
          <cell r="G25">
            <v>140.60274832696507</v>
          </cell>
          <cell r="H25">
            <v>170.73190868274327</v>
          </cell>
          <cell r="I25">
            <v>180.77496213466938</v>
          </cell>
          <cell r="J25">
            <v>180.77496213466938</v>
          </cell>
          <cell r="K25">
            <v>180.77496213466938</v>
          </cell>
        </row>
        <row r="26">
          <cell r="B26" t="str">
            <v xml:space="preserve">(ii) Stock-In-Process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21.218879272076425</v>
          </cell>
          <cell r="H26">
            <v>24.386553439197122</v>
          </cell>
          <cell r="I26">
            <v>25.593923729875158</v>
          </cell>
          <cell r="J26">
            <v>25.621849402961438</v>
          </cell>
          <cell r="K26">
            <v>25.663873245975804</v>
          </cell>
        </row>
        <row r="27">
          <cell r="B27" t="str">
            <v>(iii) Finished goods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91.971995199655268</v>
          </cell>
          <cell r="H27">
            <v>106.42185181454482</v>
          </cell>
          <cell r="I27">
            <v>111.73812295871494</v>
          </cell>
          <cell r="J27">
            <v>111.87139923481654</v>
          </cell>
          <cell r="K27">
            <v>112.05150141916384</v>
          </cell>
        </row>
        <row r="28">
          <cell r="B28" t="str">
            <v>(iv) Other Consumable Spares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8.2715294117647069</v>
          </cell>
          <cell r="H28">
            <v>15.264410886742761</v>
          </cell>
          <cell r="I28">
            <v>16.39902721685689</v>
          </cell>
          <cell r="J28">
            <v>16.507785776997366</v>
          </cell>
          <cell r="K28">
            <v>16.507785776997366</v>
          </cell>
        </row>
        <row r="29">
          <cell r="B29" t="str">
            <v xml:space="preserve">        (a) Imported</v>
          </cell>
        </row>
        <row r="30">
          <cell r="B30" t="str">
            <v xml:space="preserve">        (b) Indigenous</v>
          </cell>
          <cell r="G30">
            <v>8.2715294117647069</v>
          </cell>
          <cell r="H30">
            <v>15.264410886742761</v>
          </cell>
          <cell r="I30">
            <v>16.39902721685689</v>
          </cell>
          <cell r="J30">
            <v>16.507785776997366</v>
          </cell>
          <cell r="K30">
            <v>16.507785776997366</v>
          </cell>
        </row>
        <row r="31">
          <cell r="A31">
            <v>31</v>
          </cell>
          <cell r="B31" t="str">
            <v>Advance to suppliers of raw</v>
          </cell>
        </row>
        <row r="32">
          <cell r="B32" t="str">
            <v>materials &amp; stores and spares</v>
          </cell>
        </row>
        <row r="33">
          <cell r="A33">
            <v>32</v>
          </cell>
          <cell r="B33" t="str">
            <v>Advance payment of taxes</v>
          </cell>
        </row>
        <row r="34">
          <cell r="A34">
            <v>33</v>
          </cell>
          <cell r="B34" t="str">
            <v xml:space="preserve">Other Current assets </v>
          </cell>
        </row>
        <row r="35">
          <cell r="B35" t="str">
            <v>I) Advances to workers</v>
          </cell>
        </row>
        <row r="36">
          <cell r="B36" t="str">
            <v>ii) Pre-Paid Expenses</v>
          </cell>
        </row>
        <row r="37">
          <cell r="B37" t="str">
            <v>iii) Interest Receivable</v>
          </cell>
        </row>
        <row r="38">
          <cell r="B38" t="str">
            <v xml:space="preserve">iv) Other Current assets </v>
          </cell>
          <cell r="G38">
            <v>17.124139963464252</v>
          </cell>
          <cell r="H38">
            <v>23.26043597777246</v>
          </cell>
          <cell r="I38">
            <v>24.697051143533475</v>
          </cell>
          <cell r="J38">
            <v>24.763417913512622</v>
          </cell>
          <cell r="K38">
            <v>24.774524214880707</v>
          </cell>
        </row>
        <row r="39">
          <cell r="B39" t="str">
            <v>v) TUF concession Receivable</v>
          </cell>
        </row>
        <row r="40">
          <cell r="B40" t="str">
            <v>(Specify major items)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17.124139963464252</v>
          </cell>
          <cell r="H40">
            <v>23.26043597777246</v>
          </cell>
          <cell r="I40">
            <v>24.697051143533475</v>
          </cell>
          <cell r="J40">
            <v>24.763417913512622</v>
          </cell>
          <cell r="K40">
            <v>24.774524214880707</v>
          </cell>
        </row>
        <row r="45">
          <cell r="A45">
            <v>34</v>
          </cell>
          <cell r="B45" t="str">
            <v>TOTAL CURRENT ASSETS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374.86849936651015</v>
          </cell>
          <cell r="H45">
            <v>504.6249245435863</v>
          </cell>
          <cell r="I45">
            <v>575.4880822513702</v>
          </cell>
          <cell r="J45">
            <v>605.548331036783</v>
          </cell>
          <cell r="K45">
            <v>631.13396429742534</v>
          </cell>
        </row>
        <row r="46">
          <cell r="B46" t="str">
            <v xml:space="preserve">        FIXED ASSETS</v>
          </cell>
        </row>
        <row r="47">
          <cell r="A47">
            <v>35</v>
          </cell>
          <cell r="B47" t="str">
            <v>Gross Block(Land &amp; Building</v>
          </cell>
          <cell r="G47">
            <v>1215.2249397306668</v>
          </cell>
          <cell r="H47">
            <v>1275.2249397306668</v>
          </cell>
          <cell r="I47">
            <v>1340.2249397306668</v>
          </cell>
          <cell r="J47">
            <v>1435.2249397306668</v>
          </cell>
          <cell r="K47">
            <v>1540.2249397306668</v>
          </cell>
        </row>
        <row r="48">
          <cell r="B48" t="str">
            <v>machinery, work-in-process)</v>
          </cell>
        </row>
        <row r="49">
          <cell r="A49">
            <v>36</v>
          </cell>
          <cell r="B49" t="str">
            <v>Depreciation to date</v>
          </cell>
          <cell r="D49">
            <v>0</v>
          </cell>
          <cell r="E49">
            <v>0</v>
          </cell>
          <cell r="F49">
            <v>0</v>
          </cell>
          <cell r="G49">
            <v>32.132891569853776</v>
          </cell>
          <cell r="H49">
            <v>130.93000843054068</v>
          </cell>
          <cell r="I49">
            <v>227.13946784771045</v>
          </cell>
          <cell r="J49">
            <v>323.46491761588021</v>
          </cell>
          <cell r="K49">
            <v>420.71931397326216</v>
          </cell>
        </row>
        <row r="50">
          <cell r="A50">
            <v>37</v>
          </cell>
          <cell r="B50" t="str">
            <v>NET BLOCK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1183.092048160813</v>
          </cell>
          <cell r="H50">
            <v>1144.2949313001261</v>
          </cell>
          <cell r="I50">
            <v>1113.0854718829564</v>
          </cell>
          <cell r="J50">
            <v>1111.7600221147866</v>
          </cell>
          <cell r="K50">
            <v>1119.5056257574047</v>
          </cell>
        </row>
        <row r="51">
          <cell r="B51" t="str">
            <v>OTHER NON-CURRENT ASSETS</v>
          </cell>
        </row>
        <row r="52">
          <cell r="A52">
            <v>38</v>
          </cell>
          <cell r="B52" t="str">
            <v>Investment/bookdebts/advances/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9</v>
          </cell>
          <cell r="H52">
            <v>9</v>
          </cell>
          <cell r="I52">
            <v>9</v>
          </cell>
          <cell r="J52">
            <v>9</v>
          </cell>
          <cell r="K52">
            <v>9</v>
          </cell>
        </row>
        <row r="53">
          <cell r="B53" t="str">
            <v>deposits which are not current</v>
          </cell>
        </row>
        <row r="54">
          <cell r="B54" t="str">
            <v>assets</v>
          </cell>
        </row>
        <row r="55">
          <cell r="B55" t="str">
            <v>(i)  a) Investment in subsidiary</v>
          </cell>
        </row>
        <row r="56">
          <cell r="B56" t="str">
            <v xml:space="preserve">         Co./affiliates</v>
          </cell>
        </row>
        <row r="57">
          <cell r="B57" t="str">
            <v xml:space="preserve">     b) Other Investments</v>
          </cell>
        </row>
        <row r="58">
          <cell r="B58" t="str">
            <v xml:space="preserve">(ii) Advances to suppliers of 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 xml:space="preserve">     capital goods &amp; contractors</v>
          </cell>
        </row>
        <row r="60">
          <cell r="B60" t="str">
            <v>(iii)Deferred receivables (maturity</v>
          </cell>
        </row>
        <row r="61">
          <cell r="B61" t="str">
            <v xml:space="preserve">      exceeding one year)</v>
          </cell>
        </row>
        <row r="62">
          <cell r="B62" t="str">
            <v>(iv)Others (a) Debtors&gt; 6 months</v>
          </cell>
        </row>
        <row r="63">
          <cell r="B63" t="str">
            <v xml:space="preserve">               (b) Security Deposits</v>
          </cell>
          <cell r="G63">
            <v>9</v>
          </cell>
          <cell r="H63">
            <v>9</v>
          </cell>
          <cell r="I63">
            <v>9</v>
          </cell>
          <cell r="J63">
            <v>9</v>
          </cell>
          <cell r="K63">
            <v>9</v>
          </cell>
        </row>
        <row r="64">
          <cell r="B64" t="str">
            <v xml:space="preserve">               © Project Surplus</v>
          </cell>
        </row>
        <row r="65">
          <cell r="A65">
            <v>39</v>
          </cell>
          <cell r="B65" t="str">
            <v>Non-consumables stores &amp;</v>
          </cell>
        </row>
        <row r="66">
          <cell r="B66" t="str">
            <v>spares</v>
          </cell>
        </row>
        <row r="67">
          <cell r="A67">
            <v>40</v>
          </cell>
          <cell r="B67" t="str">
            <v xml:space="preserve">Other non-current assets incl- </v>
          </cell>
        </row>
        <row r="68">
          <cell r="B68" t="str">
            <v>uding dues from Directors</v>
          </cell>
        </row>
        <row r="69">
          <cell r="A69">
            <v>41</v>
          </cell>
          <cell r="B69" t="str">
            <v>TOTAL OTHER NON-CURR. ASSETS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9</v>
          </cell>
          <cell r="H69">
            <v>9</v>
          </cell>
          <cell r="I69">
            <v>9</v>
          </cell>
          <cell r="J69">
            <v>9</v>
          </cell>
          <cell r="K69">
            <v>9</v>
          </cell>
        </row>
        <row r="70">
          <cell r="A70">
            <v>42</v>
          </cell>
          <cell r="B70" t="str">
            <v xml:space="preserve">Intangible assets (patents, </v>
          </cell>
          <cell r="G70">
            <v>29.169584567200001</v>
          </cell>
          <cell r="H70">
            <v>25.0025010576</v>
          </cell>
          <cell r="I70">
            <v>20.835417547999999</v>
          </cell>
          <cell r="J70">
            <v>16.668334038399998</v>
          </cell>
          <cell r="K70">
            <v>12.501250528799996</v>
          </cell>
        </row>
        <row r="71">
          <cell r="B71" t="str">
            <v xml:space="preserve">goodwill, prelim.expenses, bad/ </v>
          </cell>
        </row>
        <row r="72">
          <cell r="B72" t="str">
            <v>doubtful exp.not provided for etc)</v>
          </cell>
        </row>
        <row r="73">
          <cell r="A73">
            <v>43</v>
          </cell>
          <cell r="B73" t="str">
            <v>TOTAL ASSETS(34+37+41+42)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1596.1301320945231</v>
          </cell>
          <cell r="H73">
            <v>1682.9223569013125</v>
          </cell>
          <cell r="I73">
            <v>1718.4089716823264</v>
          </cell>
          <cell r="J73">
            <v>1742.9766871899694</v>
          </cell>
          <cell r="K73">
            <v>1772.1408405836301</v>
          </cell>
        </row>
      </sheetData>
      <sheetData sheetId="20" refreshError="1">
        <row r="1">
          <cell r="C1" t="str">
            <v>YEAR</v>
          </cell>
          <cell r="D1">
            <v>2005</v>
          </cell>
          <cell r="E1">
            <v>2006</v>
          </cell>
          <cell r="F1">
            <v>2007</v>
          </cell>
          <cell r="G1">
            <v>2008</v>
          </cell>
          <cell r="H1">
            <v>2009</v>
          </cell>
          <cell r="I1">
            <v>2010</v>
          </cell>
          <cell r="J1">
            <v>2011</v>
          </cell>
          <cell r="K1">
            <v>2012</v>
          </cell>
          <cell r="L1">
            <v>2013</v>
          </cell>
        </row>
        <row r="2">
          <cell r="C2">
            <v>0</v>
          </cell>
        </row>
        <row r="3">
          <cell r="C3">
            <v>0</v>
          </cell>
        </row>
        <row r="4">
          <cell r="C4" t="str">
            <v>If ASSETS are equal to LIABILITIES</v>
          </cell>
          <cell r="D4" t="str">
            <v xml:space="preserve"> Y</v>
          </cell>
          <cell r="E4" t="str">
            <v xml:space="preserve"> Y</v>
          </cell>
          <cell r="F4" t="str">
            <v xml:space="preserve"> Y</v>
          </cell>
          <cell r="G4" t="str">
            <v xml:space="preserve"> Y</v>
          </cell>
          <cell r="H4" t="str">
            <v xml:space="preserve"> Y</v>
          </cell>
          <cell r="I4" t="str">
            <v xml:space="preserve"> Y</v>
          </cell>
          <cell r="J4" t="str">
            <v xml:space="preserve"> Y</v>
          </cell>
          <cell r="K4" t="str">
            <v xml:space="preserve"> Y</v>
          </cell>
          <cell r="L4" t="str">
            <v xml:space="preserve"> Y</v>
          </cell>
        </row>
        <row r="5">
          <cell r="C5" t="str">
            <v>Balance Sheet  Total ASSETS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1596.1301320945231</v>
          </cell>
          <cell r="I5">
            <v>1682.9223569013125</v>
          </cell>
          <cell r="J5">
            <v>1718.4089716823264</v>
          </cell>
          <cell r="K5">
            <v>1742.9766871899694</v>
          </cell>
          <cell r="L5">
            <v>1772.1408405836301</v>
          </cell>
        </row>
        <row r="6">
          <cell r="C6" t="str">
            <v>Balance Sheet  Total LIABILITIES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1596.1301320945231</v>
          </cell>
          <cell r="I6">
            <v>1682.9223569013125</v>
          </cell>
          <cell r="J6">
            <v>1718.4089716823266</v>
          </cell>
          <cell r="K6">
            <v>1742.9766871899697</v>
          </cell>
          <cell r="L6">
            <v>1772.1408405836301</v>
          </cell>
        </row>
        <row r="7">
          <cell r="C7" t="str">
            <v>Diff Assets- liabilities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10">
          <cell r="C10" t="str">
            <v xml:space="preserve">Is Balance Sheet Depriciation </v>
          </cell>
          <cell r="E10" t="str">
            <v>Y</v>
          </cell>
          <cell r="F10" t="str">
            <v>Y</v>
          </cell>
          <cell r="G10" t="str">
            <v>Y</v>
          </cell>
          <cell r="H10" t="str">
            <v>Y</v>
          </cell>
          <cell r="I10" t="str">
            <v>Y</v>
          </cell>
          <cell r="J10" t="str">
            <v>Y</v>
          </cell>
          <cell r="K10" t="str">
            <v>Y</v>
          </cell>
          <cell r="L10" t="str">
            <v>Y</v>
          </cell>
        </row>
        <row r="11">
          <cell r="C11" t="str">
            <v>Equal to OP-Stmt. Depriciation</v>
          </cell>
        </row>
        <row r="12">
          <cell r="C12" t="str">
            <v>Balance Sheet Depriciation</v>
          </cell>
          <cell r="E12">
            <v>0</v>
          </cell>
          <cell r="F12">
            <v>0</v>
          </cell>
          <cell r="G12">
            <v>0</v>
          </cell>
          <cell r="H12">
            <v>32.132891569853776</v>
          </cell>
          <cell r="I12">
            <v>98.797116860686913</v>
          </cell>
          <cell r="J12">
            <v>96.209459417169768</v>
          </cell>
          <cell r="K12">
            <v>96.325449768169761</v>
          </cell>
          <cell r="L12">
            <v>97.25439635738195</v>
          </cell>
        </row>
        <row r="13">
          <cell r="C13" t="str">
            <v>Operating profit depriciation</v>
          </cell>
          <cell r="E13">
            <v>0</v>
          </cell>
          <cell r="F13">
            <v>0</v>
          </cell>
          <cell r="G13">
            <v>0</v>
          </cell>
          <cell r="H13">
            <v>32.132891569853776</v>
          </cell>
          <cell r="I13">
            <v>98.797116860686899</v>
          </cell>
          <cell r="J13">
            <v>96.209459417169768</v>
          </cell>
          <cell r="K13">
            <v>96.325449768169776</v>
          </cell>
          <cell r="L13">
            <v>97.254396357381921</v>
          </cell>
        </row>
        <row r="14">
          <cell r="C14" t="str">
            <v>Diff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C16" t="str">
            <v xml:space="preserve">Prod* = Net Sales+Increase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352.14616858937876</v>
          </cell>
          <cell r="I16">
            <v>1340.5331409663827</v>
          </cell>
          <cell r="J16">
            <v>1427.7726668957785</v>
          </cell>
          <cell r="K16">
            <v>1430.8359692889599</v>
          </cell>
          <cell r="L16">
            <v>1430.8968933671331</v>
          </cell>
        </row>
        <row r="17">
          <cell r="C17" t="str">
            <v xml:space="preserve">                    in FG &amp; SIP</v>
          </cell>
        </row>
        <row r="18">
          <cell r="C18" t="str">
            <v xml:space="preserve">(* Prod = Producton at sales value) </v>
          </cell>
        </row>
        <row r="19">
          <cell r="C19" t="str">
            <v>RM/ Prod.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69.207463312652607</v>
          </cell>
          <cell r="I19">
            <v>66.227823693359099</v>
          </cell>
          <cell r="J19">
            <v>65.838898929481971</v>
          </cell>
          <cell r="K19">
            <v>65.697943249736696</v>
          </cell>
          <cell r="L19">
            <v>65.695145992541626</v>
          </cell>
        </row>
        <row r="21">
          <cell r="C21" t="str">
            <v>Spares/Prod. Sales (%)</v>
          </cell>
          <cell r="D21" t="e">
            <v>#DIV/0!</v>
          </cell>
          <cell r="E21" t="e">
            <v>#DIV/0!</v>
          </cell>
          <cell r="F21" t="e">
            <v>#DIV/0!</v>
          </cell>
          <cell r="G21" t="e">
            <v>#DIV/0!</v>
          </cell>
          <cell r="H21">
            <v>0.67856849067774949</v>
          </cell>
          <cell r="I21">
            <v>0.98685781780127446</v>
          </cell>
          <cell r="J21">
            <v>0.99543089625813364</v>
          </cell>
          <cell r="K21">
            <v>0.9998873372261754</v>
          </cell>
          <cell r="L21">
            <v>0.99984476447716741</v>
          </cell>
        </row>
        <row r="23">
          <cell r="C23" t="str">
            <v>Power &amp; Fuel/ Prod. Sales(%)</v>
          </cell>
          <cell r="D23" t="e">
            <v>#DIV/0!</v>
          </cell>
          <cell r="E23" t="e">
            <v>#DIV/0!</v>
          </cell>
          <cell r="F23" t="e">
            <v>#DIV/0!</v>
          </cell>
          <cell r="G23" t="e">
            <v>#DIV/0!</v>
          </cell>
          <cell r="H23">
            <v>1.3065814398693916</v>
          </cell>
          <cell r="I23">
            <v>1.3639944348424382</v>
          </cell>
          <cell r="J23">
            <v>1.3559843390259572</v>
          </cell>
          <cell r="K23">
            <v>1.3530812878307046</v>
          </cell>
          <cell r="L23">
            <v>1.3530236769500488</v>
          </cell>
        </row>
        <row r="25">
          <cell r="C25" t="str">
            <v>Labour/ Prod. (%)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  <cell r="H25">
            <v>2.8079249135690398</v>
          </cell>
          <cell r="I25">
            <v>2.2128509242684888</v>
          </cell>
          <cell r="J25">
            <v>2.1399709287354156</v>
          </cell>
          <cell r="K25">
            <v>2.1994511093846052</v>
          </cell>
          <cell r="L25">
            <v>2.2653381860186341</v>
          </cell>
        </row>
        <row r="27">
          <cell r="C27" t="str">
            <v>Other Mfg Exp./ Prod.(%)</v>
          </cell>
          <cell r="D27" t="e">
            <v>#DIV/0!</v>
          </cell>
          <cell r="E27" t="e">
            <v>#DIV/0!</v>
          </cell>
          <cell r="F27" t="e">
            <v>#DIV/0!</v>
          </cell>
          <cell r="G27" t="e">
            <v>#DIV/0!</v>
          </cell>
          <cell r="H27">
            <v>6.3976187159771634</v>
          </cell>
          <cell r="I27">
            <v>2.9214144707733678</v>
          </cell>
          <cell r="J27">
            <v>2.8290005680302084</v>
          </cell>
          <cell r="K27">
            <v>2.8311783810046349</v>
          </cell>
          <cell r="L27">
            <v>2.8310578363771315</v>
          </cell>
        </row>
        <row r="29">
          <cell r="C29" t="str">
            <v>(Cost of Prod.-Dep.)/( Net Sales+Inc.</v>
          </cell>
          <cell r="D29" t="e">
            <v>#DIV/0!</v>
          </cell>
          <cell r="E29" t="e">
            <v>#DIV/0!</v>
          </cell>
          <cell r="F29" t="e">
            <v>#DIV/0!</v>
          </cell>
          <cell r="G29" t="e">
            <v>#DIV/0!</v>
          </cell>
          <cell r="H29">
            <v>100.66339266483142</v>
          </cell>
          <cell r="I29">
            <v>74.277290522697925</v>
          </cell>
          <cell r="J29">
            <v>73.347831033483828</v>
          </cell>
          <cell r="K29">
            <v>73.086397348477036</v>
          </cell>
          <cell r="L29">
            <v>73.150680798510464</v>
          </cell>
        </row>
        <row r="30">
          <cell r="C30" t="str">
            <v>in SIP stock) (%)</v>
          </cell>
        </row>
        <row r="31">
          <cell r="C31" t="str">
            <v>(Cost Of sales-Dep.)/ Net Sale (%)</v>
          </cell>
          <cell r="D31" t="e">
            <v>#DIV/0!</v>
          </cell>
          <cell r="E31" t="e">
            <v>#DIV/0!</v>
          </cell>
          <cell r="F31" t="e">
            <v>#DIV/0!</v>
          </cell>
          <cell r="G31" t="e">
            <v>#DIV/0!</v>
          </cell>
          <cell r="H31">
            <v>71.112948218866052</v>
          </cell>
          <cell r="I31">
            <v>73.362871342983269</v>
          </cell>
          <cell r="J31">
            <v>73.036084735400834</v>
          </cell>
          <cell r="K31">
            <v>73.078508315254112</v>
          </cell>
          <cell r="L31">
            <v>73.140240867612533</v>
          </cell>
        </row>
        <row r="33">
          <cell r="C33" t="str">
            <v>PBDIT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61.275726624160924</v>
          </cell>
          <cell r="I33">
            <v>328.37591544620358</v>
          </cell>
          <cell r="J33">
            <v>357.73856403271293</v>
          </cell>
          <cell r="K33">
            <v>359.5317835054376</v>
          </cell>
          <cell r="L33">
            <v>358.64859145561104</v>
          </cell>
        </row>
        <row r="35">
          <cell r="B35" t="str">
            <v>Gen. Exp/Adj. Sales</v>
          </cell>
          <cell r="C35" t="str">
            <v>Selling+General Exp/Net Sales %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1.5000000000000002</v>
          </cell>
          <cell r="I35">
            <v>1.5</v>
          </cell>
          <cell r="J35">
            <v>1.5000000000000002</v>
          </cell>
          <cell r="K35">
            <v>1.5000000000000002</v>
          </cell>
          <cell r="L35">
            <v>1.5000000000000002</v>
          </cell>
        </row>
        <row r="38">
          <cell r="C38" t="str">
            <v>Dividend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PBDIT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61.275726624160924</v>
          </cell>
          <cell r="I39">
            <v>328.37591544620358</v>
          </cell>
          <cell r="J39">
            <v>357.73856403271293</v>
          </cell>
          <cell r="K39">
            <v>359.5317835054376</v>
          </cell>
          <cell r="L39">
            <v>358.64859145561104</v>
          </cell>
        </row>
      </sheetData>
      <sheetData sheetId="21" refreshError="1">
        <row r="2">
          <cell r="C2" t="str">
            <v>PERFORMANCE AND FINANCIAL INDICATORS</v>
          </cell>
        </row>
        <row r="3">
          <cell r="C3">
            <v>0</v>
          </cell>
          <cell r="H3" t="str">
            <v>As on 31st March</v>
          </cell>
        </row>
        <row r="4">
          <cell r="C4">
            <v>0</v>
          </cell>
          <cell r="H4" t="str">
            <v xml:space="preserve">    Rs. In </v>
          </cell>
          <cell r="I4" t="str">
            <v>Lakhs</v>
          </cell>
        </row>
        <row r="5">
          <cell r="C5">
            <v>0</v>
          </cell>
        </row>
        <row r="6">
          <cell r="D6">
            <v>2005</v>
          </cell>
          <cell r="E6">
            <v>2006</v>
          </cell>
          <cell r="F6">
            <v>2007</v>
          </cell>
          <cell r="G6">
            <v>2008</v>
          </cell>
          <cell r="H6">
            <v>2009</v>
          </cell>
          <cell r="I6">
            <v>2010</v>
          </cell>
          <cell r="J6">
            <v>2011</v>
          </cell>
          <cell r="K6">
            <v>2012</v>
          </cell>
          <cell r="L6">
            <v>2013</v>
          </cell>
        </row>
        <row r="7">
          <cell r="C7" t="str">
            <v>Particulars</v>
          </cell>
          <cell r="D7" t="str">
            <v>Aud.</v>
          </cell>
          <cell r="E7" t="str">
            <v>Aud.</v>
          </cell>
          <cell r="F7" t="str">
            <v>Est.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  <cell r="L7" t="str">
            <v>Proj.</v>
          </cell>
        </row>
        <row r="9">
          <cell r="C9" t="str">
            <v>Domestic Sales(Gross)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238.95529411764704</v>
          </cell>
          <cell r="I9">
            <v>1322.9156101843726</v>
          </cell>
          <cell r="J9">
            <v>1421.2490254609304</v>
          </cell>
          <cell r="K9">
            <v>1430.6747673397717</v>
          </cell>
          <cell r="L9">
            <v>1430.6747673397717</v>
          </cell>
        </row>
        <row r="10">
          <cell r="C10" t="str">
            <v>Export Sales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Net Sales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238.95529411764704</v>
          </cell>
          <cell r="I11">
            <v>1322.9156101843726</v>
          </cell>
          <cell r="J11">
            <v>1421.2490254609304</v>
          </cell>
          <cell r="K11">
            <v>1430.6747673397717</v>
          </cell>
          <cell r="L11">
            <v>1430.6747673397717</v>
          </cell>
        </row>
        <row r="13">
          <cell r="C13" t="str">
            <v>% rise/fall (-) in net sales</v>
          </cell>
          <cell r="F13" t="e">
            <v>#DIV/0!</v>
          </cell>
          <cell r="G13" t="e">
            <v>#DIV/0!</v>
          </cell>
          <cell r="H13" t="e">
            <v>#DIV/0!</v>
          </cell>
          <cell r="I13">
            <v>453.62473347547984</v>
          </cell>
          <cell r="J13">
            <v>7.4330829963411862</v>
          </cell>
          <cell r="K13">
            <v>0.66320129055388022</v>
          </cell>
          <cell r="L13">
            <v>0</v>
          </cell>
        </row>
        <row r="15">
          <cell r="C15" t="str">
            <v>Operating Profit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-7.871331436092845</v>
          </cell>
          <cell r="I15">
            <v>103.21063903956119</v>
          </cell>
          <cell r="J15">
            <v>147.16927840292104</v>
          </cell>
          <cell r="K15">
            <v>163.60484085797901</v>
          </cell>
          <cell r="L15">
            <v>176.68853555227361</v>
          </cell>
        </row>
        <row r="17">
          <cell r="C17" t="str">
            <v>Profit Before tax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-12.038414945692846</v>
          </cell>
          <cell r="I17">
            <v>99.043555529961182</v>
          </cell>
          <cell r="J17">
            <v>143.00219489332105</v>
          </cell>
          <cell r="K17">
            <v>159.43775734837902</v>
          </cell>
          <cell r="L17">
            <v>172.52145204267362</v>
          </cell>
        </row>
        <row r="19">
          <cell r="C19" t="str">
            <v>PBT/ Sales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-5.0379360667212767</v>
          </cell>
          <cell r="I19">
            <v>7.486762932380671</v>
          </cell>
          <cell r="J19">
            <v>10.061726856554465</v>
          </cell>
          <cell r="K19">
            <v>11.144234943406538</v>
          </cell>
          <cell r="L19">
            <v>12.05874710179336</v>
          </cell>
        </row>
        <row r="21">
          <cell r="C21" t="str">
            <v>Profit After Tax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-14.787249708847952</v>
          </cell>
          <cell r="I21">
            <v>77.520029199810068</v>
          </cell>
          <cell r="J21">
            <v>115.42738389830477</v>
          </cell>
          <cell r="K21">
            <v>124.38546854885911</v>
          </cell>
          <cell r="L21">
            <v>130.16714739509945</v>
          </cell>
        </row>
        <row r="23">
          <cell r="C23" t="str">
            <v>Cash Accrual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21.512725370605821</v>
          </cell>
          <cell r="I23">
            <v>180.48422957009697</v>
          </cell>
          <cell r="J23">
            <v>215.80392682507454</v>
          </cell>
          <cell r="K23">
            <v>224.87800182662889</v>
          </cell>
          <cell r="L23">
            <v>231.58862726208139</v>
          </cell>
        </row>
        <row r="25">
          <cell r="C25" t="str">
            <v>PBDIT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61.275726624160924</v>
          </cell>
          <cell r="I25">
            <v>328.37591544620358</v>
          </cell>
          <cell r="J25">
            <v>357.73856403271293</v>
          </cell>
          <cell r="K25">
            <v>359.5317835054376</v>
          </cell>
          <cell r="L25">
            <v>358.64859145561104</v>
          </cell>
        </row>
        <row r="27">
          <cell r="C27" t="str">
            <v>Paid Up Capital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400</v>
          </cell>
          <cell r="I27">
            <v>400</v>
          </cell>
          <cell r="J27">
            <v>400</v>
          </cell>
          <cell r="K27">
            <v>400</v>
          </cell>
          <cell r="L27">
            <v>400</v>
          </cell>
        </row>
        <row r="29">
          <cell r="C29" t="str">
            <v>TNW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356.04316572395203</v>
          </cell>
          <cell r="I29">
            <v>437.73027843336212</v>
          </cell>
          <cell r="J29">
            <v>557.32474584126692</v>
          </cell>
          <cell r="K29">
            <v>685.87729789972605</v>
          </cell>
          <cell r="L29">
            <v>820.21152880442537</v>
          </cell>
        </row>
        <row r="31">
          <cell r="C31" t="str">
            <v>Adjusted TNW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356.04316572395203</v>
          </cell>
          <cell r="I31">
            <v>437.73027843336212</v>
          </cell>
          <cell r="J31">
            <v>557.32474584126692</v>
          </cell>
          <cell r="K31">
            <v>685.87729789972605</v>
          </cell>
          <cell r="L31">
            <v>820.21152880442537</v>
          </cell>
        </row>
        <row r="33">
          <cell r="C33" t="str">
            <v>TOL/TNW (times)</v>
          </cell>
          <cell r="D33" t="e">
            <v>#DIV/0!</v>
          </cell>
          <cell r="E33" t="e">
            <v>#DIV/0!</v>
          </cell>
          <cell r="F33" t="e">
            <v>#DIV/0!</v>
          </cell>
          <cell r="G33" t="e">
            <v>#DIV/0!</v>
          </cell>
          <cell r="H33">
            <v>3.4010409365425698</v>
          </cell>
          <cell r="I33">
            <v>2.7875375260249586</v>
          </cell>
          <cell r="J33">
            <v>2.045932495912925</v>
          </cell>
          <cell r="K33">
            <v>1.5169346739392338</v>
          </cell>
          <cell r="L33">
            <v>1.1453485207892096</v>
          </cell>
        </row>
        <row r="35">
          <cell r="C35" t="str">
            <v>Adjusted TOL/TNW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3.4010409365425698</v>
          </cell>
          <cell r="I35">
            <v>2.7875375260249586</v>
          </cell>
          <cell r="J35">
            <v>2.045932495912925</v>
          </cell>
          <cell r="K35">
            <v>1.5169346739392338</v>
          </cell>
          <cell r="L35">
            <v>1.1453485207892096</v>
          </cell>
        </row>
        <row r="37">
          <cell r="C37" t="str">
            <v>NWC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-9.9070805421238788</v>
          </cell>
          <cell r="I37">
            <v>2.2438156946391246</v>
          </cell>
          <cell r="J37">
            <v>44.714409186380294</v>
          </cell>
          <cell r="K37">
            <v>66.259077679675784</v>
          </cell>
          <cell r="L37">
            <v>84.514371608423858</v>
          </cell>
        </row>
        <row r="39">
          <cell r="C39" t="str">
            <v>Current Ratio</v>
          </cell>
          <cell r="D39" t="e">
            <v>#DIV/0!</v>
          </cell>
          <cell r="E39" t="e">
            <v>#DIV/0!</v>
          </cell>
          <cell r="F39" t="e">
            <v>#DIV/0!</v>
          </cell>
          <cell r="G39" t="e">
            <v>#DIV/0!</v>
          </cell>
          <cell r="H39">
            <v>0.97425231470126994</v>
          </cell>
          <cell r="I39">
            <v>1.0044663616030072</v>
          </cell>
          <cell r="J39">
            <v>1.0842438339644349</v>
          </cell>
          <cell r="K39">
            <v>1.1228637086075963</v>
          </cell>
          <cell r="L39">
            <v>1.1546127741098153</v>
          </cell>
        </row>
        <row r="41">
          <cell r="C41" t="str">
            <v>TTL/TNW</v>
          </cell>
          <cell r="D41" t="e">
            <v>#DIV/0!</v>
          </cell>
          <cell r="E41" t="e">
            <v>#DIV/0!</v>
          </cell>
          <cell r="F41" t="e">
            <v>#DIV/0!</v>
          </cell>
          <cell r="G41" t="e">
            <v>#DIV/0!</v>
          </cell>
          <cell r="H41">
            <v>2.3203416928813145</v>
          </cell>
          <cell r="I41">
            <v>1.6398419390370751</v>
          </cell>
          <cell r="J41">
            <v>1.0935727146083982</v>
          </cell>
          <cell r="K41">
            <v>0.73065809792701797</v>
          </cell>
          <cell r="L41">
            <v>0.47891117689357199</v>
          </cell>
        </row>
        <row r="43">
          <cell r="C43" t="str">
            <v>Current ratio without TL repay</v>
          </cell>
          <cell r="D43" t="e">
            <v>#DIV/0!</v>
          </cell>
          <cell r="E43" t="e">
            <v>#DIV/0!</v>
          </cell>
          <cell r="F43" t="e">
            <v>#DIV/0!</v>
          </cell>
          <cell r="G43" t="e">
            <v>#DIV/0!</v>
          </cell>
          <cell r="H43">
            <v>1.3560463496826594</v>
          </cell>
          <cell r="I43">
            <v>1.2806186353501974</v>
          </cell>
          <cell r="J43">
            <v>1.3622943363243503</v>
          </cell>
          <cell r="K43">
            <v>1.4051282344685685</v>
          </cell>
          <cell r="L43">
            <v>1.440003994707171</v>
          </cell>
        </row>
        <row r="45">
          <cell r="C45" t="str">
            <v xml:space="preserve">TOL/TNW (treating USL as </v>
          </cell>
          <cell r="D45" t="e">
            <v>#DIV/0!</v>
          </cell>
          <cell r="E45" t="e">
            <v>#DIV/0!</v>
          </cell>
          <cell r="F45" t="e">
            <v>#DIV/0!</v>
          </cell>
          <cell r="G45" t="e">
            <v>#DIV/0!</v>
          </cell>
          <cell r="H45">
            <v>1.4463946544514035</v>
          </cell>
          <cell r="I45">
            <v>1.295634766068009</v>
          </cell>
          <cell r="J45">
            <v>1.0165998978021962</v>
          </cell>
          <cell r="K45">
            <v>0.77905294428649396</v>
          </cell>
          <cell r="L45">
            <v>0.59288569994275586</v>
          </cell>
        </row>
        <row r="46">
          <cell r="C46" t="str">
            <v>Quasi Equity)</v>
          </cell>
        </row>
        <row r="48">
          <cell r="C48" t="str">
            <v>Figures in  Italics  represents estimates taken at the time of the last renewal.</v>
          </cell>
        </row>
        <row r="50">
          <cell r="C50" t="str">
            <v>Other Ratios</v>
          </cell>
        </row>
        <row r="51">
          <cell r="C51" t="str">
            <v>Operating Cost/ sales %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>
            <v>103.29406028234615</v>
          </cell>
          <cell r="I51">
            <v>92.19824467675781</v>
          </cell>
          <cell r="J51">
            <v>89.645074454479072</v>
          </cell>
          <cell r="K51">
            <v>88.564498054146199</v>
          </cell>
          <cell r="L51">
            <v>87.649985895759372</v>
          </cell>
        </row>
        <row r="53">
          <cell r="C53" t="str">
            <v>Net Sales /TTA (times)</v>
          </cell>
          <cell r="D53" t="e">
            <v>#DIV/0!</v>
          </cell>
          <cell r="E53" t="e">
            <v>#DIV/0!</v>
          </cell>
          <cell r="F53" t="e">
            <v>#DIV/0!</v>
          </cell>
          <cell r="G53" t="e">
            <v>#DIV/0!</v>
          </cell>
          <cell r="H53">
            <v>0.15249605007268402</v>
          </cell>
          <cell r="I53">
            <v>0.79793700854806593</v>
          </cell>
          <cell r="J53">
            <v>0.83722382573619492</v>
          </cell>
          <cell r="K53">
            <v>0.82874809979799646</v>
          </cell>
          <cell r="L53">
            <v>0.81304988557071067</v>
          </cell>
        </row>
        <row r="55">
          <cell r="C55" t="str">
            <v>PBDIT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61.275726624160924</v>
          </cell>
          <cell r="I55">
            <v>328.37591544620358</v>
          </cell>
          <cell r="J55">
            <v>357.73856403271293</v>
          </cell>
          <cell r="K55">
            <v>359.5317835054376</v>
          </cell>
          <cell r="L55">
            <v>358.64859145561104</v>
          </cell>
        </row>
        <row r="57">
          <cell r="C57" t="str">
            <v>EFFICIENCY RATIOS</v>
          </cell>
        </row>
        <row r="58">
          <cell r="D58">
            <v>2005</v>
          </cell>
          <cell r="E58">
            <v>2006</v>
          </cell>
          <cell r="F58">
            <v>2007</v>
          </cell>
          <cell r="G58">
            <v>2008</v>
          </cell>
          <cell r="H58">
            <v>2009</v>
          </cell>
          <cell r="I58">
            <v>2010</v>
          </cell>
          <cell r="J58">
            <v>2011</v>
          </cell>
          <cell r="K58">
            <v>2012</v>
          </cell>
          <cell r="L58">
            <v>2013</v>
          </cell>
        </row>
        <row r="59">
          <cell r="C59" t="str">
            <v>Particular</v>
          </cell>
          <cell r="D59" t="str">
            <v>Aud.</v>
          </cell>
          <cell r="E59" t="str">
            <v>Aud.</v>
          </cell>
          <cell r="F59" t="str">
            <v>Est.</v>
          </cell>
          <cell r="G59" t="str">
            <v>Proj.</v>
          </cell>
          <cell r="H59" t="str">
            <v>Proj.</v>
          </cell>
          <cell r="I59" t="str">
            <v>Proj.</v>
          </cell>
          <cell r="J59" t="str">
            <v>Proj.</v>
          </cell>
          <cell r="K59" t="str">
            <v>Proj.</v>
          </cell>
          <cell r="L59" t="str">
            <v>Proj.</v>
          </cell>
        </row>
        <row r="60">
          <cell r="C60" t="str">
            <v xml:space="preserve">Net Sales/ Total Tangible 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>
            <v>0.15249605007268402</v>
          </cell>
          <cell r="I60">
            <v>0.79793700854806593</v>
          </cell>
          <cell r="J60">
            <v>0.83722382573619492</v>
          </cell>
          <cell r="K60">
            <v>0.82874809979799646</v>
          </cell>
          <cell r="L60">
            <v>0.81304988557071067</v>
          </cell>
        </row>
        <row r="61">
          <cell r="C61" t="str">
            <v>Assets (times)</v>
          </cell>
        </row>
        <row r="62">
          <cell r="C62" t="str">
            <v>PBT/ Total Tangible Assets (%)</v>
          </cell>
          <cell r="D62" t="e">
            <v>#DIV/0!</v>
          </cell>
          <cell r="E62" t="e">
            <v>#DIV/0!</v>
          </cell>
          <cell r="F62" t="e">
            <v>#DIV/0!</v>
          </cell>
          <cell r="G62" t="e">
            <v>#DIV/0!</v>
          </cell>
          <cell r="H62">
            <v>-0.7682653506937086</v>
          </cell>
          <cell r="I62">
            <v>5.9739652179723786</v>
          </cell>
          <cell r="J62">
            <v>8.4239174523571485</v>
          </cell>
          <cell r="K62">
            <v>9.2357635330506014</v>
          </cell>
          <cell r="L62">
            <v>9.8043629512392307</v>
          </cell>
        </row>
        <row r="64">
          <cell r="C64" t="str">
            <v>Operating Cost to sales (%)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>
            <v>103.29406028234615</v>
          </cell>
          <cell r="I64">
            <v>92.19824467675781</v>
          </cell>
          <cell r="J64">
            <v>89.645074454479072</v>
          </cell>
          <cell r="K64">
            <v>88.564498054146185</v>
          </cell>
          <cell r="L64">
            <v>87.649985895759372</v>
          </cell>
        </row>
        <row r="66">
          <cell r="C66" t="str">
            <v>Bank Finance/ Ct. Assets (%)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>
            <v>68.290614024014857</v>
          </cell>
          <cell r="I66">
            <v>69.16027786690421</v>
          </cell>
          <cell r="J66">
            <v>64.293251487071785</v>
          </cell>
          <cell r="K66">
            <v>61.266785983010863</v>
          </cell>
          <cell r="L66">
            <v>58.783082671362017</v>
          </cell>
        </row>
        <row r="68">
          <cell r="C68" t="str">
            <v xml:space="preserve">Inventory+ Receivables to net 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>
            <v>523.13643936988308</v>
          </cell>
          <cell r="I68">
            <v>128.35375237130512</v>
          </cell>
          <cell r="J68">
            <v>126.85213507134989</v>
          </cell>
          <cell r="K68">
            <v>126.35502833727567</v>
          </cell>
          <cell r="L68">
            <v>126.41169810026993</v>
          </cell>
        </row>
        <row r="69">
          <cell r="C69" t="str">
            <v>Sales (days)</v>
          </cell>
        </row>
        <row r="71">
          <cell r="C71" t="str">
            <v>Figures in  Italics  represents estimates taken at the time of the last renewal.</v>
          </cell>
        </row>
        <row r="72">
          <cell r="C72" t="str">
            <v>PBDIT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61.275726624160924</v>
          </cell>
          <cell r="I72">
            <v>328.37591544620358</v>
          </cell>
          <cell r="J72">
            <v>357.73856403271293</v>
          </cell>
          <cell r="K72">
            <v>359.5317835054376</v>
          </cell>
          <cell r="L72">
            <v>358.64859145561104</v>
          </cell>
        </row>
        <row r="74">
          <cell r="C74" t="str">
            <v>RISK RATING RELATED RATIOS</v>
          </cell>
        </row>
        <row r="75">
          <cell r="B75">
            <v>1</v>
          </cell>
          <cell r="C75" t="str">
            <v>Current Ratio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>
            <v>0.97425231470126994</v>
          </cell>
          <cell r="I75">
            <v>1.0044663616030072</v>
          </cell>
          <cell r="J75">
            <v>1.0842438339644349</v>
          </cell>
          <cell r="K75">
            <v>1.1228637086075963</v>
          </cell>
          <cell r="L75">
            <v>1.1546127741098153</v>
          </cell>
        </row>
        <row r="76">
          <cell r="B76">
            <v>2</v>
          </cell>
          <cell r="C76" t="str">
            <v>TOL/TNW (times)</v>
          </cell>
          <cell r="D76" t="e">
            <v>#DIV/0!</v>
          </cell>
          <cell r="E76" t="e">
            <v>#DIV/0!</v>
          </cell>
          <cell r="F76" t="e">
            <v>#DIV/0!</v>
          </cell>
          <cell r="G76" t="e">
            <v>#DIV/0!</v>
          </cell>
          <cell r="H76">
            <v>3.4010409365425698</v>
          </cell>
          <cell r="I76">
            <v>2.7875375260249586</v>
          </cell>
          <cell r="J76">
            <v>2.045932495912925</v>
          </cell>
          <cell r="K76">
            <v>1.5169346739392338</v>
          </cell>
          <cell r="L76">
            <v>1.1453485207892096</v>
          </cell>
        </row>
        <row r="77">
          <cell r="B77">
            <v>4</v>
          </cell>
          <cell r="C77" t="str">
            <v>PAT/Net Sales (%)</v>
          </cell>
          <cell r="D77" t="e">
            <v>#DIV/0!</v>
          </cell>
          <cell r="E77" t="e">
            <v>#DIV/0!</v>
          </cell>
          <cell r="F77" t="e">
            <v>#DIV/0!</v>
          </cell>
          <cell r="G77" t="e">
            <v>#DIV/0!</v>
          </cell>
          <cell r="H77">
            <v>-6.1882913134235098</v>
          </cell>
          <cell r="I77">
            <v>5.8597864144188483</v>
          </cell>
          <cell r="J77">
            <v>8.1215453330474663</v>
          </cell>
          <cell r="K77">
            <v>8.6941820313322626</v>
          </cell>
          <cell r="L77">
            <v>9.0983045459825309</v>
          </cell>
        </row>
        <row r="78">
          <cell r="B78">
            <v>3</v>
          </cell>
          <cell r="C78" t="str">
            <v>PBDIT/Interest (times)</v>
          </cell>
          <cell r="D78" t="e">
            <v>#DIV/0!</v>
          </cell>
          <cell r="E78" t="e">
            <v>#DIV/0!</v>
          </cell>
          <cell r="F78" t="e">
            <v>#DIV/0!</v>
          </cell>
          <cell r="G78" t="e">
            <v>#DIV/0!</v>
          </cell>
          <cell r="H78">
            <v>1.4879520807202529</v>
          </cell>
          <cell r="I78">
            <v>2.5156111695172427</v>
          </cell>
          <cell r="J78">
            <v>3.0182054427226994</v>
          </cell>
          <cell r="K78">
            <v>3.4647462268156843</v>
          </cell>
          <cell r="L78">
            <v>4.0355296700070937</v>
          </cell>
        </row>
        <row r="79">
          <cell r="B79">
            <v>5</v>
          </cell>
          <cell r="C79" t="str">
            <v>ROCE (%) (PBDIT/TA)</v>
          </cell>
          <cell r="D79" t="e">
            <v>#DIV/0!</v>
          </cell>
          <cell r="E79" t="e">
            <v>#DIV/0!</v>
          </cell>
          <cell r="F79" t="e">
            <v>#DIV/0!</v>
          </cell>
          <cell r="G79" t="e">
            <v>#DIV/0!</v>
          </cell>
          <cell r="H79">
            <v>3.8390182223896621</v>
          </cell>
          <cell r="I79">
            <v>19.512243930898098</v>
          </cell>
          <cell r="J79">
            <v>20.818010725496038</v>
          </cell>
          <cell r="K79">
            <v>20.627457965893711</v>
          </cell>
          <cell r="L79">
            <v>20.238153945907317</v>
          </cell>
        </row>
        <row r="80">
          <cell r="B80">
            <v>6</v>
          </cell>
          <cell r="C80" t="str">
            <v>INV+REC./Sales (days)</v>
          </cell>
          <cell r="D80" t="e">
            <v>#DIV/0!</v>
          </cell>
          <cell r="E80" t="e">
            <v>#DIV/0!</v>
          </cell>
          <cell r="F80" t="e">
            <v>#DIV/0!</v>
          </cell>
          <cell r="G80" t="e">
            <v>#DIV/0!</v>
          </cell>
          <cell r="H80">
            <v>523.13643936988308</v>
          </cell>
          <cell r="I80">
            <v>128.35375237130509</v>
          </cell>
          <cell r="J80">
            <v>126.85213507134991</v>
          </cell>
          <cell r="K80">
            <v>126.35502833727567</v>
          </cell>
          <cell r="L80">
            <v>126.41169810026993</v>
          </cell>
        </row>
        <row r="82">
          <cell r="C82" t="str">
            <v>Historical Comparison</v>
          </cell>
        </row>
        <row r="83">
          <cell r="D83">
            <v>2005</v>
          </cell>
          <cell r="E83">
            <v>2006</v>
          </cell>
          <cell r="F83">
            <v>2007</v>
          </cell>
          <cell r="G83">
            <v>2008</v>
          </cell>
          <cell r="H83">
            <v>2009</v>
          </cell>
          <cell r="I83">
            <v>2010</v>
          </cell>
          <cell r="J83">
            <v>2011</v>
          </cell>
          <cell r="K83">
            <v>2012</v>
          </cell>
          <cell r="L83">
            <v>2013</v>
          </cell>
        </row>
        <row r="84">
          <cell r="C84" t="str">
            <v>Current Ratio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>
            <v>0.97425231470126994</v>
          </cell>
          <cell r="I84">
            <v>1.0044663616030072</v>
          </cell>
          <cell r="J84">
            <v>1.0842438339644349</v>
          </cell>
          <cell r="K84">
            <v>1.1228637086075963</v>
          </cell>
          <cell r="L84">
            <v>1.1546127741098153</v>
          </cell>
        </row>
        <row r="85">
          <cell r="C85" t="str">
            <v>TOL/TNW</v>
          </cell>
          <cell r="D85" t="e">
            <v>#DIV/0!</v>
          </cell>
          <cell r="E85" t="e">
            <v>#DIV/0!</v>
          </cell>
          <cell r="F85" t="e">
            <v>#DIV/0!</v>
          </cell>
          <cell r="G85" t="e">
            <v>#DIV/0!</v>
          </cell>
          <cell r="H85">
            <v>3.4010409365425698</v>
          </cell>
          <cell r="I85">
            <v>2.7875375260249586</v>
          </cell>
          <cell r="J85">
            <v>2.045932495912925</v>
          </cell>
          <cell r="K85">
            <v>1.5169346739392338</v>
          </cell>
          <cell r="L85">
            <v>1.1453485207892096</v>
          </cell>
        </row>
        <row r="86">
          <cell r="C86" t="str">
            <v>PBDIT/IINTT.</v>
          </cell>
        </row>
        <row r="87">
          <cell r="C87" t="str">
            <v>PAT/NET SALES</v>
          </cell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>
            <v>-6.1882913134235098</v>
          </cell>
          <cell r="I87">
            <v>5.8597864144188483</v>
          </cell>
          <cell r="J87">
            <v>8.1215453330474663</v>
          </cell>
          <cell r="K87">
            <v>8.6941820313322626</v>
          </cell>
          <cell r="L87">
            <v>9.0983045459825309</v>
          </cell>
        </row>
        <row r="88">
          <cell r="C88" t="str">
            <v>ROCE%</v>
          </cell>
        </row>
        <row r="89">
          <cell r="C89" t="str">
            <v>INV.+REC./SALES (DAYS)</v>
          </cell>
          <cell r="D89" t="e">
            <v>#DIV/0!</v>
          </cell>
          <cell r="E89" t="e">
            <v>#DIV/0!</v>
          </cell>
          <cell r="F89" t="e">
            <v>#DIV/0!</v>
          </cell>
          <cell r="G89" t="e">
            <v>#DIV/0!</v>
          </cell>
          <cell r="H89">
            <v>523.13643936988308</v>
          </cell>
          <cell r="I89">
            <v>128.35375237130509</v>
          </cell>
          <cell r="J89">
            <v>126.85213507134991</v>
          </cell>
          <cell r="K89">
            <v>126.35502833727567</v>
          </cell>
          <cell r="L89">
            <v>126.41169810026993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C1">
            <v>0</v>
          </cell>
          <cell r="D1" t="str">
            <v/>
          </cell>
        </row>
        <row r="2">
          <cell r="C2" t="str">
            <v>FUND FLOW (DETAILED)</v>
          </cell>
          <cell r="D2">
            <v>0</v>
          </cell>
        </row>
        <row r="3">
          <cell r="E3" t="str">
            <v>As on 31st March</v>
          </cell>
        </row>
        <row r="4">
          <cell r="C4">
            <v>0</v>
          </cell>
          <cell r="E4" t="str">
            <v xml:space="preserve">        Rs in</v>
          </cell>
          <cell r="F4" t="str">
            <v>Rs. Lakhs</v>
          </cell>
        </row>
        <row r="5">
          <cell r="C5">
            <v>0</v>
          </cell>
          <cell r="D5">
            <v>2006</v>
          </cell>
          <cell r="E5">
            <v>2007</v>
          </cell>
          <cell r="F5">
            <v>2008</v>
          </cell>
          <cell r="G5">
            <v>2009</v>
          </cell>
          <cell r="H5">
            <v>2010</v>
          </cell>
          <cell r="I5">
            <v>2011</v>
          </cell>
          <cell r="J5">
            <v>2012</v>
          </cell>
          <cell r="K5">
            <v>2013</v>
          </cell>
        </row>
        <row r="6">
          <cell r="A6">
            <v>1</v>
          </cell>
          <cell r="C6" t="str">
            <v>SOURCES</v>
          </cell>
          <cell r="D6" t="str">
            <v>Aud.</v>
          </cell>
          <cell r="E6" t="str">
            <v>Est.</v>
          </cell>
          <cell r="F6" t="str">
            <v>Proj.</v>
          </cell>
          <cell r="G6" t="str">
            <v>Proj.</v>
          </cell>
          <cell r="H6" t="str">
            <v>Proj.</v>
          </cell>
          <cell r="I6" t="str">
            <v>Proj.</v>
          </cell>
          <cell r="J6" t="str">
            <v>Proj.</v>
          </cell>
          <cell r="K6" t="str">
            <v>Proj.</v>
          </cell>
        </row>
        <row r="7">
          <cell r="B7" t="str">
            <v>a.</v>
          </cell>
          <cell r="C7" t="str">
            <v>Net Profit (After Tax)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77.520029199810068</v>
          </cell>
          <cell r="I7">
            <v>115.42738389830477</v>
          </cell>
          <cell r="J7">
            <v>124.38546854885911</v>
          </cell>
          <cell r="K7">
            <v>130.16714739509945</v>
          </cell>
        </row>
        <row r="8">
          <cell r="B8" t="str">
            <v>b.</v>
          </cell>
          <cell r="C8" t="str">
            <v>Depreciation</v>
          </cell>
          <cell r="D8">
            <v>0</v>
          </cell>
          <cell r="E8">
            <v>0</v>
          </cell>
          <cell r="F8">
            <v>0</v>
          </cell>
          <cell r="G8">
            <v>32.132891569853776</v>
          </cell>
          <cell r="H8">
            <v>98.797116860686913</v>
          </cell>
          <cell r="I8">
            <v>96.209459417169768</v>
          </cell>
          <cell r="J8">
            <v>96.325449768169761</v>
          </cell>
          <cell r="K8">
            <v>97.25439635738195</v>
          </cell>
        </row>
        <row r="9">
          <cell r="B9" t="str">
            <v>c</v>
          </cell>
          <cell r="C9" t="str">
            <v>Increase in Capital</v>
          </cell>
          <cell r="D9">
            <v>0</v>
          </cell>
          <cell r="E9">
            <v>0</v>
          </cell>
          <cell r="F9">
            <v>0</v>
          </cell>
          <cell r="G9">
            <v>400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d.</v>
          </cell>
          <cell r="C10" t="str">
            <v>Increase In TL. Incl.public deposits</v>
          </cell>
          <cell r="D10">
            <v>0</v>
          </cell>
          <cell r="E10">
            <v>0</v>
          </cell>
          <cell r="F10">
            <v>0</v>
          </cell>
          <cell r="G10">
            <v>826.14180189473723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e.</v>
          </cell>
          <cell r="C11" t="str">
            <v xml:space="preserve">Decrease in </v>
          </cell>
        </row>
        <row r="12">
          <cell r="C12" t="str">
            <v>i.)  Fixed Assets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>ii.) Other Non Current Assets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4.1670835096000012</v>
          </cell>
          <cell r="I13">
            <v>4.1670835096000012</v>
          </cell>
          <cell r="J13">
            <v>4.1670835096000012</v>
          </cell>
          <cell r="K13">
            <v>4.1670835096000012</v>
          </cell>
        </row>
        <row r="14">
          <cell r="B14" t="str">
            <v>f</v>
          </cell>
          <cell r="C14" t="str">
            <v>Others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2.8421709430404007E-14</v>
          </cell>
          <cell r="I14">
            <v>4.2632564145606011E-14</v>
          </cell>
          <cell r="J14">
            <v>0</v>
          </cell>
          <cell r="K14">
            <v>0</v>
          </cell>
        </row>
        <row r="15">
          <cell r="B15" t="str">
            <v>g.</v>
          </cell>
          <cell r="C15" t="str">
            <v>Total</v>
          </cell>
          <cell r="D15">
            <v>0</v>
          </cell>
          <cell r="E15">
            <v>0</v>
          </cell>
          <cell r="F15">
            <v>0</v>
          </cell>
          <cell r="G15">
            <v>1258.2746934645911</v>
          </cell>
          <cell r="H15">
            <v>180.484229570097</v>
          </cell>
          <cell r="I15">
            <v>215.8039268250746</v>
          </cell>
          <cell r="J15">
            <v>224.87800182662886</v>
          </cell>
          <cell r="K15">
            <v>231.58862726208139</v>
          </cell>
        </row>
        <row r="17">
          <cell r="A17">
            <v>2</v>
          </cell>
          <cell r="C17" t="str">
            <v>USES</v>
          </cell>
        </row>
        <row r="18">
          <cell r="B18" t="str">
            <v>a.</v>
          </cell>
          <cell r="C18" t="str">
            <v>Net Loss</v>
          </cell>
          <cell r="D18">
            <v>0</v>
          </cell>
          <cell r="E18">
            <v>0</v>
          </cell>
          <cell r="F18">
            <v>0</v>
          </cell>
          <cell r="G18">
            <v>14.787249708847952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b.</v>
          </cell>
          <cell r="C19" t="str">
            <v>Dec.in Term Liab. incl. Pub.Dep.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108.33333333333394</v>
          </cell>
          <cell r="I19">
            <v>108.33333333333348</v>
          </cell>
          <cell r="J19">
            <v>108.33333333333326</v>
          </cell>
          <cell r="K19">
            <v>108.33333333333326</v>
          </cell>
        </row>
        <row r="20">
          <cell r="B20" t="str">
            <v>c.</v>
          </cell>
          <cell r="C20" t="str">
            <v xml:space="preserve">Increase in </v>
          </cell>
        </row>
        <row r="21">
          <cell r="C21" t="str">
            <v>i)  Fixed Assets</v>
          </cell>
          <cell r="D21">
            <v>0</v>
          </cell>
          <cell r="E21">
            <v>0</v>
          </cell>
          <cell r="F21">
            <v>0</v>
          </cell>
          <cell r="G21">
            <v>1215.2249397306668</v>
          </cell>
          <cell r="H21">
            <v>60</v>
          </cell>
          <cell r="I21">
            <v>65</v>
          </cell>
          <cell r="J21">
            <v>95</v>
          </cell>
          <cell r="K21">
            <v>105</v>
          </cell>
        </row>
        <row r="22">
          <cell r="C22" t="str">
            <v>ii)  Other Non current assets</v>
          </cell>
          <cell r="D22">
            <v>0</v>
          </cell>
          <cell r="E22">
            <v>0</v>
          </cell>
          <cell r="F22">
            <v>0</v>
          </cell>
          <cell r="G22">
            <v>38.169584567200005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d.</v>
          </cell>
          <cell r="C23" t="str">
            <v>Dividend Payment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e</v>
          </cell>
          <cell r="C24" t="str">
            <v xml:space="preserve">Others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2.8421709430404007E-14</v>
          </cell>
          <cell r="K24">
            <v>5.6843418860808015E-14</v>
          </cell>
        </row>
        <row r="25">
          <cell r="B25" t="str">
            <v>f</v>
          </cell>
          <cell r="C25" t="str">
            <v>Total</v>
          </cell>
          <cell r="D25">
            <v>0</v>
          </cell>
          <cell r="E25">
            <v>0</v>
          </cell>
          <cell r="F25">
            <v>0</v>
          </cell>
          <cell r="G25">
            <v>1268.1817740067147</v>
          </cell>
          <cell r="H25">
            <v>168.33333333333394</v>
          </cell>
          <cell r="I25">
            <v>173.33333333333348</v>
          </cell>
          <cell r="J25">
            <v>203.33333333333329</v>
          </cell>
          <cell r="K25">
            <v>213.33333333333331</v>
          </cell>
        </row>
        <row r="26">
          <cell r="B26" t="str">
            <v>FUNDS FLOW STATEMENT</v>
          </cell>
        </row>
        <row r="27">
          <cell r="C27" t="str">
            <v>(Summary)</v>
          </cell>
          <cell r="D27" t="str">
            <v>As on 31st March</v>
          </cell>
          <cell r="E27" t="str">
            <v>As on 31st March</v>
          </cell>
        </row>
        <row r="28">
          <cell r="D28" t="str">
            <v>Rs in</v>
          </cell>
          <cell r="E28" t="str">
            <v>Rs in</v>
          </cell>
          <cell r="F28" t="str">
            <v>Rs. Lakhs</v>
          </cell>
        </row>
        <row r="29">
          <cell r="D29">
            <v>2006</v>
          </cell>
          <cell r="E29">
            <v>2007</v>
          </cell>
          <cell r="F29">
            <v>2008</v>
          </cell>
          <cell r="G29">
            <v>2009</v>
          </cell>
          <cell r="H29">
            <v>2010</v>
          </cell>
          <cell r="I29">
            <v>2011</v>
          </cell>
          <cell r="J29">
            <v>2012</v>
          </cell>
          <cell r="K29">
            <v>2013</v>
          </cell>
        </row>
        <row r="30">
          <cell r="C30" t="str">
            <v>Particulars</v>
          </cell>
          <cell r="D30" t="str">
            <v>Aud.</v>
          </cell>
          <cell r="E30" t="str">
            <v>Est.</v>
          </cell>
          <cell r="F30" t="str">
            <v>Proj.</v>
          </cell>
          <cell r="G30" t="str">
            <v>Proj.</v>
          </cell>
          <cell r="H30" t="str">
            <v>Proj.</v>
          </cell>
          <cell r="I30" t="str">
            <v>Proj.</v>
          </cell>
          <cell r="J30" t="str">
            <v>Proj.</v>
          </cell>
          <cell r="K30" t="str">
            <v>Proj.</v>
          </cell>
        </row>
        <row r="31">
          <cell r="A31">
            <v>3</v>
          </cell>
          <cell r="B31" t="str">
            <v>I</v>
          </cell>
          <cell r="C31" t="str">
            <v>Long Term Surplus/Deficit</v>
          </cell>
          <cell r="D31">
            <v>0</v>
          </cell>
          <cell r="E31">
            <v>0</v>
          </cell>
          <cell r="F31">
            <v>0</v>
          </cell>
          <cell r="G31">
            <v>-9.9070805421235946</v>
          </cell>
          <cell r="H31">
            <v>12.15089623676306</v>
          </cell>
          <cell r="I31">
            <v>42.470593491741113</v>
          </cell>
          <cell r="J31">
            <v>21.544668493295575</v>
          </cell>
          <cell r="K31">
            <v>18.255293928748074</v>
          </cell>
        </row>
        <row r="32">
          <cell r="A32">
            <v>4</v>
          </cell>
          <cell r="B32" t="str">
            <v>ii</v>
          </cell>
          <cell r="C32" t="str">
            <v>Increase/decrease in Curr. Assts.</v>
          </cell>
          <cell r="D32">
            <v>0</v>
          </cell>
          <cell r="E32">
            <v>0</v>
          </cell>
          <cell r="F32">
            <v>0</v>
          </cell>
          <cell r="G32">
            <v>374.86849936651015</v>
          </cell>
          <cell r="H32">
            <v>129.75642517707615</v>
          </cell>
          <cell r="I32">
            <v>70.863157707783898</v>
          </cell>
          <cell r="J32">
            <v>30.060248785412796</v>
          </cell>
          <cell r="K32">
            <v>25.585633260642339</v>
          </cell>
        </row>
        <row r="33">
          <cell r="A33">
            <v>5</v>
          </cell>
          <cell r="B33" t="str">
            <v>iii</v>
          </cell>
          <cell r="C33" t="str">
            <v>Inc./Dec. in CL other than BB</v>
          </cell>
          <cell r="D33">
            <v>0</v>
          </cell>
          <cell r="E33">
            <v>0</v>
          </cell>
          <cell r="F33">
            <v>0</v>
          </cell>
          <cell r="G33">
            <v>128.77557990863403</v>
          </cell>
          <cell r="H33">
            <v>24.605528940313178</v>
          </cell>
          <cell r="I33">
            <v>7.3925642160427003</v>
          </cell>
          <cell r="J33">
            <v>7.5155802921173347</v>
          </cell>
          <cell r="K33">
            <v>7.3303393318942369</v>
          </cell>
        </row>
        <row r="34">
          <cell r="A34">
            <v>6</v>
          </cell>
          <cell r="B34" t="str">
            <v>iv</v>
          </cell>
          <cell r="C34" t="str">
            <v>Inc./Dec. in WC Gap</v>
          </cell>
          <cell r="D34">
            <v>0</v>
          </cell>
          <cell r="E34">
            <v>0</v>
          </cell>
          <cell r="F34">
            <v>0</v>
          </cell>
          <cell r="G34">
            <v>246.09291945787612</v>
          </cell>
          <cell r="H34">
            <v>105.15089623676297</v>
          </cell>
          <cell r="I34">
            <v>63.470593491741198</v>
          </cell>
          <cell r="J34">
            <v>22.544668493295461</v>
          </cell>
          <cell r="K34">
            <v>18.255293928748102</v>
          </cell>
        </row>
        <row r="35">
          <cell r="A35">
            <v>7</v>
          </cell>
          <cell r="B35" t="str">
            <v>v</v>
          </cell>
          <cell r="C35" t="str">
            <v>Net Surplus (+) Deficit (-)</v>
          </cell>
          <cell r="D35">
            <v>0</v>
          </cell>
          <cell r="E35">
            <v>0</v>
          </cell>
          <cell r="F35">
            <v>0</v>
          </cell>
          <cell r="G35">
            <v>-255.99999999999972</v>
          </cell>
          <cell r="H35">
            <v>-92.999999999999915</v>
          </cell>
          <cell r="I35">
            <v>-21.000000000000085</v>
          </cell>
          <cell r="J35">
            <v>-0.99999999999988631</v>
          </cell>
          <cell r="K35">
            <v>-2.8421709430404007E-14</v>
          </cell>
        </row>
        <row r="36">
          <cell r="A36">
            <v>8</v>
          </cell>
          <cell r="B36" t="str">
            <v>vi</v>
          </cell>
          <cell r="C36" t="str">
            <v>Inc./Dec. in Bank Borrowings</v>
          </cell>
          <cell r="D36">
            <v>0</v>
          </cell>
          <cell r="E36">
            <v>0</v>
          </cell>
          <cell r="F36">
            <v>0</v>
          </cell>
          <cell r="G36">
            <v>256</v>
          </cell>
          <cell r="H36">
            <v>93</v>
          </cell>
          <cell r="I36">
            <v>21</v>
          </cell>
          <cell r="J36">
            <v>1</v>
          </cell>
          <cell r="K36">
            <v>0</v>
          </cell>
        </row>
        <row r="37">
          <cell r="C37" t="str">
            <v>Check</v>
          </cell>
          <cell r="G37">
            <v>0</v>
          </cell>
          <cell r="H37">
            <v>0</v>
          </cell>
          <cell r="I37">
            <v>-8.5265128291212022E-14</v>
          </cell>
          <cell r="J37">
            <v>1.1368683772161603E-13</v>
          </cell>
          <cell r="K37">
            <v>-2.8421709430404007E-14</v>
          </cell>
        </row>
        <row r="39">
          <cell r="C39" t="str">
            <v>FUNDS FLOW STATEMENT</v>
          </cell>
        </row>
        <row r="40">
          <cell r="D40" t="str">
            <v>As on 31st March</v>
          </cell>
          <cell r="E40" t="str">
            <v>As on 31st March</v>
          </cell>
        </row>
        <row r="41">
          <cell r="D41" t="str">
            <v>Rs in</v>
          </cell>
          <cell r="E41" t="str">
            <v>Rs in</v>
          </cell>
          <cell r="F41" t="str">
            <v>Rs. Lakhs</v>
          </cell>
        </row>
        <row r="42">
          <cell r="D42">
            <v>2006</v>
          </cell>
          <cell r="E42">
            <v>2007</v>
          </cell>
          <cell r="F42">
            <v>2008</v>
          </cell>
          <cell r="G42">
            <v>2009</v>
          </cell>
          <cell r="H42">
            <v>2010</v>
          </cell>
          <cell r="I42">
            <v>2011</v>
          </cell>
          <cell r="J42">
            <v>2012</v>
          </cell>
          <cell r="K42">
            <v>2013</v>
          </cell>
        </row>
        <row r="43">
          <cell r="C43" t="str">
            <v>Particulars</v>
          </cell>
          <cell r="D43" t="str">
            <v>Aud.</v>
          </cell>
          <cell r="E43" t="str">
            <v>Est.</v>
          </cell>
          <cell r="F43" t="str">
            <v>Proj.</v>
          </cell>
          <cell r="G43" t="str">
            <v>Proj.</v>
          </cell>
          <cell r="H43" t="str">
            <v>Proj.</v>
          </cell>
          <cell r="I43" t="str">
            <v>Proj.</v>
          </cell>
          <cell r="J43" t="str">
            <v>Proj.</v>
          </cell>
          <cell r="K43" t="str">
            <v>Proj.</v>
          </cell>
        </row>
        <row r="45">
          <cell r="C45" t="str">
            <v>Long Term Sources</v>
          </cell>
          <cell r="D45">
            <v>0</v>
          </cell>
          <cell r="E45">
            <v>0</v>
          </cell>
          <cell r="F45">
            <v>0</v>
          </cell>
          <cell r="G45">
            <v>1258.2746934645911</v>
          </cell>
          <cell r="H45">
            <v>180.484229570097</v>
          </cell>
          <cell r="I45">
            <v>215.8039268250746</v>
          </cell>
          <cell r="J45">
            <v>224.87800182662886</v>
          </cell>
          <cell r="K45">
            <v>231.58862726208139</v>
          </cell>
        </row>
        <row r="46">
          <cell r="C46" t="str">
            <v>Long Term Uses</v>
          </cell>
          <cell r="D46">
            <v>0</v>
          </cell>
          <cell r="E46">
            <v>0</v>
          </cell>
          <cell r="F46">
            <v>0</v>
          </cell>
          <cell r="G46">
            <v>1268.1817740067147</v>
          </cell>
          <cell r="H46">
            <v>168.33333333333394</v>
          </cell>
          <cell r="I46">
            <v>173.33333333333348</v>
          </cell>
          <cell r="J46">
            <v>203.33333333333329</v>
          </cell>
          <cell r="K46">
            <v>213.33333333333331</v>
          </cell>
        </row>
        <row r="47">
          <cell r="C47" t="str">
            <v>Surplus/Deficit</v>
          </cell>
          <cell r="D47">
            <v>0</v>
          </cell>
          <cell r="E47">
            <v>0</v>
          </cell>
          <cell r="F47">
            <v>0</v>
          </cell>
          <cell r="G47">
            <v>-9.9070805421235946</v>
          </cell>
          <cell r="H47">
            <v>12.15089623676306</v>
          </cell>
          <cell r="I47">
            <v>42.470593491741113</v>
          </cell>
          <cell r="J47">
            <v>21.544668493295575</v>
          </cell>
          <cell r="K47">
            <v>18.255293928748074</v>
          </cell>
        </row>
        <row r="50">
          <cell r="C50" t="str">
            <v>Movement of TNW (Corporate)</v>
          </cell>
        </row>
        <row r="51">
          <cell r="D51" t="str">
            <v>As on 31st March</v>
          </cell>
          <cell r="E51" t="str">
            <v>As on 31st March</v>
          </cell>
        </row>
        <row r="52">
          <cell r="D52" t="str">
            <v xml:space="preserve">Rs. in </v>
          </cell>
          <cell r="E52" t="str">
            <v xml:space="preserve">Rs. in </v>
          </cell>
          <cell r="F52" t="str">
            <v>Rs. Lakhs</v>
          </cell>
        </row>
        <row r="53">
          <cell r="D53">
            <v>2006</v>
          </cell>
          <cell r="E53">
            <v>2007</v>
          </cell>
          <cell r="F53">
            <v>2008</v>
          </cell>
          <cell r="G53">
            <v>2009</v>
          </cell>
          <cell r="H53">
            <v>2010</v>
          </cell>
          <cell r="I53">
            <v>2011</v>
          </cell>
          <cell r="J53">
            <v>2012</v>
          </cell>
          <cell r="K53">
            <v>2013</v>
          </cell>
        </row>
        <row r="54">
          <cell r="C54" t="str">
            <v>Particulars</v>
          </cell>
          <cell r="D54" t="str">
            <v>Aud.</v>
          </cell>
          <cell r="E54" t="str">
            <v>Est.</v>
          </cell>
          <cell r="F54" t="str">
            <v>Proj.</v>
          </cell>
          <cell r="G54" t="str">
            <v>Proj.</v>
          </cell>
          <cell r="H54" t="str">
            <v>Proj.</v>
          </cell>
          <cell r="I54" t="str">
            <v>Proj.</v>
          </cell>
          <cell r="J54" t="str">
            <v>Proj.</v>
          </cell>
          <cell r="K54" t="str">
            <v>Proj.</v>
          </cell>
        </row>
        <row r="55">
          <cell r="C55" t="str">
            <v>Opening balance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356.04316572395203</v>
          </cell>
          <cell r="I55">
            <v>437.73027843336212</v>
          </cell>
          <cell r="J55">
            <v>557.32474584126692</v>
          </cell>
          <cell r="K55">
            <v>685.87729789972605</v>
          </cell>
        </row>
        <row r="56">
          <cell r="B56">
            <v>1</v>
          </cell>
          <cell r="C56" t="str">
            <v>Add.</v>
          </cell>
        </row>
        <row r="57">
          <cell r="C57" t="str">
            <v xml:space="preserve">i Profit/(-)Loss after  Tax </v>
          </cell>
          <cell r="D57">
            <v>0</v>
          </cell>
          <cell r="E57">
            <v>0</v>
          </cell>
          <cell r="F57">
            <v>0</v>
          </cell>
          <cell r="G57">
            <v>-14.787249708847952</v>
          </cell>
          <cell r="H57">
            <v>77.520029199810068</v>
          </cell>
          <cell r="I57">
            <v>115.42738389830477</v>
          </cell>
          <cell r="J57">
            <v>124.38546854885911</v>
          </cell>
          <cell r="K57">
            <v>130.16714739509945</v>
          </cell>
        </row>
        <row r="58">
          <cell r="C58" t="str">
            <v>ii Increase in Capital</v>
          </cell>
          <cell r="D58">
            <v>0</v>
          </cell>
          <cell r="E58">
            <v>0</v>
          </cell>
          <cell r="F58">
            <v>0</v>
          </cell>
          <cell r="G58">
            <v>400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 t="str">
            <v>iii Dec./(-) Inc.in Intangible Assets</v>
          </cell>
          <cell r="D59">
            <v>0</v>
          </cell>
          <cell r="E59">
            <v>0</v>
          </cell>
          <cell r="F59">
            <v>0</v>
          </cell>
          <cell r="G59">
            <v>-29.169584567200001</v>
          </cell>
          <cell r="H59">
            <v>4.1670835096000012</v>
          </cell>
          <cell r="I59">
            <v>4.1670835096000012</v>
          </cell>
          <cell r="J59">
            <v>4.1670835096000012</v>
          </cell>
          <cell r="K59">
            <v>4.1670835096000012</v>
          </cell>
        </row>
        <row r="60">
          <cell r="C60" t="str">
            <v>iv Inc../(-) \ Dec.in Reserves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2.8421709430404007E-14</v>
          </cell>
          <cell r="I60">
            <v>4.2632564145606011E-14</v>
          </cell>
          <cell r="J60">
            <v>-2.8421709430404007E-14</v>
          </cell>
          <cell r="K60">
            <v>-5.6843418860808015E-14</v>
          </cell>
        </row>
        <row r="61">
          <cell r="C61" t="str">
            <v>v. Adjust prior year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</v>
          </cell>
          <cell r="C62" t="str">
            <v xml:space="preserve">Less </v>
          </cell>
        </row>
        <row r="63">
          <cell r="C63" t="str">
            <v>Div Paid(Incl.Div.Tax)/ Withdrawals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 t="str">
            <v>TNW</v>
          </cell>
          <cell r="D64">
            <v>0</v>
          </cell>
          <cell r="E64">
            <v>0</v>
          </cell>
          <cell r="F64">
            <v>0</v>
          </cell>
          <cell r="G64">
            <v>356.04316572395203</v>
          </cell>
          <cell r="H64">
            <v>437.73027843336217</v>
          </cell>
          <cell r="I64">
            <v>557.32474584126692</v>
          </cell>
          <cell r="J64">
            <v>685.87729789972605</v>
          </cell>
          <cell r="K64">
            <v>820.21152880442537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6Elec"/>
      <sheetName val="S15POL"/>
      <sheetName val="S17power"/>
      <sheetName val="S18EQPplan"/>
      <sheetName val="S19cap"/>
      <sheetName val="S20MSE Items"/>
      <sheetName val="S21Subcon"/>
      <sheetName val="S22PRW"/>
      <sheetName val="chart as per norms"/>
      <sheetName val="Officer"/>
      <sheetName val="staff &amp; DP"/>
      <sheetName val="S23ManNos"/>
      <sheetName val="S24Mancost"/>
      <sheetName val="S25EQPrep"/>
      <sheetName val="S26EQPhire"/>
      <sheetName val="S27EQPlease"/>
      <sheetName val="Working 1"/>
      <sheetName val="S28Rev"/>
      <sheetName val="Prelim-wrk-detail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44 Depriciation"/>
      <sheetName val="S45 Refurbishment Charges"/>
      <sheetName val="Compatibilit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"/>
      <sheetName val="HGB"/>
      <sheetName val="Tabelle3"/>
      <sheetName val="VPP 1 &amp; 2"/>
      <sheetName val="Tabelle1"/>
      <sheetName val="IFRS Bilanz BUK20 Rst"/>
      <sheetName val="HGB Bilanz BUK20 Rst"/>
      <sheetName val="Zusatzberechnungen"/>
      <sheetName val="DrohverlustRST"/>
      <sheetName val="Korrektur Aufwertungen IFRS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en v.01.07.09 für 010"/>
      <sheetName val="Auswertungen v.13.03.09 für 09"/>
      <sheetName val="Basis FC1 2009"/>
      <sheetName val="Zusammenfassung"/>
      <sheetName val="Zusammenfassung ohne UW Nord"/>
      <sheetName val="Altafa"/>
      <sheetName val="Korrektur Aufwertungen IFRS2010"/>
      <sheetName val="Nutzdauern IFRS"/>
      <sheetName val="Invest 2011-2015 alt aus 2008"/>
      <sheetName val="Afa Invest 2009"/>
      <sheetName val="Afa Invest 2010"/>
      <sheetName val="Afa Invest 2011"/>
      <sheetName val="Afa Invest 2012"/>
      <sheetName val="Afa Invest 2013"/>
      <sheetName val="Afa Invest 2014"/>
      <sheetName val="Afa Invest 2015"/>
      <sheetName val="Afa Invest 2016"/>
      <sheetName val="Zuordnung WP --&gt; Segment"/>
      <sheetName val="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Summary"/>
      <sheetName val="Input"/>
      <sheetName val="Final"/>
      <sheetName val="BS"/>
      <sheetName val="P&amp;L"/>
      <sheetName val="Cashflow"/>
      <sheetName val="Grey"/>
      <sheetName val="DenTot"/>
      <sheetName val="DenSpin"/>
      <sheetName val="Den Rincan"/>
      <sheetName val="DenWev"/>
      <sheetName val="SfabTot"/>
      <sheetName val="SFSpin"/>
      <sheetName val="SFweav"/>
      <sheetName val="Spf32Total"/>
      <sheetName val="Spg Upg"/>
      <sheetName val="HVC"/>
      <sheetName val="Attires"/>
      <sheetName val="Power"/>
      <sheetName val="Parent"/>
      <sheetName val="P&amp;Lwith stkchng"/>
      <sheetName val="BS CMA"/>
      <sheetName val="P&amp;L CMA"/>
      <sheetName val="CMA CA-CL"/>
    </sheetNames>
    <sheetDataSet>
      <sheetData sheetId="0"/>
      <sheetData sheetId="1"/>
      <sheetData sheetId="2" refreshError="1">
        <row r="5">
          <cell r="G5">
            <v>1</v>
          </cell>
        </row>
        <row r="25">
          <cell r="E25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-Original"/>
      <sheetName val="Past PL &amp; BS "/>
      <sheetName val="Existing Projects"/>
      <sheetName val="Assumption"/>
      <sheetName val="Depre &amp; Tax"/>
      <sheetName val="Debt- Details"/>
      <sheetName val="WCTL"/>
      <sheetName val="Repay Summary"/>
      <sheetName val="Proj PL"/>
      <sheetName val="Proj BS"/>
      <sheetName val="Proj CF"/>
      <sheetName val="Ratios"/>
      <sheetName val="DSCR"/>
      <sheetName val="CMA"/>
      <sheetName val="SBI Sheet"/>
      <sheetName val="Security"/>
    </sheetNames>
    <sheetDataSet>
      <sheetData sheetId="0"/>
      <sheetData sheetId="1" refreshError="1"/>
      <sheetData sheetId="2"/>
      <sheetData sheetId="3"/>
      <sheetData sheetId="4"/>
      <sheetData sheetId="5">
        <row r="1">
          <cell r="EU1">
            <v>10000000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TRFinal model "/>
      <sheetName val="Halfye"/>
      <sheetName val="Colgate"/>
      <sheetName val="quest"/>
      <sheetName val="Text"/>
      <sheetName val="Final model"/>
      <sheetName val="Qly_flash"/>
      <sheetName val="Q1_pre"/>
      <sheetName val="other Qly_pre"/>
      <sheetName val="other Qly_rev"/>
      <sheetName val="Q1_rev"/>
      <sheetName val="PROFILE"/>
      <sheetName val="SEGMENT"/>
      <sheetName val="DILUTION"/>
      <sheetName val="PRIMARY"/>
      <sheetName val="P&amp;L"/>
      <sheetName val="BSHEET"/>
      <sheetName val="CFLOW"/>
      <sheetName val="RATIOS"/>
      <sheetName val="SUMMARY"/>
      <sheetName val="Preview"/>
      <sheetName val="Flash"/>
      <sheetName val="Earnings Guid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PP"/>
      <sheetName val="Debt"/>
      <sheetName val="COP"/>
      <sheetName val="Dep"/>
      <sheetName val="WC"/>
      <sheetName val="BS"/>
      <sheetName val="P&amp;L"/>
      <sheetName val="CF"/>
      <sheetName val="Ratios"/>
    </sheetNames>
    <sheetDataSet>
      <sheetData sheetId="0">
        <row r="111">
          <cell r="C111">
            <v>2</v>
          </cell>
        </row>
        <row r="113">
          <cell r="C113">
            <v>1.5</v>
          </cell>
        </row>
        <row r="114">
          <cell r="C114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rket_Share"/>
      <sheetName val="Trends"/>
    </sheetNames>
    <sheetDataSet>
      <sheetData sheetId="0" refreshError="1"/>
      <sheetData sheetId="1" refreshError="1">
        <row r="12">
          <cell r="A12" t="str">
            <v>1-7</v>
          </cell>
        </row>
      </sheetData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Bobcat DCF"/>
      <sheetName val="Bobcat Synergies"/>
      <sheetName val="Cougar Synergies"/>
      <sheetName val="Incremental Cash Analysis"/>
      <sheetName val="Options"/>
      <sheetName val="Sources of Value - Calcs"/>
      <sheetName val="Sources of Value"/>
      <sheetName val="Synergy DCF (2)"/>
      <sheetName val="Synergy DCF"/>
      <sheetName val="DCF Output"/>
      <sheetName val="WACC"/>
      <sheetName val="Cadence - Street"/>
      <sheetName val="Verisity"/>
      <sheetName val="Bobcat - STREET"/>
      <sheetName val="Bobcat - UPSIDE"/>
      <sheetName val="Bobcat - MEDIUM"/>
      <sheetName val="Bobcat - LOW"/>
      <sheetName val="Bobcat - DO NOT USE"/>
      <sheetName val="Synergy Model - CY2005"/>
      <sheetName val="Quarterly PFE"/>
      <sheetName val="PFE - 2005"/>
      <sheetName val="LT PFE"/>
      <sheetName val="PFE - 2005 Bobcat $0.18"/>
      <sheetName val="PFE - 2005 Bobcat $0.25"/>
      <sheetName val="PFE - 2005 Bobcat 5MM"/>
      <sheetName val="PFE - 2005 Bobcat 10MM"/>
      <sheetName val="PFE"/>
      <sheetName val="PFE - 2004"/>
      <sheetName val="TM"/>
      <sheetName val="SI"/>
      <sheetName val="KM"/>
      <sheetName val="ER"/>
      <sheetName val="RC"/>
      <sheetName val="PF P&amp;L"/>
      <sheetName val="DEV-T"/>
      <sheetName val="AdditionalPrintCode"/>
      <sheetName val="MainPrintCode"/>
      <sheetName val="Advocacy DEV-T"/>
      <sheetName val="IA"/>
      <sheetName val="OM"/>
      <sheetName val="SV-T"/>
      <sheetName val="PI"/>
      <sheetName val="PIR"/>
      <sheetName val="PFR"/>
      <sheetName val="DEV-NewCo"/>
      <sheetName val="PFR -AV Mult"/>
      <sheetName val="PF B-S"/>
      <sheetName val="Synopsys"/>
      <sheetName val="Mentor"/>
      <sheetName val="Mountain Lion"/>
      <sheetName val="Co K"/>
      <sheetName val="Co L"/>
      <sheetName val="Template"/>
      <sheetName val="Converts"/>
      <sheetName val="Factset"/>
      <sheetName val="Macro Defs"/>
      <sheetName val="Sheet1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0">
          <cell r="W50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debt  _ Copan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HINDUSTAN CONSTRUCTION CO. LTD</v>
          </cell>
        </row>
        <row r="3">
          <cell r="A3" t="str">
            <v>PROJECT BUDGET 2006-2010</v>
          </cell>
        </row>
      </sheetData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"/>
      <sheetName val="Senstivity"/>
      <sheetName val="Assumptions"/>
      <sheetName val="PC"/>
      <sheetName val="P &amp; L"/>
      <sheetName val="B Sheet"/>
      <sheetName val="Cash Flow"/>
      <sheetName val="Break Even"/>
      <sheetName val="WC"/>
      <sheetName val="Power"/>
      <sheetName val="Dep&amp; IT"/>
      <sheetName val="Debt"/>
    </sheetNames>
    <sheetDataSet>
      <sheetData sheetId="0" refreshError="1"/>
      <sheetData sheetId="1" refreshError="1"/>
      <sheetData sheetId="2">
        <row r="2">
          <cell r="P2">
            <v>10000000</v>
          </cell>
          <cell r="Q2" t="str">
            <v>(Rs. Crore)</v>
          </cell>
        </row>
        <row r="3">
          <cell r="P3">
            <v>100</v>
          </cell>
        </row>
        <row r="313">
          <cell r="E313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Use of Proceeds"/>
      <sheetName val="Input -Output sheet"/>
      <sheetName val="Financial statements --&gt;"/>
      <sheetName val="Consolidated Financials"/>
      <sheetName val="SACL India financials"/>
      <sheetName val="Sakthi porto financials"/>
      <sheetName val="Collateral Sheets--&gt;"/>
      <sheetName val="Scenario sensitive assumptions"/>
      <sheetName val="FA schedule"/>
      <sheetName val="Loan Schedules - India"/>
      <sheetName val="Loan Schedule - Porto"/>
      <sheetName val="Tax Calculations INR"/>
      <sheetName val="Input Sheet--&gt;"/>
      <sheetName val="Company Model Inputs"/>
      <sheetName val="Deal related workings --&gt;"/>
      <sheetName val="IPO Cash Payment+Conversion"/>
      <sheetName val="No IPO Cash Payment+Conversion"/>
      <sheetName val="Calculation of stake detail INR"/>
      <sheetName val="Breakup of new investor pay INR"/>
      <sheetName val="77A restriction &amp;other workings"/>
      <sheetName val="Conversion matrix"/>
    </sheetNames>
    <sheetDataSet>
      <sheetData sheetId="0"/>
      <sheetData sheetId="1"/>
      <sheetData sheetId="2"/>
      <sheetData sheetId="3">
        <row r="32">
          <cell r="C32">
            <v>0.25</v>
          </cell>
        </row>
        <row r="33">
          <cell r="C33">
            <v>0.15</v>
          </cell>
        </row>
        <row r="40">
          <cell r="C40">
            <v>5</v>
          </cell>
        </row>
        <row r="41">
          <cell r="C41">
            <v>0.25</v>
          </cell>
        </row>
        <row r="42">
          <cell r="C42">
            <v>0.1</v>
          </cell>
        </row>
        <row r="45">
          <cell r="C45" t="str">
            <v>No</v>
          </cell>
        </row>
        <row r="46">
          <cell r="C46" t="str">
            <v>EV/EBITDA</v>
          </cell>
        </row>
        <row r="47">
          <cell r="C47">
            <v>6</v>
          </cell>
        </row>
        <row r="48">
          <cell r="C48">
            <v>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Data"/>
      <sheetName val="trendcalc"/>
      <sheetName val="Chart1"/>
      <sheetName val="Haver"/>
      <sheetName val="OEF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L 31.03.2011"/>
      <sheetName val="Results"/>
      <sheetName val="Details - Others"/>
      <sheetName val="Statements"/>
      <sheetName val="Trial"/>
      <sheetName val="Summary"/>
      <sheetName val="Company "/>
      <sheetName val=" DTA"/>
      <sheetName val="FALTA"/>
      <sheetName val="CPP"/>
      <sheetName val="Tax Computation 2011"/>
      <sheetName val="Common expenses 2011"/>
      <sheetName val="Stock - Stores"/>
      <sheetName val="Interest Accrued 31.03.2011"/>
      <sheetName val="FOB 31.03.2011"/>
      <sheetName val="Excise &amp; sales tax demand"/>
      <sheetName val="Provision for contingencies"/>
      <sheetName val="CESTAT Order"/>
      <sheetName val="Stock-F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CASH FLOW"/>
      <sheetName val="Co. C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11.2004"/>
      <sheetName val="RIM  list as on 01.11.04"/>
      <sheetName val="Key"/>
      <sheetName val="2-Part"/>
      <sheetName val="#REF"/>
    </sheetNames>
    <sheetDataSet>
      <sheetData sheetId="0" refreshError="1">
        <row r="37">
          <cell r="D37">
            <v>9321044117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EZSU"/>
      <sheetName val="LLEGADA"/>
      <sheetName val="DESBASTE"/>
      <sheetName val="Control commands"/>
      <sheetName val="Assumptions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E"/>
      <sheetName val="PIEZSU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</sheet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Recon"/>
      <sheetName val="Brkdwns"/>
      <sheetName val="Portfolio"/>
      <sheetName val="P-S Actvty"/>
      <sheetName val="Tfr Actvty"/>
    </sheetNames>
    <sheetDataSet>
      <sheetData sheetId="0" refreshError="1">
        <row r="3">
          <cell r="E3">
            <v>37437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MOU"/>
      <sheetName val="Monthly MIS"/>
      <sheetName val="Furnace Cost"/>
      <sheetName val="Furnace Cost Summary"/>
      <sheetName val="EBT Improvement plan"/>
      <sheetName val="Executive Summary"/>
      <sheetName val="Monthly Budget"/>
      <sheetName val="Data Input"/>
      <sheetName val="Sheet2"/>
      <sheetName val="Efficiency"/>
      <sheetName val="Segmental Revenue"/>
      <sheetName val="Expenditure"/>
      <sheetName val="Sales Contribution"/>
      <sheetName val="Contribution"/>
      <sheetName val="REALIS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95">
          <cell r="E195">
            <v>40634</v>
          </cell>
          <cell r="F195">
            <v>40664</v>
          </cell>
          <cell r="G195">
            <v>40695</v>
          </cell>
          <cell r="H195">
            <v>40725</v>
          </cell>
          <cell r="I195">
            <v>40756</v>
          </cell>
          <cell r="J195">
            <v>40787</v>
          </cell>
          <cell r="K195">
            <v>40817</v>
          </cell>
          <cell r="L195">
            <v>40848</v>
          </cell>
          <cell r="M195">
            <v>40878</v>
          </cell>
          <cell r="N195">
            <v>40909</v>
          </cell>
          <cell r="O195">
            <v>40940</v>
          </cell>
          <cell r="P195">
            <v>40969</v>
          </cell>
        </row>
        <row r="196">
          <cell r="B196" t="str">
            <v>RSR</v>
          </cell>
          <cell r="C196" t="str">
            <v>Sand</v>
          </cell>
          <cell r="D196" t="str">
            <v>M.T.</v>
          </cell>
          <cell r="E196">
            <v>8784.2510000000002</v>
          </cell>
          <cell r="F196">
            <v>9045.9849999999988</v>
          </cell>
          <cell r="G196">
            <v>9126.3889999999992</v>
          </cell>
          <cell r="H196">
            <v>8220.3680000000004</v>
          </cell>
          <cell r="I196">
            <v>10608.210999999999</v>
          </cell>
          <cell r="J196">
            <v>10611.526000000002</v>
          </cell>
          <cell r="K196">
            <v>12298.011</v>
          </cell>
          <cell r="L196">
            <v>10913.12</v>
          </cell>
          <cell r="M196">
            <v>10782.724</v>
          </cell>
        </row>
        <row r="197">
          <cell r="B197" t="str">
            <v>RSR</v>
          </cell>
          <cell r="C197" t="str">
            <v>Sand</v>
          </cell>
          <cell r="D197" t="str">
            <v>Value</v>
          </cell>
          <cell r="E197">
            <v>143.6164498</v>
          </cell>
          <cell r="F197">
            <v>159.67166800000001</v>
          </cell>
          <cell r="G197">
            <v>152.73053920000004</v>
          </cell>
          <cell r="H197">
            <v>143.9544741</v>
          </cell>
          <cell r="I197">
            <v>182.83541300000002</v>
          </cell>
          <cell r="J197">
            <v>181.84650439999999</v>
          </cell>
          <cell r="K197">
            <v>232.49568559999997</v>
          </cell>
          <cell r="L197">
            <v>205.61657879999998</v>
          </cell>
          <cell r="M197">
            <v>207.94438099999999</v>
          </cell>
        </row>
        <row r="198">
          <cell r="B198" t="str">
            <v>RSR</v>
          </cell>
          <cell r="C198" t="str">
            <v>Limestone, Dolomite, Feldspar</v>
          </cell>
          <cell r="D198" t="str">
            <v>M.T.</v>
          </cell>
          <cell r="E198">
            <v>3496.998</v>
          </cell>
          <cell r="F198">
            <v>3712.3689999999997</v>
          </cell>
          <cell r="G198">
            <v>3812.3799999999997</v>
          </cell>
          <cell r="H198">
            <v>3419.0319999999997</v>
          </cell>
          <cell r="I198">
            <v>4405.4590000000007</v>
          </cell>
          <cell r="J198">
            <v>5046.7299999999996</v>
          </cell>
          <cell r="K198">
            <v>5092.76</v>
          </cell>
          <cell r="L198">
            <v>4533.5780000000004</v>
          </cell>
          <cell r="M198">
            <v>4735.9539999999997</v>
          </cell>
        </row>
        <row r="199">
          <cell r="B199" t="str">
            <v>RSR</v>
          </cell>
          <cell r="C199" t="str">
            <v>Limestone, Dolomite, Feldspar</v>
          </cell>
          <cell r="D199" t="str">
            <v>Value</v>
          </cell>
          <cell r="E199">
            <v>96.957357299999998</v>
          </cell>
          <cell r="F199">
            <v>109.8732492</v>
          </cell>
          <cell r="G199">
            <v>107.54129229999999</v>
          </cell>
          <cell r="H199">
            <v>95.877572499999999</v>
          </cell>
          <cell r="I199">
            <v>122.90725089999999</v>
          </cell>
          <cell r="J199">
            <v>144.50951610000001</v>
          </cell>
          <cell r="K199">
            <v>128.15644409999999</v>
          </cell>
          <cell r="L199">
            <v>113.041786</v>
          </cell>
          <cell r="M199">
            <v>134.34620820000001</v>
          </cell>
        </row>
        <row r="200">
          <cell r="B200" t="str">
            <v>RSR</v>
          </cell>
          <cell r="C200" t="str">
            <v>Soda Ash</v>
          </cell>
          <cell r="D200" t="str">
            <v>M.T.</v>
          </cell>
          <cell r="E200">
            <v>2697.6860000000001</v>
          </cell>
          <cell r="F200">
            <v>2752.36</v>
          </cell>
          <cell r="G200">
            <v>2774.9719999999998</v>
          </cell>
          <cell r="H200">
            <v>2354.6240000000003</v>
          </cell>
          <cell r="I200">
            <v>3219.837</v>
          </cell>
          <cell r="J200">
            <v>3726.9490000000001</v>
          </cell>
          <cell r="K200">
            <v>3754.0910000000003</v>
          </cell>
          <cell r="L200">
            <v>3405.3940000000002</v>
          </cell>
          <cell r="M200">
            <v>3460.2809999999999</v>
          </cell>
        </row>
        <row r="201">
          <cell r="B201" t="str">
            <v>RSR</v>
          </cell>
          <cell r="C201" t="str">
            <v>Soda Ash</v>
          </cell>
          <cell r="D201" t="str">
            <v>Value</v>
          </cell>
          <cell r="E201">
            <v>333.61255859999994</v>
          </cell>
          <cell r="F201">
            <v>331.35343769999997</v>
          </cell>
          <cell r="G201">
            <v>333.1181191</v>
          </cell>
          <cell r="H201">
            <v>267.6095669</v>
          </cell>
          <cell r="I201">
            <v>351.13102729999997</v>
          </cell>
          <cell r="J201">
            <v>430.22785750000003</v>
          </cell>
          <cell r="K201">
            <v>467.08973039999995</v>
          </cell>
          <cell r="L201">
            <v>551.76090399999998</v>
          </cell>
          <cell r="M201">
            <v>486.29673130000003</v>
          </cell>
        </row>
        <row r="202">
          <cell r="B202" t="str">
            <v>RSR</v>
          </cell>
          <cell r="C202" t="str">
            <v xml:space="preserve">Other </v>
          </cell>
          <cell r="D202" t="str">
            <v>M.T.</v>
          </cell>
          <cell r="E202">
            <v>66.852000000000004</v>
          </cell>
          <cell r="F202">
            <v>66.869</v>
          </cell>
          <cell r="G202">
            <v>71.781000000000006</v>
          </cell>
          <cell r="H202">
            <v>65.206000000000003</v>
          </cell>
          <cell r="I202">
            <v>89.146999999999991</v>
          </cell>
          <cell r="J202">
            <v>95.28</v>
          </cell>
          <cell r="K202">
            <v>93.878</v>
          </cell>
          <cell r="L202">
            <v>91.088999999999999</v>
          </cell>
          <cell r="M202">
            <v>86.291999999999987</v>
          </cell>
        </row>
        <row r="203">
          <cell r="B203" t="str">
            <v>RSR</v>
          </cell>
          <cell r="C203" t="str">
            <v xml:space="preserve">Other </v>
          </cell>
          <cell r="D203" t="str">
            <v>Value</v>
          </cell>
          <cell r="E203">
            <v>20.0096615</v>
          </cell>
          <cell r="F203">
            <v>28.320357700000002</v>
          </cell>
          <cell r="G203">
            <v>29.447005699999998</v>
          </cell>
          <cell r="H203">
            <v>25.848785500000002</v>
          </cell>
          <cell r="I203">
            <v>40.592852299999997</v>
          </cell>
          <cell r="J203">
            <v>50.0454553</v>
          </cell>
          <cell r="K203">
            <v>46.17924279999999</v>
          </cell>
          <cell r="L203">
            <v>47.349094100000002</v>
          </cell>
          <cell r="M203">
            <v>45.084318099999997</v>
          </cell>
        </row>
        <row r="204">
          <cell r="B204" t="str">
            <v>RSR</v>
          </cell>
          <cell r="C204" t="str">
            <v>Cullet</v>
          </cell>
          <cell r="D204" t="str">
            <v>M.T.</v>
          </cell>
          <cell r="E204">
            <v>7258.4799999999987</v>
          </cell>
          <cell r="F204">
            <v>6866.9638941684689</v>
          </cell>
          <cell r="G204">
            <v>7490.7349999999997</v>
          </cell>
          <cell r="H204">
            <v>6764.9650000000001</v>
          </cell>
          <cell r="I204">
            <v>9133.3349999999955</v>
          </cell>
          <cell r="J204">
            <v>7974.610999999999</v>
          </cell>
          <cell r="K204">
            <v>8198.3943099999997</v>
          </cell>
          <cell r="L204">
            <v>9476.7779999999984</v>
          </cell>
          <cell r="M204">
            <v>9105.512999999999</v>
          </cell>
        </row>
        <row r="205">
          <cell r="B205" t="str">
            <v>RSR</v>
          </cell>
          <cell r="C205" t="str">
            <v>Cullet</v>
          </cell>
          <cell r="D205" t="str">
            <v>Value</v>
          </cell>
          <cell r="E205">
            <v>225.14560169999999</v>
          </cell>
          <cell r="F205">
            <v>254.11563760000001</v>
          </cell>
          <cell r="G205">
            <v>243.53414904999997</v>
          </cell>
          <cell r="H205">
            <v>144.88766725000008</v>
          </cell>
          <cell r="I205">
            <v>250.30039909999996</v>
          </cell>
          <cell r="J205">
            <v>219.22650975000002</v>
          </cell>
          <cell r="K205">
            <v>268.07375637649994</v>
          </cell>
          <cell r="L205">
            <v>304.77293225000005</v>
          </cell>
          <cell r="M205">
            <v>313.7460026</v>
          </cell>
        </row>
        <row r="206">
          <cell r="B206" t="str">
            <v>RSR</v>
          </cell>
          <cell r="C206" t="str">
            <v>Price Difference</v>
          </cell>
          <cell r="D206" t="str">
            <v>M.T.</v>
          </cell>
        </row>
        <row r="207">
          <cell r="B207" t="str">
            <v>RSR</v>
          </cell>
          <cell r="C207" t="str">
            <v>Price Difference</v>
          </cell>
          <cell r="D207" t="str">
            <v>Value</v>
          </cell>
          <cell r="E207">
            <v>61.88</v>
          </cell>
          <cell r="F207">
            <v>43.5</v>
          </cell>
          <cell r="G207">
            <v>87.5</v>
          </cell>
          <cell r="H207">
            <v>63</v>
          </cell>
          <cell r="I207">
            <v>60</v>
          </cell>
          <cell r="J207">
            <v>65.14</v>
          </cell>
          <cell r="K207">
            <v>62.713333333333331</v>
          </cell>
          <cell r="L207">
            <v>78.8</v>
          </cell>
          <cell r="M207">
            <v>63</v>
          </cell>
        </row>
        <row r="209">
          <cell r="B209" t="str">
            <v>BGH</v>
          </cell>
          <cell r="C209" t="str">
            <v>Sand</v>
          </cell>
          <cell r="D209" t="str">
            <v>M.T.</v>
          </cell>
          <cell r="E209">
            <v>12408.05</v>
          </cell>
          <cell r="F209">
            <v>13006.66</v>
          </cell>
          <cell r="G209">
            <v>11741.66</v>
          </cell>
          <cell r="H209">
            <v>11343.81</v>
          </cell>
          <cell r="I209">
            <v>10617.67</v>
          </cell>
          <cell r="J209">
            <v>10939.63</v>
          </cell>
          <cell r="K209">
            <v>10550.710000000001</v>
          </cell>
          <cell r="L209">
            <v>11251.170000000002</v>
          </cell>
          <cell r="M209">
            <v>12463.720000000001</v>
          </cell>
        </row>
        <row r="210">
          <cell r="B210" t="str">
            <v>BGH</v>
          </cell>
          <cell r="C210" t="str">
            <v>Sand</v>
          </cell>
          <cell r="D210" t="str">
            <v>Value</v>
          </cell>
          <cell r="E210">
            <v>214.09</v>
          </cell>
          <cell r="F210">
            <v>224.48999999999998</v>
          </cell>
          <cell r="G210">
            <v>202.3</v>
          </cell>
          <cell r="H210">
            <v>200.95000000000002</v>
          </cell>
          <cell r="I210">
            <v>196.26</v>
          </cell>
          <cell r="J210">
            <v>208.70999999999998</v>
          </cell>
          <cell r="K210">
            <v>192.12</v>
          </cell>
          <cell r="L210">
            <v>201.15</v>
          </cell>
          <cell r="M210">
            <v>221.72000000000003</v>
          </cell>
        </row>
        <row r="211">
          <cell r="B211" t="str">
            <v>BGH</v>
          </cell>
          <cell r="C211" t="str">
            <v>Limestone, Dolomite, Feldspar</v>
          </cell>
          <cell r="D211" t="str">
            <v>M.T.</v>
          </cell>
          <cell r="E211">
            <v>5153.8999999999996</v>
          </cell>
          <cell r="F211">
            <v>5159.95</v>
          </cell>
          <cell r="G211">
            <v>4904.6659999999993</v>
          </cell>
          <cell r="H211">
            <v>5110.7890000000007</v>
          </cell>
          <cell r="I211">
            <v>4873.5879999999997</v>
          </cell>
          <cell r="J211">
            <v>5146.3070000000007</v>
          </cell>
          <cell r="K211">
            <v>5235.75</v>
          </cell>
          <cell r="L211">
            <v>5474.67</v>
          </cell>
          <cell r="M211">
            <v>5994.6799999999994</v>
          </cell>
        </row>
        <row r="212">
          <cell r="B212" t="str">
            <v>BGH</v>
          </cell>
          <cell r="C212" t="str">
            <v>Limestone, Dolomite, Feldspar</v>
          </cell>
          <cell r="D212" t="str">
            <v>Value</v>
          </cell>
          <cell r="E212">
            <v>101.29000000000002</v>
          </cell>
          <cell r="F212">
            <v>101.72</v>
          </cell>
          <cell r="G212">
            <v>97.38000000000001</v>
          </cell>
          <cell r="H212">
            <v>108.95</v>
          </cell>
          <cell r="I212">
            <v>108.37</v>
          </cell>
          <cell r="J212">
            <v>113.69999999999999</v>
          </cell>
          <cell r="K212">
            <v>114.75000000000001</v>
          </cell>
          <cell r="L212">
            <v>120.02</v>
          </cell>
          <cell r="M212">
            <v>132.65</v>
          </cell>
        </row>
        <row r="213">
          <cell r="B213" t="str">
            <v>BGH</v>
          </cell>
          <cell r="C213" t="str">
            <v>Soda Ash</v>
          </cell>
          <cell r="D213" t="str">
            <v>M.T.</v>
          </cell>
          <cell r="E213">
            <v>3883.5410000000002</v>
          </cell>
          <cell r="F213">
            <v>4299.3520000000008</v>
          </cell>
          <cell r="G213">
            <v>3781.4390000000003</v>
          </cell>
          <cell r="H213">
            <v>3692.759</v>
          </cell>
          <cell r="I213">
            <v>3656.74</v>
          </cell>
          <cell r="J213">
            <v>3869.12</v>
          </cell>
          <cell r="K213">
            <v>3844.4639999999999</v>
          </cell>
          <cell r="L213">
            <v>4153.1099999999997</v>
          </cell>
          <cell r="M213">
            <v>4430.22</v>
          </cell>
        </row>
        <row r="214">
          <cell r="B214" t="str">
            <v>BGH</v>
          </cell>
          <cell r="C214" t="str">
            <v>Soda Ash</v>
          </cell>
          <cell r="D214" t="str">
            <v>Value</v>
          </cell>
          <cell r="E214">
            <v>526.51</v>
          </cell>
          <cell r="F214">
            <v>570.36</v>
          </cell>
          <cell r="G214">
            <v>574.91000000000008</v>
          </cell>
          <cell r="H214">
            <v>482.99</v>
          </cell>
          <cell r="I214">
            <v>450.97999999999996</v>
          </cell>
          <cell r="J214">
            <v>466.82000000000005</v>
          </cell>
          <cell r="K214">
            <v>473.57</v>
          </cell>
          <cell r="L214">
            <v>576.66999999999996</v>
          </cell>
          <cell r="M214">
            <v>654.19000000000005</v>
          </cell>
        </row>
        <row r="215">
          <cell r="B215" t="str">
            <v>BGH</v>
          </cell>
          <cell r="C215" t="str">
            <v xml:space="preserve">Other </v>
          </cell>
          <cell r="D215" t="str">
            <v>M.T.</v>
          </cell>
          <cell r="E215">
            <v>145.72900000000001</v>
          </cell>
          <cell r="F215">
            <v>145.97800000000001</v>
          </cell>
          <cell r="G215">
            <v>143.28200000000001</v>
          </cell>
          <cell r="H215">
            <v>158.066</v>
          </cell>
          <cell r="I215">
            <v>156.453</v>
          </cell>
          <cell r="J215">
            <v>158.154</v>
          </cell>
          <cell r="K215">
            <v>148.364</v>
          </cell>
          <cell r="L215">
            <v>185.57600000000002</v>
          </cell>
          <cell r="M215">
            <v>200.39400000000001</v>
          </cell>
        </row>
        <row r="216">
          <cell r="B216" t="str">
            <v>BGH</v>
          </cell>
          <cell r="C216" t="str">
            <v xml:space="preserve">Other </v>
          </cell>
          <cell r="D216" t="str">
            <v>Value</v>
          </cell>
          <cell r="E216">
            <v>34.149999999999991</v>
          </cell>
          <cell r="F216">
            <v>35.909999999999997</v>
          </cell>
          <cell r="G216">
            <v>36.53</v>
          </cell>
          <cell r="H216">
            <v>39.33</v>
          </cell>
          <cell r="I216">
            <v>34.589999999999996</v>
          </cell>
          <cell r="J216">
            <v>43.67</v>
          </cell>
          <cell r="K216">
            <v>46.099999999999994</v>
          </cell>
          <cell r="L216">
            <v>48.09</v>
          </cell>
          <cell r="M216">
            <v>51.78</v>
          </cell>
        </row>
        <row r="217">
          <cell r="B217" t="str">
            <v>BGH</v>
          </cell>
          <cell r="C217" t="str">
            <v>Cullet</v>
          </cell>
          <cell r="D217" t="str">
            <v>M.T.</v>
          </cell>
          <cell r="E217">
            <v>6501.2199999999993</v>
          </cell>
          <cell r="F217">
            <v>6667.8050000000003</v>
          </cell>
          <cell r="G217">
            <v>7759.93</v>
          </cell>
          <cell r="H217">
            <v>8479.99</v>
          </cell>
          <cell r="I217">
            <v>9400.7900000000009</v>
          </cell>
          <cell r="J217">
            <v>7263.32</v>
          </cell>
          <cell r="K217">
            <v>8197.6219999999994</v>
          </cell>
          <cell r="L217">
            <v>7196.9570000000003</v>
          </cell>
          <cell r="M217">
            <v>7229.2070000000003</v>
          </cell>
        </row>
        <row r="218">
          <cell r="B218" t="str">
            <v>BGH</v>
          </cell>
          <cell r="C218" t="str">
            <v>Cullet</v>
          </cell>
          <cell r="D218" t="str">
            <v>Value</v>
          </cell>
          <cell r="E218">
            <v>167.68</v>
          </cell>
          <cell r="F218">
            <v>163.29</v>
          </cell>
          <cell r="G218">
            <v>187.67</v>
          </cell>
          <cell r="H218">
            <v>216.56</v>
          </cell>
          <cell r="I218">
            <v>276.49</v>
          </cell>
          <cell r="J218">
            <v>246.21</v>
          </cell>
          <cell r="K218">
            <v>246.56</v>
          </cell>
          <cell r="L218">
            <v>227.31</v>
          </cell>
          <cell r="M218">
            <v>189.54000000000002</v>
          </cell>
        </row>
        <row r="219">
          <cell r="B219" t="str">
            <v>BGH</v>
          </cell>
          <cell r="C219" t="str">
            <v>Price Difference</v>
          </cell>
          <cell r="D219" t="str">
            <v>M.T.</v>
          </cell>
        </row>
        <row r="220">
          <cell r="B220" t="str">
            <v>BGH</v>
          </cell>
          <cell r="C220" t="str">
            <v>Price Difference</v>
          </cell>
          <cell r="D220" t="str">
            <v>Value</v>
          </cell>
          <cell r="E220">
            <v>0.12</v>
          </cell>
          <cell r="F220">
            <v>-0.99</v>
          </cell>
          <cell r="G220">
            <v>-0.34</v>
          </cell>
          <cell r="H220">
            <v>-0.88</v>
          </cell>
          <cell r="I220">
            <v>-3.84</v>
          </cell>
          <cell r="J220">
            <v>-0.86</v>
          </cell>
          <cell r="M220">
            <v>1.71</v>
          </cell>
        </row>
        <row r="222">
          <cell r="B222" t="str">
            <v>RSK</v>
          </cell>
          <cell r="C222" t="str">
            <v>Sand</v>
          </cell>
          <cell r="D222" t="str">
            <v>M.T.</v>
          </cell>
          <cell r="E222">
            <v>4893.87</v>
          </cell>
          <cell r="F222">
            <v>4874.1000000000004</v>
          </cell>
          <cell r="G222">
            <v>4720.3899999999994</v>
          </cell>
          <cell r="H222">
            <v>5320.67</v>
          </cell>
          <cell r="I222">
            <v>5417.51</v>
          </cell>
          <cell r="J222">
            <v>5359.98</v>
          </cell>
          <cell r="K222">
            <v>5341.28</v>
          </cell>
          <cell r="L222">
            <v>5315.92</v>
          </cell>
          <cell r="M222">
            <v>5697.6289999999999</v>
          </cell>
        </row>
        <row r="223">
          <cell r="B223" t="str">
            <v>RSK</v>
          </cell>
          <cell r="C223" t="str">
            <v>Sand</v>
          </cell>
          <cell r="D223" t="str">
            <v>Value</v>
          </cell>
          <cell r="E223">
            <v>83.699999999999989</v>
          </cell>
          <cell r="F223">
            <v>83.38</v>
          </cell>
          <cell r="G223">
            <v>80.39</v>
          </cell>
          <cell r="H223">
            <v>91.66</v>
          </cell>
          <cell r="I223">
            <v>92.84</v>
          </cell>
          <cell r="J223">
            <v>93.68</v>
          </cell>
          <cell r="K223">
            <v>107.22</v>
          </cell>
          <cell r="L223">
            <v>111.66</v>
          </cell>
          <cell r="M223">
            <v>119.43</v>
          </cell>
        </row>
        <row r="224">
          <cell r="B224" t="str">
            <v>RSK</v>
          </cell>
          <cell r="C224" t="str">
            <v>Limestone, Dolomite, Feldspar</v>
          </cell>
          <cell r="D224" t="str">
            <v>M.T.</v>
          </cell>
          <cell r="E224">
            <v>2149.9750000000004</v>
          </cell>
          <cell r="F224">
            <v>2155.3760000000002</v>
          </cell>
          <cell r="G224">
            <v>2100.3029999999999</v>
          </cell>
          <cell r="H224">
            <v>2377.1010000000001</v>
          </cell>
          <cell r="I224">
            <v>2401.0430000000001</v>
          </cell>
          <cell r="J224">
            <v>2174.38</v>
          </cell>
          <cell r="K224">
            <v>2289.806</v>
          </cell>
          <cell r="L224">
            <v>2306.607</v>
          </cell>
          <cell r="M224">
            <v>2390.9809999999998</v>
          </cell>
        </row>
        <row r="225">
          <cell r="B225" t="str">
            <v>RSK</v>
          </cell>
          <cell r="C225" t="str">
            <v>Limestone, Dolomite, Feldspar</v>
          </cell>
          <cell r="D225" t="str">
            <v>Value</v>
          </cell>
          <cell r="E225">
            <v>32.129999999999995</v>
          </cell>
          <cell r="F225">
            <v>32.230000000000004</v>
          </cell>
          <cell r="G225">
            <v>31.939999999999998</v>
          </cell>
          <cell r="H225">
            <v>42.47</v>
          </cell>
          <cell r="I225">
            <v>44.129999999999995</v>
          </cell>
          <cell r="J225">
            <v>42.32</v>
          </cell>
          <cell r="K225">
            <v>46.32</v>
          </cell>
          <cell r="L225">
            <v>46.17</v>
          </cell>
          <cell r="M225">
            <v>48.95</v>
          </cell>
        </row>
        <row r="226">
          <cell r="B226" t="str">
            <v>RSK</v>
          </cell>
          <cell r="C226" t="str">
            <v>Soda Ash</v>
          </cell>
          <cell r="D226" t="str">
            <v>M.T.</v>
          </cell>
          <cell r="E226">
            <v>1642.4780000000001</v>
          </cell>
          <cell r="F226">
            <v>1652.3440000000001</v>
          </cell>
          <cell r="G226">
            <v>1633.5349999999999</v>
          </cell>
          <cell r="H226">
            <v>1831.451</v>
          </cell>
          <cell r="I226">
            <v>1879.857</v>
          </cell>
          <cell r="J226">
            <v>1751.49</v>
          </cell>
          <cell r="K226">
            <v>1802.577</v>
          </cell>
          <cell r="L226">
            <v>1800.306</v>
          </cell>
          <cell r="M226">
            <v>1586.203</v>
          </cell>
        </row>
        <row r="227">
          <cell r="B227" t="str">
            <v>RSK</v>
          </cell>
          <cell r="C227" t="str">
            <v>Soda Ash</v>
          </cell>
          <cell r="D227" t="str">
            <v>Value</v>
          </cell>
          <cell r="E227">
            <v>219.3</v>
          </cell>
          <cell r="F227">
            <v>241.46999999999997</v>
          </cell>
          <cell r="G227">
            <v>228.29000000000002</v>
          </cell>
          <cell r="H227">
            <v>273.65999999999997</v>
          </cell>
          <cell r="I227">
            <v>277.18</v>
          </cell>
          <cell r="J227">
            <v>249.64999999999998</v>
          </cell>
          <cell r="K227">
            <v>268.72000000000003</v>
          </cell>
          <cell r="L227">
            <v>243.19</v>
          </cell>
          <cell r="M227">
            <v>246.06</v>
          </cell>
        </row>
        <row r="228">
          <cell r="B228" t="str">
            <v>RSK</v>
          </cell>
          <cell r="C228" t="str">
            <v xml:space="preserve">Other </v>
          </cell>
          <cell r="D228" t="str">
            <v>M.T.</v>
          </cell>
          <cell r="E228">
            <v>48.370000000000005</v>
          </cell>
          <cell r="F228">
            <v>46.384999999999998</v>
          </cell>
          <cell r="G228">
            <v>47.25</v>
          </cell>
          <cell r="H228">
            <v>52.86</v>
          </cell>
          <cell r="I228">
            <v>56.04</v>
          </cell>
          <cell r="J228">
            <v>54.914999999999999</v>
          </cell>
          <cell r="K228">
            <v>56.114999999999995</v>
          </cell>
          <cell r="L228">
            <v>55.44</v>
          </cell>
          <cell r="M228">
            <v>56.4</v>
          </cell>
        </row>
        <row r="229">
          <cell r="B229" t="str">
            <v>RSK</v>
          </cell>
          <cell r="C229" t="str">
            <v xml:space="preserve">Other </v>
          </cell>
          <cell r="D229" t="str">
            <v>Value</v>
          </cell>
          <cell r="E229">
            <v>22.85</v>
          </cell>
          <cell r="F229">
            <v>26.56</v>
          </cell>
          <cell r="G229">
            <v>24.329999999999966</v>
          </cell>
          <cell r="H229">
            <v>26.860000000000042</v>
          </cell>
          <cell r="I229">
            <v>40.769999999999996</v>
          </cell>
          <cell r="J229">
            <v>26.82</v>
          </cell>
          <cell r="K229">
            <v>28.3</v>
          </cell>
          <cell r="L229">
            <v>32.630000000000003</v>
          </cell>
          <cell r="M229">
            <v>43.349999999999994</v>
          </cell>
        </row>
        <row r="230">
          <cell r="B230" t="str">
            <v>RSK</v>
          </cell>
          <cell r="C230" t="str">
            <v>Cullet</v>
          </cell>
          <cell r="D230" t="str">
            <v>M.T.</v>
          </cell>
          <cell r="E230">
            <v>6278.8580000000011</v>
          </cell>
          <cell r="F230">
            <v>6583.5150000000012</v>
          </cell>
          <cell r="G230">
            <v>6419.8260000000009</v>
          </cell>
          <cell r="H230">
            <v>5272.8090000000011</v>
          </cell>
          <cell r="I230">
            <v>5180.1489999999994</v>
          </cell>
          <cell r="J230">
            <v>4466.223</v>
          </cell>
          <cell r="K230">
            <v>5127.7579999999998</v>
          </cell>
          <cell r="L230">
            <v>5064.601999999999</v>
          </cell>
          <cell r="M230">
            <v>5442.5829999999987</v>
          </cell>
        </row>
        <row r="231">
          <cell r="B231" t="str">
            <v>RSK</v>
          </cell>
          <cell r="C231" t="str">
            <v>Cullet</v>
          </cell>
          <cell r="D231" t="str">
            <v>Value</v>
          </cell>
          <cell r="E231">
            <v>215.43</v>
          </cell>
          <cell r="F231">
            <v>227.88</v>
          </cell>
          <cell r="G231">
            <v>265.69</v>
          </cell>
          <cell r="H231">
            <v>207.45999999999998</v>
          </cell>
          <cell r="I231">
            <v>202.29000000000002</v>
          </cell>
          <cell r="J231">
            <v>172.2</v>
          </cell>
          <cell r="K231">
            <v>198.49</v>
          </cell>
          <cell r="L231">
            <v>192.81</v>
          </cell>
          <cell r="M231">
            <v>210.2</v>
          </cell>
        </row>
        <row r="232">
          <cell r="B232" t="str">
            <v>RSK</v>
          </cell>
          <cell r="C232" t="str">
            <v>Price Difference</v>
          </cell>
          <cell r="D232" t="str">
            <v>M.T.</v>
          </cell>
        </row>
        <row r="233">
          <cell r="B233" t="str">
            <v>RSK</v>
          </cell>
          <cell r="C233" t="str">
            <v>Price Difference</v>
          </cell>
          <cell r="D233" t="str">
            <v>Value</v>
          </cell>
          <cell r="E233">
            <v>-0.05</v>
          </cell>
          <cell r="F233">
            <v>0.03</v>
          </cell>
          <cell r="G233">
            <v>-0.44</v>
          </cell>
          <cell r="H233">
            <v>-1.76</v>
          </cell>
          <cell r="I233">
            <v>-2.91</v>
          </cell>
          <cell r="J233">
            <v>-1</v>
          </cell>
          <cell r="K233">
            <v>-2.2999999999999998</v>
          </cell>
          <cell r="L233">
            <v>1.08</v>
          </cell>
          <cell r="M233">
            <v>3.65</v>
          </cell>
        </row>
        <row r="235">
          <cell r="B235" t="str">
            <v>PCH</v>
          </cell>
          <cell r="C235" t="str">
            <v>Sand</v>
          </cell>
          <cell r="D235" t="str">
            <v>M.T.</v>
          </cell>
          <cell r="E235">
            <v>4252.67</v>
          </cell>
          <cell r="F235">
            <v>4537.3149999999996</v>
          </cell>
          <cell r="G235">
            <v>4402.8119999999999</v>
          </cell>
          <cell r="H235">
            <v>4260.1099999999997</v>
          </cell>
          <cell r="I235">
            <v>4333.4949999999999</v>
          </cell>
          <cell r="J235">
            <v>4278.8019999999997</v>
          </cell>
          <cell r="K235">
            <v>4333.5550000000003</v>
          </cell>
          <cell r="L235">
            <v>4601.68</v>
          </cell>
          <cell r="M235">
            <v>4396.34</v>
          </cell>
        </row>
        <row r="236">
          <cell r="B236" t="str">
            <v>PCH</v>
          </cell>
          <cell r="C236" t="str">
            <v>Sand</v>
          </cell>
          <cell r="D236" t="str">
            <v>Value</v>
          </cell>
          <cell r="E236">
            <v>15.843589864000007</v>
          </cell>
          <cell r="F236">
            <v>84.713939707499989</v>
          </cell>
          <cell r="G236">
            <v>80.995890676800002</v>
          </cell>
          <cell r="H236">
            <v>79.323674210999997</v>
          </cell>
          <cell r="I236">
            <v>80.041819397499992</v>
          </cell>
          <cell r="J236">
            <v>82.664743119199997</v>
          </cell>
          <cell r="K236">
            <v>86.077836320499998</v>
          </cell>
          <cell r="L236">
            <v>91.403630008000007</v>
          </cell>
          <cell r="M236">
            <v>87.324941053999993</v>
          </cell>
        </row>
        <row r="237">
          <cell r="B237" t="str">
            <v>PCH</v>
          </cell>
          <cell r="C237" t="str">
            <v>Limestone, Dolomite, Feldspar</v>
          </cell>
          <cell r="D237" t="str">
            <v>M.T.</v>
          </cell>
          <cell r="E237">
            <v>1519.489</v>
          </cell>
          <cell r="F237">
            <v>1592.4950000000001</v>
          </cell>
          <cell r="G237">
            <v>1532.269</v>
          </cell>
          <cell r="H237">
            <v>1483.13</v>
          </cell>
          <cell r="I237">
            <v>1512.433</v>
          </cell>
          <cell r="J237">
            <v>1476.645</v>
          </cell>
          <cell r="K237">
            <v>1488.0309999999999</v>
          </cell>
          <cell r="L237">
            <v>1598.2949999999998</v>
          </cell>
          <cell r="M237">
            <v>1494.624</v>
          </cell>
        </row>
        <row r="238">
          <cell r="B238" t="str">
            <v>PCH</v>
          </cell>
          <cell r="C238" t="str">
            <v>Limestone, Dolomite, Feldspar</v>
          </cell>
          <cell r="D238" t="str">
            <v>Value</v>
          </cell>
          <cell r="E238">
            <v>36.083082492199999</v>
          </cell>
          <cell r="F238">
            <v>43.462128599999993</v>
          </cell>
          <cell r="G238">
            <v>44.796025500000006</v>
          </cell>
          <cell r="H238">
            <v>42.477914800000001</v>
          </cell>
          <cell r="I238">
            <v>44.494160000000001</v>
          </cell>
          <cell r="J238">
            <v>45.136347499999999</v>
          </cell>
          <cell r="K238">
            <v>45.5915058</v>
          </cell>
          <cell r="L238">
            <v>48.633163999999994</v>
          </cell>
          <cell r="M238">
            <v>46.638146102100002</v>
          </cell>
        </row>
        <row r="239">
          <cell r="B239" t="str">
            <v>PCH</v>
          </cell>
          <cell r="C239" t="str">
            <v>Soda Ash</v>
          </cell>
          <cell r="D239" t="str">
            <v>M.T.</v>
          </cell>
          <cell r="E239">
            <v>1298.934</v>
          </cell>
          <cell r="F239">
            <v>1384.12</v>
          </cell>
          <cell r="G239">
            <v>1355.556</v>
          </cell>
          <cell r="H239">
            <v>1307.22</v>
          </cell>
          <cell r="I239">
            <v>1334.422</v>
          </cell>
          <cell r="J239">
            <v>1309.5429999999999</v>
          </cell>
          <cell r="K239">
            <v>1328.9390000000001</v>
          </cell>
          <cell r="L239">
            <v>1420.087</v>
          </cell>
          <cell r="M239">
            <v>1358.83</v>
          </cell>
        </row>
        <row r="240">
          <cell r="B240" t="str">
            <v>PCH</v>
          </cell>
          <cell r="C240" t="str">
            <v>Soda Ash</v>
          </cell>
          <cell r="D240" t="str">
            <v>Value</v>
          </cell>
          <cell r="E240">
            <v>162.87242500619999</v>
          </cell>
          <cell r="F240">
            <v>177.32397499999999</v>
          </cell>
          <cell r="G240">
            <v>172.4099415</v>
          </cell>
          <cell r="H240">
            <v>163.97792240000001</v>
          </cell>
          <cell r="I240">
            <v>152.90084999999999</v>
          </cell>
          <cell r="J240">
            <v>168.66730379999998</v>
          </cell>
          <cell r="K240">
            <v>172.30400449999999</v>
          </cell>
          <cell r="L240">
            <v>188.14568219999998</v>
          </cell>
          <cell r="M240">
            <v>208.32618760000003</v>
          </cell>
        </row>
        <row r="241">
          <cell r="B241" t="str">
            <v>PCH</v>
          </cell>
          <cell r="C241" t="str">
            <v xml:space="preserve">Other </v>
          </cell>
          <cell r="D241" t="str">
            <v>M.T.</v>
          </cell>
          <cell r="E241">
            <v>30.959</v>
          </cell>
          <cell r="F241">
            <v>32.44</v>
          </cell>
          <cell r="G241">
            <v>31.082000000000001</v>
          </cell>
          <cell r="H241">
            <v>32.851999999999997</v>
          </cell>
          <cell r="I241">
            <v>33.530999999999999</v>
          </cell>
          <cell r="J241">
            <v>32.982999999999997</v>
          </cell>
          <cell r="K241">
            <v>35.1</v>
          </cell>
          <cell r="L241">
            <v>42.622999999999998</v>
          </cell>
          <cell r="M241">
            <v>39.402999999999999</v>
          </cell>
        </row>
        <row r="242">
          <cell r="B242" t="str">
            <v>PCH</v>
          </cell>
          <cell r="C242" t="str">
            <v xml:space="preserve">Other </v>
          </cell>
          <cell r="D242" t="str">
            <v>Value</v>
          </cell>
          <cell r="E242">
            <v>27.885664037799998</v>
          </cell>
          <cell r="F242">
            <v>27.298436699999996</v>
          </cell>
          <cell r="G242">
            <v>3.0234565999999998</v>
          </cell>
          <cell r="H242">
            <v>28.773183500000002</v>
          </cell>
          <cell r="I242">
            <v>28.762369999999997</v>
          </cell>
          <cell r="J242">
            <v>25.384194900000004</v>
          </cell>
          <cell r="K242">
            <v>25.527369700000005</v>
          </cell>
          <cell r="L242">
            <v>28.631056200000003</v>
          </cell>
          <cell r="M242">
            <v>27.227570579899997</v>
          </cell>
        </row>
        <row r="243">
          <cell r="B243" t="str">
            <v>PCH</v>
          </cell>
          <cell r="C243" t="str">
            <v>Cullet</v>
          </cell>
          <cell r="D243" t="str">
            <v>M.T.</v>
          </cell>
          <cell r="E243">
            <v>4964.0399999999991</v>
          </cell>
          <cell r="F243">
            <v>5200.6870000000017</v>
          </cell>
          <cell r="G243">
            <v>5140.3899999999994</v>
          </cell>
          <cell r="H243">
            <v>5440.7049999999999</v>
          </cell>
          <cell r="I243">
            <v>5370.0400000000009</v>
          </cell>
          <cell r="J243">
            <v>4713.68</v>
          </cell>
          <cell r="K243">
            <v>5234.869999999999</v>
          </cell>
          <cell r="L243">
            <v>3983.369999999999</v>
          </cell>
          <cell r="M243">
            <v>4493.84</v>
          </cell>
        </row>
        <row r="244">
          <cell r="B244" t="str">
            <v>PCH</v>
          </cell>
          <cell r="C244" t="str">
            <v>Cullet</v>
          </cell>
          <cell r="D244" t="str">
            <v>Value</v>
          </cell>
          <cell r="E244">
            <v>179.57870699999998</v>
          </cell>
          <cell r="F244">
            <v>185.11411289999998</v>
          </cell>
          <cell r="G244">
            <v>212.38869579999999</v>
          </cell>
          <cell r="H244">
            <v>199.61711879999999</v>
          </cell>
          <cell r="I244">
            <v>174.30937</v>
          </cell>
          <cell r="J244">
            <v>171.55269999999999</v>
          </cell>
          <cell r="K244">
            <v>161.032419</v>
          </cell>
          <cell r="L244">
            <v>131.9911166</v>
          </cell>
          <cell r="M244">
            <v>160.94143120000001</v>
          </cell>
        </row>
        <row r="245">
          <cell r="B245" t="str">
            <v>PCH</v>
          </cell>
          <cell r="C245" t="str">
            <v>Price Difference</v>
          </cell>
          <cell r="D245" t="str">
            <v>M.T.</v>
          </cell>
        </row>
        <row r="246">
          <cell r="B246" t="str">
            <v>PCH</v>
          </cell>
          <cell r="C246" t="str">
            <v>Price Difference</v>
          </cell>
          <cell r="D246" t="str">
            <v>Value</v>
          </cell>
          <cell r="E246">
            <v>5.8633800000000003</v>
          </cell>
          <cell r="F246">
            <v>17.56306</v>
          </cell>
          <cell r="G246">
            <v>7.5152999999999999</v>
          </cell>
          <cell r="H246">
            <v>9.3397299999999994</v>
          </cell>
          <cell r="I246">
            <v>-17.288625400000001</v>
          </cell>
          <cell r="J246">
            <v>8.0474300000000003</v>
          </cell>
          <cell r="K246">
            <v>0.34999000000000002</v>
          </cell>
          <cell r="L246">
            <v>3.8379099999999999</v>
          </cell>
          <cell r="M246">
            <v>5.6577700000000002</v>
          </cell>
        </row>
        <row r="248">
          <cell r="B248" t="str">
            <v>SNR</v>
          </cell>
          <cell r="C248" t="str">
            <v>Sand</v>
          </cell>
          <cell r="D248" t="str">
            <v>M.T.</v>
          </cell>
          <cell r="E248">
            <v>4960.2049999999999</v>
          </cell>
          <cell r="F248">
            <v>5241.1320000000005</v>
          </cell>
          <cell r="G248">
            <v>5220.3189999999995</v>
          </cell>
          <cell r="H248">
            <v>5393.7839999999997</v>
          </cell>
          <cell r="I248">
            <v>5095.0419999999995</v>
          </cell>
          <cell r="J248">
            <v>4988.3609999999999</v>
          </cell>
          <cell r="K248">
            <v>5520.7839999999997</v>
          </cell>
          <cell r="L248">
            <v>4963.8609999999999</v>
          </cell>
          <cell r="M248">
            <v>5067.6449999999995</v>
          </cell>
        </row>
        <row r="249">
          <cell r="B249" t="str">
            <v>SNR</v>
          </cell>
          <cell r="C249" t="str">
            <v>Sand</v>
          </cell>
          <cell r="D249" t="str">
            <v>Value</v>
          </cell>
          <cell r="E249">
            <v>111</v>
          </cell>
          <cell r="F249">
            <v>111.5296532</v>
          </cell>
          <cell r="G249">
            <v>111.01</v>
          </cell>
          <cell r="H249">
            <v>120.84443080000001</v>
          </cell>
          <cell r="I249">
            <v>116.43885730000001</v>
          </cell>
          <cell r="J249">
            <v>111.38745000000002</v>
          </cell>
          <cell r="K249">
            <v>121.54079089999999</v>
          </cell>
          <cell r="L249">
            <v>110.07299860000001</v>
          </cell>
          <cell r="M249">
            <v>111.6016456</v>
          </cell>
        </row>
        <row r="250">
          <cell r="B250" t="str">
            <v>SNR</v>
          </cell>
          <cell r="C250" t="str">
            <v>Limestone, Dolomite, Feldspar</v>
          </cell>
          <cell r="D250" t="str">
            <v>M.T.</v>
          </cell>
          <cell r="E250">
            <v>2404.5429999999997</v>
          </cell>
          <cell r="F250">
            <v>2533.1210000000001</v>
          </cell>
          <cell r="G250">
            <v>2416.6420000000003</v>
          </cell>
          <cell r="H250">
            <v>2553.8969999999999</v>
          </cell>
          <cell r="I250">
            <v>2392.6310000000003</v>
          </cell>
          <cell r="J250">
            <v>2376.9839999999999</v>
          </cell>
          <cell r="K250">
            <v>2724.636</v>
          </cell>
          <cell r="L250">
            <v>2345.799</v>
          </cell>
          <cell r="M250">
            <v>2406.94</v>
          </cell>
        </row>
        <row r="251">
          <cell r="B251" t="str">
            <v>SNR</v>
          </cell>
          <cell r="C251" t="str">
            <v>Limestone, Dolomite, Feldspar</v>
          </cell>
          <cell r="D251" t="str">
            <v>Value</v>
          </cell>
          <cell r="E251">
            <v>59.789999999999992</v>
          </cell>
          <cell r="F251">
            <v>63.331555699999996</v>
          </cell>
          <cell r="G251">
            <v>61.17</v>
          </cell>
          <cell r="H251">
            <v>68.272651499999995</v>
          </cell>
          <cell r="I251">
            <v>65.405642099999994</v>
          </cell>
          <cell r="J251">
            <v>65.654560000000004</v>
          </cell>
          <cell r="K251">
            <v>78.840428400000008</v>
          </cell>
          <cell r="L251">
            <v>66.075896900000004</v>
          </cell>
          <cell r="M251">
            <v>63.920868400000003</v>
          </cell>
        </row>
        <row r="252">
          <cell r="B252" t="str">
            <v>SNR</v>
          </cell>
          <cell r="C252" t="str">
            <v>Soda Ash</v>
          </cell>
          <cell r="D252" t="str">
            <v>M.T.</v>
          </cell>
          <cell r="E252">
            <v>1616.704</v>
          </cell>
          <cell r="F252">
            <v>1706.171</v>
          </cell>
          <cell r="G252">
            <v>1700.6470000000002</v>
          </cell>
          <cell r="H252">
            <v>1769.63</v>
          </cell>
          <cell r="I252">
            <v>1683.7840000000001</v>
          </cell>
          <cell r="J252">
            <v>1641.7909999999999</v>
          </cell>
          <cell r="K252">
            <v>1832.598</v>
          </cell>
          <cell r="L252">
            <v>1631.414</v>
          </cell>
          <cell r="M252">
            <v>1702.7089999999998</v>
          </cell>
        </row>
        <row r="253">
          <cell r="B253" t="str">
            <v>SNR</v>
          </cell>
          <cell r="C253" t="str">
            <v>Soda Ash</v>
          </cell>
          <cell r="D253" t="str">
            <v>Value</v>
          </cell>
          <cell r="E253">
            <v>205.82</v>
          </cell>
          <cell r="F253">
            <v>222.9513919</v>
          </cell>
          <cell r="G253">
            <v>242.22568299999998</v>
          </cell>
          <cell r="H253">
            <v>265.02264869999999</v>
          </cell>
          <cell r="I253">
            <v>235.47023000000002</v>
          </cell>
          <cell r="J253">
            <v>256.79930999999999</v>
          </cell>
          <cell r="K253">
            <v>260.22337570000002</v>
          </cell>
          <cell r="L253">
            <v>243.40414549999997</v>
          </cell>
          <cell r="M253">
            <v>258.11483970000006</v>
          </cell>
        </row>
        <row r="254">
          <cell r="B254" t="str">
            <v>SNR</v>
          </cell>
          <cell r="C254" t="str">
            <v xml:space="preserve">Other </v>
          </cell>
          <cell r="D254" t="str">
            <v>M.T.</v>
          </cell>
          <cell r="E254">
            <v>40.131999999999998</v>
          </cell>
          <cell r="F254">
            <v>42.32</v>
          </cell>
          <cell r="G254">
            <v>35.326000000000001</v>
          </cell>
          <cell r="H254">
            <v>42.858000000000004</v>
          </cell>
          <cell r="I254">
            <v>39.606999999999999</v>
          </cell>
          <cell r="J254">
            <v>40.677999999999997</v>
          </cell>
          <cell r="K254">
            <v>47.469000000000001</v>
          </cell>
          <cell r="L254">
            <v>45.195</v>
          </cell>
          <cell r="M254">
            <v>45.981999999999999</v>
          </cell>
        </row>
        <row r="255">
          <cell r="B255" t="str">
            <v>SNR</v>
          </cell>
          <cell r="C255" t="str">
            <v xml:space="preserve">Other </v>
          </cell>
          <cell r="D255" t="str">
            <v>Value</v>
          </cell>
          <cell r="E255">
            <v>21.26</v>
          </cell>
          <cell r="F255">
            <v>20.364778699999999</v>
          </cell>
          <cell r="G255">
            <v>17.575443500000002</v>
          </cell>
          <cell r="H255">
            <v>24.278076599999999</v>
          </cell>
          <cell r="I255">
            <v>23.822349800000001</v>
          </cell>
          <cell r="J255">
            <v>24.348950000000002</v>
          </cell>
          <cell r="K255">
            <v>26.567041800000002</v>
          </cell>
          <cell r="L255">
            <v>29.730167199999997</v>
          </cell>
          <cell r="M255">
            <v>25.2045657</v>
          </cell>
        </row>
        <row r="256">
          <cell r="B256" t="str">
            <v>SNR</v>
          </cell>
          <cell r="C256" t="str">
            <v>Cullet</v>
          </cell>
          <cell r="D256" t="str">
            <v>M.T.</v>
          </cell>
          <cell r="E256">
            <v>3422.0073000000011</v>
          </cell>
          <cell r="F256">
            <v>3329.9379999999996</v>
          </cell>
          <cell r="G256">
            <v>3260.2040000000002</v>
          </cell>
          <cell r="H256">
            <v>3360.2357552552558</v>
          </cell>
          <cell r="I256">
            <v>3737.1899256756756</v>
          </cell>
          <cell r="J256">
            <v>3768.35</v>
          </cell>
          <cell r="K256">
            <v>2880.1480000000001</v>
          </cell>
          <cell r="L256">
            <v>3135.41</v>
          </cell>
          <cell r="M256">
            <v>3825.3690000000001</v>
          </cell>
        </row>
        <row r="257">
          <cell r="B257" t="str">
            <v>SNR</v>
          </cell>
          <cell r="C257" t="str">
            <v>Cullet</v>
          </cell>
          <cell r="D257" t="str">
            <v>Value</v>
          </cell>
          <cell r="E257">
            <v>93.022403199999999</v>
          </cell>
          <cell r="F257">
            <v>106.92956279999999</v>
          </cell>
          <cell r="G257">
            <v>103.0412</v>
          </cell>
          <cell r="H257">
            <v>125.96703589999998</v>
          </cell>
          <cell r="I257">
            <v>143.68316590000001</v>
          </cell>
          <cell r="J257">
            <v>147.07325</v>
          </cell>
          <cell r="K257">
            <v>99.221863200000001</v>
          </cell>
          <cell r="L257">
            <v>105.25696309999999</v>
          </cell>
          <cell r="M257">
            <v>152.79122029999999</v>
          </cell>
        </row>
        <row r="258">
          <cell r="B258" t="str">
            <v>SNR</v>
          </cell>
          <cell r="C258" t="str">
            <v>Price Difference</v>
          </cell>
          <cell r="D258" t="str">
            <v>M.T.</v>
          </cell>
        </row>
        <row r="259">
          <cell r="B259" t="str">
            <v>SNR</v>
          </cell>
          <cell r="C259" t="str">
            <v>Price Difference</v>
          </cell>
          <cell r="D259" t="str">
            <v>Value</v>
          </cell>
          <cell r="E259">
            <v>0.25</v>
          </cell>
          <cell r="F259">
            <v>-0.43540059999999997</v>
          </cell>
          <cell r="I259">
            <v>2.8574223000000001</v>
          </cell>
          <cell r="J259">
            <v>15.33</v>
          </cell>
        </row>
        <row r="261">
          <cell r="B261" t="str">
            <v>NMR</v>
          </cell>
          <cell r="C261" t="str">
            <v>Sand</v>
          </cell>
          <cell r="D261" t="str">
            <v>M.T.</v>
          </cell>
          <cell r="E261">
            <v>2273.8200000000002</v>
          </cell>
          <cell r="F261">
            <v>2225.2999999999997</v>
          </cell>
          <cell r="G261">
            <v>2068.3200000000002</v>
          </cell>
          <cell r="H261">
            <v>2183.2449999999999</v>
          </cell>
          <cell r="I261">
            <v>2084.2600000000002</v>
          </cell>
          <cell r="J261">
            <v>1944.8600000000001</v>
          </cell>
          <cell r="K261">
            <v>2153.9539999999997</v>
          </cell>
          <cell r="L261">
            <v>2193.36</v>
          </cell>
          <cell r="M261">
            <v>2213.2400000000002</v>
          </cell>
        </row>
        <row r="262">
          <cell r="B262" t="str">
            <v>NMR</v>
          </cell>
          <cell r="C262" t="str">
            <v>Sand</v>
          </cell>
          <cell r="D262" t="str">
            <v>Value</v>
          </cell>
          <cell r="E262">
            <v>30.181170000000002</v>
          </cell>
          <cell r="F262">
            <v>20.45072</v>
          </cell>
          <cell r="G262">
            <v>19.411390000000001</v>
          </cell>
          <cell r="H262">
            <v>31.040779999999998</v>
          </cell>
          <cell r="I262">
            <v>30.387630000000001</v>
          </cell>
          <cell r="J262">
            <v>26.281659999999999</v>
          </cell>
          <cell r="K262">
            <v>32.27805</v>
          </cell>
          <cell r="L262">
            <v>37.315310000000004</v>
          </cell>
          <cell r="M262">
            <v>38.718649999999997</v>
          </cell>
        </row>
        <row r="263">
          <cell r="B263" t="str">
            <v>NMR</v>
          </cell>
          <cell r="C263" t="str">
            <v>Limestone, Dolomite, Feldspar</v>
          </cell>
          <cell r="D263" t="str">
            <v>M.T.</v>
          </cell>
          <cell r="E263">
            <v>946.81999999999994</v>
          </cell>
          <cell r="F263">
            <v>830.12999999999988</v>
          </cell>
          <cell r="G263">
            <v>788.39</v>
          </cell>
          <cell r="H263">
            <v>855.55</v>
          </cell>
          <cell r="I263">
            <v>919.23</v>
          </cell>
          <cell r="J263">
            <v>886.43000000000006</v>
          </cell>
          <cell r="K263">
            <v>985.77</v>
          </cell>
          <cell r="L263">
            <v>1000.01</v>
          </cell>
          <cell r="M263">
            <v>1015.9699999999999</v>
          </cell>
        </row>
        <row r="264">
          <cell r="B264" t="str">
            <v>NMR</v>
          </cell>
          <cell r="C264" t="str">
            <v>Limestone, Dolomite, Feldspar</v>
          </cell>
          <cell r="D264" t="str">
            <v>Value</v>
          </cell>
          <cell r="E264">
            <v>18.545190000000002</v>
          </cell>
          <cell r="F264">
            <v>15.666359999999999</v>
          </cell>
          <cell r="G264">
            <v>14.97931</v>
          </cell>
          <cell r="H264">
            <v>15.31626</v>
          </cell>
          <cell r="I264">
            <v>16.135169999999999</v>
          </cell>
          <cell r="J264">
            <v>15.41412</v>
          </cell>
          <cell r="K264">
            <v>19.0106</v>
          </cell>
          <cell r="L264">
            <v>20.511890000000001</v>
          </cell>
          <cell r="M264">
            <v>21.27167</v>
          </cell>
        </row>
        <row r="265">
          <cell r="B265" t="str">
            <v>NMR</v>
          </cell>
          <cell r="C265" t="str">
            <v>Soda Ash</v>
          </cell>
          <cell r="D265" t="str">
            <v>M.T.</v>
          </cell>
          <cell r="E265">
            <v>833.73</v>
          </cell>
          <cell r="F265">
            <v>846.48</v>
          </cell>
          <cell r="G265">
            <v>805.93999999999994</v>
          </cell>
          <cell r="H265">
            <v>872.63</v>
          </cell>
          <cell r="I265">
            <v>785.72</v>
          </cell>
          <cell r="J265">
            <v>714.78</v>
          </cell>
          <cell r="K265">
            <v>768.46</v>
          </cell>
          <cell r="L265">
            <v>741.9</v>
          </cell>
          <cell r="M265">
            <v>740.12599999999998</v>
          </cell>
        </row>
        <row r="266">
          <cell r="B266" t="str">
            <v>NMR</v>
          </cell>
          <cell r="C266" t="str">
            <v>Soda Ash</v>
          </cell>
          <cell r="D266" t="str">
            <v>Value</v>
          </cell>
          <cell r="E266">
            <v>101.91428999999999</v>
          </cell>
          <cell r="F266">
            <v>102.80245000000001</v>
          </cell>
          <cell r="G266">
            <v>97.848309999999998</v>
          </cell>
          <cell r="H266">
            <v>105.88746</v>
          </cell>
          <cell r="I266">
            <v>95.338520000000003</v>
          </cell>
          <cell r="J266">
            <v>85.973600000000005</v>
          </cell>
          <cell r="K266">
            <v>93.815280000000001</v>
          </cell>
          <cell r="L266">
            <v>94.976780000000005</v>
          </cell>
          <cell r="M266">
            <v>111.87557000000001</v>
          </cell>
        </row>
        <row r="267">
          <cell r="B267" t="str">
            <v>NMR</v>
          </cell>
          <cell r="C267" t="str">
            <v xml:space="preserve">Other </v>
          </cell>
          <cell r="D267" t="str">
            <v>M.T.</v>
          </cell>
          <cell r="E267">
            <v>24.847000000000001</v>
          </cell>
          <cell r="F267">
            <v>31.686</v>
          </cell>
          <cell r="G267">
            <v>30.603999999999999</v>
          </cell>
          <cell r="H267">
            <v>34.15</v>
          </cell>
          <cell r="I267">
            <v>21.664000000000001</v>
          </cell>
          <cell r="J267">
            <v>17.908000000000001</v>
          </cell>
          <cell r="K267">
            <v>16.709</v>
          </cell>
          <cell r="L267">
            <v>17.773</v>
          </cell>
          <cell r="M267">
            <v>164.304</v>
          </cell>
        </row>
        <row r="268">
          <cell r="B268" t="str">
            <v>NMR</v>
          </cell>
          <cell r="C268" t="str">
            <v xml:space="preserve">Other </v>
          </cell>
          <cell r="D268" t="str">
            <v>Value</v>
          </cell>
          <cell r="E268">
            <v>7.11266</v>
          </cell>
          <cell r="F268">
            <v>5.0407500000000001</v>
          </cell>
          <cell r="G268">
            <v>5.0324600000000004</v>
          </cell>
          <cell r="H268">
            <v>5.7734300000000003</v>
          </cell>
          <cell r="I268">
            <v>2.6493900000000004</v>
          </cell>
          <cell r="J268">
            <v>2.0348100000000002</v>
          </cell>
          <cell r="K268">
            <v>5.5778300000000005</v>
          </cell>
          <cell r="L268">
            <v>10.465170000000001</v>
          </cell>
          <cell r="M268">
            <v>11.257580000000001</v>
          </cell>
        </row>
        <row r="269">
          <cell r="B269" t="str">
            <v>NMR</v>
          </cell>
          <cell r="C269" t="str">
            <v>Cullet</v>
          </cell>
          <cell r="D269" t="str">
            <v>M.T.</v>
          </cell>
          <cell r="E269">
            <v>2709.82</v>
          </cell>
          <cell r="F269">
            <v>2762.9799999999996</v>
          </cell>
          <cell r="G269">
            <v>2842.3779999999997</v>
          </cell>
          <cell r="H269">
            <v>2802.3800000000006</v>
          </cell>
          <cell r="I269">
            <v>3056.4199999999996</v>
          </cell>
          <cell r="J269">
            <v>3030.5759999999991</v>
          </cell>
          <cell r="K269">
            <v>3077.9859999999999</v>
          </cell>
          <cell r="L269">
            <v>2923.5200000000009</v>
          </cell>
          <cell r="M269">
            <v>2946.75</v>
          </cell>
        </row>
        <row r="270">
          <cell r="B270" t="str">
            <v>NMR</v>
          </cell>
          <cell r="C270" t="str">
            <v>Cullet</v>
          </cell>
          <cell r="D270" t="str">
            <v>Value</v>
          </cell>
          <cell r="E270">
            <v>128.37931</v>
          </cell>
          <cell r="F270">
            <v>127.50157000000002</v>
          </cell>
          <cell r="G270">
            <v>123.16538</v>
          </cell>
          <cell r="H270">
            <v>138.02819</v>
          </cell>
          <cell r="I270">
            <v>102.49022000000001</v>
          </cell>
          <cell r="J270">
            <v>98.352419999999995</v>
          </cell>
          <cell r="K270">
            <v>149.15685000000002</v>
          </cell>
          <cell r="L270">
            <v>160.53251999999998</v>
          </cell>
          <cell r="M270">
            <v>160.47707</v>
          </cell>
        </row>
        <row r="271">
          <cell r="B271" t="str">
            <v>NMR</v>
          </cell>
          <cell r="C271" t="str">
            <v>Price Difference</v>
          </cell>
          <cell r="D271" t="str">
            <v>M.T.</v>
          </cell>
        </row>
        <row r="272">
          <cell r="B272" t="str">
            <v>NMR</v>
          </cell>
          <cell r="C272" t="str">
            <v>Price Difference</v>
          </cell>
          <cell r="D272" t="str">
            <v>Value</v>
          </cell>
        </row>
        <row r="274">
          <cell r="E274">
            <v>40634</v>
          </cell>
          <cell r="F274">
            <v>40664</v>
          </cell>
          <cell r="G274">
            <v>40695</v>
          </cell>
          <cell r="H274">
            <v>40725</v>
          </cell>
          <cell r="I274">
            <v>40756</v>
          </cell>
          <cell r="J274">
            <v>40787</v>
          </cell>
          <cell r="K274">
            <v>40817</v>
          </cell>
          <cell r="L274">
            <v>40848</v>
          </cell>
          <cell r="M274">
            <v>40878</v>
          </cell>
          <cell r="N274">
            <v>40909</v>
          </cell>
          <cell r="O274">
            <v>40940</v>
          </cell>
          <cell r="P274">
            <v>40969</v>
          </cell>
        </row>
        <row r="275">
          <cell r="B275" t="str">
            <v>RSR</v>
          </cell>
          <cell r="C275" t="str">
            <v>LPG</v>
          </cell>
          <cell r="D275" t="str">
            <v>Qty</v>
          </cell>
          <cell r="E275">
            <v>217.61296538009296</v>
          </cell>
          <cell r="F275">
            <v>223.2649601334746</v>
          </cell>
          <cell r="G275">
            <v>266.03300000000002</v>
          </cell>
          <cell r="H275">
            <v>408.33100000000007</v>
          </cell>
          <cell r="I275">
            <v>373.49</v>
          </cell>
          <cell r="J275">
            <v>344.07100000000008</v>
          </cell>
          <cell r="K275">
            <v>359.36900000000003</v>
          </cell>
          <cell r="L275">
            <v>336.35000000000008</v>
          </cell>
          <cell r="M275">
            <v>347.65</v>
          </cell>
        </row>
        <row r="276">
          <cell r="B276" t="str">
            <v>RSR</v>
          </cell>
          <cell r="C276" t="str">
            <v>LPG</v>
          </cell>
          <cell r="D276" t="str">
            <v>Value</v>
          </cell>
          <cell r="E276">
            <v>107.42139369427315</v>
          </cell>
          <cell r="F276">
            <v>117.60793330755985</v>
          </cell>
          <cell r="G276">
            <v>142.73049307242854</v>
          </cell>
          <cell r="H276">
            <v>215.92500659999999</v>
          </cell>
          <cell r="I276">
            <v>182.4235596</v>
          </cell>
          <cell r="J276">
            <v>170.91570910000002</v>
          </cell>
          <cell r="K276">
            <v>172.7801991</v>
          </cell>
          <cell r="L276">
            <v>167.10416460000002</v>
          </cell>
          <cell r="M276">
            <v>178.13117260000001</v>
          </cell>
        </row>
        <row r="277">
          <cell r="B277" t="str">
            <v>RSR</v>
          </cell>
          <cell r="C277" t="str">
            <v>LPG - ACL</v>
          </cell>
          <cell r="D277" t="str">
            <v>Qty</v>
          </cell>
          <cell r="E277">
            <v>55.507034619907039</v>
          </cell>
          <cell r="F277">
            <v>18.205039866525414</v>
          </cell>
          <cell r="G277">
            <v>8.6460000000000008</v>
          </cell>
          <cell r="H277">
            <v>0</v>
          </cell>
          <cell r="I277">
            <v>0</v>
          </cell>
        </row>
        <row r="278">
          <cell r="B278" t="str">
            <v>RSR</v>
          </cell>
          <cell r="C278" t="str">
            <v>LPG - ACL</v>
          </cell>
          <cell r="D278" t="str">
            <v>Value</v>
          </cell>
          <cell r="E278">
            <v>27.400219505726845</v>
          </cell>
          <cell r="F278">
            <v>9.5897587924401577</v>
          </cell>
          <cell r="G278">
            <v>4.6387021275714568</v>
          </cell>
          <cell r="H278">
            <v>0</v>
          </cell>
          <cell r="I278">
            <v>0</v>
          </cell>
        </row>
        <row r="279">
          <cell r="B279" t="str">
            <v>RSR</v>
          </cell>
          <cell r="C279" t="str">
            <v>LNG</v>
          </cell>
          <cell r="D279" t="str">
            <v>Qty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B280" t="str">
            <v>RSR</v>
          </cell>
          <cell r="C280" t="str">
            <v>LNG</v>
          </cell>
          <cell r="D280" t="str">
            <v>Value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B281" t="str">
            <v>RSR</v>
          </cell>
          <cell r="C281" t="str">
            <v>Furnace oil</v>
          </cell>
          <cell r="D281" t="str">
            <v>Qty</v>
          </cell>
          <cell r="E281">
            <v>1874.3533954488685</v>
          </cell>
          <cell r="F281">
            <v>2006.7230691275486</v>
          </cell>
          <cell r="G281">
            <v>2146.7579999999998</v>
          </cell>
          <cell r="H281">
            <v>2180.6528250000001</v>
          </cell>
          <cell r="I281">
            <v>2603.6110619999999</v>
          </cell>
          <cell r="J281">
            <v>2616.3354749999999</v>
          </cell>
          <cell r="K281">
            <v>2686.2946554</v>
          </cell>
          <cell r="L281">
            <v>2559.3715240990882</v>
          </cell>
          <cell r="M281">
            <v>2560.9234869275715</v>
          </cell>
        </row>
        <row r="282">
          <cell r="B282" t="str">
            <v>RSR</v>
          </cell>
          <cell r="C282" t="str">
            <v>Furnace oil</v>
          </cell>
          <cell r="D282" t="str">
            <v>Value</v>
          </cell>
          <cell r="E282">
            <v>690.60957239999993</v>
          </cell>
          <cell r="F282">
            <v>739.12</v>
          </cell>
          <cell r="G282">
            <v>758.81638989999999</v>
          </cell>
          <cell r="H282">
            <v>756.11805400000003</v>
          </cell>
          <cell r="I282">
            <v>881.77991349999991</v>
          </cell>
          <cell r="J282">
            <v>916.38822359999995</v>
          </cell>
          <cell r="K282">
            <v>987.40560799999992</v>
          </cell>
          <cell r="L282">
            <v>1003.8623966</v>
          </cell>
          <cell r="M282">
            <v>1053.8916019000001</v>
          </cell>
        </row>
        <row r="283">
          <cell r="B283" t="str">
            <v>RSR</v>
          </cell>
          <cell r="C283" t="str">
            <v>HSD</v>
          </cell>
          <cell r="D283" t="str">
            <v>Qty</v>
          </cell>
          <cell r="E283">
            <v>10.746</v>
          </cell>
          <cell r="F283">
            <v>8.2460000000000004</v>
          </cell>
          <cell r="G283">
            <v>8.66</v>
          </cell>
          <cell r="H283">
            <v>8.5730000000000004</v>
          </cell>
          <cell r="I283">
            <v>11.22</v>
          </cell>
          <cell r="J283">
            <v>13.436</v>
          </cell>
          <cell r="K283">
            <v>10.553000000000001</v>
          </cell>
          <cell r="L283">
            <v>17.931000000000001</v>
          </cell>
          <cell r="M283">
            <v>14.962999999999999</v>
          </cell>
        </row>
        <row r="284">
          <cell r="B284" t="str">
            <v>RSR</v>
          </cell>
          <cell r="C284" t="str">
            <v>HSD</v>
          </cell>
          <cell r="D284" t="str">
            <v>Value</v>
          </cell>
          <cell r="E284">
            <v>4.1477630000000003</v>
          </cell>
          <cell r="F284">
            <v>3.19</v>
          </cell>
          <cell r="G284">
            <v>3.4</v>
          </cell>
          <cell r="H284">
            <v>3.3849999999999998</v>
          </cell>
          <cell r="I284">
            <v>4.47</v>
          </cell>
          <cell r="J284">
            <v>5.4529359999999993</v>
          </cell>
          <cell r="K284">
            <v>4.34</v>
          </cell>
          <cell r="L284">
            <v>7.3692892000000008</v>
          </cell>
          <cell r="M284">
            <v>6.2861164</v>
          </cell>
        </row>
        <row r="285">
          <cell r="B285" t="str">
            <v>RSR</v>
          </cell>
          <cell r="C285" t="str">
            <v>Electricity ('1000 units)</v>
          </cell>
          <cell r="D285" t="str">
            <v>Qty</v>
          </cell>
          <cell r="E285">
            <v>6696.7389999999996</v>
          </cell>
          <cell r="F285">
            <v>6754.2449999999999</v>
          </cell>
          <cell r="G285">
            <v>6800.0510000000004</v>
          </cell>
          <cell r="H285">
            <v>5962.744999999999</v>
          </cell>
          <cell r="I285">
            <v>8151.6679999999997</v>
          </cell>
          <cell r="J285">
            <v>8443.1239999999998</v>
          </cell>
          <cell r="K285">
            <v>8419.9219999999987</v>
          </cell>
          <cell r="L285">
            <v>7938.5360000000001</v>
          </cell>
          <cell r="M285">
            <v>8087.875</v>
          </cell>
        </row>
        <row r="286">
          <cell r="B286" t="str">
            <v>RSR</v>
          </cell>
          <cell r="C286" t="str">
            <v>Electricity ('1000 units)</v>
          </cell>
          <cell r="D286" t="str">
            <v>Value</v>
          </cell>
          <cell r="E286">
            <v>308.04999399999997</v>
          </cell>
          <cell r="F286">
            <v>326.23003349999999</v>
          </cell>
          <cell r="G286">
            <v>328.44246330000004</v>
          </cell>
          <cell r="H286">
            <v>288.00058349999995</v>
          </cell>
          <cell r="I286">
            <v>374.97672799999998</v>
          </cell>
          <cell r="J286">
            <v>388.38370399999997</v>
          </cell>
          <cell r="K286">
            <v>387.31641199999996</v>
          </cell>
          <cell r="L286">
            <v>365.17265600000002</v>
          </cell>
          <cell r="M286">
            <v>355.86649999999997</v>
          </cell>
        </row>
        <row r="287">
          <cell r="B287" t="str">
            <v>RSR</v>
          </cell>
          <cell r="C287" t="str">
            <v>OTHERS</v>
          </cell>
          <cell r="D287" t="str">
            <v>Qty</v>
          </cell>
          <cell r="F287">
            <v>0</v>
          </cell>
          <cell r="G287">
            <v>0</v>
          </cell>
        </row>
        <row r="288">
          <cell r="B288" t="str">
            <v>RSR</v>
          </cell>
          <cell r="C288" t="str">
            <v>OTHERS</v>
          </cell>
          <cell r="D288" t="str">
            <v>Value</v>
          </cell>
          <cell r="E288">
            <v>7.5</v>
          </cell>
          <cell r="F288">
            <v>9.27</v>
          </cell>
          <cell r="G288">
            <v>8.48</v>
          </cell>
          <cell r="H288">
            <v>7.53</v>
          </cell>
          <cell r="I288">
            <v>11.6</v>
          </cell>
          <cell r="J288">
            <v>9.18</v>
          </cell>
          <cell r="K288">
            <v>10.49</v>
          </cell>
          <cell r="L288">
            <v>9.15</v>
          </cell>
          <cell r="M288">
            <v>10.1</v>
          </cell>
        </row>
        <row r="289">
          <cell r="B289" t="str">
            <v>RSR</v>
          </cell>
          <cell r="C289" t="str">
            <v>Price Difference</v>
          </cell>
          <cell r="D289" t="str">
            <v>Qty</v>
          </cell>
        </row>
        <row r="290">
          <cell r="B290" t="str">
            <v>RSR</v>
          </cell>
          <cell r="C290" t="str">
            <v>Price Difference</v>
          </cell>
          <cell r="D290" t="str">
            <v>Value</v>
          </cell>
          <cell r="E290">
            <v>0.49</v>
          </cell>
          <cell r="G290">
            <v>-4.3</v>
          </cell>
          <cell r="I290">
            <v>-35</v>
          </cell>
          <cell r="J290">
            <v>-39.35</v>
          </cell>
        </row>
        <row r="292">
          <cell r="B292" t="str">
            <v>BGH</v>
          </cell>
          <cell r="C292" t="str">
            <v>LPG</v>
          </cell>
          <cell r="D292" t="str">
            <v>Qty</v>
          </cell>
          <cell r="E292">
            <v>399.37900000000002</v>
          </cell>
          <cell r="F292">
            <v>451.84200000000004</v>
          </cell>
          <cell r="G292">
            <v>442.351</v>
          </cell>
          <cell r="H292">
            <v>479.05099999999999</v>
          </cell>
          <cell r="I292">
            <v>485.995</v>
          </cell>
          <cell r="J292">
            <v>474.69799999999998</v>
          </cell>
          <cell r="K292">
            <v>464.67399999999998</v>
          </cell>
          <cell r="L292">
            <v>480.54199999999997</v>
          </cell>
          <cell r="M292">
            <v>480.48099999999999</v>
          </cell>
        </row>
        <row r="293">
          <cell r="B293" t="str">
            <v>BGH</v>
          </cell>
          <cell r="C293" t="str">
            <v>LPG</v>
          </cell>
          <cell r="D293" t="str">
            <v>Value</v>
          </cell>
          <cell r="E293">
            <v>84.01</v>
          </cell>
          <cell r="F293">
            <v>102.76</v>
          </cell>
          <cell r="G293">
            <v>103.02</v>
          </cell>
          <cell r="H293">
            <v>113.02</v>
          </cell>
          <cell r="I293">
            <v>133.28</v>
          </cell>
          <cell r="J293">
            <v>151.82</v>
          </cell>
          <cell r="K293">
            <v>151.30000000000001</v>
          </cell>
          <cell r="L293">
            <v>129.32</v>
          </cell>
          <cell r="M293">
            <v>99.4</v>
          </cell>
        </row>
        <row r="294">
          <cell r="B294" t="str">
            <v>BGH</v>
          </cell>
          <cell r="C294" t="str">
            <v>LPG - ACL</v>
          </cell>
          <cell r="D294" t="str">
            <v>Qty</v>
          </cell>
          <cell r="E294">
            <v>23.015000000000001</v>
          </cell>
          <cell r="F294">
            <v>31.363</v>
          </cell>
          <cell r="G294">
            <v>13.675000000000001</v>
          </cell>
          <cell r="H294">
            <v>0</v>
          </cell>
          <cell r="I294">
            <v>0</v>
          </cell>
          <cell r="J294">
            <v>18.61</v>
          </cell>
          <cell r="K294">
            <v>35.896999999999998</v>
          </cell>
          <cell r="L294">
            <v>36.826000000000001</v>
          </cell>
          <cell r="M294">
            <v>53.636000000000003</v>
          </cell>
        </row>
        <row r="295">
          <cell r="B295" t="str">
            <v>BGH</v>
          </cell>
          <cell r="C295" t="str">
            <v>LPG - ACL</v>
          </cell>
          <cell r="D295" t="str">
            <v>Value</v>
          </cell>
          <cell r="E295">
            <v>5.0199999999999996</v>
          </cell>
          <cell r="F295">
            <v>6.87</v>
          </cell>
          <cell r="G295">
            <v>3.03</v>
          </cell>
          <cell r="H295">
            <v>0</v>
          </cell>
          <cell r="I295">
            <v>0</v>
          </cell>
          <cell r="J295">
            <v>5.87</v>
          </cell>
          <cell r="K295">
            <v>11.48</v>
          </cell>
          <cell r="L295">
            <v>9.91</v>
          </cell>
          <cell r="M295">
            <v>15.29</v>
          </cell>
        </row>
        <row r="296">
          <cell r="B296" t="str">
            <v>BGH</v>
          </cell>
          <cell r="C296" t="str">
            <v>LNG</v>
          </cell>
          <cell r="D296" t="str">
            <v>Qty</v>
          </cell>
          <cell r="H296">
            <v>0</v>
          </cell>
          <cell r="I296">
            <v>0</v>
          </cell>
          <cell r="J296">
            <v>0</v>
          </cell>
        </row>
        <row r="297">
          <cell r="B297" t="str">
            <v>BGH</v>
          </cell>
          <cell r="C297" t="str">
            <v>LNG</v>
          </cell>
          <cell r="D297" t="str">
            <v>Value</v>
          </cell>
          <cell r="H297">
            <v>0</v>
          </cell>
          <cell r="I297">
            <v>0</v>
          </cell>
          <cell r="J297">
            <v>0</v>
          </cell>
        </row>
        <row r="298">
          <cell r="B298" t="str">
            <v>BGH</v>
          </cell>
          <cell r="C298" t="str">
            <v>Furnace oil</v>
          </cell>
          <cell r="D298" t="str">
            <v>Qty</v>
          </cell>
          <cell r="E298">
            <v>2629.511</v>
          </cell>
          <cell r="F298">
            <v>2835.5630000000001</v>
          </cell>
          <cell r="G298">
            <v>2610.1419999999998</v>
          </cell>
          <cell r="H298">
            <v>2602.3690000000001</v>
          </cell>
          <cell r="I298">
            <v>2602.5920000000001</v>
          </cell>
          <cell r="J298">
            <v>2542.732</v>
          </cell>
          <cell r="K298">
            <v>2593.3009999999999</v>
          </cell>
          <cell r="L298">
            <v>2727.279</v>
          </cell>
          <cell r="M298">
            <v>2873.94</v>
          </cell>
        </row>
        <row r="299">
          <cell r="B299" t="str">
            <v>BGH</v>
          </cell>
          <cell r="C299" t="str">
            <v>Furnace oil</v>
          </cell>
          <cell r="D299" t="str">
            <v>Value</v>
          </cell>
          <cell r="E299">
            <v>616.19000000000005</v>
          </cell>
          <cell r="F299">
            <v>726.1</v>
          </cell>
          <cell r="G299">
            <v>689.29</v>
          </cell>
          <cell r="H299">
            <v>702.65</v>
          </cell>
          <cell r="I299">
            <v>731.77</v>
          </cell>
          <cell r="J299">
            <v>729.37</v>
          </cell>
          <cell r="K299">
            <v>769.38</v>
          </cell>
          <cell r="L299">
            <v>895.42</v>
          </cell>
          <cell r="M299">
            <v>1061.43</v>
          </cell>
        </row>
        <row r="300">
          <cell r="B300" t="str">
            <v>BGH</v>
          </cell>
          <cell r="C300" t="str">
            <v>HSD</v>
          </cell>
          <cell r="D300" t="str">
            <v>Qty</v>
          </cell>
        </row>
        <row r="301">
          <cell r="B301" t="str">
            <v>BGH</v>
          </cell>
          <cell r="C301" t="str">
            <v>HSD</v>
          </cell>
          <cell r="D301" t="str">
            <v>Value</v>
          </cell>
        </row>
        <row r="302">
          <cell r="B302" t="str">
            <v>BGH</v>
          </cell>
          <cell r="C302" t="str">
            <v>Electricity ('1000 units)</v>
          </cell>
          <cell r="D302" t="str">
            <v>Qty</v>
          </cell>
          <cell r="E302">
            <v>10307.69</v>
          </cell>
          <cell r="F302">
            <v>10194.886999999999</v>
          </cell>
          <cell r="G302">
            <v>9796</v>
          </cell>
          <cell r="H302">
            <v>11114.69</v>
          </cell>
          <cell r="I302">
            <v>11237.305</v>
          </cell>
          <cell r="J302">
            <v>10670.195</v>
          </cell>
          <cell r="K302">
            <v>11292.576999999999</v>
          </cell>
          <cell r="L302">
            <v>10347.847</v>
          </cell>
          <cell r="M302">
            <v>10460.356</v>
          </cell>
        </row>
        <row r="303">
          <cell r="B303" t="str">
            <v>BGH</v>
          </cell>
          <cell r="C303" t="str">
            <v>Electricity ('1000 units)</v>
          </cell>
          <cell r="D303" t="str">
            <v>Value</v>
          </cell>
          <cell r="E303">
            <v>660.54</v>
          </cell>
          <cell r="F303">
            <v>643.41000000000008</v>
          </cell>
          <cell r="G303">
            <v>653.45999999999992</v>
          </cell>
          <cell r="H303">
            <v>688.32</v>
          </cell>
          <cell r="I303">
            <v>713.57999999999993</v>
          </cell>
          <cell r="J303">
            <v>758.29000000000008</v>
          </cell>
          <cell r="K303">
            <v>768.48</v>
          </cell>
          <cell r="L303">
            <v>670.34</v>
          </cell>
          <cell r="M303">
            <v>718.52</v>
          </cell>
        </row>
        <row r="304">
          <cell r="B304" t="str">
            <v>BGH</v>
          </cell>
          <cell r="C304" t="str">
            <v>OTHERS</v>
          </cell>
          <cell r="D304" t="str">
            <v>Qty</v>
          </cell>
        </row>
        <row r="305">
          <cell r="B305" t="str">
            <v>BGH</v>
          </cell>
          <cell r="C305" t="str">
            <v>OTHERS</v>
          </cell>
          <cell r="D305" t="str">
            <v>Value</v>
          </cell>
        </row>
        <row r="306">
          <cell r="B306" t="str">
            <v>BGH</v>
          </cell>
          <cell r="C306" t="str">
            <v>Price Difference</v>
          </cell>
          <cell r="D306" t="str">
            <v>Qty</v>
          </cell>
        </row>
        <row r="307">
          <cell r="B307" t="str">
            <v>BGH</v>
          </cell>
          <cell r="C307" t="str">
            <v>Price Difference</v>
          </cell>
          <cell r="D307" t="str">
            <v>Value</v>
          </cell>
        </row>
        <row r="309">
          <cell r="B309" t="str">
            <v>RSK</v>
          </cell>
          <cell r="C309" t="str">
            <v>LPG</v>
          </cell>
          <cell r="D309" t="str">
            <v>Qty</v>
          </cell>
          <cell r="E309">
            <v>146.32999999999998</v>
          </cell>
          <cell r="F309">
            <v>149.85</v>
          </cell>
          <cell r="G309">
            <v>141.05000000000001</v>
          </cell>
          <cell r="H309">
            <v>140.28</v>
          </cell>
          <cell r="I309">
            <v>147.63999999999999</v>
          </cell>
          <cell r="J309">
            <v>151.779</v>
          </cell>
          <cell r="K309">
            <v>153.35</v>
          </cell>
          <cell r="L309">
            <v>148.43</v>
          </cell>
          <cell r="M309">
            <v>148.35999999999999</v>
          </cell>
        </row>
        <row r="310">
          <cell r="B310" t="str">
            <v>RSK</v>
          </cell>
          <cell r="C310" t="str">
            <v>LPG</v>
          </cell>
          <cell r="D310" t="str">
            <v>Value</v>
          </cell>
          <cell r="E310">
            <v>78.83</v>
          </cell>
          <cell r="F310">
            <v>82.53</v>
          </cell>
          <cell r="G310">
            <v>81.790000000000006</v>
          </cell>
          <cell r="H310">
            <v>79.87</v>
          </cell>
          <cell r="I310">
            <v>77.489999999999995</v>
          </cell>
          <cell r="J310">
            <v>80.720000000000013</v>
          </cell>
          <cell r="K310">
            <v>82.92</v>
          </cell>
          <cell r="L310">
            <v>79.290000000000006</v>
          </cell>
          <cell r="M310">
            <v>82.52</v>
          </cell>
        </row>
        <row r="311">
          <cell r="B311" t="str">
            <v>RSK</v>
          </cell>
          <cell r="C311" t="str">
            <v>LPG - ACL</v>
          </cell>
          <cell r="D311" t="str">
            <v>Qty</v>
          </cell>
          <cell r="K311">
            <v>7.0439999999999996</v>
          </cell>
          <cell r="L311">
            <v>18.09</v>
          </cell>
          <cell r="M311">
            <v>22.268999999999998</v>
          </cell>
        </row>
        <row r="312">
          <cell r="B312" t="str">
            <v>RSK</v>
          </cell>
          <cell r="C312" t="str">
            <v>LPG - ACL</v>
          </cell>
          <cell r="D312" t="str">
            <v>Value</v>
          </cell>
          <cell r="K312">
            <v>3.81</v>
          </cell>
          <cell r="L312">
            <v>10.09</v>
          </cell>
          <cell r="M312">
            <v>12.38</v>
          </cell>
        </row>
        <row r="313">
          <cell r="B313" t="str">
            <v>RSK</v>
          </cell>
          <cell r="C313" t="str">
            <v>LNG</v>
          </cell>
          <cell r="D313" t="str">
            <v>Qty</v>
          </cell>
        </row>
        <row r="314">
          <cell r="B314" t="str">
            <v>RSK</v>
          </cell>
          <cell r="C314" t="str">
            <v>LNG</v>
          </cell>
          <cell r="D314" t="str">
            <v>Value</v>
          </cell>
        </row>
        <row r="315">
          <cell r="B315" t="str">
            <v>RSK</v>
          </cell>
          <cell r="C315" t="str">
            <v>Furnace oil</v>
          </cell>
          <cell r="D315" t="str">
            <v>Qty</v>
          </cell>
          <cell r="E315">
            <v>1330.1</v>
          </cell>
          <cell r="F315">
            <v>1346.8609999999999</v>
          </cell>
          <cell r="G315">
            <v>1313.0500000000002</v>
          </cell>
          <cell r="H315">
            <v>1388.3</v>
          </cell>
          <cell r="I315">
            <v>1399.1</v>
          </cell>
          <cell r="J315">
            <v>1324.42</v>
          </cell>
          <cell r="K315">
            <v>1378.6</v>
          </cell>
          <cell r="L315">
            <v>1293</v>
          </cell>
          <cell r="M315">
            <v>1365.43</v>
          </cell>
        </row>
        <row r="316">
          <cell r="B316" t="str">
            <v>RSK</v>
          </cell>
          <cell r="C316" t="str">
            <v>Furnace oil</v>
          </cell>
          <cell r="D316" t="str">
            <v>Value</v>
          </cell>
          <cell r="E316">
            <v>536.86</v>
          </cell>
          <cell r="F316">
            <v>582.54</v>
          </cell>
          <cell r="G316">
            <v>552.02</v>
          </cell>
          <cell r="H316">
            <v>542.15</v>
          </cell>
          <cell r="I316">
            <v>550.91999999999996</v>
          </cell>
          <cell r="J316">
            <v>517.58000000000004</v>
          </cell>
          <cell r="K316">
            <v>568.72</v>
          </cell>
          <cell r="L316">
            <v>564.29</v>
          </cell>
          <cell r="M316">
            <v>625.71</v>
          </cell>
        </row>
        <row r="317">
          <cell r="B317" t="str">
            <v>RSK</v>
          </cell>
          <cell r="C317" t="str">
            <v>HSD</v>
          </cell>
          <cell r="D317" t="str">
            <v>Qty</v>
          </cell>
          <cell r="E317">
            <v>11.13</v>
          </cell>
          <cell r="F317">
            <v>17.904</v>
          </cell>
          <cell r="G317">
            <v>17.75</v>
          </cell>
          <cell r="H317">
            <v>18.952999999999999</v>
          </cell>
          <cell r="I317">
            <v>11.772</v>
          </cell>
          <cell r="J317">
            <v>22.93</v>
          </cell>
          <cell r="K317">
            <v>16.696000000000002</v>
          </cell>
          <cell r="L317">
            <v>5.44</v>
          </cell>
          <cell r="M317">
            <v>5.6890000000000001</v>
          </cell>
        </row>
        <row r="318">
          <cell r="B318" t="str">
            <v>RSK</v>
          </cell>
          <cell r="C318" t="str">
            <v>HSD</v>
          </cell>
          <cell r="D318" t="str">
            <v>Value</v>
          </cell>
          <cell r="E318">
            <v>3.94</v>
          </cell>
          <cell r="F318">
            <v>7.44</v>
          </cell>
          <cell r="G318">
            <v>6.1</v>
          </cell>
          <cell r="H318">
            <v>6.5</v>
          </cell>
          <cell r="I318">
            <v>4.1500000000000004</v>
          </cell>
          <cell r="J318">
            <v>6.82</v>
          </cell>
          <cell r="K318">
            <v>5.92</v>
          </cell>
          <cell r="L318">
            <v>1.96</v>
          </cell>
          <cell r="M318">
            <v>2.06</v>
          </cell>
        </row>
        <row r="319">
          <cell r="B319" t="str">
            <v>RSK</v>
          </cell>
          <cell r="C319" t="str">
            <v>Electricity ('1000 units)</v>
          </cell>
          <cell r="D319" t="str">
            <v>Qty</v>
          </cell>
          <cell r="E319">
            <v>4612</v>
          </cell>
          <cell r="F319">
            <v>4514</v>
          </cell>
          <cell r="G319">
            <v>4233.05</v>
          </cell>
          <cell r="H319">
            <v>4336.1000000000004</v>
          </cell>
          <cell r="I319">
            <v>4398.3999999999996</v>
          </cell>
          <cell r="J319">
            <v>4327.8</v>
          </cell>
          <cell r="K319">
            <v>4612</v>
          </cell>
          <cell r="L319">
            <v>4351.6559999999999</v>
          </cell>
          <cell r="M319">
            <v>4771</v>
          </cell>
        </row>
        <row r="320">
          <cell r="B320" t="str">
            <v>RSK</v>
          </cell>
          <cell r="C320" t="str">
            <v>Electricity ('1000 units)</v>
          </cell>
          <cell r="D320" t="str">
            <v>Value</v>
          </cell>
          <cell r="E320">
            <v>225.96</v>
          </cell>
          <cell r="F320">
            <v>226.51999999999998</v>
          </cell>
          <cell r="G320">
            <v>170.39000000000001</v>
          </cell>
          <cell r="H320">
            <v>181.54999999999998</v>
          </cell>
          <cell r="I320">
            <v>198.02</v>
          </cell>
          <cell r="J320">
            <v>198.01</v>
          </cell>
          <cell r="K320">
            <v>221.60000000000002</v>
          </cell>
          <cell r="L320">
            <v>210.67000000000002</v>
          </cell>
          <cell r="M320">
            <v>226.16</v>
          </cell>
        </row>
        <row r="321">
          <cell r="B321" t="str">
            <v>RSK</v>
          </cell>
          <cell r="C321" t="str">
            <v>OTHERS</v>
          </cell>
          <cell r="D321" t="str">
            <v>Qty</v>
          </cell>
        </row>
        <row r="322">
          <cell r="B322" t="str">
            <v>RSK</v>
          </cell>
          <cell r="C322" t="str">
            <v>OTHERS</v>
          </cell>
          <cell r="D322" t="str">
            <v>Value</v>
          </cell>
          <cell r="E322">
            <v>0.16999999999999998</v>
          </cell>
          <cell r="F322">
            <v>0.11</v>
          </cell>
          <cell r="G322">
            <v>1.9400000000000546</v>
          </cell>
          <cell r="H322">
            <v>0.85</v>
          </cell>
          <cell r="I322">
            <v>2.33</v>
          </cell>
          <cell r="J322">
            <v>0.6</v>
          </cell>
          <cell r="K322">
            <v>0.8</v>
          </cell>
          <cell r="L322">
            <v>0.91</v>
          </cell>
          <cell r="M322">
            <v>0.42</v>
          </cell>
        </row>
        <row r="323">
          <cell r="B323" t="str">
            <v>RSK</v>
          </cell>
          <cell r="C323" t="str">
            <v>Price Difference</v>
          </cell>
          <cell r="D323" t="str">
            <v>Qty</v>
          </cell>
        </row>
        <row r="324">
          <cell r="B324" t="str">
            <v>RSK</v>
          </cell>
          <cell r="C324" t="str">
            <v>Price Difference</v>
          </cell>
          <cell r="D324" t="str">
            <v>Value</v>
          </cell>
          <cell r="E324">
            <v>7.0000000000000007E-2</v>
          </cell>
          <cell r="F324">
            <v>-0.01</v>
          </cell>
          <cell r="G324">
            <v>0.03</v>
          </cell>
          <cell r="H324">
            <v>-0.16</v>
          </cell>
          <cell r="I324">
            <v>-1.49</v>
          </cell>
        </row>
        <row r="326">
          <cell r="B326" t="str">
            <v>PCH</v>
          </cell>
          <cell r="C326" t="str">
            <v>LPG</v>
          </cell>
          <cell r="D326" t="str">
            <v>Qty</v>
          </cell>
          <cell r="E326">
            <v>102.98</v>
          </cell>
          <cell r="F326">
            <v>100.48</v>
          </cell>
          <cell r="G326">
            <v>107.16</v>
          </cell>
          <cell r="H326">
            <v>115.08</v>
          </cell>
          <cell r="I326">
            <v>115.36</v>
          </cell>
          <cell r="J326">
            <v>111.98</v>
          </cell>
          <cell r="K326">
            <v>117.2</v>
          </cell>
          <cell r="L326">
            <v>116.738</v>
          </cell>
          <cell r="M326">
            <v>119.42</v>
          </cell>
        </row>
        <row r="327">
          <cell r="B327" t="str">
            <v>PCH</v>
          </cell>
          <cell r="C327" t="str">
            <v>LPG</v>
          </cell>
          <cell r="D327" t="str">
            <v>Value</v>
          </cell>
          <cell r="E327">
            <v>49.452659400000002</v>
          </cell>
          <cell r="F327">
            <v>49.577627400000004</v>
          </cell>
          <cell r="G327">
            <v>56.264921700000002</v>
          </cell>
          <cell r="H327">
            <v>59.778304500000004</v>
          </cell>
          <cell r="I327">
            <v>56.146999999999998</v>
          </cell>
          <cell r="J327">
            <v>54.099069999999998</v>
          </cell>
          <cell r="K327">
            <v>57.537015999999994</v>
          </cell>
          <cell r="L327">
            <v>56.886809999999997</v>
          </cell>
          <cell r="M327">
            <v>59.53351</v>
          </cell>
        </row>
        <row r="328">
          <cell r="B328" t="str">
            <v>PCH</v>
          </cell>
          <cell r="C328" t="str">
            <v>LPG - ACL</v>
          </cell>
          <cell r="D328" t="str">
            <v>Qty</v>
          </cell>
          <cell r="E328">
            <v>4.42</v>
          </cell>
          <cell r="F328">
            <v>12.384</v>
          </cell>
          <cell r="I328">
            <v>6.46</v>
          </cell>
          <cell r="K328">
            <v>12.34</v>
          </cell>
          <cell r="L328">
            <v>26.352</v>
          </cell>
          <cell r="M328">
            <v>12.76</v>
          </cell>
        </row>
        <row r="329">
          <cell r="B329" t="str">
            <v>PCH</v>
          </cell>
          <cell r="C329" t="str">
            <v>LPG - ACL</v>
          </cell>
          <cell r="D329" t="str">
            <v>Value</v>
          </cell>
          <cell r="E329">
            <v>2.1361400000000001</v>
          </cell>
          <cell r="F329">
            <v>6.0503175000000002</v>
          </cell>
          <cell r="I329">
            <v>3.20791</v>
          </cell>
          <cell r="K329">
            <v>6.0572973999999995</v>
          </cell>
          <cell r="L329">
            <v>12.833258500000001</v>
          </cell>
          <cell r="M329">
            <v>6.4118840000000006</v>
          </cell>
        </row>
        <row r="330">
          <cell r="B330" t="str">
            <v>PCH</v>
          </cell>
          <cell r="C330" t="str">
            <v>LNG</v>
          </cell>
          <cell r="D330" t="str">
            <v>Qty</v>
          </cell>
          <cell r="I330">
            <v>0</v>
          </cell>
        </row>
        <row r="331">
          <cell r="B331" t="str">
            <v>PCH</v>
          </cell>
          <cell r="C331" t="str">
            <v>LNG</v>
          </cell>
          <cell r="D331" t="str">
            <v>Value</v>
          </cell>
          <cell r="I331">
            <v>0</v>
          </cell>
        </row>
        <row r="332">
          <cell r="B332" t="str">
            <v>PCH</v>
          </cell>
          <cell r="C332" t="str">
            <v>Furnace oil</v>
          </cell>
          <cell r="D332" t="str">
            <v>Qty</v>
          </cell>
          <cell r="E332">
            <v>1012.04</v>
          </cell>
          <cell r="F332">
            <v>1051.8399999999999</v>
          </cell>
          <cell r="G332">
            <v>1020.24</v>
          </cell>
          <cell r="H332">
            <v>1076.52</v>
          </cell>
          <cell r="I332">
            <v>1056.08</v>
          </cell>
          <cell r="J332">
            <v>1017.49</v>
          </cell>
          <cell r="K332">
            <v>1045.72</v>
          </cell>
          <cell r="L332">
            <v>1020.14</v>
          </cell>
          <cell r="M332">
            <v>1045.19</v>
          </cell>
        </row>
        <row r="333">
          <cell r="B333" t="str">
            <v>PCH</v>
          </cell>
          <cell r="C333" t="str">
            <v>Furnace oil</v>
          </cell>
          <cell r="D333" t="str">
            <v>Value</v>
          </cell>
          <cell r="E333">
            <v>351.35585350000002</v>
          </cell>
          <cell r="F333">
            <v>382.22328750000003</v>
          </cell>
          <cell r="G333">
            <v>368.07265200000001</v>
          </cell>
          <cell r="H333">
            <v>401.0894303</v>
          </cell>
          <cell r="I333">
            <v>396.27381000000003</v>
          </cell>
          <cell r="J333">
            <v>351.25238389999998</v>
          </cell>
          <cell r="K333">
            <v>379.16186570000002</v>
          </cell>
          <cell r="L333">
            <v>388.96874179999998</v>
          </cell>
          <cell r="M333">
            <v>418.54198409999998</v>
          </cell>
        </row>
        <row r="334">
          <cell r="B334" t="str">
            <v>PCH</v>
          </cell>
          <cell r="C334" t="str">
            <v>HSD</v>
          </cell>
          <cell r="D334" t="str">
            <v>Qty</v>
          </cell>
          <cell r="E334">
            <v>8.14</v>
          </cell>
          <cell r="F334">
            <v>8.36</v>
          </cell>
          <cell r="G334">
            <v>8.36</v>
          </cell>
          <cell r="H334">
            <v>8.24</v>
          </cell>
          <cell r="I334">
            <v>8.94</v>
          </cell>
          <cell r="J334">
            <v>8.58</v>
          </cell>
          <cell r="K334">
            <v>9.32</v>
          </cell>
          <cell r="L334">
            <v>9.58</v>
          </cell>
          <cell r="M334">
            <v>9.16</v>
          </cell>
        </row>
        <row r="335">
          <cell r="B335" t="str">
            <v>PCH</v>
          </cell>
          <cell r="C335" t="str">
            <v>HSD</v>
          </cell>
          <cell r="D335" t="str">
            <v>Value</v>
          </cell>
          <cell r="E335">
            <v>2.7369733000000003</v>
          </cell>
          <cell r="F335">
            <v>2.8006000000000002</v>
          </cell>
          <cell r="G335">
            <v>2.8006000000000002</v>
          </cell>
          <cell r="H335">
            <v>2.7604000000000002</v>
          </cell>
          <cell r="I335">
            <v>3.1719200000000001</v>
          </cell>
          <cell r="J335">
            <v>3.0459000000000001</v>
          </cell>
          <cell r="K335">
            <v>3.4194147999999998</v>
          </cell>
          <cell r="L335">
            <v>3.5110700000000001</v>
          </cell>
          <cell r="M335">
            <v>3.3662999999999998</v>
          </cell>
        </row>
        <row r="336">
          <cell r="B336" t="str">
            <v>PCH</v>
          </cell>
          <cell r="C336" t="str">
            <v>Electricity ('1000 units)</v>
          </cell>
          <cell r="D336" t="str">
            <v>Qty</v>
          </cell>
          <cell r="E336">
            <v>3329.3159999999998</v>
          </cell>
          <cell r="F336">
            <v>3571.9490000000001</v>
          </cell>
          <cell r="G336">
            <v>3126.48</v>
          </cell>
          <cell r="H336">
            <v>3391.66</v>
          </cell>
          <cell r="I336">
            <v>3626.6290000000004</v>
          </cell>
          <cell r="J336">
            <v>3470.75</v>
          </cell>
          <cell r="K336">
            <v>3492.05</v>
          </cell>
          <cell r="L336">
            <v>3283.2910000000002</v>
          </cell>
          <cell r="M336">
            <v>3421.11</v>
          </cell>
        </row>
        <row r="337">
          <cell r="B337" t="str">
            <v>PCH</v>
          </cell>
          <cell r="C337" t="str">
            <v>Electricity ('1000 units)</v>
          </cell>
          <cell r="D337" t="str">
            <v>Value</v>
          </cell>
          <cell r="E337">
            <v>143.3441091</v>
          </cell>
          <cell r="F337">
            <v>164.8258683</v>
          </cell>
          <cell r="G337">
            <v>256.83435859999997</v>
          </cell>
          <cell r="H337">
            <v>155.59</v>
          </cell>
          <cell r="I337">
            <v>172.24378000000002</v>
          </cell>
          <cell r="J337">
            <v>167.14330000000001</v>
          </cell>
          <cell r="K337">
            <v>202.98513</v>
          </cell>
          <cell r="L337">
            <v>192.95080810000002</v>
          </cell>
          <cell r="M337">
            <v>190.72117</v>
          </cell>
        </row>
        <row r="338">
          <cell r="B338" t="str">
            <v>PCH</v>
          </cell>
          <cell r="C338" t="str">
            <v>OTHERS</v>
          </cell>
          <cell r="D338" t="str">
            <v>Qty</v>
          </cell>
        </row>
        <row r="339">
          <cell r="B339" t="str">
            <v>PCH</v>
          </cell>
          <cell r="C339" t="str">
            <v>OTHERS</v>
          </cell>
          <cell r="D339" t="str">
            <v>Value</v>
          </cell>
        </row>
        <row r="340">
          <cell r="B340" t="str">
            <v>PCH</v>
          </cell>
          <cell r="C340" t="str">
            <v>Price Difference</v>
          </cell>
          <cell r="D340" t="str">
            <v>Qty</v>
          </cell>
        </row>
        <row r="341">
          <cell r="B341" t="str">
            <v>PCH</v>
          </cell>
          <cell r="C341" t="str">
            <v>Price Difference</v>
          </cell>
          <cell r="D341" t="str">
            <v>Value</v>
          </cell>
        </row>
        <row r="343">
          <cell r="B343" t="str">
            <v>SNR</v>
          </cell>
          <cell r="C343" t="str">
            <v>LPG</v>
          </cell>
          <cell r="D343" t="str">
            <v>Qty</v>
          </cell>
          <cell r="E343">
            <v>110.099</v>
          </cell>
          <cell r="F343">
            <v>128.46799999999999</v>
          </cell>
          <cell r="G343">
            <v>98.606999999999999</v>
          </cell>
          <cell r="H343">
            <v>97.692999999999998</v>
          </cell>
          <cell r="I343">
            <v>101.56</v>
          </cell>
          <cell r="J343">
            <v>118.9</v>
          </cell>
          <cell r="K343">
            <v>136.26900000000001</v>
          </cell>
          <cell r="L343">
            <v>152.95699999999999</v>
          </cell>
          <cell r="M343">
            <v>60.765999999999998</v>
          </cell>
        </row>
        <row r="344">
          <cell r="B344" t="str">
            <v>SNR</v>
          </cell>
          <cell r="C344" t="str">
            <v>LPG</v>
          </cell>
          <cell r="D344" t="str">
            <v>Value</v>
          </cell>
          <cell r="E344">
            <v>51.52</v>
          </cell>
          <cell r="F344">
            <v>64.961807300000004</v>
          </cell>
          <cell r="G344">
            <v>51.91</v>
          </cell>
          <cell r="H344">
            <v>48.042356599999998</v>
          </cell>
          <cell r="I344">
            <v>46.878875199999996</v>
          </cell>
          <cell r="J344">
            <v>55.685929999999999</v>
          </cell>
          <cell r="K344">
            <v>63.738564800000006</v>
          </cell>
          <cell r="L344">
            <v>72.312169900000001</v>
          </cell>
          <cell r="M344">
            <v>29.7170439</v>
          </cell>
        </row>
        <row r="345">
          <cell r="B345" t="str">
            <v>SNR</v>
          </cell>
          <cell r="C345" t="str">
            <v>LPG - ACL</v>
          </cell>
          <cell r="D345" t="str">
            <v>Qty</v>
          </cell>
        </row>
        <row r="346">
          <cell r="B346" t="str">
            <v>SNR</v>
          </cell>
          <cell r="C346" t="str">
            <v>LPG - ACL</v>
          </cell>
          <cell r="D346" t="str">
            <v>Value</v>
          </cell>
        </row>
        <row r="347">
          <cell r="B347" t="str">
            <v>SNR</v>
          </cell>
          <cell r="C347" t="str">
            <v>LNG</v>
          </cell>
          <cell r="D347" t="str">
            <v>Qty</v>
          </cell>
          <cell r="M347">
            <v>300.3</v>
          </cell>
        </row>
        <row r="348">
          <cell r="B348" t="str">
            <v>SNR</v>
          </cell>
          <cell r="C348" t="str">
            <v>LNG</v>
          </cell>
          <cell r="D348" t="str">
            <v>Value</v>
          </cell>
          <cell r="M348">
            <v>102.78119529999999</v>
          </cell>
        </row>
        <row r="349">
          <cell r="B349" t="str">
            <v>SNR</v>
          </cell>
          <cell r="C349" t="str">
            <v>Furnace oil</v>
          </cell>
          <cell r="D349" t="str">
            <v>Qty</v>
          </cell>
          <cell r="E349">
            <v>1039.643</v>
          </cell>
          <cell r="F349">
            <v>1101.4100000000001</v>
          </cell>
          <cell r="G349">
            <v>1074.569</v>
          </cell>
          <cell r="H349">
            <v>1116.604</v>
          </cell>
          <cell r="I349">
            <v>1146.1220000000001</v>
          </cell>
          <cell r="J349">
            <v>1100.46</v>
          </cell>
          <cell r="K349">
            <v>1117.26</v>
          </cell>
          <cell r="L349">
            <v>1102.9079999999999</v>
          </cell>
          <cell r="M349">
            <v>905.37800000000004</v>
          </cell>
        </row>
        <row r="350">
          <cell r="B350" t="str">
            <v>SNR</v>
          </cell>
          <cell r="C350" t="str">
            <v>Furnace oil</v>
          </cell>
          <cell r="D350" t="str">
            <v>Value</v>
          </cell>
          <cell r="E350">
            <v>347.83</v>
          </cell>
          <cell r="F350">
            <v>402.63617979999998</v>
          </cell>
          <cell r="G350">
            <v>389.9</v>
          </cell>
          <cell r="H350">
            <v>378.48440549999998</v>
          </cell>
          <cell r="I350">
            <v>380.2693319</v>
          </cell>
          <cell r="J350">
            <v>381.25519000000003</v>
          </cell>
          <cell r="K350">
            <v>398.77096549999999</v>
          </cell>
          <cell r="L350">
            <v>410.78890259999997</v>
          </cell>
          <cell r="M350">
            <v>359.43431799999996</v>
          </cell>
        </row>
        <row r="351">
          <cell r="B351" t="str">
            <v>SNR</v>
          </cell>
          <cell r="C351" t="str">
            <v>HSD</v>
          </cell>
          <cell r="D351" t="str">
            <v>Qty</v>
          </cell>
          <cell r="G351">
            <v>5.1660000000000004</v>
          </cell>
          <cell r="H351">
            <v>2.9460000000000002</v>
          </cell>
          <cell r="I351">
            <v>4.3470000000000004</v>
          </cell>
          <cell r="J351">
            <v>6.0650000000000004</v>
          </cell>
          <cell r="K351">
            <v>3.1659999999999999</v>
          </cell>
          <cell r="L351">
            <v>2.0099999999999998</v>
          </cell>
          <cell r="M351">
            <v>4.2329999999999997</v>
          </cell>
        </row>
        <row r="352">
          <cell r="B352" t="str">
            <v>SNR</v>
          </cell>
          <cell r="C352" t="str">
            <v>HSD</v>
          </cell>
          <cell r="D352" t="str">
            <v>Value</v>
          </cell>
          <cell r="G352">
            <v>2.75</v>
          </cell>
          <cell r="H352">
            <v>1.29</v>
          </cell>
          <cell r="I352">
            <v>1.8641006</v>
          </cell>
          <cell r="J352">
            <v>2.6008200000000001</v>
          </cell>
          <cell r="K352">
            <v>1.4835750000000001</v>
          </cell>
          <cell r="L352">
            <v>0.92598290000000005</v>
          </cell>
          <cell r="M352">
            <v>1.8544388000000001</v>
          </cell>
        </row>
        <row r="353">
          <cell r="B353" t="str">
            <v>SNR</v>
          </cell>
          <cell r="C353" t="str">
            <v>Electricity ('1000 units)</v>
          </cell>
          <cell r="D353" t="str">
            <v>Qty</v>
          </cell>
          <cell r="E353">
            <v>2750.3</v>
          </cell>
          <cell r="F353">
            <v>2937.23</v>
          </cell>
          <cell r="G353">
            <v>2865.5430000000001</v>
          </cell>
          <cell r="H353">
            <v>2994.067</v>
          </cell>
          <cell r="I353">
            <v>2916.7020000000002</v>
          </cell>
          <cell r="J353">
            <v>2799.808</v>
          </cell>
          <cell r="K353">
            <v>2900.7080000000001</v>
          </cell>
          <cell r="L353">
            <v>2714.625</v>
          </cell>
          <cell r="M353">
            <v>2802.4929999999999</v>
          </cell>
        </row>
        <row r="354">
          <cell r="B354" t="str">
            <v>SNR</v>
          </cell>
          <cell r="C354" t="str">
            <v>Electricity ('1000 units)</v>
          </cell>
          <cell r="D354" t="str">
            <v>Value</v>
          </cell>
          <cell r="E354">
            <v>159.6</v>
          </cell>
          <cell r="F354">
            <v>167.43932000000001</v>
          </cell>
          <cell r="G354">
            <v>149.6</v>
          </cell>
          <cell r="H354">
            <v>169.28</v>
          </cell>
          <cell r="I354">
            <v>163.18</v>
          </cell>
          <cell r="J354">
            <v>164.31688</v>
          </cell>
          <cell r="K354">
            <v>163.18778210000008</v>
          </cell>
          <cell r="L354">
            <v>160.10103000000001</v>
          </cell>
          <cell r="M354">
            <v>197.48052150000001</v>
          </cell>
        </row>
        <row r="355">
          <cell r="B355" t="str">
            <v>SNR</v>
          </cell>
          <cell r="C355" t="str">
            <v>OTHERS</v>
          </cell>
          <cell r="D355" t="str">
            <v>Qty</v>
          </cell>
        </row>
        <row r="356">
          <cell r="B356" t="str">
            <v>SNR</v>
          </cell>
          <cell r="C356" t="str">
            <v>OTHERS</v>
          </cell>
          <cell r="D356" t="str">
            <v>Value</v>
          </cell>
          <cell r="E356">
            <v>2.82</v>
          </cell>
          <cell r="F356">
            <v>1.1678900000000001</v>
          </cell>
          <cell r="G356">
            <v>0</v>
          </cell>
        </row>
        <row r="357">
          <cell r="B357" t="str">
            <v>SNR</v>
          </cell>
          <cell r="C357" t="str">
            <v>Price Difference</v>
          </cell>
          <cell r="D357" t="str">
            <v>Qty</v>
          </cell>
        </row>
        <row r="358">
          <cell r="B358" t="str">
            <v>SNR</v>
          </cell>
          <cell r="C358" t="str">
            <v>Price Difference</v>
          </cell>
          <cell r="D358" t="str">
            <v>Value</v>
          </cell>
        </row>
        <row r="360">
          <cell r="B360" t="str">
            <v>NMR</v>
          </cell>
          <cell r="C360" t="str">
            <v>LPG</v>
          </cell>
          <cell r="D360" t="str">
            <v>Qty</v>
          </cell>
          <cell r="E360">
            <v>68.424000000000007</v>
          </cell>
          <cell r="F360">
            <v>73.066000000000003</v>
          </cell>
          <cell r="G360">
            <v>72.218000000000004</v>
          </cell>
          <cell r="H360">
            <v>74.959999999999994</v>
          </cell>
          <cell r="I360">
            <v>71.12</v>
          </cell>
          <cell r="J360">
            <v>68.212999999999994</v>
          </cell>
          <cell r="K360">
            <v>72.207164000000006</v>
          </cell>
          <cell r="L360">
            <v>74.129075</v>
          </cell>
          <cell r="M360">
            <v>94.267206542626752</v>
          </cell>
        </row>
        <row r="361">
          <cell r="B361" t="str">
            <v>NMR</v>
          </cell>
          <cell r="C361" t="str">
            <v>LPG</v>
          </cell>
          <cell r="D361" t="str">
            <v>Value</v>
          </cell>
          <cell r="E361">
            <v>23.685359999999999</v>
          </cell>
          <cell r="F361">
            <v>27.587789999999998</v>
          </cell>
          <cell r="G361">
            <v>12.044689999999999</v>
          </cell>
          <cell r="H361">
            <v>16.59282</v>
          </cell>
          <cell r="I361">
            <v>15.645110000000001</v>
          </cell>
          <cell r="J361">
            <v>17.273987987148061</v>
          </cell>
          <cell r="K361">
            <v>20.437438434115354</v>
          </cell>
          <cell r="L361">
            <v>20.559741987515086</v>
          </cell>
          <cell r="M361">
            <v>26.735429392882548</v>
          </cell>
        </row>
        <row r="362">
          <cell r="B362" t="str">
            <v>NMR</v>
          </cell>
          <cell r="C362" t="str">
            <v>LPG - ACL</v>
          </cell>
          <cell r="D362" t="str">
            <v>Qty</v>
          </cell>
        </row>
        <row r="363">
          <cell r="B363" t="str">
            <v>NMR</v>
          </cell>
          <cell r="C363" t="str">
            <v>LPG - ACL</v>
          </cell>
          <cell r="D363" t="str">
            <v>Value</v>
          </cell>
        </row>
        <row r="364">
          <cell r="B364" t="str">
            <v>NMR</v>
          </cell>
          <cell r="C364" t="str">
            <v>LNG</v>
          </cell>
          <cell r="D364" t="str">
            <v>Qty</v>
          </cell>
        </row>
        <row r="365">
          <cell r="B365" t="str">
            <v>NMR</v>
          </cell>
          <cell r="C365" t="str">
            <v>LNG</v>
          </cell>
          <cell r="D365" t="str">
            <v>Value</v>
          </cell>
        </row>
        <row r="366">
          <cell r="B366" t="str">
            <v>NMR</v>
          </cell>
          <cell r="C366" t="str">
            <v>Furnace oil</v>
          </cell>
          <cell r="D366" t="str">
            <v>Qty</v>
          </cell>
          <cell r="E366">
            <v>655.73</v>
          </cell>
          <cell r="F366">
            <v>626.84782719999998</v>
          </cell>
          <cell r="G366">
            <v>649.37199999999996</v>
          </cell>
          <cell r="H366">
            <v>673.46799999999996</v>
          </cell>
          <cell r="I366">
            <v>646.62400000000002</v>
          </cell>
          <cell r="J366">
            <v>636.65700000000004</v>
          </cell>
          <cell r="K366">
            <v>680.6413</v>
          </cell>
          <cell r="L366">
            <v>656.20675876288658</v>
          </cell>
          <cell r="M366">
            <v>694.61901396656503</v>
          </cell>
        </row>
        <row r="367">
          <cell r="B367" t="str">
            <v>NMR</v>
          </cell>
          <cell r="C367" t="str">
            <v>Furnace oil</v>
          </cell>
          <cell r="D367" t="str">
            <v>Value</v>
          </cell>
          <cell r="E367">
            <v>94.928264262221987</v>
          </cell>
          <cell r="F367">
            <v>123.62439169484821</v>
          </cell>
          <cell r="G367">
            <v>115.5346</v>
          </cell>
          <cell r="H367">
            <v>121.74551</v>
          </cell>
          <cell r="I367">
            <v>133.53398000000001</v>
          </cell>
          <cell r="J367">
            <v>141.66290189504201</v>
          </cell>
          <cell r="K367">
            <v>157.32918794568306</v>
          </cell>
          <cell r="L367">
            <v>157.62441584287811</v>
          </cell>
          <cell r="M367">
            <v>170.6188084861104</v>
          </cell>
        </row>
        <row r="368">
          <cell r="B368" t="str">
            <v>NMR</v>
          </cell>
          <cell r="C368" t="str">
            <v>HSD</v>
          </cell>
          <cell r="D368" t="str">
            <v>Qty</v>
          </cell>
          <cell r="E368">
            <v>71.333090990453442</v>
          </cell>
          <cell r="F368">
            <v>11.98</v>
          </cell>
          <cell r="G368">
            <v>4.5250000000000004</v>
          </cell>
          <cell r="H368">
            <v>3.2450000000000001</v>
          </cell>
          <cell r="I368">
            <v>31.7</v>
          </cell>
          <cell r="J368">
            <v>22.63</v>
          </cell>
          <cell r="K368">
            <v>7.6950000000000003</v>
          </cell>
          <cell r="L368">
            <v>1.9650000000000001</v>
          </cell>
          <cell r="M368">
            <v>5.3310000000000004</v>
          </cell>
        </row>
        <row r="369">
          <cell r="B369" t="str">
            <v>NMR</v>
          </cell>
          <cell r="C369" t="str">
            <v>HSD</v>
          </cell>
          <cell r="D369" t="str">
            <v>Value</v>
          </cell>
          <cell r="E369">
            <v>19.9108521</v>
          </cell>
          <cell r="F369">
            <v>4.0179099999999996</v>
          </cell>
          <cell r="G369">
            <v>1.5456399999999999</v>
          </cell>
          <cell r="H369">
            <v>1.10022</v>
          </cell>
          <cell r="I369">
            <v>10.895569999999999</v>
          </cell>
          <cell r="J369">
            <v>8.1277306000000014</v>
          </cell>
          <cell r="K369">
            <v>2.82172</v>
          </cell>
          <cell r="L369">
            <v>0.74070999999999998</v>
          </cell>
          <cell r="M369">
            <v>1.9749300000000001</v>
          </cell>
        </row>
        <row r="370">
          <cell r="B370" t="str">
            <v>NMR</v>
          </cell>
          <cell r="C370" t="str">
            <v>Electricity ('1000 units)</v>
          </cell>
          <cell r="D370" t="str">
            <v>Qty</v>
          </cell>
          <cell r="E370">
            <v>1818.0070000000001</v>
          </cell>
          <cell r="F370">
            <v>1794.0130000000001</v>
          </cell>
          <cell r="G370">
            <v>1786.0070000000001</v>
          </cell>
          <cell r="H370">
            <v>1880.2159999999999</v>
          </cell>
          <cell r="I370">
            <v>1811.8519999999999</v>
          </cell>
          <cell r="J370">
            <v>2049.7719999999999</v>
          </cell>
          <cell r="K370">
            <v>2080.181</v>
          </cell>
          <cell r="L370">
            <v>1953.7570000000001</v>
          </cell>
          <cell r="M370">
            <v>1995.5640000000001</v>
          </cell>
        </row>
        <row r="371">
          <cell r="B371" t="str">
            <v>NMR</v>
          </cell>
          <cell r="C371" t="str">
            <v>Electricity ('1000 units)</v>
          </cell>
          <cell r="D371" t="str">
            <v>Value</v>
          </cell>
          <cell r="E371">
            <v>86.937730000000002</v>
          </cell>
          <cell r="F371">
            <v>75.0541632651518</v>
          </cell>
          <cell r="G371">
            <v>83.030670000000001</v>
          </cell>
          <cell r="H371">
            <v>88.238079999999997</v>
          </cell>
          <cell r="I371">
            <v>68.071899999999999</v>
          </cell>
          <cell r="J371">
            <v>104.67419021780952</v>
          </cell>
          <cell r="K371">
            <v>113.43973</v>
          </cell>
          <cell r="L371">
            <v>105.38380216960678</v>
          </cell>
          <cell r="M371">
            <v>101.47199980000001</v>
          </cell>
        </row>
        <row r="372">
          <cell r="B372" t="str">
            <v>NMR</v>
          </cell>
          <cell r="C372" t="str">
            <v>OTHERS</v>
          </cell>
          <cell r="D372" t="str">
            <v>Qty</v>
          </cell>
        </row>
        <row r="373">
          <cell r="B373" t="str">
            <v>NMR</v>
          </cell>
          <cell r="C373" t="str">
            <v>OTHERS</v>
          </cell>
          <cell r="D373" t="str">
            <v>Value</v>
          </cell>
        </row>
        <row r="374">
          <cell r="B374" t="str">
            <v>NMR</v>
          </cell>
          <cell r="C374" t="str">
            <v>Price Difference</v>
          </cell>
          <cell r="D374" t="str">
            <v>Qty</v>
          </cell>
        </row>
        <row r="375">
          <cell r="B375" t="str">
            <v>NMR</v>
          </cell>
          <cell r="C375" t="str">
            <v>Price Difference</v>
          </cell>
          <cell r="D375" t="str">
            <v>Value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% Change"/>
      <sheetName val="Data"/>
    </sheetNames>
    <sheetDataSet>
      <sheetData sheetId="0" refreshError="1"/>
      <sheetData sheetId="1"/>
      <sheetData sheetId="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Cashflows"/>
      <sheetName val="Assumption"/>
      <sheetName val="Tax"/>
      <sheetName val="ROE"/>
      <sheetName val="Tariff"/>
      <sheetName val="Debt"/>
      <sheetName val="Depn"/>
      <sheetName val="WCap"/>
      <sheetName val="P&amp;L"/>
      <sheetName val="BS"/>
      <sheetName val="CF"/>
      <sheetName val="I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B33">
            <v>1</v>
          </cell>
        </row>
      </sheetData>
      <sheetData sheetId="1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ile"/>
      <sheetName val="Cost of the Project"/>
      <sheetName val="Means of Finance"/>
      <sheetName val="profitability statement"/>
      <sheetName val="Projected Balance Sheet"/>
      <sheetName val="Cash Flow statement"/>
      <sheetName val="Working capital requirement"/>
      <sheetName val="BEP Analysis"/>
      <sheetName val="Senstivity Analysis"/>
      <sheetName val="Schedule-senstivity analysis1"/>
      <sheetName val="Schedule-senstivity analysis2"/>
      <sheetName val="Ratio analysis"/>
      <sheetName val="form-ii"/>
      <sheetName val="form-iii"/>
      <sheetName val="form-iv"/>
      <sheetName val="form-v"/>
      <sheetName val="form-vi"/>
      <sheetName val="Financial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&amp; fuel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Monthwise sale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ch"/>
      <sheetName val="CDR Workings"/>
      <sheetName val="Ann IV - Assum"/>
      <sheetName val="Ann V - PnL"/>
      <sheetName val="Ann VI - CFS"/>
      <sheetName val="Ann VII - BS"/>
      <sheetName val="DSCR"/>
      <sheetName val="W Cap"/>
      <sheetName val="Rev"/>
      <sheetName val="Costs"/>
      <sheetName val="Dep n FA _ Books"/>
      <sheetName val="Int"/>
      <sheetName val="LoanSumm"/>
      <sheetName val="LoanDetails"/>
      <sheetName val="ICICI LOSS"/>
      <sheetName val="debt"/>
      <sheetName val="Dep _ Tax"/>
      <sheetName val="Tax Summary"/>
      <sheetName val="Tax compu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Data"/>
      <sheetName val="FX (OLD)"/>
      <sheetName val="LOC"/>
      <sheetName val="Control"/>
      <sheetName val="ForwardData"/>
      <sheetName val="Commentary"/>
      <sheetName val="FwdIndications"/>
      <sheetName val="GraphData"/>
      <sheetName val="Flexible FX"/>
      <sheetName val="Months FX"/>
      <sheetName val="Quarters FX"/>
      <sheetName val="MonthlyFX (OLD)"/>
      <sheetName val="QuarterlyFX (OLD)"/>
    </sheetNames>
    <sheetDataSet>
      <sheetData sheetId="0" refreshError="1">
        <row r="1">
          <cell r="A1" t="str">
            <v>Raw Energyscope Feeds: Exchange Prices</v>
          </cell>
        </row>
      </sheetData>
      <sheetData sheetId="1" refreshError="1">
        <row r="3">
          <cell r="B3" t="str">
            <v>mid</v>
          </cell>
        </row>
      </sheetData>
      <sheetData sheetId="2" refreshError="1">
        <row r="31">
          <cell r="B31" t="str">
            <v>Markets Wednesday</v>
          </cell>
          <cell r="J31" t="str">
            <v>Markets This Morning - 10:48 GMT</v>
          </cell>
        </row>
      </sheetData>
      <sheetData sheetId="3" refreshError="1">
        <row r="6">
          <cell r="F6" t="str">
            <v>Please find attached today's Morgan Stanley London Oil Commentary.Best regards,</v>
          </cell>
        </row>
        <row r="9">
          <cell r="F9" t="str">
            <v>Morgan Stanley London Oil Commentary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 rating"/>
      <sheetName val="Marks"/>
      <sheetName val="CRA Lookup Table"/>
      <sheetName val="facility rating"/>
      <sheetName val="pfsbu"/>
      <sheetName val="Assumptions"/>
      <sheetName val="Project Cost &amp; Construction"/>
      <sheetName val="Operation"/>
      <sheetName val="Workings"/>
      <sheetName val="Sensitivity"/>
      <sheetName val="IM Info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</sheetData>
      <sheetData sheetId="10"/>
      <sheetData sheetId="1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"/>
      <sheetName val="Subcont."/>
      <sheetName val="Mat. Liab."/>
      <sheetName val="Stock"/>
      <sheetName val="Site Stock"/>
      <sheetName val="WIP"/>
      <sheetName val="Adv. Rnt."/>
      <sheetName val="Fuel Consumption"/>
      <sheetName val="BG"/>
      <sheetName val="BG (2)"/>
      <sheetName val="CAR"/>
      <sheetName val="Prel.Mat."/>
    </sheetNames>
    <sheetDataSet>
      <sheetData sheetId="0"/>
      <sheetData sheetId="1" refreshError="1"/>
      <sheetData sheetId="2" refreshError="1"/>
      <sheetData sheetId="3" refreshError="1">
        <row r="4">
          <cell r="B4" t="str">
            <v>A/C Code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MTP Capex"/>
      <sheetName val="HMBP Capex"/>
      <sheetName val="FFP Capex"/>
      <sheetName val="Corporate Office"/>
      <sheetName val="Assumptions"/>
      <sheetName val="COP &amp; MoF"/>
      <sheetName val="Capex"/>
      <sheetName val="Debt Schedule"/>
      <sheetName val="Dep sheet"/>
      <sheetName val="Working Capital  Sheet"/>
      <sheetName val="Tax  "/>
      <sheetName val="As shared by the Company"/>
      <sheetName val="PL "/>
      <sheetName val="Cash Flow Statement"/>
      <sheetName val="Balance Sheet"/>
      <sheetName val="Projections-IM"/>
      <sheetName val="Sensitivity "/>
      <sheetName val="Average MAturity"/>
      <sheetName val="Opt.Statement"/>
      <sheetName val="Lib. Statement"/>
      <sheetName val="Asset Statemen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>
        <row r="9">
          <cell r="C9">
            <v>1</v>
          </cell>
        </row>
        <row r="11">
          <cell r="C11">
            <v>1</v>
          </cell>
        </row>
        <row r="13">
          <cell r="C13">
            <v>1</v>
          </cell>
        </row>
        <row r="15">
          <cell r="C15">
            <v>1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C (2)"/>
      <sheetName val="2_Part"/>
      <sheetName val="To CEA"/>
      <sheetName val="To_PTC"/>
      <sheetName val="Tar_sum"/>
      <sheetName val="Output"/>
      <sheetName val="V_Tar"/>
      <sheetName val="Cost_Comp"/>
      <sheetName val="Cost_IP"/>
      <sheetName val="OP"/>
      <sheetName val="Checks"/>
      <sheetName val="IP"/>
      <sheetName val="Date_indices"/>
      <sheetName val="IDC"/>
      <sheetName val="K_D"/>
      <sheetName val="P&amp;L"/>
      <sheetName val="Chart2"/>
      <sheetName val="WC"/>
      <sheetName val="FC"/>
      <sheetName val="CC"/>
      <sheetName val="DS"/>
      <sheetName val="Sen_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7">
          <cell r="E57">
            <v>38352</v>
          </cell>
        </row>
        <row r="61">
          <cell r="E61">
            <v>39721</v>
          </cell>
        </row>
      </sheetData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</sheetNames>
    <sheetDataSet>
      <sheetData sheetId="0" refreshError="1">
        <row r="65">
          <cell r="A65" t="str">
            <v>(II)</v>
          </cell>
        </row>
      </sheetData>
      <sheetData sheetId="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(2)"/>
      <sheetName val="TRIAL-New"/>
      <sheetName val="B-Sheet"/>
      <sheetName val=" BALANCE SHEET"/>
      <sheetName val=" P&amp;LOSS"/>
      <sheetName val="SCHEDULE"/>
      <sheetName val="B S"/>
      <sheetName val="P L"/>
      <sheetName val="Div. P&amp;L"/>
      <sheetName val="Iput-Oput Mth - BF &amp; DISP"/>
      <sheetName val="Input-output JCO"/>
      <sheetName val="Cost Sheet"/>
      <sheetName val="Expense Allocation"/>
      <sheetName val="Power Analysis"/>
      <sheetName val="INCR-DECR STOCK"/>
      <sheetName val="Provisions"/>
      <sheetName val=" FG VALUATION"/>
      <sheetName val="Gross RM"/>
      <sheetName val="RM LANDED PRICE "/>
      <sheetName val="RM-Inventory"/>
      <sheetName val="Interest"/>
      <sheetName val="Sheet1"/>
      <sheetName val="HO Allocations"/>
      <sheetName val="stores"/>
      <sheetName val="SALES"/>
      <sheetName val="FG TALLY"/>
      <sheetName val="D Selling"/>
      <sheetName val="I Selling "/>
      <sheetName val="POP I.P "/>
      <sheetName val="POP"/>
      <sheetName val="Salary_"/>
      <sheetName val="INVENTORY"/>
      <sheetName val="DEP. CHART-31.3.05"/>
      <sheetName val="DEP CWIP 30.06.05"/>
      <sheetName val="DEP ASSETS-30.06.05"/>
      <sheetName val=" ADDITIONS DETAILS JAN-MAR 05"/>
      <sheetName val="ADDITIONS DETAIL  OCT-DEC04"/>
      <sheetName val="Addition FA APR-JUN 05"/>
      <sheetName val="Deb"/>
      <sheetName val="AGING - 31.7"/>
      <sheetName val="Land detail"/>
      <sheetName val="New Formats &gt;&gt;&gt;&gt;"/>
      <sheetName val="Inp-out DI"/>
      <sheetName val="Exp DI"/>
      <sheetName val="DI sale"/>
      <sheetName val="Debtors"/>
      <sheetName val="Inventory- New Format"/>
      <sheetName val="Depriciation"/>
      <sheetName val="rm summary"/>
      <sheetName val="_FG VALU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E7">
            <v>75990507.034638599</v>
          </cell>
        </row>
        <row r="8">
          <cell r="E8">
            <v>314876237.2986204</v>
          </cell>
        </row>
        <row r="10">
          <cell r="E10">
            <v>9290562.6474387497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t."/>
      <sheetName val="Summary "/>
      <sheetName val="Sheet2"/>
      <sheetName val="Main Summary"/>
      <sheetName val="DER-30.09.10"/>
    </sheetNames>
    <sheetDataSet>
      <sheetData sheetId="0"/>
      <sheetData sheetId="1">
        <row r="37">
          <cell r="CI37">
            <v>0.16952054794520549</v>
          </cell>
        </row>
        <row r="38">
          <cell r="CI38">
            <v>0.16952054794520549</v>
          </cell>
        </row>
        <row r="39">
          <cell r="CI39">
            <v>1.1842465753424658</v>
          </cell>
        </row>
        <row r="43">
          <cell r="CI43">
            <v>1.1219178082191781</v>
          </cell>
        </row>
        <row r="45">
          <cell r="CI45">
            <v>2.0101027397260278</v>
          </cell>
        </row>
        <row r="46">
          <cell r="CI46">
            <v>3.6181849315068497</v>
          </cell>
        </row>
        <row r="47">
          <cell r="CI47">
            <v>1.7420890410958902</v>
          </cell>
        </row>
        <row r="50">
          <cell r="CI50">
            <v>1.2465753424657535</v>
          </cell>
        </row>
        <row r="51">
          <cell r="CI51">
            <v>1.4835616438356163</v>
          </cell>
        </row>
        <row r="52">
          <cell r="CI52">
            <v>1.2465753424657535</v>
          </cell>
        </row>
        <row r="53">
          <cell r="CI53">
            <v>1.1219178082191781</v>
          </cell>
        </row>
        <row r="54">
          <cell r="CI54">
            <v>1.308904109589041</v>
          </cell>
        </row>
        <row r="55">
          <cell r="CI55">
            <v>3.1787671232876713</v>
          </cell>
        </row>
        <row r="56">
          <cell r="CI56">
            <v>1.495890410958904</v>
          </cell>
        </row>
        <row r="57">
          <cell r="CI57">
            <v>1.3463013698630135</v>
          </cell>
        </row>
        <row r="58">
          <cell r="CI58">
            <v>0.56532191780821917</v>
          </cell>
        </row>
        <row r="59">
          <cell r="CI59">
            <v>1.1406164383561643</v>
          </cell>
        </row>
        <row r="60">
          <cell r="CI60">
            <v>1.0284246575342466</v>
          </cell>
        </row>
        <row r="61">
          <cell r="CI61">
            <v>0.16438356164383561</v>
          </cell>
        </row>
        <row r="62">
          <cell r="CI62">
            <v>6.5496575342465752E-2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M-DATA-Neu"/>
      <sheetName val="INDEX-TOTAL"/>
      <sheetName val="GAS-DATA-Neu"/>
      <sheetName val="HEAT-DATA-Neu"/>
      <sheetName val="WATER-DATA-Neu"/>
      <sheetName val="MATCHCODES"/>
      <sheetName val="MTC"/>
      <sheetName val="ABSCHREIBUNGEN KST"/>
      <sheetName val="TOTAL"/>
      <sheetName val="ND"/>
      <sheetName val="STROM-DATA"/>
      <sheetName val="GAS-DATA"/>
      <sheetName val="HEAT-DATA"/>
      <sheetName val="WATER-DATA"/>
      <sheetName val="INDEXSOURCE-BASE 2002"/>
    </sheetNames>
    <sheetDataSet>
      <sheetData sheetId="0" refreshError="1">
        <row r="7">
          <cell r="R7">
            <v>1900</v>
          </cell>
        </row>
      </sheetData>
      <sheetData sheetId="1" refreshError="1">
        <row r="4">
          <cell r="E4">
            <v>44.6</v>
          </cell>
        </row>
      </sheetData>
      <sheetData sheetId="2" refreshError="1">
        <row r="8">
          <cell r="R8">
            <v>1900</v>
          </cell>
        </row>
      </sheetData>
      <sheetData sheetId="3" refreshError="1">
        <row r="8">
          <cell r="R8">
            <v>1900</v>
          </cell>
        </row>
      </sheetData>
      <sheetData sheetId="4" refreshError="1">
        <row r="7">
          <cell r="R7">
            <v>1900</v>
          </cell>
        </row>
        <row r="8">
          <cell r="R8">
            <v>1900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uestions"/>
      <sheetName val="Halfye"/>
      <sheetName val="Sugar"/>
      <sheetName val="Text"/>
      <sheetName val="Final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euil2"/>
      <sheetName val="CRD DEC 2007"/>
      <sheetName val="CRd2007,12"/>
      <sheetName val="CRD e2"/>
      <sheetName val="CRD-E2-2007"/>
      <sheetName val="CRD-Budget-2007"/>
      <sheetName val="récurrent"/>
      <sheetName val="Analyses par pays "/>
      <sheetName val="DONNEES TOP"/>
      <sheetName val="DONNEES LOCALES"/>
      <sheetName val="DONNEES NOLOCALES"/>
      <sheetName val="CRd2007,09)"/>
      <sheetName val="CRDe2"/>
      <sheetName val="CRD sept07"/>
      <sheetName val="CRd B 2008 par div"/>
      <sheetName val="Feuil1"/>
    </sheetNames>
    <sheetDataSet>
      <sheetData sheetId="0" refreshError="1">
        <row r="1">
          <cell r="D1" t="str">
            <v>CA=FORECAST</v>
          </cell>
        </row>
        <row r="2">
          <cell r="D2" t="str">
            <v>DP=2007.10</v>
          </cell>
        </row>
        <row r="3">
          <cell r="D3" t="str">
            <v>PE=2007.10</v>
          </cell>
        </row>
        <row r="5">
          <cell r="D5" t="str">
            <v>RU sum [All values]</v>
          </cell>
        </row>
        <row r="6">
          <cell r="D6" t="str">
            <v>ORU sum [All values]</v>
          </cell>
        </row>
        <row r="7">
          <cell r="D7" t="str">
            <v>VP sum [All values]</v>
          </cell>
        </row>
        <row r="8">
          <cell r="D8" t="str">
            <v>SC=AS2000</v>
          </cell>
        </row>
        <row r="9">
          <cell r="D9" t="str">
            <v>VA=A1</v>
          </cell>
        </row>
        <row r="10">
          <cell r="D10" t="str">
            <v>FL=F99</v>
          </cell>
        </row>
        <row r="11">
          <cell r="D11" t="str">
            <v>CC=EUR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  <sheetName val="TITLE"/>
      <sheetName val="VALIDATION "/>
      <sheetName val="B0"/>
      <sheetName val="B1"/>
      <sheetName val="B1.1"/>
      <sheetName val="B1.2"/>
      <sheetName val="B2"/>
      <sheetName val="B2.1"/>
      <sheetName val="B3"/>
      <sheetName val="B4"/>
      <sheetName val="B4.1"/>
      <sheetName val="B4.2"/>
      <sheetName val="B5"/>
      <sheetName val="B6"/>
      <sheetName val="B6.1"/>
      <sheetName val="B6.2"/>
      <sheetName val="B6.3"/>
      <sheetName val="B7.1"/>
      <sheetName val="B7.2"/>
      <sheetName val="B7.3"/>
      <sheetName val="B8"/>
      <sheetName val="B8.1"/>
      <sheetName val="B8.2"/>
      <sheetName val="B8.3"/>
      <sheetName val="B8.4"/>
      <sheetName val="B9"/>
      <sheetName val="B10"/>
      <sheetName val="B11"/>
      <sheetName val="B12"/>
      <sheetName val="B13"/>
      <sheetName val="Prop"/>
      <sheetName val="Mkt Analysis"/>
      <sheetName val="BF1"/>
      <sheetName val="BF2"/>
      <sheetName val="BF3"/>
      <sheetName val="BF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med-single"/>
      <sheetName val="#REF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AS7" t="str">
            <v>Basic SalaryBasic SalaryBasic SalaryBasic SalaryBasic SalaryBasic SalaryBasic SalaryBasic SalaryBasic SalaryBasic SalaryBasic Salary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points"/>
      <sheetName val="Data Entry sheet"/>
      <sheetName val="Final BS"/>
      <sheetName val="Cons BS"/>
      <sheetName val="WC "/>
      <sheetName val="WC Worksheet"/>
      <sheetName val="BS "/>
      <sheetName val="Schedule 3 (FA) "/>
      <sheetName val="Trial balance"/>
      <sheetName val="Schedule3 Fixed Assets"/>
      <sheetName val="ES Monthly"/>
      <sheetName val="ES Monthly Worksheet"/>
      <sheetName val="Ratios"/>
      <sheetName val="Summary P&amp;L"/>
      <sheetName val="Detailed P&amp;L"/>
      <sheetName val="Detailed Expenses"/>
      <sheetName val="Var. costs"/>
      <sheetName val="Var Cost Budget"/>
      <sheetName val="Interest reworking"/>
      <sheetName val="OVHD"/>
      <sheetName val="OVHD Budget"/>
      <sheetName val="HALOL"/>
      <sheetName val="Halol cr"/>
      <sheetName val="Halol dr"/>
      <sheetName val="Chakan"/>
      <sheetName val="Bhosari"/>
      <sheetName val="BS Bho"/>
      <sheetName val="BS Chk"/>
      <sheetName val="BS Hal"/>
      <sheetName val="BS Total"/>
      <sheetName val="Act vs Bud Bho"/>
      <sheetName val="Act vs Bud Chk"/>
      <sheetName val="Act vs Bud Hal"/>
      <sheetName val="Actuals vs budget Total"/>
      <sheetName val="Stock Debtors"/>
      <sheetName val="Book Debts"/>
      <sheetName val="Stock &amp; Book debts"/>
      <sheetName val="Un-audited results"/>
      <sheetName val="C1"/>
      <sheetName val="C2"/>
      <sheetName val="CBD"/>
      <sheetName val="MPBF-HDFC"/>
      <sheetName val="Percentages"/>
      <sheetName val="Bsheet and MIS March-02"/>
      <sheetName val="Fin. Proj."/>
    </sheetNames>
    <definedNames>
      <definedName name="End_B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diff"/>
      <sheetName val="PL Bef Elim (2)"/>
      <sheetName val="PL Bef Elim"/>
      <sheetName val="profit reco (2)"/>
      <sheetName val="fin result P &amp; L (Audit Comit)"/>
      <sheetName val="note"/>
      <sheetName val="BS"/>
      <sheetName val="P&amp;L"/>
      <sheetName val="FA sch"/>
      <sheetName val="fa"/>
      <sheetName val="Notes - P&amp;L"/>
      <sheetName val="working fa"/>
      <sheetName val="Notes - BS"/>
      <sheetName val="working co"/>
      <sheetName val="elimination "/>
      <sheetName val="Queries"/>
      <sheetName val="turnover reco"/>
      <sheetName val="debt rec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rogation"/>
      <sheetName val="CAProforma"/>
      <sheetName val="CAStrateg"/>
      <sheetName val="recap"/>
      <sheetName val="taux"/>
      <sheetName val="taux (2)"/>
      <sheetName val="Conditions 03"/>
      <sheetName val="Hypothèses"/>
      <sheetName val="HistoricData"/>
      <sheetName val="FX (OLD)"/>
      <sheetName val="LOC"/>
      <sheetName val="Control"/>
      <sheetName val="ForwardData"/>
      <sheetName val="ugt"/>
      <sheetName val="Fin 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s"/>
      <sheetName val="repaymentsch"/>
      <sheetName val="idbi"/>
      <sheetName val="idbi-FCL"/>
      <sheetName val="idbi-RTL-2"/>
      <sheetName val="sicom"/>
      <sheetName val="sicom-RTL2"/>
      <sheetName val="indusind"/>
      <sheetName val="ncd"/>
      <sheetName val="Fin. Proj."/>
      <sheetName val="HALOL"/>
    </sheetNames>
    <sheetDataSet>
      <sheetData sheetId="0" refreshError="1"/>
      <sheetData sheetId="1">
        <row r="4">
          <cell r="D4">
            <v>0.17499999999999999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BALANCE SHEET"/>
      <sheetName val="Fin. Proj."/>
      <sheetName val="repaymentsch"/>
      <sheetName val="Parameters"/>
      <sheetName val="ANNEX-I(21(B)"/>
      <sheetName val="ANNEX-J(P)"/>
      <sheetName val="ANX-D(16b)"/>
      <sheetName val="HI-TARGE"/>
      <sheetName val="FACTORS"/>
      <sheetName val="inc rec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NOTES"/>
      <sheetName val="Lists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FORM-16"/>
      <sheetName val="Company"/>
      <sheetName val="Inhouse"/>
      <sheetName val="Assume"/>
      <sheetName val="0101_00"/>
      <sheetName val="Sheet2"/>
      <sheetName val="DEP-SCH-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R2">
            <v>5503.75</v>
          </cell>
        </row>
        <row r="3">
          <cell r="R3">
            <v>3540</v>
          </cell>
        </row>
        <row r="4">
          <cell r="R4">
            <v>64316</v>
          </cell>
        </row>
        <row r="5">
          <cell r="R5">
            <v>15596</v>
          </cell>
        </row>
        <row r="6">
          <cell r="R6">
            <v>25693.200000000001</v>
          </cell>
        </row>
        <row r="7">
          <cell r="R7">
            <v>18115.54</v>
          </cell>
        </row>
        <row r="8">
          <cell r="R8">
            <v>33774.730000000003</v>
          </cell>
        </row>
        <row r="9">
          <cell r="R9">
            <v>23717.71</v>
          </cell>
        </row>
        <row r="10">
          <cell r="R10">
            <v>7592.34</v>
          </cell>
        </row>
        <row r="11">
          <cell r="R11">
            <v>29612.5</v>
          </cell>
        </row>
        <row r="12">
          <cell r="R12">
            <v>2450.25</v>
          </cell>
        </row>
        <row r="13">
          <cell r="R13">
            <v>1227.6600000000001</v>
          </cell>
        </row>
        <row r="14">
          <cell r="R14">
            <v>5082.87</v>
          </cell>
        </row>
        <row r="15">
          <cell r="R15">
            <v>39780</v>
          </cell>
        </row>
        <row r="16">
          <cell r="R16">
            <v>21930</v>
          </cell>
        </row>
        <row r="17">
          <cell r="R17">
            <v>43310.61</v>
          </cell>
        </row>
        <row r="18">
          <cell r="R18">
            <v>26828.75</v>
          </cell>
        </row>
        <row r="19">
          <cell r="R19">
            <v>48587.5</v>
          </cell>
        </row>
        <row r="20">
          <cell r="R20">
            <v>12720.4</v>
          </cell>
        </row>
        <row r="21">
          <cell r="R21">
            <v>28768.75</v>
          </cell>
        </row>
        <row r="22">
          <cell r="R22">
            <v>38307.5</v>
          </cell>
        </row>
        <row r="23">
          <cell r="R23">
            <v>96555</v>
          </cell>
        </row>
        <row r="24">
          <cell r="R24">
            <v>96555</v>
          </cell>
        </row>
        <row r="25">
          <cell r="R25">
            <v>8673.75</v>
          </cell>
        </row>
        <row r="26">
          <cell r="R26">
            <v>53098</v>
          </cell>
        </row>
        <row r="27">
          <cell r="R27">
            <v>680</v>
          </cell>
        </row>
        <row r="28">
          <cell r="R28">
            <v>680</v>
          </cell>
        </row>
        <row r="29">
          <cell r="R29">
            <v>680</v>
          </cell>
        </row>
        <row r="30">
          <cell r="R30">
            <v>680</v>
          </cell>
        </row>
        <row r="31">
          <cell r="R31">
            <v>680</v>
          </cell>
        </row>
        <row r="32">
          <cell r="R32">
            <v>5437.5</v>
          </cell>
        </row>
        <row r="33">
          <cell r="R33">
            <v>4592.8999999999996</v>
          </cell>
        </row>
        <row r="34">
          <cell r="R34">
            <v>4592.8999999999996</v>
          </cell>
        </row>
        <row r="35">
          <cell r="R35">
            <v>4592.8999999999996</v>
          </cell>
        </row>
        <row r="36">
          <cell r="R36">
            <v>2053.9699999999998</v>
          </cell>
        </row>
        <row r="37">
          <cell r="R37">
            <v>640</v>
          </cell>
        </row>
        <row r="38">
          <cell r="R38">
            <v>640</v>
          </cell>
        </row>
        <row r="39">
          <cell r="R39">
            <v>4574.7</v>
          </cell>
        </row>
        <row r="40">
          <cell r="R40">
            <v>680</v>
          </cell>
        </row>
        <row r="41">
          <cell r="R41">
            <v>680</v>
          </cell>
        </row>
        <row r="42">
          <cell r="R42">
            <v>680</v>
          </cell>
        </row>
        <row r="43">
          <cell r="R43">
            <v>680</v>
          </cell>
        </row>
        <row r="44">
          <cell r="R44">
            <v>680</v>
          </cell>
        </row>
        <row r="45">
          <cell r="R45">
            <v>2639.25</v>
          </cell>
        </row>
        <row r="46">
          <cell r="R46">
            <v>2639.25</v>
          </cell>
        </row>
        <row r="47">
          <cell r="R47">
            <v>10491.97</v>
          </cell>
        </row>
        <row r="48">
          <cell r="R48">
            <v>6567.5</v>
          </cell>
        </row>
        <row r="49">
          <cell r="R49">
            <v>9425</v>
          </cell>
        </row>
        <row r="50">
          <cell r="R50">
            <v>28490</v>
          </cell>
        </row>
        <row r="51">
          <cell r="R51">
            <v>5671.14</v>
          </cell>
        </row>
        <row r="52">
          <cell r="R52">
            <v>3987.75</v>
          </cell>
        </row>
        <row r="53">
          <cell r="R53">
            <v>5536.12</v>
          </cell>
        </row>
        <row r="54">
          <cell r="R54">
            <v>5536.12</v>
          </cell>
        </row>
        <row r="55">
          <cell r="R55">
            <v>5562.49</v>
          </cell>
        </row>
        <row r="56">
          <cell r="R56">
            <v>5562.49</v>
          </cell>
        </row>
        <row r="57">
          <cell r="R57">
            <v>5562.49</v>
          </cell>
        </row>
        <row r="58">
          <cell r="R58">
            <v>5562.49</v>
          </cell>
        </row>
        <row r="59">
          <cell r="R59">
            <v>5562.49</v>
          </cell>
        </row>
        <row r="60">
          <cell r="R60">
            <v>5562.49</v>
          </cell>
        </row>
        <row r="61">
          <cell r="R61">
            <v>5562.49</v>
          </cell>
        </row>
        <row r="62">
          <cell r="R62">
            <v>5562.49</v>
          </cell>
        </row>
        <row r="63">
          <cell r="R63">
            <v>5542.64</v>
          </cell>
        </row>
        <row r="64">
          <cell r="R64">
            <v>5542.64</v>
          </cell>
        </row>
        <row r="65">
          <cell r="R65">
            <v>9808.75</v>
          </cell>
        </row>
        <row r="66">
          <cell r="R66">
            <v>11462.5</v>
          </cell>
        </row>
        <row r="67">
          <cell r="R67">
            <v>6060</v>
          </cell>
        </row>
        <row r="68">
          <cell r="R68">
            <v>6060</v>
          </cell>
        </row>
        <row r="69">
          <cell r="R69">
            <v>10185</v>
          </cell>
        </row>
        <row r="70">
          <cell r="R70">
            <v>20562</v>
          </cell>
        </row>
        <row r="71">
          <cell r="R71">
            <v>5272.5</v>
          </cell>
        </row>
        <row r="72">
          <cell r="R72">
            <v>5272.5</v>
          </cell>
        </row>
        <row r="73">
          <cell r="R73">
            <v>5272.5</v>
          </cell>
        </row>
        <row r="74">
          <cell r="R74">
            <v>5272.5</v>
          </cell>
        </row>
        <row r="75">
          <cell r="R75">
            <v>5272.5</v>
          </cell>
        </row>
        <row r="76">
          <cell r="R76">
            <v>6255.4</v>
          </cell>
        </row>
        <row r="77">
          <cell r="R77">
            <v>6255.4</v>
          </cell>
        </row>
        <row r="78">
          <cell r="R78">
            <v>5087.5</v>
          </cell>
        </row>
        <row r="79">
          <cell r="R79">
            <v>5087.5</v>
          </cell>
        </row>
        <row r="80">
          <cell r="R80">
            <v>14000</v>
          </cell>
        </row>
        <row r="81">
          <cell r="R81">
            <v>11238.75</v>
          </cell>
        </row>
        <row r="82">
          <cell r="R82">
            <v>449.55</v>
          </cell>
        </row>
        <row r="83">
          <cell r="R83">
            <v>11238.75</v>
          </cell>
        </row>
        <row r="84">
          <cell r="R84">
            <v>449.55</v>
          </cell>
        </row>
        <row r="85">
          <cell r="R85">
            <v>13162.5</v>
          </cell>
        </row>
        <row r="86">
          <cell r="R86">
            <v>13162.5</v>
          </cell>
        </row>
        <row r="87">
          <cell r="R87">
            <v>13162.5</v>
          </cell>
        </row>
        <row r="88">
          <cell r="R88">
            <v>11688.3</v>
          </cell>
        </row>
        <row r="89">
          <cell r="R89">
            <v>11688.3</v>
          </cell>
        </row>
        <row r="90">
          <cell r="R90">
            <v>11688.3</v>
          </cell>
        </row>
        <row r="91">
          <cell r="R91">
            <v>11256</v>
          </cell>
        </row>
        <row r="92">
          <cell r="R92">
            <v>11256</v>
          </cell>
        </row>
        <row r="93">
          <cell r="R93">
            <v>52658.5</v>
          </cell>
        </row>
        <row r="94">
          <cell r="R94">
            <v>50140</v>
          </cell>
        </row>
        <row r="95">
          <cell r="R95">
            <v>62458.11</v>
          </cell>
        </row>
        <row r="96">
          <cell r="R96">
            <v>39790</v>
          </cell>
        </row>
        <row r="97">
          <cell r="R97">
            <v>12765</v>
          </cell>
        </row>
        <row r="98">
          <cell r="R98">
            <v>12765</v>
          </cell>
        </row>
        <row r="99">
          <cell r="R99">
            <v>11238.75</v>
          </cell>
        </row>
        <row r="100">
          <cell r="R100">
            <v>11238.75</v>
          </cell>
        </row>
        <row r="101">
          <cell r="R101">
            <v>11238.75</v>
          </cell>
        </row>
        <row r="102">
          <cell r="R102">
            <v>11238.75</v>
          </cell>
        </row>
        <row r="103">
          <cell r="R103">
            <v>11238.75</v>
          </cell>
        </row>
        <row r="104">
          <cell r="R104">
            <v>11238.75</v>
          </cell>
        </row>
        <row r="105">
          <cell r="R105">
            <v>12765</v>
          </cell>
        </row>
        <row r="106">
          <cell r="R106">
            <v>25235</v>
          </cell>
        </row>
        <row r="107">
          <cell r="R107">
            <v>13003.75</v>
          </cell>
        </row>
        <row r="108">
          <cell r="R108">
            <v>23638.5</v>
          </cell>
        </row>
        <row r="109">
          <cell r="R109">
            <v>16485.150000000001</v>
          </cell>
        </row>
        <row r="110">
          <cell r="R110">
            <v>16485.150000000001</v>
          </cell>
        </row>
        <row r="111">
          <cell r="R111">
            <v>16485.150000000001</v>
          </cell>
        </row>
        <row r="112">
          <cell r="R112">
            <v>16485.150000000001</v>
          </cell>
        </row>
        <row r="113">
          <cell r="R113">
            <v>16485.150000000001</v>
          </cell>
        </row>
        <row r="114">
          <cell r="R114">
            <v>16485.150000000001</v>
          </cell>
        </row>
        <row r="115">
          <cell r="R115">
            <v>16485.150000000001</v>
          </cell>
        </row>
        <row r="116">
          <cell r="R116">
            <v>16485.150000000001</v>
          </cell>
        </row>
        <row r="117">
          <cell r="R117">
            <v>12170.25</v>
          </cell>
        </row>
        <row r="118">
          <cell r="R118">
            <v>13338.85</v>
          </cell>
        </row>
        <row r="119">
          <cell r="R119">
            <v>13338.85</v>
          </cell>
        </row>
        <row r="120">
          <cell r="R120">
            <v>17187.5</v>
          </cell>
        </row>
        <row r="121">
          <cell r="R121">
            <v>30156.25</v>
          </cell>
        </row>
        <row r="122">
          <cell r="R122">
            <v>59840</v>
          </cell>
        </row>
        <row r="123">
          <cell r="R123">
            <v>55000</v>
          </cell>
        </row>
        <row r="124">
          <cell r="R124">
            <v>30156.25</v>
          </cell>
        </row>
        <row r="125">
          <cell r="R125">
            <v>15857.4</v>
          </cell>
        </row>
        <row r="126">
          <cell r="R126">
            <v>15857.4</v>
          </cell>
        </row>
        <row r="127">
          <cell r="R127">
            <v>15857.4</v>
          </cell>
        </row>
        <row r="128">
          <cell r="R128">
            <v>15857.4</v>
          </cell>
        </row>
        <row r="129">
          <cell r="R129">
            <v>15857.4</v>
          </cell>
        </row>
        <row r="130">
          <cell r="R130">
            <v>15857.4</v>
          </cell>
        </row>
        <row r="131">
          <cell r="R131">
            <v>15857.4</v>
          </cell>
        </row>
        <row r="132">
          <cell r="R132">
            <v>15857.4</v>
          </cell>
        </row>
        <row r="133">
          <cell r="R133">
            <v>15857.4</v>
          </cell>
        </row>
        <row r="134">
          <cell r="R134">
            <v>57557.5</v>
          </cell>
        </row>
        <row r="135">
          <cell r="R135">
            <v>7277.72</v>
          </cell>
        </row>
        <row r="136">
          <cell r="R136">
            <v>6956.88</v>
          </cell>
        </row>
        <row r="137">
          <cell r="R137">
            <v>6956.88</v>
          </cell>
        </row>
        <row r="138">
          <cell r="R138">
            <v>7032.32</v>
          </cell>
        </row>
        <row r="139">
          <cell r="R139">
            <v>6956.88</v>
          </cell>
        </row>
        <row r="140">
          <cell r="R140">
            <v>6942.97</v>
          </cell>
        </row>
        <row r="141">
          <cell r="R141">
            <v>6602.56</v>
          </cell>
        </row>
        <row r="142">
          <cell r="R142">
            <v>7219.01</v>
          </cell>
        </row>
        <row r="143">
          <cell r="R143">
            <v>6942.97</v>
          </cell>
        </row>
        <row r="144">
          <cell r="R144">
            <v>6392.44</v>
          </cell>
        </row>
        <row r="145">
          <cell r="R145">
            <v>6261.88</v>
          </cell>
        </row>
        <row r="146">
          <cell r="R146">
            <v>6956.88</v>
          </cell>
        </row>
        <row r="147">
          <cell r="R147">
            <v>6695.51</v>
          </cell>
        </row>
        <row r="148">
          <cell r="R148">
            <v>7358.32</v>
          </cell>
        </row>
        <row r="149">
          <cell r="R149">
            <v>7358.32</v>
          </cell>
        </row>
        <row r="150">
          <cell r="R150">
            <v>8435.9599999999991</v>
          </cell>
        </row>
        <row r="151">
          <cell r="R151">
            <v>22402.5</v>
          </cell>
        </row>
        <row r="152">
          <cell r="R152">
            <v>22402.5</v>
          </cell>
        </row>
        <row r="153">
          <cell r="R153">
            <v>27360</v>
          </cell>
        </row>
        <row r="154">
          <cell r="R154">
            <v>630.17999999999995</v>
          </cell>
        </row>
        <row r="155">
          <cell r="R155">
            <v>630.09</v>
          </cell>
        </row>
        <row r="156">
          <cell r="R156">
            <v>630.09</v>
          </cell>
        </row>
        <row r="157">
          <cell r="R157">
            <v>630.09</v>
          </cell>
        </row>
        <row r="158">
          <cell r="R158">
            <v>630.09</v>
          </cell>
        </row>
        <row r="159">
          <cell r="R159">
            <v>766.64</v>
          </cell>
        </row>
        <row r="160">
          <cell r="R160">
            <v>619.92999999999995</v>
          </cell>
        </row>
        <row r="161">
          <cell r="R161">
            <v>619.92999999999995</v>
          </cell>
        </row>
        <row r="162">
          <cell r="R162">
            <v>619.92999999999995</v>
          </cell>
        </row>
        <row r="163">
          <cell r="R163">
            <v>619.92999999999995</v>
          </cell>
        </row>
        <row r="164">
          <cell r="R164">
            <v>619.92999999999995</v>
          </cell>
        </row>
        <row r="165">
          <cell r="R165">
            <v>301.92</v>
          </cell>
        </row>
        <row r="166">
          <cell r="R166">
            <v>315</v>
          </cell>
        </row>
        <row r="167">
          <cell r="R167">
            <v>3527.26</v>
          </cell>
        </row>
        <row r="168">
          <cell r="R168">
            <v>1500</v>
          </cell>
        </row>
        <row r="169">
          <cell r="R169">
            <v>170</v>
          </cell>
        </row>
        <row r="170">
          <cell r="R170">
            <v>301.92</v>
          </cell>
        </row>
        <row r="171">
          <cell r="R171">
            <v>4670.6899999999996</v>
          </cell>
        </row>
        <row r="172">
          <cell r="R172">
            <v>2288.8200000000002</v>
          </cell>
        </row>
        <row r="173">
          <cell r="R173">
            <v>2288.8200000000002</v>
          </cell>
        </row>
        <row r="174">
          <cell r="R174">
            <v>17510</v>
          </cell>
        </row>
        <row r="175">
          <cell r="R175">
            <v>17510</v>
          </cell>
        </row>
        <row r="176">
          <cell r="R176">
            <v>17510</v>
          </cell>
        </row>
        <row r="177">
          <cell r="R177">
            <v>17510</v>
          </cell>
        </row>
        <row r="178">
          <cell r="R178">
            <v>17510</v>
          </cell>
        </row>
        <row r="179">
          <cell r="R179">
            <v>17510</v>
          </cell>
        </row>
        <row r="180">
          <cell r="R180">
            <v>17510</v>
          </cell>
        </row>
        <row r="181">
          <cell r="R181">
            <v>17510</v>
          </cell>
        </row>
        <row r="182">
          <cell r="R182">
            <v>17510</v>
          </cell>
        </row>
        <row r="183">
          <cell r="R183">
            <v>17510</v>
          </cell>
        </row>
        <row r="184">
          <cell r="R184">
            <v>17510</v>
          </cell>
        </row>
        <row r="185">
          <cell r="R185">
            <v>17510</v>
          </cell>
        </row>
        <row r="186">
          <cell r="R186">
            <v>17510</v>
          </cell>
        </row>
        <row r="187">
          <cell r="R187">
            <v>17510</v>
          </cell>
        </row>
        <row r="188">
          <cell r="R188">
            <v>17510</v>
          </cell>
        </row>
        <row r="189">
          <cell r="R189">
            <v>17510</v>
          </cell>
        </row>
        <row r="190">
          <cell r="R190">
            <v>17510</v>
          </cell>
        </row>
        <row r="191">
          <cell r="R191">
            <v>19380</v>
          </cell>
        </row>
        <row r="192">
          <cell r="R192">
            <v>19380</v>
          </cell>
        </row>
        <row r="193">
          <cell r="R193">
            <v>18742.5</v>
          </cell>
        </row>
        <row r="194">
          <cell r="R194">
            <v>18742.5</v>
          </cell>
        </row>
        <row r="195">
          <cell r="R195">
            <v>18742.5</v>
          </cell>
        </row>
        <row r="196">
          <cell r="R196">
            <v>18742.5</v>
          </cell>
        </row>
        <row r="197">
          <cell r="R197">
            <v>18742.5</v>
          </cell>
        </row>
        <row r="198">
          <cell r="R198">
            <v>18742.5</v>
          </cell>
        </row>
        <row r="199">
          <cell r="R199">
            <v>18742.5</v>
          </cell>
        </row>
        <row r="200">
          <cell r="R200">
            <v>18742.5</v>
          </cell>
        </row>
        <row r="201">
          <cell r="R201">
            <v>18742.5</v>
          </cell>
        </row>
        <row r="202">
          <cell r="R202">
            <v>18742.5</v>
          </cell>
        </row>
        <row r="203">
          <cell r="R203">
            <v>60860</v>
          </cell>
        </row>
        <row r="204">
          <cell r="R204">
            <v>17510</v>
          </cell>
        </row>
        <row r="205">
          <cell r="R205">
            <v>17510</v>
          </cell>
        </row>
        <row r="206">
          <cell r="R206">
            <v>89127.8</v>
          </cell>
        </row>
        <row r="207">
          <cell r="R207">
            <v>17510</v>
          </cell>
        </row>
        <row r="208">
          <cell r="R208">
            <v>17510</v>
          </cell>
        </row>
        <row r="209">
          <cell r="R209">
            <v>17510</v>
          </cell>
        </row>
        <row r="210">
          <cell r="R210">
            <v>17510</v>
          </cell>
        </row>
        <row r="211">
          <cell r="R211">
            <v>17510</v>
          </cell>
        </row>
        <row r="212">
          <cell r="R212">
            <v>17510</v>
          </cell>
        </row>
        <row r="213">
          <cell r="R213">
            <v>17510</v>
          </cell>
        </row>
        <row r="214">
          <cell r="R214">
            <v>21758.75</v>
          </cell>
        </row>
        <row r="215">
          <cell r="R215">
            <v>21758.75</v>
          </cell>
        </row>
        <row r="216">
          <cell r="R216">
            <v>21758.75</v>
          </cell>
        </row>
        <row r="217">
          <cell r="R217">
            <v>21758.75</v>
          </cell>
        </row>
        <row r="218">
          <cell r="R218">
            <v>21758.75</v>
          </cell>
        </row>
        <row r="219">
          <cell r="R219">
            <v>21758.75</v>
          </cell>
        </row>
        <row r="220">
          <cell r="R220">
            <v>21758.75</v>
          </cell>
        </row>
        <row r="221">
          <cell r="R221">
            <v>21758.75</v>
          </cell>
        </row>
        <row r="222">
          <cell r="R222">
            <v>38870</v>
          </cell>
        </row>
        <row r="223">
          <cell r="R223">
            <v>21626.25</v>
          </cell>
        </row>
        <row r="224">
          <cell r="R224">
            <v>21626.25</v>
          </cell>
        </row>
        <row r="225">
          <cell r="R225">
            <v>21626.25</v>
          </cell>
        </row>
        <row r="226">
          <cell r="R226">
            <v>21626.25</v>
          </cell>
        </row>
        <row r="227">
          <cell r="R227">
            <v>21626.25</v>
          </cell>
        </row>
        <row r="228">
          <cell r="R228">
            <v>21626.25</v>
          </cell>
        </row>
        <row r="229">
          <cell r="R229">
            <v>21626.25</v>
          </cell>
        </row>
        <row r="230">
          <cell r="R230">
            <v>180</v>
          </cell>
        </row>
        <row r="231">
          <cell r="R231">
            <v>21626.25</v>
          </cell>
        </row>
        <row r="232">
          <cell r="R232">
            <v>66332.5</v>
          </cell>
        </row>
        <row r="233">
          <cell r="R233">
            <v>37180</v>
          </cell>
        </row>
        <row r="234">
          <cell r="R234">
            <v>37180</v>
          </cell>
        </row>
        <row r="235">
          <cell r="R235">
            <v>31600</v>
          </cell>
        </row>
        <row r="236">
          <cell r="R236">
            <v>18926.25</v>
          </cell>
        </row>
        <row r="237">
          <cell r="R237">
            <v>31600</v>
          </cell>
        </row>
        <row r="238">
          <cell r="R238">
            <v>66690</v>
          </cell>
        </row>
        <row r="239">
          <cell r="R239">
            <v>47430</v>
          </cell>
        </row>
        <row r="240">
          <cell r="R240">
            <v>21626.25</v>
          </cell>
        </row>
        <row r="241">
          <cell r="R241">
            <v>145</v>
          </cell>
        </row>
        <row r="242">
          <cell r="R242">
            <v>21626.25</v>
          </cell>
        </row>
        <row r="243">
          <cell r="R243">
            <v>24653.72</v>
          </cell>
        </row>
        <row r="244">
          <cell r="R244">
            <v>24653.72</v>
          </cell>
        </row>
        <row r="245">
          <cell r="R245">
            <v>24653.72</v>
          </cell>
        </row>
        <row r="246">
          <cell r="R246">
            <v>24653.72</v>
          </cell>
        </row>
        <row r="247">
          <cell r="R247">
            <v>24653.72</v>
          </cell>
        </row>
        <row r="248">
          <cell r="R248">
            <v>24653.72</v>
          </cell>
        </row>
        <row r="249">
          <cell r="R249">
            <v>24653.72</v>
          </cell>
        </row>
        <row r="250">
          <cell r="R250">
            <v>24653.72</v>
          </cell>
        </row>
        <row r="251">
          <cell r="R251">
            <v>7816.25</v>
          </cell>
        </row>
        <row r="252">
          <cell r="R252">
            <v>28488.75</v>
          </cell>
        </row>
        <row r="253">
          <cell r="R253">
            <v>12653.25</v>
          </cell>
        </row>
        <row r="254">
          <cell r="R254">
            <v>18027.5</v>
          </cell>
        </row>
        <row r="255">
          <cell r="R255">
            <v>25435.95</v>
          </cell>
        </row>
        <row r="256">
          <cell r="R256">
            <v>27423.75</v>
          </cell>
        </row>
        <row r="257">
          <cell r="R257">
            <v>27423.75</v>
          </cell>
        </row>
        <row r="258">
          <cell r="R258">
            <v>27423.75</v>
          </cell>
        </row>
        <row r="259">
          <cell r="R259">
            <v>65039.55</v>
          </cell>
        </row>
        <row r="260">
          <cell r="R260">
            <v>48477</v>
          </cell>
        </row>
        <row r="261">
          <cell r="R261">
            <v>2272.5</v>
          </cell>
        </row>
        <row r="262">
          <cell r="R262">
            <v>10854.5</v>
          </cell>
        </row>
        <row r="263">
          <cell r="R263">
            <v>10450.5</v>
          </cell>
        </row>
        <row r="264">
          <cell r="R264">
            <v>16460</v>
          </cell>
        </row>
        <row r="265">
          <cell r="R265">
            <v>76158.149999999994</v>
          </cell>
        </row>
        <row r="266">
          <cell r="R266">
            <v>76158.149999999994</v>
          </cell>
        </row>
        <row r="267">
          <cell r="R267">
            <v>48351.25</v>
          </cell>
        </row>
        <row r="268">
          <cell r="R268">
            <v>29845</v>
          </cell>
        </row>
        <row r="269">
          <cell r="R269">
            <v>29845</v>
          </cell>
        </row>
        <row r="270">
          <cell r="R270">
            <v>29845</v>
          </cell>
        </row>
        <row r="271">
          <cell r="R271">
            <v>29845</v>
          </cell>
        </row>
        <row r="272">
          <cell r="R272">
            <v>29845</v>
          </cell>
        </row>
        <row r="273">
          <cell r="R273">
            <v>192.5</v>
          </cell>
        </row>
        <row r="274">
          <cell r="R274">
            <v>29845</v>
          </cell>
        </row>
        <row r="275">
          <cell r="R275">
            <v>29845</v>
          </cell>
        </row>
        <row r="276">
          <cell r="R276">
            <v>29845</v>
          </cell>
        </row>
        <row r="277">
          <cell r="R277">
            <v>29845</v>
          </cell>
        </row>
        <row r="278">
          <cell r="R278">
            <v>29845</v>
          </cell>
        </row>
        <row r="279">
          <cell r="R279">
            <v>29845</v>
          </cell>
        </row>
        <row r="280">
          <cell r="R280">
            <v>29845</v>
          </cell>
        </row>
        <row r="281">
          <cell r="R281">
            <v>29845</v>
          </cell>
        </row>
        <row r="282">
          <cell r="R282">
            <v>29845</v>
          </cell>
        </row>
        <row r="283">
          <cell r="R283">
            <v>27287.5</v>
          </cell>
        </row>
        <row r="284">
          <cell r="R284">
            <v>31743.32</v>
          </cell>
        </row>
        <row r="285">
          <cell r="R285">
            <v>31743.32</v>
          </cell>
        </row>
        <row r="286">
          <cell r="R286">
            <v>28597.5</v>
          </cell>
        </row>
        <row r="287">
          <cell r="R287">
            <v>31996.5</v>
          </cell>
        </row>
        <row r="288">
          <cell r="R288">
            <v>31996.5</v>
          </cell>
        </row>
        <row r="289">
          <cell r="R289">
            <v>3597.5</v>
          </cell>
        </row>
        <row r="290">
          <cell r="R290">
            <v>3597.5</v>
          </cell>
        </row>
        <row r="291">
          <cell r="R291">
            <v>3597.5</v>
          </cell>
        </row>
        <row r="292">
          <cell r="R292">
            <v>8765.18</v>
          </cell>
        </row>
        <row r="293">
          <cell r="R293">
            <v>28597.5</v>
          </cell>
        </row>
        <row r="294">
          <cell r="R294">
            <v>25642.5</v>
          </cell>
        </row>
        <row r="295">
          <cell r="R295">
            <v>70487.39</v>
          </cell>
        </row>
        <row r="296">
          <cell r="R296">
            <v>115142.5</v>
          </cell>
        </row>
        <row r="297">
          <cell r="R297">
            <v>5875</v>
          </cell>
        </row>
        <row r="298">
          <cell r="R298">
            <v>1570</v>
          </cell>
        </row>
        <row r="299">
          <cell r="R299">
            <v>340</v>
          </cell>
        </row>
        <row r="300">
          <cell r="R300">
            <v>175</v>
          </cell>
        </row>
        <row r="301">
          <cell r="R301">
            <v>175</v>
          </cell>
        </row>
        <row r="302">
          <cell r="R302">
            <v>433.5</v>
          </cell>
        </row>
        <row r="303">
          <cell r="R303">
            <v>4370.2</v>
          </cell>
        </row>
        <row r="304">
          <cell r="R304">
            <v>5300</v>
          </cell>
        </row>
        <row r="305">
          <cell r="R305">
            <v>3670</v>
          </cell>
        </row>
        <row r="306">
          <cell r="R306">
            <v>460</v>
          </cell>
        </row>
        <row r="307">
          <cell r="R307">
            <v>2100</v>
          </cell>
        </row>
        <row r="308">
          <cell r="R308">
            <v>517.5</v>
          </cell>
        </row>
        <row r="309">
          <cell r="R309">
            <v>1050</v>
          </cell>
        </row>
        <row r="310">
          <cell r="R310">
            <v>460</v>
          </cell>
        </row>
        <row r="311">
          <cell r="R311">
            <v>1070</v>
          </cell>
        </row>
        <row r="312">
          <cell r="R312">
            <v>230</v>
          </cell>
        </row>
        <row r="313">
          <cell r="R313">
            <v>2100</v>
          </cell>
        </row>
        <row r="314">
          <cell r="R314">
            <v>160</v>
          </cell>
        </row>
        <row r="315">
          <cell r="R315">
            <v>1530</v>
          </cell>
        </row>
        <row r="316">
          <cell r="R316">
            <v>184</v>
          </cell>
        </row>
        <row r="317">
          <cell r="R317">
            <v>210</v>
          </cell>
        </row>
        <row r="318">
          <cell r="R318">
            <v>255</v>
          </cell>
        </row>
        <row r="319">
          <cell r="R319">
            <v>302.5</v>
          </cell>
        </row>
        <row r="320">
          <cell r="R320">
            <v>875</v>
          </cell>
        </row>
        <row r="321">
          <cell r="R321">
            <v>850</v>
          </cell>
        </row>
        <row r="322">
          <cell r="R322">
            <v>1123.5</v>
          </cell>
        </row>
        <row r="323">
          <cell r="R323">
            <v>1070</v>
          </cell>
        </row>
        <row r="324">
          <cell r="R324">
            <v>1135</v>
          </cell>
        </row>
        <row r="325">
          <cell r="R325">
            <v>830</v>
          </cell>
        </row>
        <row r="326">
          <cell r="R326">
            <v>2490</v>
          </cell>
        </row>
        <row r="327">
          <cell r="R327">
            <v>255</v>
          </cell>
        </row>
        <row r="328">
          <cell r="R328">
            <v>401</v>
          </cell>
        </row>
        <row r="329">
          <cell r="R329">
            <v>830</v>
          </cell>
        </row>
        <row r="330">
          <cell r="R330">
            <v>800</v>
          </cell>
        </row>
        <row r="331">
          <cell r="R331">
            <v>161.19999999999999</v>
          </cell>
        </row>
        <row r="332">
          <cell r="R332">
            <v>161.19999999999999</v>
          </cell>
        </row>
        <row r="333">
          <cell r="R333">
            <v>830</v>
          </cell>
        </row>
        <row r="334">
          <cell r="R334">
            <v>702</v>
          </cell>
        </row>
        <row r="335">
          <cell r="R335">
            <v>1384.66</v>
          </cell>
        </row>
        <row r="336">
          <cell r="R336">
            <v>161.19999999999999</v>
          </cell>
        </row>
        <row r="337">
          <cell r="R337">
            <v>830</v>
          </cell>
        </row>
        <row r="338">
          <cell r="R338">
            <v>161.19999999999999</v>
          </cell>
        </row>
        <row r="339">
          <cell r="R339">
            <v>2920</v>
          </cell>
        </row>
        <row r="340">
          <cell r="R340">
            <v>232.5</v>
          </cell>
        </row>
        <row r="341">
          <cell r="R341">
            <v>452.4</v>
          </cell>
        </row>
        <row r="342">
          <cell r="R342">
            <v>1225</v>
          </cell>
        </row>
        <row r="343">
          <cell r="R343">
            <v>610</v>
          </cell>
        </row>
        <row r="344">
          <cell r="R344">
            <v>1413.3</v>
          </cell>
        </row>
        <row r="345">
          <cell r="R345">
            <v>610</v>
          </cell>
        </row>
        <row r="346">
          <cell r="R346">
            <v>1530</v>
          </cell>
        </row>
        <row r="347">
          <cell r="R347">
            <v>220</v>
          </cell>
        </row>
        <row r="348">
          <cell r="R348">
            <v>1365</v>
          </cell>
        </row>
        <row r="349">
          <cell r="R349">
            <v>2964.63</v>
          </cell>
        </row>
        <row r="350">
          <cell r="R350">
            <v>2282.8000000000002</v>
          </cell>
        </row>
        <row r="351">
          <cell r="R351">
            <v>750</v>
          </cell>
        </row>
        <row r="352">
          <cell r="R352">
            <v>930</v>
          </cell>
        </row>
        <row r="353">
          <cell r="R353">
            <v>83.5</v>
          </cell>
        </row>
        <row r="354">
          <cell r="R354">
            <v>652.5</v>
          </cell>
        </row>
        <row r="355">
          <cell r="R355">
            <v>4237.8999999999996</v>
          </cell>
        </row>
        <row r="356">
          <cell r="R356">
            <v>2100</v>
          </cell>
        </row>
        <row r="357">
          <cell r="R357">
            <v>345</v>
          </cell>
        </row>
        <row r="358">
          <cell r="R358">
            <v>595.91999999999996</v>
          </cell>
        </row>
        <row r="359">
          <cell r="R359">
            <v>790</v>
          </cell>
        </row>
        <row r="360">
          <cell r="R360">
            <v>7030.5</v>
          </cell>
        </row>
        <row r="361">
          <cell r="R361">
            <v>580.04999999999995</v>
          </cell>
        </row>
        <row r="362">
          <cell r="R362">
            <v>2200</v>
          </cell>
        </row>
        <row r="363">
          <cell r="R363">
            <v>950</v>
          </cell>
        </row>
        <row r="364">
          <cell r="R364">
            <v>975</v>
          </cell>
        </row>
        <row r="365">
          <cell r="R365">
            <v>535</v>
          </cell>
        </row>
        <row r="366">
          <cell r="R366">
            <v>239</v>
          </cell>
        </row>
        <row r="367">
          <cell r="R367">
            <v>975</v>
          </cell>
        </row>
        <row r="368">
          <cell r="R368">
            <v>355</v>
          </cell>
        </row>
        <row r="369">
          <cell r="R369">
            <v>2163.8200000000002</v>
          </cell>
        </row>
        <row r="370">
          <cell r="R370">
            <v>1080</v>
          </cell>
        </row>
        <row r="371">
          <cell r="R371">
            <v>170</v>
          </cell>
        </row>
        <row r="372">
          <cell r="R372">
            <v>750</v>
          </cell>
        </row>
        <row r="373">
          <cell r="R373">
            <v>977.6</v>
          </cell>
        </row>
        <row r="374">
          <cell r="R374">
            <v>295</v>
          </cell>
        </row>
        <row r="375">
          <cell r="R375">
            <v>1440</v>
          </cell>
        </row>
        <row r="376">
          <cell r="R376">
            <v>2898.84</v>
          </cell>
        </row>
        <row r="377">
          <cell r="R377">
            <v>250</v>
          </cell>
        </row>
        <row r="378">
          <cell r="R378">
            <v>250</v>
          </cell>
        </row>
        <row r="379">
          <cell r="R379">
            <v>250</v>
          </cell>
        </row>
        <row r="380">
          <cell r="R380">
            <v>1660</v>
          </cell>
        </row>
        <row r="381">
          <cell r="R381">
            <v>267.5</v>
          </cell>
        </row>
        <row r="382">
          <cell r="R382">
            <v>240</v>
          </cell>
        </row>
        <row r="383">
          <cell r="R383">
            <v>1237.5</v>
          </cell>
        </row>
        <row r="384">
          <cell r="R384">
            <v>198</v>
          </cell>
        </row>
        <row r="385">
          <cell r="R385">
            <v>1250</v>
          </cell>
        </row>
        <row r="386">
          <cell r="R386">
            <v>1736.8</v>
          </cell>
        </row>
        <row r="387">
          <cell r="R387">
            <v>951.24</v>
          </cell>
        </row>
        <row r="388">
          <cell r="R388">
            <v>951.24</v>
          </cell>
        </row>
        <row r="389">
          <cell r="R389">
            <v>1594.5</v>
          </cell>
        </row>
        <row r="390">
          <cell r="R390">
            <v>2542.8000000000002</v>
          </cell>
        </row>
        <row r="391">
          <cell r="R391">
            <v>710</v>
          </cell>
        </row>
        <row r="392">
          <cell r="R392">
            <v>1974</v>
          </cell>
        </row>
        <row r="393">
          <cell r="R393">
            <v>1139.05</v>
          </cell>
        </row>
        <row r="394">
          <cell r="R394">
            <v>1504</v>
          </cell>
        </row>
        <row r="395">
          <cell r="R395">
            <v>222</v>
          </cell>
        </row>
        <row r="396">
          <cell r="R396">
            <v>535</v>
          </cell>
        </row>
        <row r="397">
          <cell r="R397">
            <v>2752.78</v>
          </cell>
        </row>
        <row r="398">
          <cell r="R398">
            <v>874.79</v>
          </cell>
        </row>
        <row r="399">
          <cell r="R399">
            <v>2760</v>
          </cell>
        </row>
        <row r="400">
          <cell r="R400">
            <v>2640</v>
          </cell>
        </row>
        <row r="401">
          <cell r="R401">
            <v>1602</v>
          </cell>
        </row>
        <row r="402">
          <cell r="R402">
            <v>1247.0899999999999</v>
          </cell>
        </row>
        <row r="403">
          <cell r="R403">
            <v>1602</v>
          </cell>
        </row>
        <row r="404">
          <cell r="R404">
            <v>1247.0899999999999</v>
          </cell>
        </row>
        <row r="405">
          <cell r="R405">
            <v>584.22</v>
          </cell>
        </row>
        <row r="406">
          <cell r="R406">
            <v>801</v>
          </cell>
        </row>
        <row r="407">
          <cell r="R407">
            <v>760</v>
          </cell>
        </row>
        <row r="408">
          <cell r="R408">
            <v>1121</v>
          </cell>
        </row>
        <row r="409">
          <cell r="R409">
            <v>1130</v>
          </cell>
        </row>
        <row r="410">
          <cell r="R410">
            <v>904.5</v>
          </cell>
        </row>
        <row r="411">
          <cell r="R411">
            <v>2500</v>
          </cell>
        </row>
        <row r="412">
          <cell r="R412">
            <v>254.2</v>
          </cell>
        </row>
        <row r="413">
          <cell r="R413">
            <v>729.6</v>
          </cell>
        </row>
        <row r="414">
          <cell r="R414">
            <v>281.75</v>
          </cell>
        </row>
        <row r="415">
          <cell r="R415">
            <v>198.37</v>
          </cell>
        </row>
        <row r="416">
          <cell r="R416">
            <v>611.27</v>
          </cell>
        </row>
        <row r="417">
          <cell r="R417">
            <v>198.37</v>
          </cell>
        </row>
        <row r="418">
          <cell r="R418">
            <v>611.27</v>
          </cell>
        </row>
        <row r="419">
          <cell r="R419">
            <v>336.75</v>
          </cell>
        </row>
        <row r="420">
          <cell r="R420">
            <v>537</v>
          </cell>
        </row>
        <row r="421">
          <cell r="R421">
            <v>91</v>
          </cell>
        </row>
        <row r="422">
          <cell r="R422">
            <v>826</v>
          </cell>
        </row>
        <row r="423">
          <cell r="R423">
            <v>524</v>
          </cell>
        </row>
        <row r="424">
          <cell r="R424">
            <v>729.5</v>
          </cell>
        </row>
        <row r="425">
          <cell r="R425">
            <v>1140</v>
          </cell>
        </row>
        <row r="426">
          <cell r="R426">
            <v>605</v>
          </cell>
        </row>
        <row r="427">
          <cell r="R427">
            <v>711.68</v>
          </cell>
        </row>
        <row r="428">
          <cell r="R428">
            <v>894.4</v>
          </cell>
        </row>
        <row r="429">
          <cell r="R429">
            <v>1330</v>
          </cell>
        </row>
        <row r="430">
          <cell r="R430">
            <v>676</v>
          </cell>
        </row>
        <row r="431">
          <cell r="R431">
            <v>676</v>
          </cell>
        </row>
        <row r="432">
          <cell r="R432">
            <v>1770</v>
          </cell>
        </row>
        <row r="433">
          <cell r="R433">
            <v>586.5</v>
          </cell>
        </row>
        <row r="434">
          <cell r="R434">
            <v>676</v>
          </cell>
        </row>
        <row r="435">
          <cell r="R435">
            <v>1220</v>
          </cell>
        </row>
        <row r="436">
          <cell r="R436">
            <v>676</v>
          </cell>
        </row>
        <row r="437">
          <cell r="R437">
            <v>1223.1199999999999</v>
          </cell>
        </row>
        <row r="438">
          <cell r="R438">
            <v>676</v>
          </cell>
        </row>
        <row r="439">
          <cell r="R439">
            <v>583.12</v>
          </cell>
        </row>
        <row r="440">
          <cell r="R440">
            <v>4324</v>
          </cell>
        </row>
        <row r="441">
          <cell r="R441">
            <v>260.04000000000002</v>
          </cell>
        </row>
        <row r="442">
          <cell r="R442">
            <v>1205.3599999999999</v>
          </cell>
        </row>
        <row r="443">
          <cell r="R443">
            <v>177.48</v>
          </cell>
        </row>
        <row r="444">
          <cell r="R444">
            <v>1368.5</v>
          </cell>
        </row>
        <row r="445">
          <cell r="R445">
            <v>650</v>
          </cell>
        </row>
        <row r="446">
          <cell r="R446">
            <v>1210</v>
          </cell>
        </row>
        <row r="447">
          <cell r="R447">
            <v>15054</v>
          </cell>
        </row>
        <row r="448">
          <cell r="R448">
            <v>626.08000000000004</v>
          </cell>
        </row>
        <row r="449">
          <cell r="R449">
            <v>626.08000000000004</v>
          </cell>
        </row>
        <row r="450">
          <cell r="R450">
            <v>626.08000000000004</v>
          </cell>
        </row>
        <row r="451">
          <cell r="R451">
            <v>626.08000000000004</v>
          </cell>
        </row>
        <row r="452">
          <cell r="R452">
            <v>626.08000000000004</v>
          </cell>
        </row>
        <row r="453">
          <cell r="R453">
            <v>626.08000000000004</v>
          </cell>
        </row>
        <row r="454">
          <cell r="R454">
            <v>636</v>
          </cell>
        </row>
        <row r="455">
          <cell r="R455">
            <v>673.5</v>
          </cell>
        </row>
        <row r="456">
          <cell r="R456">
            <v>1130</v>
          </cell>
        </row>
        <row r="457">
          <cell r="R457">
            <v>611.27</v>
          </cell>
        </row>
        <row r="458">
          <cell r="R458">
            <v>633.75</v>
          </cell>
        </row>
        <row r="459">
          <cell r="R459">
            <v>611.27</v>
          </cell>
        </row>
        <row r="460">
          <cell r="R460">
            <v>611.27</v>
          </cell>
        </row>
        <row r="461">
          <cell r="R461">
            <v>679.91</v>
          </cell>
        </row>
        <row r="462">
          <cell r="R462">
            <v>140</v>
          </cell>
        </row>
        <row r="463">
          <cell r="R463">
            <v>1909.44</v>
          </cell>
        </row>
        <row r="464">
          <cell r="R464">
            <v>1909.44</v>
          </cell>
        </row>
        <row r="465">
          <cell r="R465">
            <v>805</v>
          </cell>
        </row>
        <row r="466">
          <cell r="R466">
            <v>805</v>
          </cell>
        </row>
        <row r="467">
          <cell r="R467">
            <v>805</v>
          </cell>
        </row>
        <row r="468">
          <cell r="R468">
            <v>805</v>
          </cell>
        </row>
        <row r="469">
          <cell r="R469">
            <v>805</v>
          </cell>
        </row>
        <row r="470">
          <cell r="R470">
            <v>2249.62</v>
          </cell>
        </row>
        <row r="471">
          <cell r="R471">
            <v>962.5</v>
          </cell>
        </row>
        <row r="472">
          <cell r="R472">
            <v>731.5</v>
          </cell>
        </row>
        <row r="473">
          <cell r="R473">
            <v>731.5</v>
          </cell>
        </row>
        <row r="474">
          <cell r="R474">
            <v>731.5</v>
          </cell>
        </row>
        <row r="475">
          <cell r="R475">
            <v>731.5</v>
          </cell>
        </row>
        <row r="476">
          <cell r="R476">
            <v>731.5</v>
          </cell>
        </row>
        <row r="477">
          <cell r="R477">
            <v>731.5</v>
          </cell>
        </row>
        <row r="478">
          <cell r="R478">
            <v>748</v>
          </cell>
        </row>
        <row r="479">
          <cell r="R479">
            <v>719</v>
          </cell>
        </row>
        <row r="480">
          <cell r="R480">
            <v>719</v>
          </cell>
        </row>
        <row r="481">
          <cell r="R481">
            <v>719</v>
          </cell>
        </row>
        <row r="482">
          <cell r="R482">
            <v>719</v>
          </cell>
        </row>
        <row r="483">
          <cell r="R483">
            <v>719</v>
          </cell>
        </row>
        <row r="484">
          <cell r="R484">
            <v>719</v>
          </cell>
        </row>
        <row r="485">
          <cell r="R485">
            <v>719</v>
          </cell>
        </row>
        <row r="486">
          <cell r="R486">
            <v>304</v>
          </cell>
        </row>
        <row r="487">
          <cell r="R487">
            <v>726.5</v>
          </cell>
        </row>
        <row r="488">
          <cell r="R488">
            <v>726.5</v>
          </cell>
        </row>
        <row r="489">
          <cell r="R489">
            <v>726.5</v>
          </cell>
        </row>
        <row r="490">
          <cell r="R490">
            <v>726.5</v>
          </cell>
        </row>
        <row r="491">
          <cell r="R491">
            <v>726.5</v>
          </cell>
        </row>
        <row r="492">
          <cell r="R492">
            <v>726.5</v>
          </cell>
        </row>
        <row r="493">
          <cell r="R493">
            <v>726.5</v>
          </cell>
        </row>
        <row r="494">
          <cell r="R494">
            <v>678</v>
          </cell>
        </row>
        <row r="495">
          <cell r="R495">
            <v>678</v>
          </cell>
        </row>
        <row r="496">
          <cell r="R496">
            <v>678</v>
          </cell>
        </row>
        <row r="497">
          <cell r="R497">
            <v>678</v>
          </cell>
        </row>
        <row r="498">
          <cell r="R498">
            <v>968.76</v>
          </cell>
        </row>
        <row r="499">
          <cell r="R499">
            <v>684.75</v>
          </cell>
        </row>
        <row r="500">
          <cell r="R500">
            <v>684.75</v>
          </cell>
        </row>
        <row r="501">
          <cell r="R501">
            <v>684.75</v>
          </cell>
        </row>
        <row r="502">
          <cell r="R502">
            <v>807.75</v>
          </cell>
        </row>
        <row r="503">
          <cell r="R503">
            <v>807.75</v>
          </cell>
        </row>
        <row r="504">
          <cell r="R504">
            <v>959</v>
          </cell>
        </row>
        <row r="505">
          <cell r="R505">
            <v>624.9</v>
          </cell>
        </row>
        <row r="506">
          <cell r="R506">
            <v>624.9</v>
          </cell>
        </row>
        <row r="507">
          <cell r="R507">
            <v>624.9</v>
          </cell>
        </row>
        <row r="508">
          <cell r="R508">
            <v>624.9</v>
          </cell>
        </row>
        <row r="509">
          <cell r="R509">
            <v>624.9</v>
          </cell>
        </row>
        <row r="510">
          <cell r="R510">
            <v>624.9</v>
          </cell>
        </row>
        <row r="511">
          <cell r="R511">
            <v>624.9</v>
          </cell>
        </row>
        <row r="512">
          <cell r="R512">
            <v>624.9</v>
          </cell>
        </row>
        <row r="513">
          <cell r="R513">
            <v>607.5</v>
          </cell>
        </row>
        <row r="514">
          <cell r="R514">
            <v>607.5</v>
          </cell>
        </row>
        <row r="515">
          <cell r="R515">
            <v>3419</v>
          </cell>
        </row>
        <row r="516">
          <cell r="R516">
            <v>607.5</v>
          </cell>
        </row>
        <row r="517">
          <cell r="R517">
            <v>735</v>
          </cell>
        </row>
        <row r="518">
          <cell r="R518">
            <v>627.5</v>
          </cell>
        </row>
        <row r="519">
          <cell r="R519">
            <v>1534.9</v>
          </cell>
        </row>
        <row r="520">
          <cell r="R520">
            <v>1534.9</v>
          </cell>
        </row>
        <row r="521">
          <cell r="R521">
            <v>1534.9</v>
          </cell>
        </row>
        <row r="522">
          <cell r="R522">
            <v>607.77</v>
          </cell>
        </row>
        <row r="523">
          <cell r="R523">
            <v>607.77</v>
          </cell>
        </row>
        <row r="524">
          <cell r="R524">
            <v>607.77</v>
          </cell>
        </row>
        <row r="525">
          <cell r="R525">
            <v>636.27</v>
          </cell>
        </row>
        <row r="526">
          <cell r="R526">
            <v>607.77</v>
          </cell>
        </row>
        <row r="527">
          <cell r="R527">
            <v>627.5</v>
          </cell>
        </row>
        <row r="528">
          <cell r="R528">
            <v>627.5</v>
          </cell>
        </row>
        <row r="529">
          <cell r="R529">
            <v>0</v>
          </cell>
        </row>
        <row r="530">
          <cell r="R530">
            <v>627.5</v>
          </cell>
        </row>
        <row r="531">
          <cell r="R531">
            <v>627.5</v>
          </cell>
        </row>
        <row r="532">
          <cell r="R532">
            <v>712.9</v>
          </cell>
        </row>
        <row r="533">
          <cell r="R533">
            <v>624.9</v>
          </cell>
        </row>
        <row r="534">
          <cell r="R534">
            <v>624.9</v>
          </cell>
        </row>
        <row r="535">
          <cell r="R535">
            <v>624.9</v>
          </cell>
        </row>
        <row r="536">
          <cell r="R536">
            <v>624.9</v>
          </cell>
        </row>
        <row r="537">
          <cell r="R537">
            <v>624.9</v>
          </cell>
        </row>
        <row r="538">
          <cell r="R538">
            <v>624.9</v>
          </cell>
        </row>
        <row r="539">
          <cell r="R539">
            <v>946</v>
          </cell>
        </row>
        <row r="540">
          <cell r="R540">
            <v>735</v>
          </cell>
        </row>
        <row r="541">
          <cell r="R541">
            <v>548.83000000000004</v>
          </cell>
        </row>
        <row r="542">
          <cell r="R542">
            <v>548.83000000000004</v>
          </cell>
        </row>
        <row r="543">
          <cell r="R543">
            <v>548.84</v>
          </cell>
        </row>
        <row r="544">
          <cell r="R544">
            <v>548.83000000000004</v>
          </cell>
        </row>
        <row r="545">
          <cell r="R545">
            <v>548.83000000000004</v>
          </cell>
        </row>
        <row r="546">
          <cell r="R546">
            <v>548.83000000000004</v>
          </cell>
        </row>
        <row r="547">
          <cell r="R547">
            <v>825.97</v>
          </cell>
        </row>
        <row r="548">
          <cell r="R548">
            <v>825.97</v>
          </cell>
        </row>
        <row r="549">
          <cell r="R549">
            <v>825.98</v>
          </cell>
        </row>
        <row r="550">
          <cell r="R550">
            <v>548.87</v>
          </cell>
        </row>
        <row r="551">
          <cell r="R551">
            <v>548.83000000000004</v>
          </cell>
        </row>
        <row r="552">
          <cell r="R552">
            <v>548.83000000000004</v>
          </cell>
        </row>
        <row r="553">
          <cell r="R553">
            <v>548.83000000000004</v>
          </cell>
        </row>
        <row r="554">
          <cell r="R554">
            <v>548.83000000000004</v>
          </cell>
        </row>
        <row r="555">
          <cell r="R555">
            <v>548.83000000000004</v>
          </cell>
        </row>
        <row r="556">
          <cell r="R556">
            <v>548.83000000000004</v>
          </cell>
        </row>
        <row r="557">
          <cell r="R557">
            <v>548.83000000000004</v>
          </cell>
        </row>
        <row r="558">
          <cell r="R558">
            <v>548.83000000000004</v>
          </cell>
        </row>
        <row r="559">
          <cell r="R559">
            <v>548.83000000000004</v>
          </cell>
        </row>
        <row r="560">
          <cell r="R560">
            <v>548.83000000000004</v>
          </cell>
        </row>
        <row r="561">
          <cell r="R561">
            <v>2069.4</v>
          </cell>
        </row>
        <row r="562">
          <cell r="R562">
            <v>548.83000000000004</v>
          </cell>
        </row>
        <row r="563">
          <cell r="R563">
            <v>548.83000000000004</v>
          </cell>
        </row>
        <row r="564">
          <cell r="R564">
            <v>548.83000000000004</v>
          </cell>
        </row>
        <row r="565">
          <cell r="R565">
            <v>548.83000000000004</v>
          </cell>
        </row>
        <row r="566">
          <cell r="R566">
            <v>3077.46</v>
          </cell>
        </row>
        <row r="567">
          <cell r="R567">
            <v>6700</v>
          </cell>
        </row>
        <row r="568">
          <cell r="R568">
            <v>2640</v>
          </cell>
        </row>
        <row r="569">
          <cell r="R569">
            <v>916.65</v>
          </cell>
        </row>
        <row r="570">
          <cell r="R570">
            <v>916.65</v>
          </cell>
        </row>
        <row r="571">
          <cell r="R571">
            <v>916.65</v>
          </cell>
        </row>
        <row r="572">
          <cell r="R572">
            <v>916.65</v>
          </cell>
        </row>
        <row r="573">
          <cell r="R573">
            <v>916.65</v>
          </cell>
        </row>
        <row r="574">
          <cell r="R574">
            <v>678.5</v>
          </cell>
        </row>
        <row r="575">
          <cell r="R575">
            <v>825.97</v>
          </cell>
        </row>
        <row r="576">
          <cell r="R576">
            <v>818.71</v>
          </cell>
        </row>
        <row r="577">
          <cell r="R577">
            <v>571.46</v>
          </cell>
        </row>
        <row r="578">
          <cell r="R578">
            <v>105</v>
          </cell>
        </row>
        <row r="579">
          <cell r="R579">
            <v>571.46</v>
          </cell>
        </row>
        <row r="580">
          <cell r="R580">
            <v>571.46</v>
          </cell>
        </row>
        <row r="581">
          <cell r="R581">
            <v>571.46</v>
          </cell>
        </row>
        <row r="582">
          <cell r="R582">
            <v>571.46</v>
          </cell>
        </row>
        <row r="583">
          <cell r="R583">
            <v>571.46</v>
          </cell>
        </row>
        <row r="584">
          <cell r="R584">
            <v>571.46</v>
          </cell>
        </row>
        <row r="585">
          <cell r="R585">
            <v>571.46</v>
          </cell>
        </row>
        <row r="586">
          <cell r="R586">
            <v>744.89</v>
          </cell>
        </row>
        <row r="587">
          <cell r="R587">
            <v>571.46</v>
          </cell>
        </row>
        <row r="588">
          <cell r="R588">
            <v>571.46</v>
          </cell>
        </row>
        <row r="589">
          <cell r="R589">
            <v>571.46</v>
          </cell>
        </row>
        <row r="590">
          <cell r="R590">
            <v>571.46</v>
          </cell>
        </row>
        <row r="591">
          <cell r="R591">
            <v>571.46</v>
          </cell>
        </row>
        <row r="592">
          <cell r="R592">
            <v>571.46</v>
          </cell>
        </row>
        <row r="593">
          <cell r="R593">
            <v>571.46</v>
          </cell>
        </row>
        <row r="594">
          <cell r="R594">
            <v>571.46</v>
          </cell>
        </row>
        <row r="595">
          <cell r="R595">
            <v>571.46</v>
          </cell>
        </row>
        <row r="596">
          <cell r="R596">
            <v>571.46</v>
          </cell>
        </row>
        <row r="597">
          <cell r="R597">
            <v>571.46</v>
          </cell>
        </row>
        <row r="598">
          <cell r="R598">
            <v>571.46</v>
          </cell>
        </row>
        <row r="599">
          <cell r="R599">
            <v>571.46</v>
          </cell>
        </row>
        <row r="600">
          <cell r="R600">
            <v>571.46</v>
          </cell>
        </row>
        <row r="601">
          <cell r="R601">
            <v>674</v>
          </cell>
        </row>
        <row r="602">
          <cell r="R602">
            <v>674</v>
          </cell>
        </row>
        <row r="603">
          <cell r="R603">
            <v>674</v>
          </cell>
        </row>
        <row r="604">
          <cell r="R604">
            <v>1660.86</v>
          </cell>
        </row>
        <row r="605">
          <cell r="R605">
            <v>537.97</v>
          </cell>
        </row>
        <row r="606">
          <cell r="R606">
            <v>537.97</v>
          </cell>
        </row>
        <row r="607">
          <cell r="R607">
            <v>537.96</v>
          </cell>
        </row>
        <row r="608">
          <cell r="R608">
            <v>537.96</v>
          </cell>
        </row>
        <row r="609">
          <cell r="R609">
            <v>536.34</v>
          </cell>
        </row>
        <row r="610">
          <cell r="R610">
            <v>537.97</v>
          </cell>
        </row>
        <row r="611">
          <cell r="R611">
            <v>548.83000000000004</v>
          </cell>
        </row>
        <row r="612">
          <cell r="R612">
            <v>548.83000000000004</v>
          </cell>
        </row>
        <row r="613">
          <cell r="R613">
            <v>2064.92</v>
          </cell>
        </row>
        <row r="614">
          <cell r="R614">
            <v>6544</v>
          </cell>
        </row>
        <row r="615">
          <cell r="R615">
            <v>2282.94</v>
          </cell>
        </row>
        <row r="616">
          <cell r="R616">
            <v>543.4</v>
          </cell>
        </row>
        <row r="617">
          <cell r="R617">
            <v>543.4</v>
          </cell>
        </row>
        <row r="618">
          <cell r="R618">
            <v>543.4</v>
          </cell>
        </row>
        <row r="619">
          <cell r="R619">
            <v>1510</v>
          </cell>
        </row>
        <row r="620">
          <cell r="R620">
            <v>543.4</v>
          </cell>
        </row>
        <row r="621">
          <cell r="R621">
            <v>669.28</v>
          </cell>
        </row>
        <row r="622">
          <cell r="R622">
            <v>631.15</v>
          </cell>
        </row>
        <row r="623">
          <cell r="R623">
            <v>631.15</v>
          </cell>
        </row>
        <row r="624">
          <cell r="R624">
            <v>631.15</v>
          </cell>
        </row>
        <row r="625">
          <cell r="R625">
            <v>631.15</v>
          </cell>
        </row>
        <row r="626">
          <cell r="R626">
            <v>631.15</v>
          </cell>
        </row>
        <row r="627">
          <cell r="R627">
            <v>631.16999999999996</v>
          </cell>
        </row>
        <row r="628">
          <cell r="R628">
            <v>609.5</v>
          </cell>
        </row>
        <row r="629">
          <cell r="R629">
            <v>1449</v>
          </cell>
        </row>
        <row r="630">
          <cell r="R630">
            <v>609.5</v>
          </cell>
        </row>
        <row r="631">
          <cell r="R631">
            <v>609.5</v>
          </cell>
        </row>
        <row r="632">
          <cell r="R632">
            <v>609.5</v>
          </cell>
        </row>
        <row r="633">
          <cell r="R633">
            <v>569.25</v>
          </cell>
        </row>
        <row r="634">
          <cell r="R634">
            <v>601.6</v>
          </cell>
        </row>
        <row r="635">
          <cell r="R635">
            <v>554.27</v>
          </cell>
        </row>
        <row r="636">
          <cell r="R636">
            <v>554.27</v>
          </cell>
        </row>
        <row r="637">
          <cell r="R637">
            <v>554.27</v>
          </cell>
        </row>
        <row r="638">
          <cell r="R638">
            <v>554.27</v>
          </cell>
        </row>
        <row r="639">
          <cell r="R639">
            <v>554.27</v>
          </cell>
        </row>
        <row r="640">
          <cell r="R640">
            <v>554.27</v>
          </cell>
        </row>
        <row r="641">
          <cell r="R641">
            <v>554.26</v>
          </cell>
        </row>
        <row r="642">
          <cell r="R642">
            <v>927.05</v>
          </cell>
        </row>
        <row r="643">
          <cell r="R643">
            <v>642.41</v>
          </cell>
        </row>
        <row r="644">
          <cell r="R644">
            <v>642.41</v>
          </cell>
        </row>
        <row r="645">
          <cell r="R645">
            <v>642.41</v>
          </cell>
        </row>
        <row r="646">
          <cell r="R646">
            <v>642.41</v>
          </cell>
        </row>
        <row r="647">
          <cell r="R647">
            <v>642.4</v>
          </cell>
        </row>
        <row r="648">
          <cell r="R648">
            <v>707.5</v>
          </cell>
        </row>
        <row r="649">
          <cell r="R649">
            <v>1917.5</v>
          </cell>
        </row>
        <row r="650">
          <cell r="R650">
            <v>1917.5</v>
          </cell>
        </row>
        <row r="651">
          <cell r="R651">
            <v>971.2</v>
          </cell>
        </row>
        <row r="652">
          <cell r="R652">
            <v>971.2</v>
          </cell>
        </row>
        <row r="653">
          <cell r="R653">
            <v>971.2</v>
          </cell>
        </row>
        <row r="654">
          <cell r="R654">
            <v>971.2</v>
          </cell>
        </row>
        <row r="655">
          <cell r="R655">
            <v>971.2</v>
          </cell>
        </row>
        <row r="656">
          <cell r="R656">
            <v>734.89</v>
          </cell>
        </row>
        <row r="657">
          <cell r="R657">
            <v>703.65</v>
          </cell>
        </row>
        <row r="658">
          <cell r="R658">
            <v>703.65</v>
          </cell>
        </row>
        <row r="659">
          <cell r="R659">
            <v>2374.66</v>
          </cell>
        </row>
        <row r="660">
          <cell r="R660">
            <v>718.65</v>
          </cell>
        </row>
        <row r="661">
          <cell r="R661">
            <v>718.65</v>
          </cell>
        </row>
        <row r="662">
          <cell r="R662">
            <v>756.14</v>
          </cell>
        </row>
        <row r="663">
          <cell r="R663">
            <v>756.14</v>
          </cell>
        </row>
        <row r="664">
          <cell r="R664">
            <v>727.27</v>
          </cell>
        </row>
        <row r="665">
          <cell r="R665">
            <v>756.14</v>
          </cell>
        </row>
        <row r="666">
          <cell r="R666">
            <v>756.14</v>
          </cell>
        </row>
        <row r="667">
          <cell r="R667">
            <v>756.14</v>
          </cell>
        </row>
        <row r="668">
          <cell r="R668">
            <v>1578.77</v>
          </cell>
        </row>
        <row r="669">
          <cell r="R669">
            <v>724.9</v>
          </cell>
        </row>
        <row r="670">
          <cell r="R670">
            <v>724.9</v>
          </cell>
        </row>
        <row r="671">
          <cell r="R671">
            <v>616.5</v>
          </cell>
        </row>
        <row r="672">
          <cell r="R672">
            <v>616.5</v>
          </cell>
        </row>
        <row r="673">
          <cell r="R673">
            <v>566</v>
          </cell>
        </row>
        <row r="674">
          <cell r="R674">
            <v>566</v>
          </cell>
        </row>
        <row r="675">
          <cell r="R675">
            <v>546</v>
          </cell>
        </row>
        <row r="676">
          <cell r="R676">
            <v>546</v>
          </cell>
        </row>
        <row r="677">
          <cell r="R677">
            <v>546</v>
          </cell>
        </row>
        <row r="678">
          <cell r="R678">
            <v>475</v>
          </cell>
        </row>
        <row r="679">
          <cell r="R679">
            <v>475</v>
          </cell>
        </row>
        <row r="680">
          <cell r="R680">
            <v>475</v>
          </cell>
        </row>
        <row r="681">
          <cell r="R681">
            <v>1598.5</v>
          </cell>
        </row>
        <row r="682">
          <cell r="R682">
            <v>690</v>
          </cell>
        </row>
        <row r="683">
          <cell r="R683">
            <v>631.16</v>
          </cell>
        </row>
        <row r="684">
          <cell r="R684">
            <v>690</v>
          </cell>
        </row>
        <row r="685">
          <cell r="R685">
            <v>690</v>
          </cell>
        </row>
        <row r="686">
          <cell r="R686">
            <v>690</v>
          </cell>
        </row>
        <row r="687">
          <cell r="R687">
            <v>690</v>
          </cell>
        </row>
        <row r="688">
          <cell r="R688">
            <v>1690.5</v>
          </cell>
        </row>
        <row r="689">
          <cell r="R689">
            <v>632.5</v>
          </cell>
        </row>
        <row r="690">
          <cell r="R690">
            <v>632.5</v>
          </cell>
        </row>
        <row r="691">
          <cell r="R691">
            <v>632.5</v>
          </cell>
        </row>
        <row r="692">
          <cell r="R692">
            <v>511.75</v>
          </cell>
        </row>
        <row r="693">
          <cell r="R693">
            <v>632.5</v>
          </cell>
        </row>
        <row r="694">
          <cell r="R694">
            <v>527.1</v>
          </cell>
        </row>
        <row r="695">
          <cell r="R695">
            <v>79.06</v>
          </cell>
        </row>
        <row r="696">
          <cell r="R696">
            <v>527.1</v>
          </cell>
        </row>
        <row r="697">
          <cell r="R697">
            <v>79.06</v>
          </cell>
        </row>
        <row r="698">
          <cell r="R698">
            <v>619.85</v>
          </cell>
        </row>
        <row r="699">
          <cell r="R699">
            <v>619.85</v>
          </cell>
        </row>
        <row r="700">
          <cell r="R700">
            <v>619.85</v>
          </cell>
        </row>
        <row r="701">
          <cell r="R701">
            <v>1121.25</v>
          </cell>
        </row>
        <row r="702">
          <cell r="R702">
            <v>796.13</v>
          </cell>
        </row>
        <row r="703">
          <cell r="R703">
            <v>664.13</v>
          </cell>
        </row>
        <row r="704">
          <cell r="R704">
            <v>664.13</v>
          </cell>
        </row>
        <row r="705">
          <cell r="R705">
            <v>664.13</v>
          </cell>
        </row>
        <row r="706">
          <cell r="R706">
            <v>664.12</v>
          </cell>
        </row>
        <row r="707">
          <cell r="R707">
            <v>610</v>
          </cell>
        </row>
        <row r="708">
          <cell r="R708">
            <v>610</v>
          </cell>
        </row>
        <row r="709">
          <cell r="R709">
            <v>610</v>
          </cell>
        </row>
        <row r="710">
          <cell r="R710">
            <v>610</v>
          </cell>
        </row>
        <row r="711">
          <cell r="R711">
            <v>610</v>
          </cell>
        </row>
        <row r="712">
          <cell r="R712">
            <v>610</v>
          </cell>
        </row>
        <row r="713">
          <cell r="R713">
            <v>610</v>
          </cell>
        </row>
        <row r="714">
          <cell r="R714">
            <v>590</v>
          </cell>
        </row>
        <row r="715">
          <cell r="R715">
            <v>590</v>
          </cell>
        </row>
        <row r="716">
          <cell r="R716">
            <v>590</v>
          </cell>
        </row>
        <row r="717">
          <cell r="R717">
            <v>590</v>
          </cell>
        </row>
        <row r="718">
          <cell r="R718">
            <v>590</v>
          </cell>
        </row>
        <row r="719">
          <cell r="R719">
            <v>644</v>
          </cell>
        </row>
        <row r="720">
          <cell r="R720">
            <v>644</v>
          </cell>
        </row>
        <row r="721">
          <cell r="R721">
            <v>664.13</v>
          </cell>
        </row>
        <row r="722">
          <cell r="R722">
            <v>664.13</v>
          </cell>
        </row>
        <row r="723">
          <cell r="R723">
            <v>664.13</v>
          </cell>
        </row>
        <row r="724">
          <cell r="R724">
            <v>664.13</v>
          </cell>
        </row>
        <row r="725">
          <cell r="R725">
            <v>894.13</v>
          </cell>
        </row>
        <row r="726">
          <cell r="R726">
            <v>3416.39</v>
          </cell>
        </row>
        <row r="727">
          <cell r="R727">
            <v>1320</v>
          </cell>
        </row>
        <row r="728">
          <cell r="R728">
            <v>664.13</v>
          </cell>
        </row>
        <row r="729">
          <cell r="R729">
            <v>529.78</v>
          </cell>
        </row>
        <row r="730">
          <cell r="R730">
            <v>1575.86</v>
          </cell>
        </row>
        <row r="731">
          <cell r="R731">
            <v>644</v>
          </cell>
        </row>
        <row r="732">
          <cell r="R732">
            <v>566.38</v>
          </cell>
        </row>
        <row r="733">
          <cell r="R733">
            <v>566.38</v>
          </cell>
        </row>
        <row r="734">
          <cell r="R734">
            <v>566.38</v>
          </cell>
        </row>
        <row r="735">
          <cell r="R735">
            <v>566.38</v>
          </cell>
        </row>
        <row r="736">
          <cell r="R736">
            <v>566.38</v>
          </cell>
        </row>
        <row r="737">
          <cell r="R737">
            <v>566.38</v>
          </cell>
        </row>
        <row r="738">
          <cell r="R738">
            <v>566.38</v>
          </cell>
        </row>
        <row r="739">
          <cell r="R739">
            <v>566.38</v>
          </cell>
        </row>
        <row r="740">
          <cell r="R740">
            <v>566.38</v>
          </cell>
        </row>
        <row r="741">
          <cell r="R741">
            <v>619.85</v>
          </cell>
        </row>
        <row r="742">
          <cell r="R742">
            <v>619.85</v>
          </cell>
        </row>
        <row r="743">
          <cell r="R743">
            <v>619.85</v>
          </cell>
        </row>
        <row r="744">
          <cell r="R744">
            <v>619.85</v>
          </cell>
        </row>
        <row r="745">
          <cell r="R745">
            <v>619.85</v>
          </cell>
        </row>
        <row r="746">
          <cell r="R746">
            <v>547.75</v>
          </cell>
        </row>
        <row r="747">
          <cell r="R747">
            <v>547.75</v>
          </cell>
        </row>
        <row r="748">
          <cell r="R748">
            <v>687.4</v>
          </cell>
        </row>
        <row r="749">
          <cell r="R749">
            <v>920</v>
          </cell>
        </row>
        <row r="750">
          <cell r="R750">
            <v>718.75</v>
          </cell>
        </row>
        <row r="751">
          <cell r="R751">
            <v>687.13</v>
          </cell>
        </row>
        <row r="752">
          <cell r="R752">
            <v>687.13</v>
          </cell>
        </row>
        <row r="753">
          <cell r="R753">
            <v>687.13</v>
          </cell>
        </row>
        <row r="754">
          <cell r="R754">
            <v>687.13</v>
          </cell>
        </row>
        <row r="755">
          <cell r="R755">
            <v>687.12</v>
          </cell>
        </row>
        <row r="756">
          <cell r="R756">
            <v>687.12</v>
          </cell>
        </row>
        <row r="757">
          <cell r="R757">
            <v>568.5</v>
          </cell>
        </row>
        <row r="758">
          <cell r="R758">
            <v>568.5</v>
          </cell>
        </row>
        <row r="759">
          <cell r="R759">
            <v>568.5</v>
          </cell>
        </row>
        <row r="760">
          <cell r="R760">
            <v>765</v>
          </cell>
        </row>
        <row r="761">
          <cell r="R761">
            <v>610</v>
          </cell>
        </row>
        <row r="762">
          <cell r="R762">
            <v>610</v>
          </cell>
        </row>
        <row r="763">
          <cell r="R763">
            <v>610</v>
          </cell>
        </row>
        <row r="764">
          <cell r="R764">
            <v>945</v>
          </cell>
        </row>
        <row r="765">
          <cell r="R765">
            <v>945</v>
          </cell>
        </row>
        <row r="766">
          <cell r="R766">
            <v>613.12</v>
          </cell>
        </row>
        <row r="767">
          <cell r="R767">
            <v>613.12</v>
          </cell>
        </row>
        <row r="768">
          <cell r="R768">
            <v>613.12</v>
          </cell>
        </row>
        <row r="769">
          <cell r="R769">
            <v>613.12</v>
          </cell>
        </row>
        <row r="770">
          <cell r="R770">
            <v>613.12</v>
          </cell>
        </row>
        <row r="771">
          <cell r="R771">
            <v>687.13</v>
          </cell>
        </row>
        <row r="772">
          <cell r="R772">
            <v>687.13</v>
          </cell>
        </row>
        <row r="773">
          <cell r="R773">
            <v>687.13</v>
          </cell>
        </row>
        <row r="774">
          <cell r="R774">
            <v>687.13</v>
          </cell>
        </row>
        <row r="775">
          <cell r="R775">
            <v>343.1</v>
          </cell>
        </row>
        <row r="776">
          <cell r="R776">
            <v>343.1</v>
          </cell>
        </row>
        <row r="777">
          <cell r="R777">
            <v>613.12</v>
          </cell>
        </row>
        <row r="778">
          <cell r="R778">
            <v>613.12</v>
          </cell>
        </row>
        <row r="779">
          <cell r="R779">
            <v>613.12</v>
          </cell>
        </row>
        <row r="780">
          <cell r="R780">
            <v>613.12</v>
          </cell>
        </row>
        <row r="781">
          <cell r="R781">
            <v>613.12</v>
          </cell>
        </row>
        <row r="782">
          <cell r="R782">
            <v>613.12</v>
          </cell>
        </row>
        <row r="783">
          <cell r="R783">
            <v>613.12</v>
          </cell>
        </row>
        <row r="784">
          <cell r="R784">
            <v>613.12</v>
          </cell>
        </row>
        <row r="785">
          <cell r="R785">
            <v>613.12</v>
          </cell>
        </row>
        <row r="786">
          <cell r="R786">
            <v>678.5</v>
          </cell>
        </row>
        <row r="787">
          <cell r="R787">
            <v>678.5</v>
          </cell>
        </row>
        <row r="788">
          <cell r="R788">
            <v>1204.6300000000001</v>
          </cell>
        </row>
        <row r="789">
          <cell r="R789">
            <v>626.33000000000004</v>
          </cell>
        </row>
        <row r="790">
          <cell r="R790">
            <v>184</v>
          </cell>
        </row>
        <row r="791">
          <cell r="R791">
            <v>793.5</v>
          </cell>
        </row>
        <row r="792">
          <cell r="R792">
            <v>1403</v>
          </cell>
        </row>
        <row r="793">
          <cell r="R793">
            <v>561.6</v>
          </cell>
        </row>
        <row r="794">
          <cell r="R794">
            <v>561.6</v>
          </cell>
        </row>
        <row r="795">
          <cell r="R795">
            <v>561.6</v>
          </cell>
        </row>
        <row r="796">
          <cell r="R796">
            <v>561.6</v>
          </cell>
        </row>
        <row r="797">
          <cell r="R797">
            <v>568.5</v>
          </cell>
        </row>
        <row r="798">
          <cell r="R798">
            <v>568.5</v>
          </cell>
        </row>
        <row r="799">
          <cell r="R799">
            <v>568.5</v>
          </cell>
        </row>
        <row r="800">
          <cell r="R800">
            <v>568.5</v>
          </cell>
        </row>
        <row r="801">
          <cell r="R801">
            <v>510</v>
          </cell>
        </row>
        <row r="802">
          <cell r="R802">
            <v>510</v>
          </cell>
        </row>
        <row r="803">
          <cell r="R803">
            <v>754</v>
          </cell>
        </row>
        <row r="804">
          <cell r="R804">
            <v>561.6</v>
          </cell>
        </row>
        <row r="805">
          <cell r="R805">
            <v>561.6</v>
          </cell>
        </row>
        <row r="806">
          <cell r="R806">
            <v>561.6</v>
          </cell>
        </row>
        <row r="807">
          <cell r="R807">
            <v>561.6</v>
          </cell>
        </row>
        <row r="808">
          <cell r="R808">
            <v>561.6</v>
          </cell>
        </row>
        <row r="809">
          <cell r="R809">
            <v>561.6</v>
          </cell>
        </row>
        <row r="810">
          <cell r="R810">
            <v>561.6</v>
          </cell>
        </row>
        <row r="811">
          <cell r="R811">
            <v>1410.4</v>
          </cell>
        </row>
        <row r="812">
          <cell r="R812">
            <v>769.89</v>
          </cell>
        </row>
        <row r="813">
          <cell r="R813">
            <v>741.75</v>
          </cell>
        </row>
        <row r="814">
          <cell r="R814">
            <v>741.75</v>
          </cell>
        </row>
        <row r="815">
          <cell r="R815">
            <v>649.75</v>
          </cell>
        </row>
        <row r="816">
          <cell r="R816">
            <v>649.75</v>
          </cell>
        </row>
        <row r="817">
          <cell r="R817">
            <v>4393</v>
          </cell>
        </row>
        <row r="818">
          <cell r="R818">
            <v>684.25</v>
          </cell>
        </row>
        <row r="819">
          <cell r="R819">
            <v>560</v>
          </cell>
        </row>
        <row r="820">
          <cell r="R820">
            <v>560</v>
          </cell>
        </row>
        <row r="821">
          <cell r="R821">
            <v>2094.5500000000002</v>
          </cell>
        </row>
        <row r="822">
          <cell r="R822">
            <v>595.70000000000005</v>
          </cell>
        </row>
        <row r="823">
          <cell r="R823">
            <v>595.70000000000005</v>
          </cell>
        </row>
        <row r="824">
          <cell r="R824">
            <v>595.70000000000005</v>
          </cell>
        </row>
        <row r="825">
          <cell r="R825">
            <v>595.70000000000005</v>
          </cell>
        </row>
        <row r="826">
          <cell r="R826">
            <v>595.70000000000005</v>
          </cell>
        </row>
        <row r="827">
          <cell r="R827">
            <v>595.70000000000005</v>
          </cell>
        </row>
        <row r="828">
          <cell r="R828">
            <v>595.70000000000005</v>
          </cell>
        </row>
        <row r="829">
          <cell r="R829">
            <v>595.70000000000005</v>
          </cell>
        </row>
        <row r="830">
          <cell r="R830">
            <v>595.70000000000005</v>
          </cell>
        </row>
        <row r="831">
          <cell r="R831">
            <v>595.70000000000005</v>
          </cell>
        </row>
        <row r="832">
          <cell r="R832">
            <v>595.70000000000005</v>
          </cell>
        </row>
        <row r="833">
          <cell r="R833">
            <v>595.70000000000005</v>
          </cell>
        </row>
        <row r="834">
          <cell r="R834">
            <v>595.70000000000005</v>
          </cell>
        </row>
        <row r="835">
          <cell r="R835">
            <v>595.70000000000005</v>
          </cell>
        </row>
        <row r="836">
          <cell r="R836">
            <v>595.70000000000005</v>
          </cell>
        </row>
        <row r="837">
          <cell r="R837">
            <v>595.70000000000005</v>
          </cell>
        </row>
        <row r="838">
          <cell r="R838">
            <v>595.70000000000005</v>
          </cell>
        </row>
        <row r="839">
          <cell r="R839">
            <v>595.70000000000005</v>
          </cell>
        </row>
        <row r="840">
          <cell r="R840">
            <v>1410.4</v>
          </cell>
        </row>
        <row r="841">
          <cell r="R841">
            <v>85</v>
          </cell>
        </row>
        <row r="842">
          <cell r="R842">
            <v>515.29999999999995</v>
          </cell>
        </row>
        <row r="843">
          <cell r="R843">
            <v>690</v>
          </cell>
        </row>
        <row r="844">
          <cell r="R844">
            <v>690</v>
          </cell>
        </row>
        <row r="845">
          <cell r="R845">
            <v>1722.33</v>
          </cell>
        </row>
        <row r="846">
          <cell r="R846">
            <v>650</v>
          </cell>
        </row>
        <row r="847">
          <cell r="R847">
            <v>650</v>
          </cell>
        </row>
        <row r="848">
          <cell r="R848">
            <v>560</v>
          </cell>
        </row>
        <row r="849">
          <cell r="R849">
            <v>733.15</v>
          </cell>
        </row>
        <row r="850">
          <cell r="R850">
            <v>733.15</v>
          </cell>
        </row>
        <row r="851">
          <cell r="R851">
            <v>733.15</v>
          </cell>
        </row>
        <row r="852">
          <cell r="R852">
            <v>733.15</v>
          </cell>
        </row>
        <row r="853">
          <cell r="R853">
            <v>733.15</v>
          </cell>
        </row>
        <row r="854">
          <cell r="R854">
            <v>707.25</v>
          </cell>
        </row>
        <row r="855">
          <cell r="R855">
            <v>1547.05</v>
          </cell>
        </row>
        <row r="856">
          <cell r="R856">
            <v>754.29</v>
          </cell>
        </row>
        <row r="857">
          <cell r="R857">
            <v>754.29</v>
          </cell>
        </row>
        <row r="858">
          <cell r="R858">
            <v>754.29</v>
          </cell>
        </row>
        <row r="859">
          <cell r="R859">
            <v>626.5</v>
          </cell>
        </row>
        <row r="860">
          <cell r="R860">
            <v>680</v>
          </cell>
        </row>
        <row r="861">
          <cell r="R861">
            <v>680</v>
          </cell>
        </row>
        <row r="862">
          <cell r="R862">
            <v>680</v>
          </cell>
        </row>
        <row r="863">
          <cell r="R863">
            <v>680</v>
          </cell>
        </row>
        <row r="864">
          <cell r="R864">
            <v>680</v>
          </cell>
        </row>
        <row r="865">
          <cell r="R865">
            <v>680</v>
          </cell>
        </row>
        <row r="866">
          <cell r="R866">
            <v>680</v>
          </cell>
        </row>
        <row r="867">
          <cell r="R867">
            <v>699.2</v>
          </cell>
        </row>
        <row r="868">
          <cell r="R868">
            <v>3122.91</v>
          </cell>
        </row>
        <row r="869">
          <cell r="R869">
            <v>1736.5</v>
          </cell>
        </row>
        <row r="870">
          <cell r="R870">
            <v>980</v>
          </cell>
        </row>
        <row r="871">
          <cell r="R871">
            <v>547.75</v>
          </cell>
        </row>
        <row r="872">
          <cell r="R872">
            <v>665</v>
          </cell>
        </row>
        <row r="873">
          <cell r="R873">
            <v>980</v>
          </cell>
        </row>
        <row r="874">
          <cell r="R874">
            <v>980</v>
          </cell>
        </row>
        <row r="875">
          <cell r="R875">
            <v>25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729</v>
          </cell>
        </row>
        <row r="879">
          <cell r="R879">
            <v>152.5</v>
          </cell>
        </row>
        <row r="880">
          <cell r="R880">
            <v>237.6</v>
          </cell>
        </row>
        <row r="881">
          <cell r="R881">
            <v>3837.81</v>
          </cell>
        </row>
        <row r="882">
          <cell r="R882">
            <v>2080</v>
          </cell>
        </row>
        <row r="883">
          <cell r="R883">
            <v>2080.8000000000002</v>
          </cell>
        </row>
        <row r="884">
          <cell r="R884">
            <v>2080</v>
          </cell>
        </row>
        <row r="885">
          <cell r="R885">
            <v>1602</v>
          </cell>
        </row>
        <row r="886">
          <cell r="R886">
            <v>993.51</v>
          </cell>
        </row>
        <row r="887">
          <cell r="R887">
            <v>17496</v>
          </cell>
        </row>
        <row r="888">
          <cell r="R888">
            <v>2002.5</v>
          </cell>
        </row>
        <row r="889">
          <cell r="R889">
            <v>949</v>
          </cell>
        </row>
        <row r="890">
          <cell r="R890">
            <v>1456</v>
          </cell>
        </row>
        <row r="891">
          <cell r="R891">
            <v>1880</v>
          </cell>
        </row>
        <row r="892">
          <cell r="R892">
            <v>1840</v>
          </cell>
        </row>
        <row r="893">
          <cell r="R893">
            <v>1594.5</v>
          </cell>
        </row>
        <row r="894">
          <cell r="R894">
            <v>1913.6</v>
          </cell>
        </row>
        <row r="895">
          <cell r="R895">
            <v>1913.6</v>
          </cell>
        </row>
        <row r="896">
          <cell r="R896">
            <v>70</v>
          </cell>
        </row>
        <row r="897">
          <cell r="R897">
            <v>2670</v>
          </cell>
        </row>
        <row r="898">
          <cell r="R898">
            <v>599.95000000000005</v>
          </cell>
        </row>
        <row r="899">
          <cell r="R899">
            <v>1410</v>
          </cell>
        </row>
        <row r="900">
          <cell r="R900">
            <v>1050</v>
          </cell>
        </row>
        <row r="901">
          <cell r="R901">
            <v>960</v>
          </cell>
        </row>
        <row r="902">
          <cell r="R902">
            <v>490</v>
          </cell>
        </row>
        <row r="903">
          <cell r="R903">
            <v>1833.47</v>
          </cell>
        </row>
        <row r="904">
          <cell r="R904">
            <v>1833.47</v>
          </cell>
        </row>
        <row r="905">
          <cell r="R905">
            <v>538.55999999999995</v>
          </cell>
        </row>
        <row r="906">
          <cell r="R906">
            <v>605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135.13</v>
          </cell>
        </row>
        <row r="964">
          <cell r="R964">
            <v>211</v>
          </cell>
        </row>
        <row r="965">
          <cell r="R965">
            <v>172.38</v>
          </cell>
        </row>
        <row r="966">
          <cell r="R966">
            <v>690</v>
          </cell>
        </row>
        <row r="967">
          <cell r="R967">
            <v>420</v>
          </cell>
        </row>
        <row r="968">
          <cell r="R968">
            <v>210</v>
          </cell>
        </row>
        <row r="969">
          <cell r="R969">
            <v>175</v>
          </cell>
        </row>
        <row r="970">
          <cell r="R970">
            <v>546</v>
          </cell>
        </row>
        <row r="971">
          <cell r="R971">
            <v>20</v>
          </cell>
        </row>
        <row r="972">
          <cell r="R972">
            <v>175</v>
          </cell>
        </row>
        <row r="973">
          <cell r="R973">
            <v>175</v>
          </cell>
        </row>
        <row r="974">
          <cell r="R974">
            <v>230</v>
          </cell>
        </row>
        <row r="975">
          <cell r="R975">
            <v>220</v>
          </cell>
        </row>
        <row r="976">
          <cell r="R976">
            <v>525</v>
          </cell>
        </row>
        <row r="977">
          <cell r="R977">
            <v>525</v>
          </cell>
        </row>
        <row r="978">
          <cell r="R978">
            <v>135</v>
          </cell>
        </row>
        <row r="979">
          <cell r="R979">
            <v>340</v>
          </cell>
        </row>
        <row r="980">
          <cell r="R980">
            <v>678.91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  <row r="1004">
          <cell r="R1004">
            <v>0</v>
          </cell>
        </row>
        <row r="1005">
          <cell r="R1005">
            <v>0</v>
          </cell>
        </row>
        <row r="1006">
          <cell r="R1006">
            <v>0</v>
          </cell>
        </row>
        <row r="1007">
          <cell r="R1007">
            <v>0</v>
          </cell>
        </row>
        <row r="1008">
          <cell r="R1008">
            <v>0</v>
          </cell>
        </row>
        <row r="1009">
          <cell r="R1009">
            <v>0</v>
          </cell>
        </row>
        <row r="1010">
          <cell r="R1010">
            <v>0</v>
          </cell>
        </row>
        <row r="1011">
          <cell r="R1011">
            <v>0</v>
          </cell>
        </row>
        <row r="1012">
          <cell r="R1012">
            <v>0</v>
          </cell>
        </row>
        <row r="1013">
          <cell r="R1013">
            <v>0</v>
          </cell>
        </row>
        <row r="1014">
          <cell r="R1014">
            <v>0</v>
          </cell>
        </row>
        <row r="1015">
          <cell r="R1015">
            <v>0</v>
          </cell>
        </row>
        <row r="1016">
          <cell r="R1016">
            <v>0</v>
          </cell>
        </row>
        <row r="1017">
          <cell r="R1017">
            <v>0</v>
          </cell>
        </row>
        <row r="1018">
          <cell r="R1018">
            <v>0</v>
          </cell>
        </row>
        <row r="1019">
          <cell r="R1019">
            <v>0</v>
          </cell>
        </row>
        <row r="1020">
          <cell r="R1020">
            <v>0</v>
          </cell>
        </row>
        <row r="1021">
          <cell r="R1021">
            <v>0</v>
          </cell>
        </row>
        <row r="1022">
          <cell r="R1022">
            <v>0</v>
          </cell>
        </row>
        <row r="1023">
          <cell r="R1023">
            <v>0</v>
          </cell>
        </row>
        <row r="1024">
          <cell r="R1024">
            <v>0</v>
          </cell>
        </row>
        <row r="1025">
          <cell r="R1025">
            <v>0</v>
          </cell>
        </row>
        <row r="1026">
          <cell r="R1026">
            <v>0</v>
          </cell>
        </row>
        <row r="1027">
          <cell r="R1027">
            <v>0</v>
          </cell>
        </row>
        <row r="1028">
          <cell r="R1028">
            <v>0</v>
          </cell>
        </row>
        <row r="1029">
          <cell r="R1029">
            <v>0</v>
          </cell>
        </row>
        <row r="1030">
          <cell r="R1030">
            <v>0</v>
          </cell>
        </row>
        <row r="1031">
          <cell r="R1031">
            <v>0</v>
          </cell>
        </row>
        <row r="1032">
          <cell r="R1032">
            <v>0</v>
          </cell>
        </row>
        <row r="1033">
          <cell r="R1033">
            <v>0</v>
          </cell>
        </row>
        <row r="1034">
          <cell r="R1034">
            <v>0</v>
          </cell>
        </row>
        <row r="1035">
          <cell r="R1035">
            <v>0</v>
          </cell>
        </row>
        <row r="1036">
          <cell r="R1036">
            <v>0</v>
          </cell>
        </row>
        <row r="1037">
          <cell r="R1037">
            <v>0</v>
          </cell>
        </row>
        <row r="1038">
          <cell r="R1038">
            <v>0</v>
          </cell>
        </row>
        <row r="1039">
          <cell r="R1039">
            <v>0</v>
          </cell>
        </row>
        <row r="1040">
          <cell r="R1040">
            <v>0</v>
          </cell>
        </row>
        <row r="1041">
          <cell r="R1041">
            <v>0</v>
          </cell>
        </row>
        <row r="1042">
          <cell r="R1042">
            <v>0</v>
          </cell>
        </row>
        <row r="1043">
          <cell r="R1043">
            <v>0</v>
          </cell>
        </row>
        <row r="1044">
          <cell r="R1044">
            <v>0</v>
          </cell>
        </row>
        <row r="1045">
          <cell r="R1045">
            <v>0</v>
          </cell>
        </row>
        <row r="1046">
          <cell r="R1046">
            <v>0</v>
          </cell>
        </row>
        <row r="1047">
          <cell r="R1047">
            <v>0</v>
          </cell>
        </row>
        <row r="1048">
          <cell r="R1048">
            <v>0</v>
          </cell>
        </row>
        <row r="1049">
          <cell r="R1049">
            <v>0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0</v>
          </cell>
        </row>
        <row r="1053">
          <cell r="R1053">
            <v>0</v>
          </cell>
        </row>
        <row r="1054">
          <cell r="R1054">
            <v>0</v>
          </cell>
        </row>
        <row r="1055">
          <cell r="R1055">
            <v>0</v>
          </cell>
        </row>
        <row r="1056">
          <cell r="R1056">
            <v>0</v>
          </cell>
        </row>
        <row r="1057">
          <cell r="R1057">
            <v>0</v>
          </cell>
        </row>
        <row r="1058">
          <cell r="R1058">
            <v>0</v>
          </cell>
        </row>
        <row r="1059">
          <cell r="R1059">
            <v>0</v>
          </cell>
        </row>
        <row r="1060">
          <cell r="R1060">
            <v>0</v>
          </cell>
        </row>
        <row r="1061">
          <cell r="R1061">
            <v>0</v>
          </cell>
        </row>
        <row r="1062">
          <cell r="R1062">
            <v>0</v>
          </cell>
        </row>
        <row r="1063">
          <cell r="R1063">
            <v>0</v>
          </cell>
        </row>
        <row r="1064">
          <cell r="R1064">
            <v>0</v>
          </cell>
        </row>
        <row r="1065">
          <cell r="R1065">
            <v>0</v>
          </cell>
        </row>
        <row r="1066">
          <cell r="R1066">
            <v>0</v>
          </cell>
        </row>
        <row r="1067">
          <cell r="R1067">
            <v>0</v>
          </cell>
        </row>
        <row r="1068">
          <cell r="R1068">
            <v>0</v>
          </cell>
        </row>
        <row r="1069">
          <cell r="R1069">
            <v>0</v>
          </cell>
        </row>
        <row r="1070">
          <cell r="R1070">
            <v>0</v>
          </cell>
        </row>
        <row r="1071">
          <cell r="R1071">
            <v>0</v>
          </cell>
        </row>
        <row r="1072">
          <cell r="R1072">
            <v>0</v>
          </cell>
        </row>
        <row r="1073">
          <cell r="R1073">
            <v>0</v>
          </cell>
        </row>
        <row r="1074">
          <cell r="R1074">
            <v>0</v>
          </cell>
        </row>
        <row r="1075">
          <cell r="R1075">
            <v>0</v>
          </cell>
        </row>
        <row r="1076">
          <cell r="R1076">
            <v>0</v>
          </cell>
        </row>
        <row r="1077">
          <cell r="R1077">
            <v>0</v>
          </cell>
        </row>
        <row r="1078">
          <cell r="R1078">
            <v>0</v>
          </cell>
        </row>
        <row r="1079">
          <cell r="R1079">
            <v>0</v>
          </cell>
        </row>
        <row r="1080">
          <cell r="R1080">
            <v>0</v>
          </cell>
        </row>
        <row r="1081">
          <cell r="R1081">
            <v>0</v>
          </cell>
        </row>
        <row r="1082">
          <cell r="R1082">
            <v>0</v>
          </cell>
        </row>
        <row r="1083">
          <cell r="R1083">
            <v>0</v>
          </cell>
        </row>
        <row r="1084">
          <cell r="R1084">
            <v>0</v>
          </cell>
        </row>
        <row r="1085">
          <cell r="R1085">
            <v>0</v>
          </cell>
        </row>
        <row r="1086">
          <cell r="R1086">
            <v>0</v>
          </cell>
        </row>
        <row r="1087">
          <cell r="R1087">
            <v>0</v>
          </cell>
        </row>
        <row r="1088">
          <cell r="R1088">
            <v>0</v>
          </cell>
        </row>
        <row r="1089">
          <cell r="R1089">
            <v>0</v>
          </cell>
        </row>
        <row r="1090">
          <cell r="R1090">
            <v>0</v>
          </cell>
        </row>
        <row r="1091">
          <cell r="R1091">
            <v>0</v>
          </cell>
        </row>
        <row r="1092">
          <cell r="R1092">
            <v>0</v>
          </cell>
        </row>
        <row r="1093">
          <cell r="R1093">
            <v>0</v>
          </cell>
        </row>
        <row r="1094">
          <cell r="R1094">
            <v>0</v>
          </cell>
        </row>
        <row r="1095">
          <cell r="R1095">
            <v>0</v>
          </cell>
        </row>
        <row r="1096">
          <cell r="R1096">
            <v>0</v>
          </cell>
        </row>
        <row r="1097">
          <cell r="R1097">
            <v>0</v>
          </cell>
        </row>
        <row r="1098">
          <cell r="R1098">
            <v>0</v>
          </cell>
        </row>
        <row r="1099">
          <cell r="R1099">
            <v>0</v>
          </cell>
        </row>
        <row r="1100">
          <cell r="R1100">
            <v>0</v>
          </cell>
        </row>
        <row r="1101">
          <cell r="R1101">
            <v>0</v>
          </cell>
        </row>
        <row r="1102">
          <cell r="R1102">
            <v>130</v>
          </cell>
        </row>
        <row r="1103">
          <cell r="R1103">
            <v>235</v>
          </cell>
        </row>
        <row r="1104">
          <cell r="R1104">
            <v>0</v>
          </cell>
        </row>
        <row r="1105">
          <cell r="R1105">
            <v>0</v>
          </cell>
        </row>
        <row r="1106">
          <cell r="R1106">
            <v>0</v>
          </cell>
        </row>
        <row r="1107">
          <cell r="R1107">
            <v>0</v>
          </cell>
        </row>
        <row r="1108">
          <cell r="R1108">
            <v>1600</v>
          </cell>
        </row>
        <row r="1109">
          <cell r="R1109">
            <v>362.5</v>
          </cell>
        </row>
        <row r="1110">
          <cell r="R1110">
            <v>0</v>
          </cell>
        </row>
        <row r="1111">
          <cell r="R1111">
            <v>0</v>
          </cell>
        </row>
        <row r="1112">
          <cell r="R1112">
            <v>0</v>
          </cell>
        </row>
        <row r="1113">
          <cell r="R1113">
            <v>0</v>
          </cell>
        </row>
        <row r="1114">
          <cell r="R1114">
            <v>1420</v>
          </cell>
        </row>
        <row r="1115">
          <cell r="R1115">
            <v>2840</v>
          </cell>
        </row>
        <row r="1116">
          <cell r="R1116">
            <v>0</v>
          </cell>
        </row>
        <row r="1117">
          <cell r="R1117">
            <v>180</v>
          </cell>
        </row>
        <row r="1118">
          <cell r="R1118">
            <v>42.5</v>
          </cell>
        </row>
        <row r="1119">
          <cell r="R1119">
            <v>42.5</v>
          </cell>
        </row>
        <row r="1120">
          <cell r="R1120">
            <v>123</v>
          </cell>
        </row>
        <row r="1121">
          <cell r="R1121">
            <v>1677</v>
          </cell>
        </row>
        <row r="1122">
          <cell r="R1122">
            <v>63187.14</v>
          </cell>
        </row>
        <row r="1123">
          <cell r="R1123">
            <v>1600</v>
          </cell>
        </row>
        <row r="1124">
          <cell r="R1124">
            <v>0</v>
          </cell>
        </row>
        <row r="1125">
          <cell r="R1125">
            <v>0</v>
          </cell>
        </row>
        <row r="1126">
          <cell r="R1126">
            <v>0</v>
          </cell>
        </row>
        <row r="1127">
          <cell r="R1127">
            <v>249.6</v>
          </cell>
        </row>
        <row r="1128">
          <cell r="R1128">
            <v>1497.6</v>
          </cell>
        </row>
        <row r="1129">
          <cell r="R1129">
            <v>254.59</v>
          </cell>
        </row>
        <row r="1130">
          <cell r="R1130">
            <v>160</v>
          </cell>
        </row>
        <row r="1131">
          <cell r="R1131">
            <v>2173.5</v>
          </cell>
        </row>
        <row r="1132">
          <cell r="R1132">
            <v>8703.07</v>
          </cell>
        </row>
        <row r="1133">
          <cell r="R1133">
            <v>191.19</v>
          </cell>
        </row>
        <row r="1134">
          <cell r="R1134">
            <v>191.19</v>
          </cell>
        </row>
        <row r="1135">
          <cell r="R1135">
            <v>680.79</v>
          </cell>
        </row>
        <row r="1136">
          <cell r="R1136">
            <v>770</v>
          </cell>
        </row>
        <row r="1137">
          <cell r="R1137">
            <v>348.84</v>
          </cell>
        </row>
        <row r="1138">
          <cell r="R1138">
            <v>11856</v>
          </cell>
        </row>
        <row r="1139">
          <cell r="R1139">
            <v>5148</v>
          </cell>
        </row>
        <row r="1140">
          <cell r="R1140">
            <v>5000</v>
          </cell>
        </row>
        <row r="1141">
          <cell r="R1141">
            <v>18299.599999999999</v>
          </cell>
        </row>
        <row r="1142">
          <cell r="R1142">
            <v>6682</v>
          </cell>
        </row>
        <row r="1143">
          <cell r="R1143">
            <v>4718</v>
          </cell>
        </row>
        <row r="1144">
          <cell r="R1144">
            <v>80</v>
          </cell>
        </row>
        <row r="1145">
          <cell r="R1145">
            <v>420</v>
          </cell>
        </row>
        <row r="1146">
          <cell r="R1146">
            <v>440</v>
          </cell>
        </row>
        <row r="1147">
          <cell r="R1147">
            <v>2880</v>
          </cell>
        </row>
        <row r="1148">
          <cell r="R1148">
            <v>1320</v>
          </cell>
        </row>
        <row r="1149">
          <cell r="R1149">
            <v>123</v>
          </cell>
        </row>
        <row r="1150">
          <cell r="R1150">
            <v>520</v>
          </cell>
        </row>
        <row r="1151">
          <cell r="R1151">
            <v>173.5</v>
          </cell>
        </row>
        <row r="1152">
          <cell r="R1152">
            <v>3608.8</v>
          </cell>
        </row>
        <row r="1153">
          <cell r="R1153">
            <v>195</v>
          </cell>
        </row>
        <row r="1154">
          <cell r="R1154">
            <v>1600</v>
          </cell>
        </row>
        <row r="1155">
          <cell r="R1155">
            <v>135</v>
          </cell>
        </row>
        <row r="1156">
          <cell r="R1156">
            <v>150</v>
          </cell>
        </row>
        <row r="1157">
          <cell r="R1157">
            <v>160</v>
          </cell>
        </row>
        <row r="1158">
          <cell r="R1158">
            <v>234.6</v>
          </cell>
        </row>
        <row r="1159">
          <cell r="R1159">
            <v>2445.3000000000002</v>
          </cell>
        </row>
        <row r="1160">
          <cell r="R1160">
            <v>2288.5</v>
          </cell>
        </row>
        <row r="1161">
          <cell r="R1161">
            <v>201.89</v>
          </cell>
        </row>
        <row r="1162">
          <cell r="R1162">
            <v>390</v>
          </cell>
        </row>
        <row r="1163">
          <cell r="R1163">
            <v>1083</v>
          </cell>
        </row>
        <row r="1164">
          <cell r="R1164">
            <v>69.5</v>
          </cell>
        </row>
        <row r="1165">
          <cell r="R1165">
            <v>5347.72</v>
          </cell>
        </row>
        <row r="1166">
          <cell r="R1166">
            <v>60</v>
          </cell>
        </row>
        <row r="1167">
          <cell r="R1167">
            <v>100</v>
          </cell>
        </row>
        <row r="1168">
          <cell r="R1168">
            <v>203.5</v>
          </cell>
        </row>
        <row r="1169">
          <cell r="R1169">
            <v>29</v>
          </cell>
        </row>
        <row r="1170">
          <cell r="R1170">
            <v>0</v>
          </cell>
        </row>
        <row r="1171">
          <cell r="R1171">
            <v>0</v>
          </cell>
        </row>
        <row r="1172">
          <cell r="R1172">
            <v>0</v>
          </cell>
        </row>
        <row r="1173">
          <cell r="R1173">
            <v>0</v>
          </cell>
        </row>
        <row r="1174">
          <cell r="R1174">
            <v>120</v>
          </cell>
        </row>
        <row r="1175">
          <cell r="R1175">
            <v>5185</v>
          </cell>
        </row>
        <row r="1176">
          <cell r="R1176">
            <v>400</v>
          </cell>
        </row>
        <row r="1177">
          <cell r="R1177">
            <v>850</v>
          </cell>
        </row>
        <row r="1178">
          <cell r="R1178">
            <v>1250</v>
          </cell>
        </row>
        <row r="1179">
          <cell r="R1179">
            <v>0</v>
          </cell>
        </row>
        <row r="1180">
          <cell r="R1180">
            <v>0</v>
          </cell>
        </row>
        <row r="1181">
          <cell r="R1181">
            <v>0</v>
          </cell>
        </row>
        <row r="1182">
          <cell r="R1182">
            <v>0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3986</v>
          </cell>
        </row>
        <row r="1188">
          <cell r="R1188">
            <v>330</v>
          </cell>
        </row>
        <row r="1189">
          <cell r="R1189">
            <v>170</v>
          </cell>
        </row>
        <row r="1190">
          <cell r="R1190">
            <v>170</v>
          </cell>
        </row>
        <row r="1191">
          <cell r="R1191">
            <v>937.61</v>
          </cell>
        </row>
        <row r="1192">
          <cell r="R1192">
            <v>937.61</v>
          </cell>
        </row>
        <row r="1193">
          <cell r="R1193">
            <v>123.4</v>
          </cell>
        </row>
        <row r="1194">
          <cell r="R1194">
            <v>127.4</v>
          </cell>
        </row>
        <row r="1195">
          <cell r="R1195">
            <v>870</v>
          </cell>
        </row>
        <row r="1196">
          <cell r="R1196">
            <v>7494.98</v>
          </cell>
        </row>
        <row r="1197">
          <cell r="R1197">
            <v>4000</v>
          </cell>
        </row>
        <row r="1198">
          <cell r="R1198">
            <v>0</v>
          </cell>
        </row>
        <row r="1199">
          <cell r="R1199">
            <v>0</v>
          </cell>
        </row>
        <row r="1200">
          <cell r="R1200">
            <v>207</v>
          </cell>
        </row>
        <row r="1201">
          <cell r="R1201">
            <v>0</v>
          </cell>
        </row>
        <row r="1202">
          <cell r="R1202">
            <v>0</v>
          </cell>
        </row>
        <row r="1203">
          <cell r="R1203">
            <v>0</v>
          </cell>
        </row>
        <row r="1204">
          <cell r="R1204">
            <v>0</v>
          </cell>
        </row>
        <row r="1205">
          <cell r="R1205">
            <v>0</v>
          </cell>
        </row>
        <row r="1206">
          <cell r="R1206">
            <v>0</v>
          </cell>
        </row>
        <row r="1207">
          <cell r="R1207">
            <v>34500</v>
          </cell>
        </row>
        <row r="1208">
          <cell r="R1208">
            <v>34500</v>
          </cell>
        </row>
        <row r="1209">
          <cell r="R1209">
            <v>34500</v>
          </cell>
        </row>
        <row r="1210">
          <cell r="R1210">
            <v>34500</v>
          </cell>
        </row>
        <row r="1211">
          <cell r="R1211">
            <v>34500</v>
          </cell>
        </row>
        <row r="1212">
          <cell r="R1212">
            <v>28275</v>
          </cell>
        </row>
        <row r="1213">
          <cell r="R1213">
            <v>28275</v>
          </cell>
        </row>
        <row r="1214">
          <cell r="R1214">
            <v>28275</v>
          </cell>
        </row>
        <row r="1215">
          <cell r="R1215">
            <v>33433</v>
          </cell>
        </row>
        <row r="1216">
          <cell r="R1216">
            <v>33433</v>
          </cell>
        </row>
        <row r="1217">
          <cell r="R1217">
            <v>33433</v>
          </cell>
        </row>
        <row r="1218">
          <cell r="R1218">
            <v>34805.25</v>
          </cell>
        </row>
        <row r="1219">
          <cell r="R1219">
            <v>34805.25</v>
          </cell>
        </row>
        <row r="1220">
          <cell r="R1220">
            <v>34805.25</v>
          </cell>
        </row>
        <row r="1221">
          <cell r="R1221">
            <v>50250</v>
          </cell>
        </row>
        <row r="1222">
          <cell r="R1222">
            <v>36270</v>
          </cell>
        </row>
        <row r="1223">
          <cell r="R1223">
            <v>36270</v>
          </cell>
        </row>
        <row r="1224">
          <cell r="R1224">
            <v>67860</v>
          </cell>
        </row>
        <row r="1225">
          <cell r="R1225">
            <v>29347.5</v>
          </cell>
        </row>
        <row r="1226">
          <cell r="R1226">
            <v>29347.5</v>
          </cell>
        </row>
        <row r="1227">
          <cell r="R1227">
            <v>29347.5</v>
          </cell>
        </row>
        <row r="1228">
          <cell r="R1228">
            <v>30420</v>
          </cell>
        </row>
        <row r="1229">
          <cell r="R1229">
            <v>30420</v>
          </cell>
        </row>
        <row r="1230">
          <cell r="R1230">
            <v>30420</v>
          </cell>
        </row>
        <row r="1231">
          <cell r="R1231">
            <v>30420</v>
          </cell>
        </row>
        <row r="1232">
          <cell r="R1232">
            <v>30420</v>
          </cell>
        </row>
        <row r="1233">
          <cell r="R1233">
            <v>31492.5</v>
          </cell>
        </row>
        <row r="1234">
          <cell r="R1234">
            <v>31492.5</v>
          </cell>
        </row>
        <row r="1235">
          <cell r="R1235">
            <v>31492.5</v>
          </cell>
        </row>
        <row r="1236">
          <cell r="R1236">
            <v>31492.5</v>
          </cell>
        </row>
        <row r="1237">
          <cell r="R1237">
            <v>31492.5</v>
          </cell>
        </row>
        <row r="1238">
          <cell r="R1238">
            <v>30225</v>
          </cell>
        </row>
        <row r="1239">
          <cell r="R1239">
            <v>30225</v>
          </cell>
        </row>
        <row r="1240">
          <cell r="R1240">
            <v>30225</v>
          </cell>
        </row>
        <row r="1241">
          <cell r="R1241">
            <v>30225</v>
          </cell>
        </row>
        <row r="1242">
          <cell r="R1242">
            <v>30225</v>
          </cell>
        </row>
        <row r="1243">
          <cell r="R1243">
            <v>0</v>
          </cell>
        </row>
        <row r="1244">
          <cell r="R1244">
            <v>30225</v>
          </cell>
        </row>
        <row r="1245">
          <cell r="R1245">
            <v>30225</v>
          </cell>
        </row>
        <row r="1246">
          <cell r="R1246">
            <v>30225</v>
          </cell>
        </row>
        <row r="1247">
          <cell r="R1247">
            <v>30225</v>
          </cell>
        </row>
        <row r="1248">
          <cell r="R1248">
            <v>30225</v>
          </cell>
        </row>
        <row r="1249">
          <cell r="R1249">
            <v>30225</v>
          </cell>
        </row>
        <row r="1250">
          <cell r="R1250">
            <v>30225</v>
          </cell>
        </row>
        <row r="1251">
          <cell r="R1251">
            <v>30225</v>
          </cell>
        </row>
        <row r="1252">
          <cell r="R1252">
            <v>39913</v>
          </cell>
        </row>
        <row r="1253">
          <cell r="R1253">
            <v>31290.62</v>
          </cell>
        </row>
        <row r="1254">
          <cell r="R1254">
            <v>31290.62</v>
          </cell>
        </row>
        <row r="1255">
          <cell r="R1255">
            <v>31290.62</v>
          </cell>
        </row>
        <row r="1256">
          <cell r="R1256">
            <v>31290.62</v>
          </cell>
        </row>
        <row r="1257">
          <cell r="R1257">
            <v>31290.62</v>
          </cell>
        </row>
        <row r="1258">
          <cell r="R1258">
            <v>31290.62</v>
          </cell>
        </row>
        <row r="1259">
          <cell r="R1259">
            <v>31290.62</v>
          </cell>
        </row>
        <row r="1260">
          <cell r="R1260">
            <v>31290.62</v>
          </cell>
        </row>
        <row r="1261">
          <cell r="R1261">
            <v>32565</v>
          </cell>
        </row>
        <row r="1262">
          <cell r="R1262">
            <v>32565</v>
          </cell>
        </row>
        <row r="1263">
          <cell r="R1263">
            <v>32565</v>
          </cell>
        </row>
        <row r="1264">
          <cell r="R1264">
            <v>32565</v>
          </cell>
        </row>
        <row r="1265">
          <cell r="R1265">
            <v>33316.5</v>
          </cell>
        </row>
        <row r="1266">
          <cell r="R1266">
            <v>33316.5</v>
          </cell>
        </row>
        <row r="1267">
          <cell r="R1267">
            <v>33316.5</v>
          </cell>
        </row>
        <row r="1268">
          <cell r="R1268">
            <v>38848.5</v>
          </cell>
        </row>
        <row r="1269">
          <cell r="R1269">
            <v>51750</v>
          </cell>
        </row>
        <row r="1270">
          <cell r="R1270">
            <v>34665.5</v>
          </cell>
        </row>
        <row r="1271">
          <cell r="R1271">
            <v>37399.58</v>
          </cell>
        </row>
        <row r="1272">
          <cell r="R1272">
            <v>34665.5</v>
          </cell>
        </row>
        <row r="1273">
          <cell r="R1273">
            <v>34665.5</v>
          </cell>
        </row>
        <row r="1274">
          <cell r="R1274">
            <v>34665.5</v>
          </cell>
        </row>
        <row r="1275">
          <cell r="R1275">
            <v>34665.5</v>
          </cell>
        </row>
        <row r="1276">
          <cell r="R1276">
            <v>35736.620000000003</v>
          </cell>
        </row>
        <row r="1277">
          <cell r="R1277">
            <v>35736.620000000003</v>
          </cell>
        </row>
        <row r="1278">
          <cell r="R1278">
            <v>35736.620000000003</v>
          </cell>
        </row>
        <row r="1279">
          <cell r="R1279">
            <v>35736.620000000003</v>
          </cell>
        </row>
        <row r="1280">
          <cell r="R1280">
            <v>35736.620000000003</v>
          </cell>
        </row>
        <row r="1281">
          <cell r="R1281">
            <v>33820</v>
          </cell>
        </row>
        <row r="1282">
          <cell r="R1282">
            <v>33820</v>
          </cell>
        </row>
        <row r="1283">
          <cell r="R1283">
            <v>33820</v>
          </cell>
        </row>
        <row r="1284">
          <cell r="R1284">
            <v>33820</v>
          </cell>
        </row>
        <row r="1285">
          <cell r="R1285">
            <v>33820</v>
          </cell>
        </row>
        <row r="1286">
          <cell r="R1286">
            <v>33820</v>
          </cell>
        </row>
        <row r="1287">
          <cell r="R1287">
            <v>33820</v>
          </cell>
        </row>
        <row r="1288">
          <cell r="R1288">
            <v>33820</v>
          </cell>
        </row>
        <row r="1289">
          <cell r="R1289">
            <v>33820</v>
          </cell>
        </row>
        <row r="1290">
          <cell r="R1290">
            <v>33820</v>
          </cell>
        </row>
        <row r="1291">
          <cell r="R1291">
            <v>33820</v>
          </cell>
        </row>
        <row r="1292">
          <cell r="R1292">
            <v>33820</v>
          </cell>
        </row>
        <row r="1293">
          <cell r="R1293">
            <v>33820</v>
          </cell>
        </row>
        <row r="1294">
          <cell r="R1294">
            <v>33820</v>
          </cell>
        </row>
        <row r="1295">
          <cell r="R1295">
            <v>33820</v>
          </cell>
        </row>
        <row r="1296">
          <cell r="R1296">
            <v>33820</v>
          </cell>
        </row>
        <row r="1297">
          <cell r="R1297">
            <v>33820</v>
          </cell>
        </row>
        <row r="1298">
          <cell r="R1298">
            <v>35736.620000000003</v>
          </cell>
        </row>
        <row r="1299">
          <cell r="R1299">
            <v>35736.620000000003</v>
          </cell>
        </row>
        <row r="1300">
          <cell r="R1300">
            <v>35736.620000000003</v>
          </cell>
        </row>
        <row r="1301">
          <cell r="R1301">
            <v>35736.620000000003</v>
          </cell>
        </row>
        <row r="1302">
          <cell r="R1302">
            <v>35736.620000000003</v>
          </cell>
        </row>
        <row r="1303">
          <cell r="R1303">
            <v>35736.620000000003</v>
          </cell>
        </row>
        <row r="1304">
          <cell r="R1304">
            <v>35736.620000000003</v>
          </cell>
        </row>
        <row r="1305">
          <cell r="R1305">
            <v>35736.620000000003</v>
          </cell>
        </row>
        <row r="1306">
          <cell r="R1306">
            <v>35736.620000000003</v>
          </cell>
        </row>
        <row r="1307">
          <cell r="R1307">
            <v>35736.620000000003</v>
          </cell>
        </row>
        <row r="1308">
          <cell r="R1308">
            <v>35736.620000000003</v>
          </cell>
        </row>
        <row r="1309">
          <cell r="R1309">
            <v>35736.620000000003</v>
          </cell>
        </row>
        <row r="1310">
          <cell r="R1310">
            <v>35736.620000000003</v>
          </cell>
        </row>
        <row r="1311">
          <cell r="R1311">
            <v>35736.620000000003</v>
          </cell>
        </row>
        <row r="1312">
          <cell r="R1312">
            <v>35736.620000000003</v>
          </cell>
        </row>
        <row r="1313">
          <cell r="R1313">
            <v>35736.620000000003</v>
          </cell>
        </row>
        <row r="1314">
          <cell r="R1314">
            <v>36807.75</v>
          </cell>
        </row>
        <row r="1315">
          <cell r="R1315">
            <v>0</v>
          </cell>
        </row>
        <row r="1316">
          <cell r="R1316">
            <v>54337.5</v>
          </cell>
        </row>
        <row r="1317">
          <cell r="R1317">
            <v>36807.75</v>
          </cell>
        </row>
        <row r="1318">
          <cell r="R1318">
            <v>36807.75</v>
          </cell>
        </row>
        <row r="1319">
          <cell r="R1319">
            <v>36807.75</v>
          </cell>
        </row>
        <row r="1320">
          <cell r="R1320">
            <v>36807.75</v>
          </cell>
        </row>
        <row r="1321">
          <cell r="R1321">
            <v>36807.75</v>
          </cell>
        </row>
        <row r="1322">
          <cell r="R1322">
            <v>36807.75</v>
          </cell>
        </row>
        <row r="1323">
          <cell r="R1323">
            <v>36807.75</v>
          </cell>
        </row>
        <row r="1324">
          <cell r="R1324">
            <v>36807.75</v>
          </cell>
        </row>
        <row r="1325">
          <cell r="R1325">
            <v>36807.75</v>
          </cell>
        </row>
        <row r="1326">
          <cell r="R1326">
            <v>36807.75</v>
          </cell>
        </row>
        <row r="1327">
          <cell r="R1327">
            <v>36807.75</v>
          </cell>
        </row>
        <row r="1328">
          <cell r="R1328">
            <v>36807.75</v>
          </cell>
        </row>
        <row r="1329">
          <cell r="R1329">
            <v>36807.75</v>
          </cell>
        </row>
        <row r="1330">
          <cell r="R1330">
            <v>35066</v>
          </cell>
        </row>
        <row r="1331">
          <cell r="R1331">
            <v>35066</v>
          </cell>
        </row>
        <row r="1332">
          <cell r="R1332">
            <v>35066</v>
          </cell>
        </row>
        <row r="1333">
          <cell r="R1333">
            <v>35066</v>
          </cell>
        </row>
        <row r="1334">
          <cell r="R1334">
            <v>36134</v>
          </cell>
        </row>
        <row r="1335">
          <cell r="R1335">
            <v>52028.75</v>
          </cell>
        </row>
        <row r="1336">
          <cell r="R1336">
            <v>62240</v>
          </cell>
        </row>
        <row r="1337">
          <cell r="R1337">
            <v>0</v>
          </cell>
        </row>
        <row r="1338">
          <cell r="R1338">
            <v>31155</v>
          </cell>
        </row>
        <row r="1339">
          <cell r="R1339">
            <v>31155</v>
          </cell>
        </row>
        <row r="1340">
          <cell r="R1340">
            <v>31155</v>
          </cell>
        </row>
        <row r="1341">
          <cell r="R1341">
            <v>31155</v>
          </cell>
        </row>
        <row r="1342">
          <cell r="R1342">
            <v>41249</v>
          </cell>
        </row>
        <row r="1343">
          <cell r="R1343">
            <v>41249</v>
          </cell>
        </row>
        <row r="1344">
          <cell r="R1344">
            <v>35904.699999999997</v>
          </cell>
        </row>
        <row r="1345">
          <cell r="R1345">
            <v>35904.699999999997</v>
          </cell>
        </row>
        <row r="1346">
          <cell r="R1346">
            <v>28390</v>
          </cell>
        </row>
        <row r="1347">
          <cell r="R1347">
            <v>32396</v>
          </cell>
        </row>
        <row r="1348">
          <cell r="R1348">
            <v>32396</v>
          </cell>
        </row>
        <row r="1349">
          <cell r="R1349">
            <v>25389</v>
          </cell>
        </row>
        <row r="1350">
          <cell r="R1350">
            <v>25389</v>
          </cell>
        </row>
        <row r="1351">
          <cell r="R1351">
            <v>25389</v>
          </cell>
        </row>
        <row r="1352">
          <cell r="R1352">
            <v>33397</v>
          </cell>
        </row>
        <row r="1353">
          <cell r="R1353">
            <v>34398</v>
          </cell>
        </row>
        <row r="1354">
          <cell r="R1354">
            <v>34398</v>
          </cell>
        </row>
        <row r="1355">
          <cell r="R1355">
            <v>31395</v>
          </cell>
        </row>
        <row r="1356">
          <cell r="R1356">
            <v>31395</v>
          </cell>
        </row>
        <row r="1357">
          <cell r="R1357">
            <v>34398</v>
          </cell>
        </row>
        <row r="1358">
          <cell r="R1358">
            <v>34398</v>
          </cell>
        </row>
        <row r="1359">
          <cell r="R1359">
            <v>29224.36</v>
          </cell>
        </row>
        <row r="1360">
          <cell r="R1360">
            <v>29224.36</v>
          </cell>
        </row>
        <row r="1361">
          <cell r="R1361">
            <v>37927.5</v>
          </cell>
        </row>
        <row r="1362">
          <cell r="R1362">
            <v>38316.5</v>
          </cell>
        </row>
        <row r="1363">
          <cell r="R1363">
            <v>36855</v>
          </cell>
        </row>
        <row r="1364">
          <cell r="R1364">
            <v>36855</v>
          </cell>
        </row>
        <row r="1365">
          <cell r="R1365">
            <v>36855</v>
          </cell>
        </row>
        <row r="1366">
          <cell r="R1366">
            <v>36855</v>
          </cell>
        </row>
        <row r="1367">
          <cell r="R1367">
            <v>30183.4</v>
          </cell>
        </row>
        <row r="1368">
          <cell r="R1368">
            <v>30183.4</v>
          </cell>
        </row>
        <row r="1369">
          <cell r="R1369">
            <v>30183.4</v>
          </cell>
        </row>
        <row r="1370">
          <cell r="R1370">
            <v>30183.4</v>
          </cell>
        </row>
        <row r="1371">
          <cell r="R1371">
            <v>30183.4</v>
          </cell>
        </row>
        <row r="1372">
          <cell r="R1372">
            <v>37927.5</v>
          </cell>
        </row>
        <row r="1373">
          <cell r="R1373">
            <v>32571.25</v>
          </cell>
        </row>
        <row r="1374">
          <cell r="R1374">
            <v>32571.25</v>
          </cell>
        </row>
        <row r="1375">
          <cell r="R1375">
            <v>32571.25</v>
          </cell>
        </row>
        <row r="1376">
          <cell r="R1376">
            <v>32571.25</v>
          </cell>
        </row>
        <row r="1377">
          <cell r="R1377">
            <v>34865</v>
          </cell>
        </row>
        <row r="1378">
          <cell r="R1378">
            <v>34865</v>
          </cell>
        </row>
        <row r="1379">
          <cell r="R1379">
            <v>36855</v>
          </cell>
        </row>
        <row r="1380">
          <cell r="R1380">
            <v>36855</v>
          </cell>
        </row>
        <row r="1381">
          <cell r="R1381">
            <v>37927.5</v>
          </cell>
        </row>
        <row r="1382">
          <cell r="R1382">
            <v>37927.5</v>
          </cell>
        </row>
        <row r="1383">
          <cell r="R1383">
            <v>37927.5</v>
          </cell>
        </row>
        <row r="1384">
          <cell r="R1384">
            <v>45513</v>
          </cell>
        </row>
        <row r="1385">
          <cell r="R1385">
            <v>45513</v>
          </cell>
        </row>
        <row r="1386">
          <cell r="R1386">
            <v>45513</v>
          </cell>
        </row>
        <row r="1387">
          <cell r="R1387">
            <v>45513</v>
          </cell>
        </row>
        <row r="1388">
          <cell r="R1388">
            <v>45513</v>
          </cell>
        </row>
        <row r="1389">
          <cell r="R1389">
            <v>36855</v>
          </cell>
        </row>
        <row r="1390">
          <cell r="R1390">
            <v>37927.5</v>
          </cell>
        </row>
        <row r="1391">
          <cell r="R1391">
            <v>37927.5</v>
          </cell>
        </row>
        <row r="1392">
          <cell r="R1392">
            <v>37380</v>
          </cell>
        </row>
        <row r="1393">
          <cell r="R1393">
            <v>37380</v>
          </cell>
        </row>
        <row r="1394">
          <cell r="R1394">
            <v>37380</v>
          </cell>
        </row>
        <row r="1395">
          <cell r="R1395">
            <v>37380</v>
          </cell>
        </row>
        <row r="1396">
          <cell r="R1396">
            <v>42720</v>
          </cell>
        </row>
        <row r="1397">
          <cell r="R1397">
            <v>42720</v>
          </cell>
        </row>
        <row r="1398">
          <cell r="R1398">
            <v>36225</v>
          </cell>
        </row>
        <row r="1399">
          <cell r="R1399">
            <v>36225</v>
          </cell>
        </row>
        <row r="1400">
          <cell r="R1400">
            <v>41400</v>
          </cell>
        </row>
        <row r="1401">
          <cell r="R1401">
            <v>33064.33</v>
          </cell>
        </row>
        <row r="1402">
          <cell r="R1402">
            <v>33064.33</v>
          </cell>
        </row>
        <row r="1403">
          <cell r="R1403">
            <v>33064.33</v>
          </cell>
        </row>
        <row r="1404">
          <cell r="R1404">
            <v>33064.33</v>
          </cell>
        </row>
        <row r="1405">
          <cell r="R1405">
            <v>33064.33</v>
          </cell>
        </row>
        <row r="1406">
          <cell r="R1406">
            <v>33400</v>
          </cell>
        </row>
        <row r="1407">
          <cell r="R1407">
            <v>33400</v>
          </cell>
        </row>
        <row r="1408">
          <cell r="R1408">
            <v>33400</v>
          </cell>
        </row>
        <row r="1409">
          <cell r="R1409">
            <v>33400</v>
          </cell>
        </row>
        <row r="1410">
          <cell r="R1410">
            <v>33400</v>
          </cell>
        </row>
        <row r="1411">
          <cell r="R1411">
            <v>33400</v>
          </cell>
        </row>
        <row r="1412">
          <cell r="R1412">
            <v>33400</v>
          </cell>
        </row>
        <row r="1413">
          <cell r="R1413">
            <v>33400</v>
          </cell>
        </row>
        <row r="1414">
          <cell r="R1414">
            <v>33400</v>
          </cell>
        </row>
        <row r="1415">
          <cell r="R1415">
            <v>33400</v>
          </cell>
        </row>
        <row r="1416">
          <cell r="R1416">
            <v>33400</v>
          </cell>
        </row>
        <row r="1417">
          <cell r="R1417">
            <v>33400</v>
          </cell>
        </row>
        <row r="1418">
          <cell r="R1418">
            <v>33400</v>
          </cell>
        </row>
        <row r="1419">
          <cell r="R1419">
            <v>33400</v>
          </cell>
        </row>
        <row r="1420">
          <cell r="R1420">
            <v>33400</v>
          </cell>
        </row>
        <row r="1421">
          <cell r="R1421">
            <v>34500</v>
          </cell>
        </row>
        <row r="1422">
          <cell r="R1422">
            <v>34500</v>
          </cell>
        </row>
        <row r="1423">
          <cell r="R1423">
            <v>34500</v>
          </cell>
        </row>
        <row r="1424">
          <cell r="R1424">
            <v>34500</v>
          </cell>
        </row>
        <row r="1425">
          <cell r="R1425">
            <v>34500</v>
          </cell>
        </row>
        <row r="1426">
          <cell r="R1426">
            <v>33710.04</v>
          </cell>
        </row>
        <row r="1427">
          <cell r="R1427">
            <v>33710.04</v>
          </cell>
        </row>
        <row r="1428">
          <cell r="R1428">
            <v>33710.04</v>
          </cell>
        </row>
        <row r="1429">
          <cell r="R1429">
            <v>33710.04</v>
          </cell>
        </row>
        <row r="1430">
          <cell r="R1430">
            <v>33710.04</v>
          </cell>
        </row>
        <row r="1431">
          <cell r="R1431">
            <v>0</v>
          </cell>
        </row>
        <row r="1432">
          <cell r="R1432">
            <v>0</v>
          </cell>
        </row>
        <row r="1433">
          <cell r="R1433">
            <v>0</v>
          </cell>
        </row>
        <row r="1434">
          <cell r="R1434">
            <v>0</v>
          </cell>
        </row>
        <row r="1435">
          <cell r="R1435">
            <v>0</v>
          </cell>
        </row>
        <row r="1436">
          <cell r="R1436">
            <v>0</v>
          </cell>
        </row>
        <row r="1437">
          <cell r="R1437">
            <v>0</v>
          </cell>
        </row>
        <row r="1438">
          <cell r="R1438">
            <v>0</v>
          </cell>
        </row>
        <row r="1439">
          <cell r="R1439">
            <v>0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0</v>
          </cell>
        </row>
        <row r="1443">
          <cell r="R1443">
            <v>0</v>
          </cell>
        </row>
        <row r="1444">
          <cell r="R1444">
            <v>0</v>
          </cell>
        </row>
        <row r="1445">
          <cell r="R1445">
            <v>0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0</v>
          </cell>
        </row>
        <row r="1449">
          <cell r="R1449">
            <v>0</v>
          </cell>
        </row>
        <row r="1450">
          <cell r="R1450">
            <v>0</v>
          </cell>
        </row>
        <row r="1451">
          <cell r="R1451">
            <v>0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0</v>
          </cell>
        </row>
        <row r="1455">
          <cell r="R1455">
            <v>0</v>
          </cell>
        </row>
        <row r="1456">
          <cell r="R1456">
            <v>0</v>
          </cell>
        </row>
        <row r="1457">
          <cell r="R1457">
            <v>0</v>
          </cell>
        </row>
        <row r="1458">
          <cell r="R1458">
            <v>0</v>
          </cell>
        </row>
        <row r="1459">
          <cell r="R1459">
            <v>0</v>
          </cell>
        </row>
        <row r="1460">
          <cell r="R1460">
            <v>0</v>
          </cell>
        </row>
        <row r="1461">
          <cell r="R1461">
            <v>0</v>
          </cell>
        </row>
        <row r="1462">
          <cell r="R1462">
            <v>0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0</v>
          </cell>
        </row>
        <row r="1467">
          <cell r="R1467">
            <v>0</v>
          </cell>
        </row>
        <row r="1468">
          <cell r="R1468">
            <v>0</v>
          </cell>
        </row>
        <row r="1469">
          <cell r="R1469">
            <v>0</v>
          </cell>
        </row>
        <row r="1470">
          <cell r="R1470">
            <v>0</v>
          </cell>
        </row>
        <row r="1471">
          <cell r="R1471">
            <v>0</v>
          </cell>
        </row>
        <row r="1472">
          <cell r="R1472">
            <v>0</v>
          </cell>
        </row>
        <row r="1473">
          <cell r="R1473">
            <v>0</v>
          </cell>
        </row>
        <row r="1474">
          <cell r="R1474">
            <v>0</v>
          </cell>
        </row>
        <row r="1475">
          <cell r="R1475">
            <v>0</v>
          </cell>
        </row>
        <row r="1476">
          <cell r="R1476">
            <v>0</v>
          </cell>
        </row>
        <row r="1477">
          <cell r="R1477">
            <v>0</v>
          </cell>
        </row>
        <row r="1478">
          <cell r="R1478">
            <v>0</v>
          </cell>
        </row>
        <row r="1479">
          <cell r="R1479">
            <v>0</v>
          </cell>
        </row>
        <row r="1480">
          <cell r="R1480">
            <v>0</v>
          </cell>
        </row>
        <row r="1481">
          <cell r="R1481">
            <v>0</v>
          </cell>
        </row>
        <row r="1482">
          <cell r="R1482">
            <v>0</v>
          </cell>
        </row>
        <row r="1483">
          <cell r="R1483">
            <v>0</v>
          </cell>
        </row>
        <row r="1484">
          <cell r="R1484">
            <v>0</v>
          </cell>
        </row>
        <row r="1485">
          <cell r="R1485">
            <v>0</v>
          </cell>
        </row>
        <row r="1486">
          <cell r="R1486">
            <v>0</v>
          </cell>
        </row>
        <row r="1487">
          <cell r="R1487">
            <v>0</v>
          </cell>
        </row>
        <row r="1488">
          <cell r="R1488">
            <v>0</v>
          </cell>
        </row>
        <row r="1489">
          <cell r="R1489">
            <v>0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0</v>
          </cell>
        </row>
        <row r="1493">
          <cell r="R1493">
            <v>0</v>
          </cell>
        </row>
        <row r="1494">
          <cell r="R1494">
            <v>0</v>
          </cell>
        </row>
        <row r="1495">
          <cell r="R1495">
            <v>0</v>
          </cell>
        </row>
        <row r="1496">
          <cell r="R1496">
            <v>0</v>
          </cell>
        </row>
        <row r="1497">
          <cell r="R1497">
            <v>0</v>
          </cell>
        </row>
        <row r="1498">
          <cell r="R1498">
            <v>0</v>
          </cell>
        </row>
        <row r="1499">
          <cell r="R1499">
            <v>0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>
            <v>0</v>
          </cell>
        </row>
        <row r="1512">
          <cell r="R1512">
            <v>0</v>
          </cell>
        </row>
        <row r="1513">
          <cell r="R1513">
            <v>0</v>
          </cell>
        </row>
        <row r="1514">
          <cell r="R1514">
            <v>0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>
            <v>0</v>
          </cell>
        </row>
        <row r="1532">
          <cell r="R1532">
            <v>0</v>
          </cell>
        </row>
        <row r="1533">
          <cell r="R1533">
            <v>0</v>
          </cell>
        </row>
        <row r="1534">
          <cell r="R1534">
            <v>0</v>
          </cell>
        </row>
        <row r="1535">
          <cell r="R1535">
            <v>0</v>
          </cell>
        </row>
        <row r="1536">
          <cell r="R1536">
            <v>0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0</v>
          </cell>
        </row>
        <row r="1540">
          <cell r="R1540">
            <v>0</v>
          </cell>
        </row>
        <row r="1541">
          <cell r="R1541">
            <v>0</v>
          </cell>
        </row>
        <row r="1542">
          <cell r="R1542">
            <v>0</v>
          </cell>
        </row>
        <row r="1543">
          <cell r="R1543">
            <v>0</v>
          </cell>
        </row>
        <row r="1544">
          <cell r="R1544">
            <v>79569.2</v>
          </cell>
        </row>
        <row r="1545">
          <cell r="R1545">
            <v>61146.5</v>
          </cell>
        </row>
        <row r="1546">
          <cell r="R1546">
            <v>61146.5</v>
          </cell>
        </row>
        <row r="1547">
          <cell r="R1547">
            <v>61146.5</v>
          </cell>
        </row>
        <row r="1548">
          <cell r="R1548">
            <v>61146.5</v>
          </cell>
        </row>
        <row r="1549">
          <cell r="R1549">
            <v>61146.5</v>
          </cell>
        </row>
        <row r="1550">
          <cell r="R1550">
            <v>82078.31</v>
          </cell>
        </row>
        <row r="1551">
          <cell r="R1551">
            <v>45696.75</v>
          </cell>
        </row>
        <row r="1552">
          <cell r="R1552">
            <v>85912.5</v>
          </cell>
        </row>
        <row r="1553">
          <cell r="R1553">
            <v>129410.94</v>
          </cell>
        </row>
        <row r="1554">
          <cell r="R1554">
            <v>63465.85</v>
          </cell>
        </row>
        <row r="1555">
          <cell r="R1555">
            <v>65785.2</v>
          </cell>
        </row>
        <row r="1556">
          <cell r="R1556">
            <v>69061.2</v>
          </cell>
        </row>
        <row r="1557">
          <cell r="R1557">
            <v>122715.77</v>
          </cell>
        </row>
        <row r="1558">
          <cell r="R1558">
            <v>75719.27</v>
          </cell>
        </row>
        <row r="1559">
          <cell r="R1559">
            <v>75662.75</v>
          </cell>
        </row>
        <row r="1560">
          <cell r="R1560">
            <v>124415</v>
          </cell>
        </row>
        <row r="1561">
          <cell r="R1561">
            <v>75719.27</v>
          </cell>
        </row>
        <row r="1562">
          <cell r="R1562">
            <v>45925</v>
          </cell>
        </row>
        <row r="1563">
          <cell r="R1563">
            <v>84198.02</v>
          </cell>
        </row>
        <row r="1564">
          <cell r="R1564">
            <v>13360</v>
          </cell>
        </row>
        <row r="1565">
          <cell r="R1565">
            <v>78297.95</v>
          </cell>
        </row>
        <row r="1566">
          <cell r="R1566">
            <v>113601.75</v>
          </cell>
        </row>
        <row r="1567">
          <cell r="R1567">
            <v>78297.95</v>
          </cell>
        </row>
        <row r="1568">
          <cell r="R1568">
            <v>78297.95</v>
          </cell>
        </row>
        <row r="1569">
          <cell r="R1569">
            <v>78297.95</v>
          </cell>
        </row>
        <row r="1570">
          <cell r="R1570">
            <v>80876.62</v>
          </cell>
        </row>
        <row r="1571">
          <cell r="R1571">
            <v>80876.62</v>
          </cell>
        </row>
        <row r="1572">
          <cell r="R1572">
            <v>80876.62</v>
          </cell>
        </row>
        <row r="1573">
          <cell r="R1573">
            <v>87065.45</v>
          </cell>
        </row>
        <row r="1574">
          <cell r="R1574">
            <v>80876.62</v>
          </cell>
        </row>
        <row r="1575">
          <cell r="R1575">
            <v>107122.5</v>
          </cell>
        </row>
        <row r="1576">
          <cell r="R1576">
            <v>87727.3</v>
          </cell>
        </row>
        <row r="1577">
          <cell r="R1577">
            <v>59291.8</v>
          </cell>
        </row>
        <row r="1578">
          <cell r="R1578">
            <v>80785.3</v>
          </cell>
        </row>
        <row r="1579">
          <cell r="R1579">
            <v>83281.47</v>
          </cell>
        </row>
        <row r="1580">
          <cell r="R1580">
            <v>83281.47</v>
          </cell>
        </row>
        <row r="1581">
          <cell r="R1581">
            <v>83281.47</v>
          </cell>
        </row>
        <row r="1582">
          <cell r="R1582">
            <v>61123.85</v>
          </cell>
        </row>
        <row r="1583">
          <cell r="R1583">
            <v>113953.5</v>
          </cell>
        </row>
        <row r="1584">
          <cell r="R1584">
            <v>64757.15</v>
          </cell>
        </row>
        <row r="1585">
          <cell r="R1585">
            <v>64757.15</v>
          </cell>
        </row>
        <row r="1586">
          <cell r="R1586">
            <v>56701.5</v>
          </cell>
        </row>
        <row r="1587">
          <cell r="R1587">
            <v>64757.15</v>
          </cell>
        </row>
        <row r="1588">
          <cell r="R1588">
            <v>66698.100000000006</v>
          </cell>
        </row>
        <row r="1589">
          <cell r="R1589">
            <v>66698.100000000006</v>
          </cell>
        </row>
        <row r="1590">
          <cell r="R1590">
            <v>66698.100000000006</v>
          </cell>
        </row>
        <row r="1591">
          <cell r="R1591">
            <v>66698.100000000006</v>
          </cell>
        </row>
        <row r="1592">
          <cell r="R1592">
            <v>127609.02</v>
          </cell>
        </row>
        <row r="1593">
          <cell r="R1593">
            <v>61973.1</v>
          </cell>
        </row>
        <row r="1594">
          <cell r="R1594">
            <v>60169.65</v>
          </cell>
        </row>
        <row r="1595">
          <cell r="R1595">
            <v>58793.4</v>
          </cell>
        </row>
        <row r="1596">
          <cell r="R1596">
            <v>58793.4</v>
          </cell>
        </row>
        <row r="1597">
          <cell r="R1597">
            <v>58793.4</v>
          </cell>
        </row>
        <row r="1598">
          <cell r="R1598">
            <v>58793.4</v>
          </cell>
        </row>
        <row r="1599">
          <cell r="R1599">
            <v>58793.4</v>
          </cell>
        </row>
        <row r="1600">
          <cell r="R1600">
            <v>58793.4</v>
          </cell>
        </row>
        <row r="1601">
          <cell r="R1601">
            <v>63776.55</v>
          </cell>
        </row>
        <row r="1602">
          <cell r="R1602">
            <v>63776.55</v>
          </cell>
        </row>
        <row r="1603">
          <cell r="R1603">
            <v>0</v>
          </cell>
        </row>
        <row r="1604">
          <cell r="R1604">
            <v>0</v>
          </cell>
        </row>
        <row r="1605">
          <cell r="R1605">
            <v>0</v>
          </cell>
        </row>
        <row r="1606">
          <cell r="R1606">
            <v>0</v>
          </cell>
        </row>
        <row r="1607">
          <cell r="R1607">
            <v>0</v>
          </cell>
        </row>
        <row r="1608">
          <cell r="R1608">
            <v>0</v>
          </cell>
        </row>
        <row r="1609">
          <cell r="R1609">
            <v>0</v>
          </cell>
        </row>
        <row r="1610">
          <cell r="R1610">
            <v>0</v>
          </cell>
        </row>
        <row r="1611">
          <cell r="R1611">
            <v>0</v>
          </cell>
        </row>
        <row r="1612">
          <cell r="R1612">
            <v>0</v>
          </cell>
        </row>
        <row r="1613">
          <cell r="R1613">
            <v>0</v>
          </cell>
        </row>
        <row r="1614">
          <cell r="R1614">
            <v>0</v>
          </cell>
        </row>
        <row r="1615">
          <cell r="R1615">
            <v>0</v>
          </cell>
        </row>
        <row r="1616">
          <cell r="R1616">
            <v>0</v>
          </cell>
        </row>
        <row r="1617">
          <cell r="R1617">
            <v>0</v>
          </cell>
        </row>
        <row r="1618">
          <cell r="R1618">
            <v>0</v>
          </cell>
        </row>
        <row r="1619">
          <cell r="R1619">
            <v>0</v>
          </cell>
        </row>
        <row r="1620">
          <cell r="R1620">
            <v>0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0</v>
          </cell>
        </row>
        <row r="1624">
          <cell r="R1624">
            <v>0</v>
          </cell>
        </row>
        <row r="1625">
          <cell r="R1625">
            <v>0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0</v>
          </cell>
        </row>
        <row r="1629">
          <cell r="R1629">
            <v>0</v>
          </cell>
        </row>
        <row r="1630">
          <cell r="R1630">
            <v>0</v>
          </cell>
        </row>
        <row r="1631">
          <cell r="R1631">
            <v>0</v>
          </cell>
        </row>
        <row r="1632">
          <cell r="R1632">
            <v>0</v>
          </cell>
        </row>
        <row r="1633">
          <cell r="R1633">
            <v>0</v>
          </cell>
        </row>
        <row r="1634">
          <cell r="R1634">
            <v>0</v>
          </cell>
        </row>
        <row r="1635">
          <cell r="R1635">
            <v>0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0</v>
          </cell>
        </row>
        <row r="1640">
          <cell r="R1640">
            <v>0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0</v>
          </cell>
        </row>
        <row r="1645">
          <cell r="R1645">
            <v>199788.75</v>
          </cell>
        </row>
        <row r="1646">
          <cell r="R1646">
            <v>254721.25</v>
          </cell>
        </row>
        <row r="1647">
          <cell r="R1647">
            <v>186620</v>
          </cell>
        </row>
        <row r="1648">
          <cell r="R1648">
            <v>54180</v>
          </cell>
        </row>
        <row r="1649">
          <cell r="R1649">
            <v>230580</v>
          </cell>
        </row>
        <row r="1650">
          <cell r="R1650">
            <v>174199.06</v>
          </cell>
        </row>
        <row r="1651">
          <cell r="R1651">
            <v>270744</v>
          </cell>
        </row>
        <row r="1652">
          <cell r="R1652">
            <v>270744</v>
          </cell>
        </row>
        <row r="1653">
          <cell r="R1653">
            <v>0</v>
          </cell>
        </row>
        <row r="1654">
          <cell r="R1654">
            <v>74544.210000000006</v>
          </cell>
        </row>
        <row r="1655">
          <cell r="R1655">
            <v>127105.75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0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0</v>
          </cell>
        </row>
        <row r="1666">
          <cell r="R1666">
            <v>0</v>
          </cell>
        </row>
        <row r="1667">
          <cell r="R1667">
            <v>0</v>
          </cell>
        </row>
        <row r="1668">
          <cell r="R1668">
            <v>0</v>
          </cell>
        </row>
        <row r="1669">
          <cell r="R1669">
            <v>9882.5</v>
          </cell>
        </row>
        <row r="1670">
          <cell r="R1670">
            <v>39468</v>
          </cell>
        </row>
        <row r="1671">
          <cell r="R1671">
            <v>110136</v>
          </cell>
        </row>
        <row r="1672">
          <cell r="R1672">
            <v>114019</v>
          </cell>
        </row>
        <row r="1673">
          <cell r="R1673">
            <v>8510.32</v>
          </cell>
        </row>
        <row r="1674">
          <cell r="R1674">
            <v>573775</v>
          </cell>
        </row>
        <row r="1675">
          <cell r="R1675">
            <v>144965</v>
          </cell>
        </row>
        <row r="1676">
          <cell r="R1676">
            <v>49866.12</v>
          </cell>
        </row>
        <row r="1677">
          <cell r="R1677">
            <v>140805</v>
          </cell>
        </row>
        <row r="1678">
          <cell r="R1678">
            <v>11926</v>
          </cell>
        </row>
        <row r="1679">
          <cell r="R1679">
            <v>11926</v>
          </cell>
        </row>
        <row r="1680">
          <cell r="R1680">
            <v>47437.5</v>
          </cell>
        </row>
        <row r="1681">
          <cell r="R1681">
            <v>47437.5</v>
          </cell>
        </row>
        <row r="1682">
          <cell r="R1682">
            <v>9392.6200000000008</v>
          </cell>
        </row>
        <row r="1683">
          <cell r="R1683">
            <v>0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0</v>
          </cell>
        </row>
        <row r="1687">
          <cell r="R1687">
            <v>508.5</v>
          </cell>
        </row>
        <row r="1688">
          <cell r="R1688">
            <v>546</v>
          </cell>
        </row>
        <row r="1689">
          <cell r="R1689">
            <v>215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&amp; IRR"/>
      <sheetName val="CMA"/>
      <sheetName val="Fin. Proj.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C"/>
      <sheetName val="Debt Scheduling"/>
      <sheetName val="Dep"/>
      <sheetName val="RM &amp; Cons"/>
      <sheetName val="RM Purchase"/>
      <sheetName val="Sales &amp; Prod"/>
      <sheetName val="WIP &amp; FG costing"/>
      <sheetName val="Manpower"/>
      <sheetName val="CF"/>
      <sheetName val="Tax"/>
      <sheetName val="Ferro Alloys"/>
      <sheetName val="DRI - Phase-1"/>
      <sheetName val="25 MW"/>
      <sheetName val="Mines"/>
      <sheetName val="10MW"/>
      <sheetName val="Exist-Debt"/>
      <sheetName val="Phase I &amp; II"/>
      <sheetName val="For IM"/>
      <sheetName val="WC"/>
      <sheetName val="DSCR"/>
      <sheetName val="PL Consolidated"/>
      <sheetName val="BS"/>
      <sheetName val="PL"/>
      <sheetName val="Sensitivity"/>
      <sheetName val="Input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RCICAL"/>
      <sheetName val="int-dvsn"/>
      <sheetName val="Sheet1"/>
      <sheetName val="YLYINT"/>
      <sheetName val="YLYREP"/>
      <sheetName val="CORPCAL"/>
      <sheetName val="JSRCAL"/>
      <sheetName val="dpc_int"/>
      <sheetName val="rep-dvsn"/>
      <sheetName val="projint"/>
      <sheetName val="UTILIC"/>
      <sheetName val="REPFIWISE"/>
      <sheetName val="98-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sh Flow"/>
      <sheetName val="Repaymentschedule"/>
      <sheetName val="summary"/>
      <sheetName val="repaymentsch"/>
      <sheetName val="Debt Scheduling"/>
      <sheetName val="Sensitivity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SBA-Aufteilung"/>
      <sheetName val="Ergebnis"/>
      <sheetName val="PlandatenGrunddaten"/>
      <sheetName val="Istdaten"/>
      <sheetName val="Sensitivitäten"/>
      <sheetName val="Nebenrechnung"/>
      <sheetName val="Verlauf Personal"/>
      <sheetName val="Daten_Siemens"/>
      <sheetName val="Daten_Siemens (HA)"/>
      <sheetName val="Daten_Siemens (NA)"/>
      <sheetName val="ATZ"/>
      <sheetName val="Mitarbeiter"/>
      <sheetName val="Fahrzeug Kosten"/>
      <sheetName val="Fahrzeugpark"/>
      <sheetName val="Anlagen Lichtpunkte"/>
      <sheetName val="Straßen"/>
      <sheetName val="Fzg-Bestand AG 1 ÖB"/>
      <sheetName val="Fzg-Bestand  AG 2 LSA"/>
      <sheetName val="Fzg-Bestand AG 3 VZ"/>
      <sheetName val="Fzg-Bestand AG 0"/>
      <sheetName val="leer"/>
      <sheetName val="Historie"/>
    </sheetNames>
    <sheetDataSet>
      <sheetData sheetId="0" refreshError="1">
        <row r="57">
          <cell r="J57" t="str">
            <v>Lichtsignalanlagen</v>
          </cell>
        </row>
        <row r="58">
          <cell r="J58" t="str">
            <v>Öffentliche Beleuchtung</v>
          </cell>
        </row>
        <row r="59">
          <cell r="J59" t="str">
            <v>Verkehrsmanagement</v>
          </cell>
        </row>
        <row r="60">
          <cell r="J60" t="str">
            <v>Verkehrszeichen und -einrichtungen</v>
          </cell>
        </row>
        <row r="61">
          <cell r="J61" t="str">
            <v>Parkraumbewirtschaftung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Summary_Restructuring"/>
      <sheetName val="Operations_Assump"/>
      <sheetName val="Operations"/>
      <sheetName val=" Existing Dep"/>
      <sheetName val="Debt"/>
      <sheetName val=" WC"/>
      <sheetName val="Summ"/>
      <sheetName val="Financials"/>
      <sheetName val="DSCR"/>
      <sheetName val="COP"/>
      <sheetName val="NPV0"/>
      <sheetName val="Equity Conv Price"/>
      <sheetName val="UGSL Print"/>
      <sheetName val="YOY Provisioning"/>
      <sheetName val="Restructuring"/>
      <sheetName val="Key_Ratios"/>
      <sheetName val="S4A_scheme compliance "/>
      <sheetName val="MV"/>
      <sheetName val="Recompense"/>
      <sheetName val="S4A Prov"/>
      <sheetName val="S4A workings"/>
      <sheetName val="Debt_Summary"/>
      <sheetName val="Sheet2"/>
      <sheetName val="S4A"/>
      <sheetName val="SDR"/>
      <sheetName val="Beta"/>
      <sheetName val="Proposal"/>
      <sheetName val="H1FY17"/>
      <sheetName val="Sheet4"/>
      <sheetName val="Equity"/>
      <sheetName val="Proposal-Company"/>
      <sheetName val="NPV-Working-C"/>
      <sheetName val="Sheet5"/>
      <sheetName val="Ratios"/>
      <sheetName val="Master Sheet"/>
      <sheetName val="Bank Wise Prov"/>
      <sheetName val="BOB"/>
      <sheetName val="Proposal-A"/>
      <sheetName val="NPV-Working-A"/>
      <sheetName val="Rest_Ratios"/>
      <sheetName val="Equity Converson"/>
      <sheetName val="Price"/>
      <sheetName val="Shareholding-A"/>
      <sheetName val="IT Dep Working"/>
      <sheetName val="Sensitivity"/>
      <sheetName val="ROR"/>
      <sheetName val="Valuation Metrics"/>
      <sheetName val="DCF"/>
      <sheetName val="Multiples"/>
    </sheetNames>
    <sheetDataSet>
      <sheetData sheetId="0" refreshError="1"/>
      <sheetData sheetId="1">
        <row r="7">
          <cell r="E7">
            <v>0</v>
          </cell>
        </row>
        <row r="10">
          <cell r="E10">
            <v>0</v>
          </cell>
        </row>
        <row r="11">
          <cell r="E1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sol_Assumptions"/>
      <sheetName val="Summary"/>
      <sheetName val="Combined Financials"/>
      <sheetName val="Exst-Assumption"/>
      <sheetName val="Key Assumptions"/>
      <sheetName val="Proj Cost"/>
      <sheetName val="Proj_Assumption Expense"/>
      <sheetName val="Proj Capex, Debt"/>
      <sheetName val="Proj Financials"/>
      <sheetName val="Proj WC"/>
      <sheetName val="Proj Depri"/>
      <sheetName val="Exst Ops"/>
      <sheetName val="Exst-Financials"/>
      <sheetName val="Exst-Debt-New"/>
      <sheetName val="Exst-Debt"/>
      <sheetName val="Exst-WC"/>
      <sheetName val="Exst-Dep"/>
      <sheetName val="COP"/>
      <sheetName val="Sheet 1"/>
      <sheetName val="Sheet2"/>
    </sheetNames>
    <sheetDataSet>
      <sheetData sheetId="0"/>
      <sheetData sheetId="1"/>
      <sheetData sheetId="2">
        <row r="55">
          <cell r="E5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 Vector provisoire"/>
      <sheetName val="détail investissements - DEVISE"/>
      <sheetName val="P&amp;L PBZ - DEVISE"/>
      <sheetName val="TEFN PBZ - DEVISE"/>
      <sheetName val="PBZ - DEVISE LOCALE"/>
      <sheetName val="!conversion!"/>
      <sheetName val="PBZ - en EURO"/>
      <sheetName val="synthèse présentation €"/>
      <sheetName val="comparaison plan à plan €"/>
      <sheetName val="détail investissements €"/>
    </sheetNames>
    <sheetDataSet>
      <sheetData sheetId="0"/>
      <sheetData sheetId="1"/>
      <sheetData sheetId="2"/>
      <sheetData sheetId="3"/>
      <sheetData sheetId="4">
        <row r="4">
          <cell r="E4" t="str">
            <v>U3SV005</v>
          </cell>
        </row>
        <row r="6">
          <cell r="E6" t="str">
            <v>2012_40P_BASE</v>
          </cell>
        </row>
        <row r="7">
          <cell r="E7" t="str">
            <v>EUR</v>
          </cell>
        </row>
        <row r="8">
          <cell r="E8" t="str">
            <v>0BASE</v>
          </cell>
        </row>
        <row r="9">
          <cell r="E9" t="str">
            <v>PBZ</v>
          </cell>
        </row>
        <row r="10">
          <cell r="E10" t="str">
            <v>NA</v>
          </cell>
        </row>
        <row r="11">
          <cell r="E11" t="str">
            <v>EUR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t"/>
      <sheetName val="uo"/>
      <sheetName val="Feuil2"/>
      <sheetName val="Feuil3"/>
      <sheetName val="PBZ - DEVISE LOCAL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Assumptions"/>
      <sheetName val="Project Cost"/>
      <sheetName val="Phasing of Exp."/>
      <sheetName val="Drawdown"/>
      <sheetName val="Repayment"/>
      <sheetName val="Depreciation"/>
      <sheetName val="Energy"/>
      <sheetName val="Fuel"/>
      <sheetName val="TariffChart"/>
      <sheetName val="CERC Tariff"/>
      <sheetName val="WCL"/>
      <sheetName val="WCL for CERC Tariff"/>
      <sheetName val="Taxation"/>
      <sheetName val="Tax for CERC Tariff"/>
      <sheetName val="BSheet"/>
      <sheetName val="P&amp;L"/>
      <sheetName val="CFlow"/>
      <sheetName val="Ratios"/>
      <sheetName val="Tables (Mn)"/>
      <sheetName val="Tables (Cr.)"/>
    </sheetNames>
    <sheetDataSet>
      <sheetData sheetId="0"/>
      <sheetData sheetId="1">
        <row r="81">
          <cell r="H81">
            <v>2.2999999999999998</v>
          </cell>
        </row>
        <row r="82">
          <cell r="H82">
            <v>2.5</v>
          </cell>
        </row>
        <row r="94">
          <cell r="H94">
            <v>0.03</v>
          </cell>
        </row>
        <row r="95">
          <cell r="H95">
            <v>0.04</v>
          </cell>
        </row>
        <row r="96">
          <cell r="H96">
            <v>2.5000000000000001E-3</v>
          </cell>
        </row>
        <row r="97">
          <cell r="H97">
            <v>0.04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_Fuel"/>
      <sheetName val="C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Tax (2)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stores &amp; spa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_MP"/>
      <sheetName val="Debt_MP"/>
      <sheetName val="Depreciation_MP"/>
      <sheetName val="P&amp;L_MP"/>
      <sheetName val="WC_MP"/>
      <sheetName val="Tax_MP"/>
      <sheetName val="Phasing_Gurramkonda"/>
      <sheetName val="Depreciation_Gurramkonda"/>
      <sheetName val="Tax_Gurramkonda"/>
      <sheetName val="Phasing_Nagari"/>
      <sheetName val="Depreciation_Nagari"/>
      <sheetName val="Tax_Nagari"/>
      <sheetName val="Assumption_AP"/>
      <sheetName val="P&amp;L_AP"/>
      <sheetName val="WC_AP"/>
      <sheetName val="Financial (Consolidated)"/>
      <sheetName val="Tax (Consolidated)"/>
      <sheetName val="Valuation (Consolidated)"/>
      <sheetName val="WACC "/>
      <sheetName val="Sensitivity"/>
      <sheetName val="Ratio"/>
      <sheetName val="for 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6">
          <cell r="D236" t="str">
            <v>Yes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</sheetData>
      <sheetData sheetId="20"/>
      <sheetData sheetId="2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"/>
      <sheetName val="Monthly Sales and Production"/>
      <sheetName val="production"/>
      <sheetName val="rm consumed"/>
      <sheetName val="charge details"/>
      <sheetName val="security"/>
      <sheetName val="Principal Repayment"/>
      <sheetName val="interest "/>
      <sheetName val="ICICI-LR"/>
      <sheetName val="Cash Flow"/>
      <sheetName val="Input"/>
      <sheetName val="repayments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"/>
      <sheetName val="Assump"/>
      <sheetName val="Capex"/>
      <sheetName val="RM"/>
      <sheetName val="WC"/>
      <sheetName val="Depri"/>
      <sheetName val="P &amp; L"/>
      <sheetName val="tax"/>
      <sheetName val="DSCR"/>
      <sheetName val="BEP"/>
      <sheetName val="CF"/>
      <sheetName val="BS"/>
      <sheetName val="Cost Types"/>
      <sheetName val="CMA"/>
      <sheetName val="Debt"/>
      <sheetName val="report"/>
      <sheetName val="Net means"/>
      <sheetName val="new proj cost estimate"/>
      <sheetName val="old proj cost estimate"/>
      <sheetName val="interest "/>
      <sheetName val="Cash Flow"/>
      <sheetName val="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&amp;Admin"/>
      <sheetName val="Accounts"/>
      <sheetName val="Cash flow"/>
      <sheetName val="Equity"/>
      <sheetName val="Investment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25"/>
      <sheetName val="Sheet4"/>
      <sheetName val="PLAN_FEB97"/>
      <sheetName val="S2groupcode"/>
      <sheetName val="Index"/>
      <sheetName val="준검 내역서"/>
      <sheetName val="Embk top (2)"/>
    </sheetNames>
    <sheetDataSet>
      <sheetData sheetId="0" refreshError="1"/>
      <sheetData sheetId="1" refreshError="1"/>
      <sheetData sheetId="2" refreshError="1">
        <row r="2">
          <cell r="A2">
            <v>100000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Information"/>
      <sheetName val="Sheet1"/>
      <sheetName val="Sheet4"/>
      <sheetName val="Sheet2"/>
      <sheetName val="Sheet3"/>
      <sheetName val="SA Stores"/>
      <sheetName val="FB-Cut-Ins"/>
      <sheetName val="EB Cut-In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MA NEW"/>
      <sheetName val="ratios"/>
      <sheetName val="Assump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  <sheetName val="Note 14 (4)"/>
      <sheetName val="Fin P&amp;L"/>
      <sheetName val="notes to balancesheet and P&amp;L"/>
      <sheetName val="Fin BS"/>
      <sheetName val="NCL-fsv"/>
      <sheetName val="Significant ACing Policies"/>
      <sheetName val="Fixed Assets Schedule"/>
      <sheetName val="CASHFLOW"/>
      <sheetName val="CASH FLOW WORKING"/>
      <sheetName val="NCA as on 31.03.2012"/>
      <sheetName val="NCA "/>
      <sheetName val="BC as on 31.03.2012"/>
      <sheetName val="BC As on 31.03.2011"/>
      <sheetName val="NCL as on 31.03.2012"/>
      <sheetName val="SL_TB 2011"/>
      <sheetName val="Borrowings-sch.(31.12.2011)"/>
      <sheetName val="list of FDs kept as security"/>
      <sheetName val="status of Borrowings dec'11"/>
      <sheetName val="Note 14"/>
      <sheetName val="DLP status"/>
      <sheetName val="Summary"/>
      <sheetName val="IDBI 3 Receipts Accrued"/>
      <sheetName val="Loans-CL and NCL"/>
      <sheetName val="exchange diff(31.12.2011)"/>
      <sheetName val="FD-YEs Bank"/>
      <sheetName val="UBI"/>
      <sheetName val="SBH"/>
      <sheetName val="IOB"/>
      <sheetName val="canara"/>
      <sheetName val="final 3 receipts"/>
      <sheetName val="Tirupur Court IDBI FD"/>
      <sheetName val="IDBI-GOMTI FD"/>
      <sheetName val="GIFT"/>
      <sheetName val="#REF"/>
      <sheetName val="A"/>
      <sheetName val="chart as per norms"/>
      <sheetName val="Officer"/>
      <sheetName val="staff &amp; DP"/>
      <sheetName val="Working 1"/>
      <sheetName val="Prelim-wrk-detail"/>
      <sheetName val="S44 Depriciation"/>
      <sheetName val="S45 Refurbishment Charges"/>
      <sheetName val="Compatibility Report"/>
      <sheetName val="AS-9 Schedule"/>
      <sheetName val="Schedule Qty"/>
      <sheetName val="BOQ Distribution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  <sheetName val="DPR Apr'09"/>
      <sheetName val="tracking"/>
      <sheetName val="tracking (2)"/>
      <sheetName val="abstract"/>
      <sheetName val="Alphabetical List (HO)"/>
      <sheetName val="Floorwise List "/>
      <sheetName val="Mobile &amp; Residence No."/>
      <sheetName val="Fax Nos (HO)"/>
      <sheetName val="Site Details"/>
      <sheetName val="Office Details"/>
      <sheetName val="Site-PM-contact no's"/>
      <sheetName val="HREL"/>
      <sheetName val="LAVASA-MUMBAI"/>
      <sheetName val="HCC Information System"/>
      <sheetName val="Tivoli"/>
      <sheetName val="IIIA WATER SUPPLY PROJECT"/>
      <sheetName val="Allahbad Bypass "/>
      <sheetName val="AP-8"/>
      <sheetName val="Assam Road Project"/>
      <sheetName val="Badarpur"/>
      <sheetName val="Bandra-Worli"/>
      <sheetName val="Chamera"/>
      <sheetName val="Chennai By Pass Mobile"/>
      <sheetName val="Chennai Bypass "/>
      <sheetName val="Chutak"/>
      <sheetName val="DELHI METRO"/>
      <sheetName val="DHAULIGANGA"/>
      <sheetName val="GOSHIKHURD"/>
      <sheetName val="GSHP-2"/>
      <sheetName val="KISHANGANGA"/>
      <sheetName val="KOODANKULAM"/>
      <sheetName val="KHARAGPUR "/>
      <sheetName val="KAANB - JUBAIL(SAUDI)"/>
      <sheetName val="Lavasa Site Mobiles"/>
      <sheetName val="LAVASA IPPBX"/>
      <sheetName val="LMNHP- 1 &amp; 2"/>
      <sheetName val="LMNHP- 3 &amp; 4"/>
      <sheetName val="Loharinag Pala"/>
      <sheetName val="Mughal Road "/>
      <sheetName val="Middle Vaitarna-Mobile"/>
      <sheetName val="Teesta"/>
      <sheetName val="TALA C1"/>
      <sheetName val="NAINI"/>
      <sheetName val="Paradip"/>
      <sheetName val="Punatsangchhu"/>
      <sheetName val="PURULIA JV"/>
      <sheetName val="Polavaram"/>
      <sheetName val="RJ-7"/>
      <sheetName val="RAPP 5 &amp; 6"/>
      <sheetName val="SBC "/>
      <sheetName val="Tara "/>
      <sheetName val=" URI - WLL &amp; EPBX"/>
      <sheetName val="URI-OFFICERS MOBILE "/>
      <sheetName val="Visakhapatnam"/>
      <sheetName val="ORG"/>
      <sheetName val="Box-qtys "/>
      <sheetName val="TimeCycle"/>
      <sheetName val="BOX-NCW"/>
      <sheetName val="BOX-ECW"/>
      <sheetName val="BOX-PANSKURA"/>
      <sheetName val="UNP-QTY-CYCLE"/>
      <sheetName val="UNP-NCW "/>
      <sheetName val="UNP-ECW"/>
      <sheetName val="UNPSHUT"/>
      <sheetName val="SLABMNBDATA"/>
      <sheetName val="SLABMNB-ECW"/>
      <sheetName val="PSCMNBDATA"/>
      <sheetName val="PSCMNB-NCW"/>
      <sheetName val="PSC-MNB-ECW"/>
      <sheetName val="4-BOX-MNBDATA"/>
      <sheetName val="4-BOX-MNB"/>
      <sheetName val="3-BOXMNBDATA"/>
      <sheetName val="3-BOXMNB102-NCW"/>
      <sheetName val="BOXMNBDATA102-ECW"/>
      <sheetName val="BOXMNB102-ECW"/>
      <sheetName val="3-BOXMNB75"/>
      <sheetName val="MNBSHUT"/>
      <sheetName val="PIPE"/>
      <sheetName val="TIMECYCLE-PIPE"/>
      <sheetName val="PIPE-DETAIL"/>
      <sheetName val="CULVERT"/>
      <sheetName val="BRIDGE"/>
      <sheetName val="Bridge-Data"/>
      <sheetName val="strplnf"/>
      <sheetName val="Sheet2"/>
      <sheetName val="MSE ITEMS"/>
      <sheetName val="HP-QTY"/>
      <sheetName val="Cul_detail"/>
      <sheetName val="HP"/>
      <sheetName val="HP Sts"/>
      <sheetName val="Slab"/>
      <sheetName val="Sl Sts"/>
      <sheetName val="M-F-03"/>
      <sheetName val="M-C"/>
      <sheetName val="M-J-03"/>
      <sheetName val="Proj ManStr"/>
      <sheetName val="Proj Mancost"/>
      <sheetName val="Abs Proj ManSt"/>
      <sheetName val="norms"/>
      <sheetName val="format"/>
      <sheetName val="MJB-1"/>
      <sheetName val="MJB-2"/>
      <sheetName val="MJB-3"/>
      <sheetName val="UNP-2"/>
      <sheetName val="UNP-4"/>
      <sheetName val="OVP"/>
      <sheetName val="VDT-1"/>
      <sheetName val="VDT-2"/>
      <sheetName val="VDT-3"/>
      <sheetName val="sheath"/>
      <sheetName val="cables"/>
      <sheetName val="fpcc set 1"/>
      <sheetName val="fpcc set 2"/>
      <sheetName val="danamic set 1 "/>
      <sheetName val="danamic set 2"/>
      <sheetName val="sheathing"/>
      <sheetName val="DPR"/>
      <sheetName val="BOQ Supporting sheet -for SAP"/>
      <sheetName val="Pare_Documents"/>
      <sheetName val="Structures"/>
      <sheetName val="Detail CD"/>
      <sheetName val="Cofferdams"/>
      <sheetName val="Pare_TC"/>
      <sheetName val="Equip areawise_Client"/>
      <sheetName val="Equip mthwise_Client"/>
      <sheetName val="Equip areawise_Int"/>
      <sheetName val="Equip mthwise_Int"/>
      <sheetName val="HCC F 01 09 56 Cap"/>
      <sheetName val="Dumpers + T mixers"/>
      <sheetName val="SuperSwinger"/>
      <sheetName val="Gantry"/>
      <sheetName val="Mix"/>
      <sheetName val="BOQ"/>
      <sheetName val="BOQ (Filled)"/>
      <sheetName val="Month crushing"/>
      <sheetName val="BOQ Supporting Sheet"/>
      <sheetName val="Pare_Dam Excn"/>
      <sheetName val="WC_Dam lift"/>
      <sheetName val="Pare_Con Area"/>
      <sheetName val="Pare_Con Lift Qty_R1"/>
      <sheetName val="Pare_Cons Grt"/>
      <sheetName val="Pare_TC (2)"/>
      <sheetName val="S11AEQPnorm"/>
      <sheetName val="S11BEQPnorm"/>
      <sheetName val="Form1 "/>
      <sheetName val="Form 4-rev-1"/>
      <sheetName val="Form 5-rev-1"/>
      <sheetName val="S3workplan"/>
      <sheetName val="S4cycle"/>
      <sheetName val="S5 escl-1"/>
      <sheetName val="S5 escl-2"/>
      <sheetName val="EQUIP NORMS Standard"/>
      <sheetName val="NORMs-1"/>
      <sheetName val="Equipments-details"/>
      <sheetName val="S16Elec."/>
      <sheetName val="S23Mancost"/>
      <sheetName val="S25EQPoutrep"/>
      <sheetName val="S27EQP-lease"/>
      <sheetName val="S31 PRE-EXP"/>
      <sheetName val="S41-MatProcurement"/>
      <sheetName val="S42HSE "/>
      <sheetName val="Season1 program"/>
      <sheetName val="MaterialPrice"/>
      <sheetName val="S5Esc"/>
      <sheetName val="S7Matqty-group"/>
      <sheetName val="S12-Subtotals"/>
      <sheetName val="load&amp;DG"/>
      <sheetName val="S18Eqplan"/>
      <sheetName val="DEPRI"/>
      <sheetName val="S20MSEitems"/>
      <sheetName val="S23Mannos."/>
      <sheetName val="Officer Budget Form"/>
      <sheetName val="S29PrelimItem"/>
      <sheetName val="S31Preitem"/>
      <sheetName val="S33prelexdet"/>
      <sheetName val="S39Liability"/>
      <sheetName val="prel. working"/>
      <sheetName val="dept recov."/>
      <sheetName val="HO EXPS"/>
      <sheetName val="Work Plan C-4"/>
      <sheetName val="S4cycle IV"/>
      <sheetName val="S4cycle V"/>
      <sheetName val="S4cycle VI"/>
      <sheetName val="S4cycle Lin"/>
      <sheetName val=" linked data"/>
      <sheetName val="S5escl"/>
      <sheetName val="Mat Norms"/>
      <sheetName val="CPPL"/>
      <sheetName val="matreqp5"/>
      <sheetName val="Eqp Mnth(main)"/>
      <sheetName val="Equp.wo"/>
      <sheetName val="Crushing Plant"/>
      <sheetName val="cal con pu"/>
      <sheetName val="MSE-DATA"/>
      <sheetName val="S2groupc"/>
      <sheetName val="Esc 12"/>
      <sheetName val="Sheet3"/>
      <sheetName val="PAYMENT"/>
      <sheetName val="MEMORANDUM"/>
      <sheetName val="Certificate"/>
      <sheetName val="Esc 11"/>
      <sheetName val="Esc 10"/>
      <sheetName val="esc 9"/>
      <sheetName val="esc 8"/>
      <sheetName val="esc 7"/>
      <sheetName val="ESC 6"/>
      <sheetName val="ESC 5"/>
      <sheetName val="ESC.4"/>
      <sheetName val="ESC.3"/>
      <sheetName val="Sheet4 "/>
      <sheetName val="XXXXX"/>
      <sheetName val="XXXX0"/>
      <sheetName val="PRELIM"/>
      <sheetName val="EQPTS LIST"/>
      <sheetName val="RESOURCE"/>
      <sheetName val="DESIGN MIX"/>
      <sheetName val="LEAD&amp;EFF."/>
      <sheetName val="ANALYSIS"/>
      <sheetName val="JAN25"/>
      <sheetName val="Sheet4"/>
      <sheetName val="PLAN_FEB97"/>
      <sheetName val="Pare-Progress"/>
      <sheetName val="Work Plan Backup"/>
      <sheetName val="Fincl. Graph"/>
      <sheetName val="Crushing Plant Backup"/>
      <sheetName val="Eqplan"/>
      <sheetName val="Profitability"/>
      <sheetName val="D2&amp;3-PRELIMINARY-ITEMWISE"/>
      <sheetName val="D4&amp;5-PRILIMINARY-EXP"/>
      <sheetName val="Salary"/>
      <sheetName val="REVENUE"/>
      <sheetName val="Exp-details"/>
      <sheetName val="BOQ "/>
      <sheetName val="BOQ lot IV A"/>
      <sheetName val="BOQ  lot IV B"/>
      <sheetName val="Comp"/>
      <sheetName val="AD"/>
      <sheetName val=" (Annexure 1)All Faces "/>
      <sheetName val="All RA's LOT A"/>
      <sheetName val="Escalation Indices RA 6"/>
      <sheetName val="(Annexure 2)"/>
      <sheetName val=" (Annexure 1)"/>
      <sheetName val="Dewatering 1.1"/>
      <sheetName val="UG Exv 3.1"/>
      <sheetName val="Line Drilling 3.2"/>
      <sheetName val="Extra for Haul. Excav. Mat. 3.4"/>
      <sheetName val="Rock bolts 25mm Upto 5m 4.1.1"/>
      <sheetName val="Rock bolts 25mm more 5m 4.1.2"/>
      <sheetName val="Rock bolt 32 more than 5m 4.2.2"/>
      <sheetName val="Wiremesh 4.7.2"/>
      <sheetName val="Drilling for Pregrouting 4.12"/>
      <sheetName val="Grout Operation 4.12.1"/>
      <sheetName val="Cement for Pregrouting 4.12.2"/>
      <sheetName val="Drilling for forepoling 4. 13"/>
      <sheetName val="Grout Operation 4.13.1"/>
      <sheetName val="Cement for forepoling 4.13.2"/>
      <sheetName val="40-50 mm SFRS 5.1"/>
      <sheetName val="75mm Shotcrete 5.2"/>
      <sheetName val="Admixture"/>
      <sheetName val="Drilling of PreDrain holes 7.1"/>
      <sheetName val="Drilling of instrumentation"/>
      <sheetName val="Instrumentation Load cell"/>
      <sheetName val="Instrumentation MPBX"/>
      <sheetName val="Instrumentation Convergence bol"/>
      <sheetName val="DEFORMED REINFORCEMENT 11.1"/>
      <sheetName val="Pir Panjal VB CTC"/>
      <sheetName val="S0 Keydates"/>
      <sheetName val="S4 CycleTime"/>
      <sheetName val="Depri &amp; Refu"/>
      <sheetName val="Depri &amp; Refu link"/>
      <sheetName val="Working-sheet"/>
      <sheetName val="VB Combined"/>
      <sheetName val="Work Programm"/>
      <sheetName val="Cut nd Cover Qty"/>
      <sheetName val="MIS (VI)"/>
      <sheetName val="MIS (I) Liab"/>
      <sheetName val="Pir Panjal VA CTC"/>
      <sheetName val="Approach"/>
      <sheetName val="S0-KEYDATES"/>
      <sheetName val="S4CycleTime"/>
      <sheetName val="Pir VA (2)"/>
      <sheetName val="VA Combined (R1 17-02)"/>
      <sheetName val="Qty Cal"/>
      <sheetName val="VA"/>
      <sheetName val="Mining BOQ Amount"/>
      <sheetName val="Linning BOQ AMOUNT "/>
      <sheetName val="trial balance(SAP)"/>
      <sheetName val="MIS MODULE 1"/>
      <sheetName val="MOD-II"/>
      <sheetName val="MIS MODULE III"/>
      <sheetName val="MIS MODULE IV"/>
      <sheetName val="CUML_PROFITABILITY"/>
      <sheetName val="MIS MODULE V"/>
      <sheetName val="MIS MODULE VI"/>
      <sheetName val="MIS MODULE VII"/>
      <sheetName val="MIS MODULE VIII"/>
      <sheetName val="MIS MODULE IX"/>
      <sheetName val="MIS MODULE X"/>
      <sheetName val="MISMODULE11"/>
      <sheetName val="preliminary charging"/>
      <sheetName val="Anal.Profit"/>
      <sheetName val="Group"/>
      <sheetName val="Catalog Summ"/>
      <sheetName val="Equipment - Details"/>
      <sheetName val="As Per Acc"/>
      <sheetName val="COMPARISON"/>
      <sheetName val="Form 7-new"/>
      <sheetName val="LIABILITY"/>
      <sheetName val="INDENT-COLLECTION"/>
      <sheetName val="FUND INDENT"/>
      <sheetName val="Form 5-New"/>
      <sheetName val="Pir Panjal Combined CTC"/>
      <sheetName val="Quantity Calculation - BOQ"/>
      <sheetName val="upto-mar-11"/>
      <sheetName val="MIS MOD-II"/>
      <sheetName val="Assumptions"/>
      <sheetName val="Book1"/>
      <sheetName val="BASIC RATES"/>
      <sheetName val="PPVA"/>
      <sheetName val="PPVB"/>
      <sheetName val="Budget Note"/>
      <sheetName val="S16Elec (KWh)"/>
      <sheetName val="CSR expenses"/>
      <sheetName val="Agg. cal"/>
      <sheetName val="S4timecycle "/>
      <sheetName val="S5escalation "/>
      <sheetName val="S18EQPplan "/>
      <sheetName val="USB CTC"/>
      <sheetName val="Pare CTC"/>
      <sheetName val="Data"/>
      <sheetName val="Pivot"/>
      <sheetName val="All Transfer Records"/>
      <sheetName val="Transfer Recs Covered"/>
      <sheetName val="CTC"/>
      <sheetName val="S25Eqptoutside"/>
      <sheetName val="Refurbishment"/>
      <sheetName val="Sheet1 (4)"/>
      <sheetName val="Sheet1 (3)"/>
      <sheetName val="MARCH"/>
      <sheetName val="Sheet1 (2)"/>
      <sheetName val="Sitewise GR(APR-MAY07)"/>
      <sheetName val="Sitewise GR(June07)"/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570001"/>
      <sheetName val="570021"/>
      <sheetName val="Exch diff 6+3"/>
      <sheetName val="Exch-diff New"/>
      <sheetName val="GRI Background"/>
      <sheetName val="Financial Implications- CC"/>
      <sheetName val="Financial Assistance from Govt."/>
      <sheetName val="Human Rights Screening"/>
      <sheetName val="Incidents of Discrimination"/>
      <sheetName val="Risks to Collective Bargaining"/>
      <sheetName val="Public Policy and Lobbying"/>
      <sheetName val="Duty Drawback Material"/>
      <sheetName val="equipment norms Backup"/>
      <sheetName val="dUTY dRAWBACK pol"/>
      <sheetName val="Birthday (2)"/>
      <sheetName val="Marriage (2)"/>
      <sheetName val="Plant maint"/>
      <sheetName val="Security"/>
      <sheetName val="Alimak"/>
      <sheetName val="S22 PRW"/>
      <sheetName val="Bac-Sum"/>
      <sheetName val="Summary of amend"/>
      <sheetName val="Final"/>
      <sheetName val="S3 Road Works"/>
      <sheetName val="Road Work quantity"/>
      <sheetName val="Emb in NCOD"/>
      <sheetName val="Emb in Bypass"/>
      <sheetName val="Bypass Ground improvement"/>
      <sheetName val="GEOGRID"/>
      <sheetName val="Kerb Casting"/>
      <sheetName val="Chainages"/>
      <sheetName val="Ch. 191+700 Km to 194+510 Km"/>
      <sheetName val="Ch. 195+888 Km to 202+500 Km "/>
      <sheetName val="D.Wall Rate"/>
      <sheetName val="Sheetpile-HCC&amp; RH (Tender) "/>
      <sheetName val="Sheetpile-HCC&amp; RH (Market)"/>
      <sheetName val="Comparative Statement (Tender)"/>
      <sheetName val="Comparative Statement (market)"/>
      <sheetName val="Manpower detail"/>
      <sheetName val="Measurement"/>
      <sheetName val="DWall BOQ (Monthwise)"/>
      <sheetName val="SP BOQ (Market)"/>
      <sheetName val="ESCALATION for DW"/>
      <sheetName val="106CSSHP"/>
      <sheetName val="Canteen Building (107)"/>
      <sheetName val="103 Admin"/>
      <sheetName val="Road"/>
      <sheetName val="Others"/>
      <sheetName val="Training Center"/>
      <sheetName val="bill abstract"/>
      <sheetName val="Admin Reinforcement"/>
      <sheetName val="Training Cent Reinforcement"/>
      <sheetName val="steel New"/>
      <sheetName val="new sheet"/>
      <sheetName val="WAre House"/>
      <sheetName val="Sub Abstract"/>
      <sheetName val="Sheet6"/>
      <sheetName val="Abstract (2)"/>
      <sheetName val="S3workplanqty R"/>
      <sheetName val="S3workplanamt R"/>
      <sheetName val="S3workplanqty E"/>
      <sheetName val="S3workplanamt E"/>
      <sheetName val="Refurbishment Outside"/>
      <sheetName val="S44 Depreciation"/>
      <sheetName val="S45 Refurbishment"/>
      <sheetName val=" BOQ - comparison"/>
      <sheetName val="Edited at H O"/>
      <sheetName val="Tunnel &amp; SS (2)"/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Power &amp; Fuel (S)"/>
      <sheetName val="PC"/>
      <sheetName val="P&amp;L"/>
      <sheetName val="TL"/>
      <sheetName val="BS"/>
      <sheetName val="CF"/>
      <sheetName val="WC"/>
      <sheetName val="Dep"/>
      <sheetName val="Details"/>
      <sheetName val="Instructions"/>
      <sheetName val="FORM-II"/>
      <sheetName val="FORM-III"/>
      <sheetName val="CHECK"/>
      <sheetName val="FORM-IV"/>
      <sheetName val="FORM-VI"/>
      <sheetName val="ABF"/>
      <sheetName val="RATIOS"/>
      <sheetName val="CRA-DATA"/>
      <sheetName val="ABF1"/>
      <sheetName val="00000000"/>
      <sheetName val="C-FIN"/>
      <sheetName val="C-BASIS"/>
      <sheetName val="SI-FIN"/>
      <sheetName val="SI-BASIS"/>
      <sheetName val="IF-FIN"/>
      <sheetName val="IF-BASIS"/>
      <sheetName val="PP-FIN"/>
      <sheetName val="COMBI-FIN"/>
      <sheetName val="FORM-V"/>
      <sheetName val="Format-S"/>
      <sheetName val="BEP-SENS"/>
      <sheetName val="CASH FLOW"/>
      <sheetName val="TL-Repm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G5">
            <v>100000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 refreshError="1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/>
      <sheetData sheetId="540"/>
      <sheetData sheetId="541"/>
      <sheetData sheetId="542" refreshError="1"/>
      <sheetData sheetId="543"/>
      <sheetData sheetId="544" refreshError="1"/>
      <sheetData sheetId="545"/>
      <sheetData sheetId="546"/>
      <sheetData sheetId="547" refreshError="1"/>
      <sheetData sheetId="548"/>
      <sheetData sheetId="549"/>
      <sheetData sheetId="550" refreshError="1"/>
      <sheetData sheetId="551" refreshError="1"/>
      <sheetData sheetId="552"/>
      <sheetData sheetId="553" refreshError="1"/>
      <sheetData sheetId="554"/>
      <sheetData sheetId="555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  <sheetName val="BS, PL, Sch 5 to 9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-A"/>
      <sheetName val="encl.3-C"/>
      <sheetName val="encl.4-C"/>
      <sheetName val="encl 5-C"/>
      <sheetName val="ENCL6-C"/>
      <sheetName val="ENCL7-C"/>
      <sheetName val="Details of wip"/>
      <sheetName val="ENCL8-C"/>
      <sheetName val="ENCL9"/>
      <sheetName val="BRS"/>
      <sheetName val="ENCL10-C"/>
      <sheetName val="ENCL10A-C"/>
      <sheetName val="ENCL11-C"/>
      <sheetName val="ENCL12-C"/>
      <sheetName val="ENCL14"/>
      <sheetName val="ENCL15"/>
      <sheetName val="ENCL16"/>
      <sheetName val="ENCL17-c"/>
      <sheetName val="ENCL18-c"/>
      <sheetName val="ENCL19-c"/>
      <sheetName val="ENCL20-c"/>
      <sheetName val="ENCL21-c"/>
      <sheetName val="encl 22-c"/>
      <sheetName val="encl 22 certi-c"/>
      <sheetName val="encl 23"/>
      <sheetName val="encl24"/>
      <sheetName val="ENCL25"/>
      <sheetName val="ENCL26"/>
      <sheetName val="ENCL27"/>
      <sheetName val="ENCL28"/>
      <sheetName val="ENCL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man resources"/>
      <sheetName val="lOCATION"/>
      <sheetName val="Balance Sheet"/>
      <sheetName val="Financing"/>
      <sheetName val="Capex"/>
      <sheetName val="Cash Flow"/>
      <sheetName val="P&amp;L"/>
      <sheetName val="In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Balance Sheet"/>
      <sheetName val="Profit And Loss"/>
      <sheetName val="Notes to Accounts"/>
      <sheetName val="Notes to P &amp; L"/>
      <sheetName val="Notes  to Accounts"/>
      <sheetName val="Share Capital"/>
      <sheetName val="Reserves &amp; Surplus"/>
      <sheetName val="Long-Term Borrowings"/>
      <sheetName val="Long Term Provisions"/>
      <sheetName val="Short-Term Borrowings "/>
      <sheetName val="Other Current Liabilities"/>
      <sheetName val="Short Term Provisions"/>
      <sheetName val="NCA_Fixed as"/>
      <sheetName val="NCA-Non Current Investments"/>
      <sheetName val="NCA-Lng trm loans &amp; adv "/>
      <sheetName val="NCA-Other nca"/>
      <sheetName val="Current Investments"/>
      <sheetName val="Inventories"/>
      <sheetName val="Trade Receivables"/>
      <sheetName val="Cash and cash equivalents"/>
      <sheetName val="Short term loans and adv"/>
      <sheetName val="Other Curr Assets"/>
      <sheetName val="Cont liabilities and commitment"/>
      <sheetName val="Notes"/>
      <sheetName val="Revenue From operation"/>
      <sheetName val="Other Income"/>
      <sheetName val="Finance Cost"/>
      <sheetName val="P &amp; L Comparison with Old SchVI"/>
      <sheetName val="Other Long Term Liabilities"/>
      <sheetName val="f1"/>
    </sheetNames>
    <sheetDataSet>
      <sheetData sheetId="0">
        <row r="2">
          <cell r="G2">
            <v>41364</v>
          </cell>
        </row>
      </sheetData>
      <sheetData sheetId="1"/>
      <sheetData sheetId="2"/>
      <sheetData sheetId="3"/>
      <sheetData sheetId="4">
        <row r="73">
          <cell r="D73">
            <v>4983210</v>
          </cell>
        </row>
      </sheetData>
      <sheetData sheetId="5" refreshError="1"/>
      <sheetData sheetId="6" refreshError="1"/>
      <sheetData sheetId="7" refreshError="1"/>
      <sheetData sheetId="8">
        <row r="2">
          <cell r="K2" t="str">
            <v>Yes</v>
          </cell>
        </row>
        <row r="3">
          <cell r="K3" t="str">
            <v>No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Options"/>
      <sheetName val="Technical Model"/>
      <sheetName val="Cost Model"/>
      <sheetName val="Financial Model"/>
      <sheetName val="Depreciation"/>
      <sheetName val="Tax"/>
      <sheetName val="Valuation"/>
      <sheetName val="DIS Tech"/>
      <sheetName val="DIS Cost"/>
      <sheetName val="DIS Macro"/>
      <sheetName val="AM Input"/>
      <sheetName val="Macro Input"/>
    </sheetNames>
    <sheetDataSet>
      <sheetData sheetId="0" refreshError="1"/>
      <sheetData sheetId="1" refreshError="1">
        <row r="59">
          <cell r="C59" t="str">
            <v>Category 1</v>
          </cell>
        </row>
        <row r="60">
          <cell r="C60" t="str">
            <v>Category 2</v>
          </cell>
        </row>
        <row r="61">
          <cell r="C61" t="str">
            <v>Category 3</v>
          </cell>
        </row>
        <row r="62">
          <cell r="C62" t="str">
            <v>Category 4</v>
          </cell>
        </row>
        <row r="63">
          <cell r="C63" t="str">
            <v>Category 5</v>
          </cell>
        </row>
        <row r="64">
          <cell r="C64" t="str">
            <v>Category 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 A REVOIR"/>
      <sheetName val="Plan d'action "/>
      <sheetName val="Notions Excel"/>
      <sheetName val="Feuil1"/>
      <sheetName val="Feuil1 bis"/>
      <sheetName val=" Parameters"/>
      <sheetName val="不打印"/>
      <sheetName val="Main banks"/>
      <sheetName val="U13002"/>
      <sheetName val="Long-Term Borrowings"/>
    </sheetNames>
    <sheetDataSet>
      <sheetData sheetId="0"/>
      <sheetData sheetId="1"/>
      <sheetData sheetId="2"/>
      <sheetData sheetId="3">
        <row r="4">
          <cell r="A4" t="str">
            <v>Piloter</v>
          </cell>
          <cell r="F4" t="str">
            <v>Révision An. Envt</v>
          </cell>
        </row>
        <row r="5">
          <cell r="F5" t="str">
            <v>Révision An. Sécu</v>
          </cell>
        </row>
        <row r="6">
          <cell r="F6" t="str">
            <v>Non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99"/>
      <sheetName val="MAR00"/>
      <sheetName val="B (3)"/>
      <sheetName val="MRRV"/>
      <sheetName val="JUN00"/>
      <sheetName val="JNQTR"/>
      <sheetName val="A"/>
      <sheetName val="P&amp;L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Depreciation"/>
      <sheetName val="I.Tax"/>
      <sheetName val="Highlights"/>
      <sheetName val="Profitability"/>
      <sheetName val="Balancesheet"/>
      <sheetName val="Funds Flow"/>
      <sheetName val="Sheet1"/>
      <sheetName val="DSCR"/>
      <sheetName val="assumsion"/>
      <sheetName val="s form"/>
      <sheetName val="Instructions"/>
      <sheetName val="FORM-II"/>
      <sheetName val="FORM-III"/>
      <sheetName val="FORM-IV"/>
      <sheetName val="FORM-VI"/>
      <sheetName val="ABF"/>
      <sheetName val="CHECK"/>
      <sheetName val="RATIOS"/>
      <sheetName val="CRA-DATA"/>
      <sheetName val="ANALYSIS"/>
    </sheetNames>
    <sheetDataSet>
      <sheetData sheetId="0" refreshError="1">
        <row r="3">
          <cell r="B3" t="str">
            <v xml:space="preserve">    PROJECTED WORKING CAPITAL REQUIREMENT</v>
          </cell>
        </row>
        <row r="4">
          <cell r="D4" t="str">
            <v>(Rupees in Lakhs)</v>
          </cell>
        </row>
        <row r="5">
          <cell r="C5" t="str">
            <v>Days</v>
          </cell>
          <cell r="E5">
            <v>38807</v>
          </cell>
          <cell r="F5">
            <v>39172</v>
          </cell>
          <cell r="G5">
            <v>39538</v>
          </cell>
        </row>
        <row r="6">
          <cell r="C6" t="str">
            <v>Holding</v>
          </cell>
          <cell r="E6" t="str">
            <v>W.cap</v>
          </cell>
          <cell r="F6" t="str">
            <v>W.cap</v>
          </cell>
          <cell r="G6" t="str">
            <v>W.cap</v>
          </cell>
        </row>
        <row r="8">
          <cell r="B8" t="str">
            <v>CURRENT ASSETS</v>
          </cell>
        </row>
        <row r="10">
          <cell r="B10" t="str">
            <v>Raw Materials</v>
          </cell>
          <cell r="C10">
            <v>45</v>
          </cell>
          <cell r="E10">
            <v>49.705649999999984</v>
          </cell>
          <cell r="F10">
            <v>62.423999999999992</v>
          </cell>
          <cell r="G10">
            <v>81.756</v>
          </cell>
        </row>
        <row r="11">
          <cell r="B11" t="str">
            <v>Advance to Suppliers</v>
          </cell>
          <cell r="C11" t="str">
            <v>Lump sum</v>
          </cell>
          <cell r="E11">
            <v>15</v>
          </cell>
          <cell r="F11">
            <v>15</v>
          </cell>
          <cell r="G11">
            <v>15</v>
          </cell>
        </row>
        <row r="12">
          <cell r="B12" t="str">
            <v>Semi-finished Goods</v>
          </cell>
          <cell r="C12">
            <v>35</v>
          </cell>
          <cell r="E12">
            <v>50.84095476249999</v>
          </cell>
          <cell r="F12">
            <v>65.230279087517147</v>
          </cell>
          <cell r="G12">
            <v>78.261223719067218</v>
          </cell>
        </row>
        <row r="13">
          <cell r="B13" t="str">
            <v>Finished goods (at Cost)</v>
          </cell>
          <cell r="C13">
            <v>30</v>
          </cell>
          <cell r="E13">
            <v>64.084500000000006</v>
          </cell>
          <cell r="F13">
            <v>78.42</v>
          </cell>
          <cell r="G13">
            <v>98.88</v>
          </cell>
        </row>
        <row r="14">
          <cell r="B14" t="str">
            <v>Sundry Debtors(at Cost)</v>
          </cell>
          <cell r="C14">
            <v>40</v>
          </cell>
          <cell r="E14">
            <v>85.446000000000012</v>
          </cell>
          <cell r="F14">
            <v>104.56</v>
          </cell>
          <cell r="G14">
            <v>131.84</v>
          </cell>
        </row>
        <row r="19">
          <cell r="B19" t="str">
            <v>Total Current Assets (A)</v>
          </cell>
          <cell r="E19">
            <v>265.07710476250003</v>
          </cell>
          <cell r="F19">
            <v>325.63427908751714</v>
          </cell>
          <cell r="G19">
            <v>405.73722371906717</v>
          </cell>
        </row>
        <row r="21">
          <cell r="B21" t="str">
            <v>CURRENT LIABILITIES</v>
          </cell>
        </row>
        <row r="23">
          <cell r="B23" t="str">
            <v>Sundry Creditors</v>
          </cell>
          <cell r="C23">
            <v>30</v>
          </cell>
          <cell r="E23">
            <v>38.240099999999998</v>
          </cell>
          <cell r="F23">
            <v>47.495999999999995</v>
          </cell>
          <cell r="G23">
            <v>61.224000000000004</v>
          </cell>
        </row>
        <row r="26">
          <cell r="B26" t="str">
            <v>Total Current Liabilities(B)</v>
          </cell>
          <cell r="E26">
            <v>38.240099999999998</v>
          </cell>
          <cell r="F26">
            <v>47.495999999999995</v>
          </cell>
          <cell r="G26">
            <v>61.224000000000004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Contingent by CC"/>
      <sheetName val="cclist"/>
      <sheetName val="Location"/>
      <sheetName val="Orglist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Location</v>
          </cell>
          <cell r="B1" t="str">
            <v>Description</v>
          </cell>
        </row>
        <row r="2">
          <cell r="A2" t="str">
            <v>001</v>
          </cell>
          <cell r="B2" t="str">
            <v>San Francisco - 600T</v>
          </cell>
        </row>
        <row r="3">
          <cell r="A3" t="str">
            <v>002</v>
          </cell>
          <cell r="B3" t="str">
            <v>San Francisco - 606T</v>
          </cell>
        </row>
        <row r="4">
          <cell r="A4" t="str">
            <v>003</v>
          </cell>
          <cell r="B4" t="str">
            <v>San Francisco - 611M</v>
          </cell>
        </row>
        <row r="5">
          <cell r="A5" t="str">
            <v>004</v>
          </cell>
          <cell r="B5" t="str">
            <v>San Francisco - 818M</v>
          </cell>
        </row>
        <row r="6">
          <cell r="A6" t="str">
            <v>005</v>
          </cell>
          <cell r="B6" t="str">
            <v>Richardson, TX</v>
          </cell>
        </row>
        <row r="7">
          <cell r="A7" t="str">
            <v>006</v>
          </cell>
          <cell r="B7" t="str">
            <v>Redwood City - 101RWS</v>
          </cell>
        </row>
        <row r="8">
          <cell r="A8" t="str">
            <v>007</v>
          </cell>
          <cell r="B8" t="str">
            <v>Redwood City - 130RWS</v>
          </cell>
        </row>
        <row r="9">
          <cell r="A9" t="str">
            <v>008</v>
          </cell>
          <cell r="B9" t="str">
            <v>St Paul, Minnesota</v>
          </cell>
        </row>
        <row r="10">
          <cell r="A10" t="str">
            <v>009</v>
          </cell>
          <cell r="B10" t="str">
            <v>Atlanta, Georgia</v>
          </cell>
        </row>
        <row r="11">
          <cell r="A11" t="str">
            <v>010</v>
          </cell>
          <cell r="B11" t="str">
            <v>Chicago, Illinois</v>
          </cell>
        </row>
        <row r="12">
          <cell r="A12" t="str">
            <v>011</v>
          </cell>
          <cell r="B12" t="str">
            <v>Los Angeles, California</v>
          </cell>
        </row>
        <row r="13">
          <cell r="A13" t="str">
            <v>012</v>
          </cell>
          <cell r="B13" t="str">
            <v>Arizona</v>
          </cell>
        </row>
        <row r="14">
          <cell r="A14" t="str">
            <v>013</v>
          </cell>
          <cell r="B14" t="str">
            <v>Arkansas</v>
          </cell>
        </row>
        <row r="15">
          <cell r="A15" t="str">
            <v>014</v>
          </cell>
          <cell r="B15" t="str">
            <v>California</v>
          </cell>
        </row>
        <row r="16">
          <cell r="A16" t="str">
            <v>015</v>
          </cell>
          <cell r="B16" t="str">
            <v>Colorado</v>
          </cell>
        </row>
        <row r="17">
          <cell r="A17" t="str">
            <v>016</v>
          </cell>
          <cell r="B17" t="str">
            <v>Connecticut</v>
          </cell>
        </row>
        <row r="18">
          <cell r="A18" t="str">
            <v>017</v>
          </cell>
          <cell r="B18" t="str">
            <v>Illinois</v>
          </cell>
        </row>
        <row r="19">
          <cell r="A19" t="str">
            <v>018</v>
          </cell>
          <cell r="B19" t="str">
            <v>Iowa</v>
          </cell>
        </row>
        <row r="20">
          <cell r="A20" t="str">
            <v>019</v>
          </cell>
          <cell r="B20" t="str">
            <v>Maryland</v>
          </cell>
        </row>
        <row r="21">
          <cell r="A21" t="str">
            <v>020</v>
          </cell>
          <cell r="B21" t="str">
            <v>Massachusetts</v>
          </cell>
        </row>
        <row r="22">
          <cell r="A22" t="str">
            <v>021</v>
          </cell>
          <cell r="B22" t="str">
            <v>New Hampshire</v>
          </cell>
        </row>
        <row r="23">
          <cell r="A23" t="str">
            <v>022</v>
          </cell>
          <cell r="B23" t="str">
            <v>New Jersey</v>
          </cell>
        </row>
        <row r="24">
          <cell r="A24" t="str">
            <v>023</v>
          </cell>
          <cell r="B24" t="str">
            <v>New York</v>
          </cell>
        </row>
        <row r="25">
          <cell r="A25" t="str">
            <v>024</v>
          </cell>
          <cell r="B25" t="str">
            <v>Texas</v>
          </cell>
        </row>
        <row r="26">
          <cell r="A26" t="str">
            <v>025</v>
          </cell>
          <cell r="B26" t="str">
            <v>Utah</v>
          </cell>
        </row>
        <row r="27">
          <cell r="A27" t="str">
            <v>026</v>
          </cell>
          <cell r="B27" t="str">
            <v>Virginia</v>
          </cell>
        </row>
        <row r="28">
          <cell r="A28" t="str">
            <v>027</v>
          </cell>
          <cell r="B28" t="str">
            <v>Washington</v>
          </cell>
        </row>
        <row r="29">
          <cell r="A29" t="str">
            <v>028</v>
          </cell>
          <cell r="B29" t="str">
            <v>San Francisco-99 Rhode Island</v>
          </cell>
        </row>
        <row r="30">
          <cell r="A30" t="str">
            <v>029</v>
          </cell>
          <cell r="B30" t="str">
            <v>San Ramon</v>
          </cell>
        </row>
        <row r="31">
          <cell r="A31" t="str">
            <v>300</v>
          </cell>
          <cell r="B31" t="str">
            <v>Bracknell, UK</v>
          </cell>
        </row>
        <row r="32">
          <cell r="A32" t="str">
            <v>301</v>
          </cell>
          <cell r="B32" t="str">
            <v>Australia</v>
          </cell>
        </row>
        <row r="33">
          <cell r="A33" t="str">
            <v>302</v>
          </cell>
          <cell r="B33" t="str">
            <v>Brazil</v>
          </cell>
        </row>
        <row r="34">
          <cell r="A34" t="str">
            <v>303</v>
          </cell>
          <cell r="B34" t="str">
            <v>British Columbia, Canada</v>
          </cell>
        </row>
        <row r="35">
          <cell r="A35" t="str">
            <v>304</v>
          </cell>
          <cell r="B35" t="str">
            <v>China</v>
          </cell>
        </row>
        <row r="36">
          <cell r="A36" t="str">
            <v>305</v>
          </cell>
          <cell r="B36" t="str">
            <v>France</v>
          </cell>
        </row>
        <row r="37">
          <cell r="A37" t="str">
            <v>306</v>
          </cell>
          <cell r="B37" t="str">
            <v>Germany</v>
          </cell>
        </row>
        <row r="38">
          <cell r="A38" t="str">
            <v>307</v>
          </cell>
          <cell r="B38" t="str">
            <v>Holland</v>
          </cell>
        </row>
        <row r="39">
          <cell r="A39" t="str">
            <v>308</v>
          </cell>
          <cell r="B39" t="str">
            <v>Hong Kong</v>
          </cell>
        </row>
        <row r="40">
          <cell r="A40" t="str">
            <v>309</v>
          </cell>
          <cell r="B40" t="str">
            <v>Japan</v>
          </cell>
        </row>
        <row r="41">
          <cell r="A41" t="str">
            <v>310</v>
          </cell>
          <cell r="B41" t="str">
            <v>Korea</v>
          </cell>
        </row>
        <row r="42">
          <cell r="A42" t="str">
            <v>311</v>
          </cell>
          <cell r="B42" t="str">
            <v>London, UK</v>
          </cell>
        </row>
        <row r="43">
          <cell r="A43" t="str">
            <v>312</v>
          </cell>
          <cell r="B43" t="str">
            <v>Ontario, Canada</v>
          </cell>
        </row>
        <row r="44">
          <cell r="A44" t="str">
            <v>313</v>
          </cell>
          <cell r="B44" t="str">
            <v>Quebec, Canada</v>
          </cell>
        </row>
        <row r="45">
          <cell r="A45" t="str">
            <v>314</v>
          </cell>
          <cell r="B45" t="str">
            <v>Singapore</v>
          </cell>
        </row>
        <row r="46">
          <cell r="A46" t="str">
            <v>315</v>
          </cell>
          <cell r="B46" t="str">
            <v>Sweden</v>
          </cell>
        </row>
        <row r="47">
          <cell r="A47" t="str">
            <v>316</v>
          </cell>
          <cell r="B47" t="str">
            <v>Switzerland</v>
          </cell>
        </row>
        <row r="48">
          <cell r="A48" t="str">
            <v>317</v>
          </cell>
          <cell r="B48" t="str">
            <v>Italy</v>
          </cell>
        </row>
        <row r="49">
          <cell r="A49" t="str">
            <v>999</v>
          </cell>
          <cell r="B49" t="str">
            <v>Default</v>
          </cell>
        </row>
      </sheetData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10"/>
      <sheetName val="Terms QTD 5_10"/>
      <sheetName val="Week Hires"/>
      <sheetName val="Week Terms"/>
      <sheetName val="Detail"/>
      <sheetName val="Open Reqs 05-13-02"/>
      <sheetName val="Offers Accepted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CC#</v>
          </cell>
          <cell r="B1" t="str">
            <v>Cost Center</v>
          </cell>
          <cell r="C1" t="str">
            <v>Old CCType</v>
          </cell>
          <cell r="D1" t="str">
            <v>Old Business Unit</v>
          </cell>
          <cell r="E1" t="str">
            <v>Tag</v>
          </cell>
          <cell r="F1" t="str">
            <v>New VP Rollup</v>
          </cell>
          <cell r="G1" t="str">
            <v>New BU</v>
          </cell>
          <cell r="H1" t="str">
            <v>Sub BU</v>
          </cell>
          <cell r="I1" t="str">
            <v>New CC Type</v>
          </cell>
        </row>
        <row r="2">
          <cell r="A2">
            <v>120</v>
          </cell>
          <cell r="B2" t="str">
            <v>Tech Support - COGS</v>
          </cell>
          <cell r="C2" t="str">
            <v>0COGS / Technical Support</v>
          </cell>
          <cell r="D2" t="str">
            <v>Cost of Goods Sold</v>
          </cell>
          <cell r="E2" t="str">
            <v>SF</v>
          </cell>
          <cell r="F2" t="str">
            <v>N/A</v>
          </cell>
          <cell r="G2" t="str">
            <v>Cost of Goods Sold</v>
          </cell>
          <cell r="H2" t="str">
            <v>Technical Support</v>
          </cell>
          <cell r="I2" t="str">
            <v>S &amp; FO Other</v>
          </cell>
        </row>
        <row r="3">
          <cell r="A3">
            <v>150</v>
          </cell>
          <cell r="B3" t="str">
            <v>Inactive - Professional Services</v>
          </cell>
          <cell r="C3" t="str">
            <v>0COGS / Consulting</v>
          </cell>
          <cell r="D3" t="str">
            <v>Cost of Goods Sold</v>
          </cell>
          <cell r="E3" t="str">
            <v>SF</v>
          </cell>
          <cell r="F3" t="str">
            <v>N/A</v>
          </cell>
        </row>
        <row r="4">
          <cell r="A4">
            <v>151</v>
          </cell>
          <cell r="B4" t="str">
            <v>Professional Services - DWAAP</v>
          </cell>
          <cell r="C4" t="str">
            <v>0COGS / Consulting</v>
          </cell>
          <cell r="D4" t="str">
            <v>Cost of Goods Sold</v>
          </cell>
          <cell r="E4" t="str">
            <v>SF</v>
          </cell>
          <cell r="F4" t="str">
            <v>N/A</v>
          </cell>
          <cell r="G4" t="str">
            <v>Cost of Goods Sold</v>
          </cell>
          <cell r="H4" t="str">
            <v>Consulting</v>
          </cell>
          <cell r="I4" t="str">
            <v>S &amp; FO Other</v>
          </cell>
        </row>
        <row r="5">
          <cell r="A5">
            <v>152</v>
          </cell>
          <cell r="B5" t="str">
            <v>COGS Product</v>
          </cell>
          <cell r="C5" t="str">
            <v>0COGS / Product</v>
          </cell>
          <cell r="D5" t="str">
            <v>Cost of Goods Sold</v>
          </cell>
          <cell r="E5" t="str">
            <v>SF</v>
          </cell>
          <cell r="F5" t="str">
            <v>N/A</v>
          </cell>
          <cell r="G5" t="str">
            <v>Cost of Goods Sold</v>
          </cell>
          <cell r="H5" t="str">
            <v>Product</v>
          </cell>
        </row>
        <row r="6">
          <cell r="A6">
            <v>153</v>
          </cell>
          <cell r="B6" t="str">
            <v>Curriculum Development</v>
          </cell>
          <cell r="C6" t="str">
            <v>0COGS / Training</v>
          </cell>
          <cell r="D6" t="str">
            <v>Cost of Goods Sold</v>
          </cell>
          <cell r="E6" t="str">
            <v>SF</v>
          </cell>
          <cell r="F6" t="str">
            <v>N/A</v>
          </cell>
          <cell r="G6" t="str">
            <v>Cost of Goods Sold</v>
          </cell>
          <cell r="H6" t="str">
            <v>Training</v>
          </cell>
          <cell r="I6" t="str">
            <v>S &amp; FO Other</v>
          </cell>
        </row>
        <row r="7">
          <cell r="A7">
            <v>160</v>
          </cell>
          <cell r="B7" t="str">
            <v>Macromedia University</v>
          </cell>
          <cell r="C7" t="str">
            <v>0COGS / Training</v>
          </cell>
          <cell r="D7" t="str">
            <v>Cost of Goods Sold</v>
          </cell>
          <cell r="E7" t="str">
            <v>SF</v>
          </cell>
          <cell r="F7" t="str">
            <v>N/A</v>
          </cell>
          <cell r="G7" t="str">
            <v>Cost of Goods Sold</v>
          </cell>
        </row>
        <row r="8">
          <cell r="A8">
            <v>161</v>
          </cell>
          <cell r="B8" t="str">
            <v>Training - Operations</v>
          </cell>
          <cell r="C8" t="str">
            <v>0COGS / Training</v>
          </cell>
          <cell r="D8" t="str">
            <v>Cost of Goods Sold</v>
          </cell>
          <cell r="E8" t="str">
            <v>SF</v>
          </cell>
          <cell r="F8" t="str">
            <v>Stephen Elop</v>
          </cell>
          <cell r="G8" t="str">
            <v>Cost of Goods Sold</v>
          </cell>
          <cell r="H8" t="str">
            <v>Training</v>
          </cell>
          <cell r="I8" t="str">
            <v>Edu Svcs</v>
          </cell>
        </row>
        <row r="9">
          <cell r="A9">
            <v>162</v>
          </cell>
          <cell r="B9" t="str">
            <v>Curriculum Dev &amp; Dev Cert</v>
          </cell>
          <cell r="C9" t="str">
            <v>0COGS / Training</v>
          </cell>
          <cell r="D9" t="str">
            <v>Cost of Goods Sold</v>
          </cell>
          <cell r="E9" t="str">
            <v>SF</v>
          </cell>
          <cell r="F9" t="str">
            <v>Stephen Elop</v>
          </cell>
          <cell r="G9" t="str">
            <v>Cost of Goods Sold</v>
          </cell>
          <cell r="H9" t="str">
            <v>Training</v>
          </cell>
          <cell r="I9" t="str">
            <v>Edu Svcs</v>
          </cell>
        </row>
        <row r="10">
          <cell r="A10">
            <v>165</v>
          </cell>
          <cell r="B10" t="str">
            <v>Instructor Readiness</v>
          </cell>
          <cell r="C10" t="str">
            <v>0COGS / Training</v>
          </cell>
          <cell r="D10" t="str">
            <v>Cost of Goods Sold</v>
          </cell>
          <cell r="E10" t="str">
            <v>SF</v>
          </cell>
          <cell r="F10" t="str">
            <v>Stephen Elop</v>
          </cell>
          <cell r="G10" t="str">
            <v>Cost of Goods Sold</v>
          </cell>
          <cell r="H10" t="str">
            <v>Training</v>
          </cell>
          <cell r="I10" t="str">
            <v>Edu Svcs</v>
          </cell>
        </row>
        <row r="11">
          <cell r="A11">
            <v>170</v>
          </cell>
          <cell r="B11" t="str">
            <v>Premier Support - Newton</v>
          </cell>
          <cell r="C11" t="str">
            <v>0COGS / Technical Support</v>
          </cell>
          <cell r="D11" t="str">
            <v>Cost of Goods Sold</v>
          </cell>
          <cell r="E11" t="str">
            <v>SF</v>
          </cell>
          <cell r="F11" t="str">
            <v>Stephen Elop</v>
          </cell>
          <cell r="G11" t="str">
            <v>Cost of Goods Sold</v>
          </cell>
          <cell r="H11" t="str">
            <v>Technical Support</v>
          </cell>
          <cell r="I11" t="str">
            <v>Ops - Tech/CS</v>
          </cell>
        </row>
        <row r="12">
          <cell r="A12">
            <v>200</v>
          </cell>
          <cell r="B12" t="str">
            <v>Customer Service</v>
          </cell>
          <cell r="C12" t="str">
            <v>2Sales / Field Ops</v>
          </cell>
          <cell r="D12" t="str">
            <v>Sales &amp; Field Operations</v>
          </cell>
          <cell r="E12" t="str">
            <v>SF</v>
          </cell>
          <cell r="F12" t="str">
            <v>Stephen Elop</v>
          </cell>
          <cell r="G12" t="str">
            <v>Corporate</v>
          </cell>
          <cell r="H12" t="str">
            <v>Sales &amp; Field Ops</v>
          </cell>
          <cell r="I12" t="str">
            <v>Ops - Tech/CS</v>
          </cell>
        </row>
        <row r="13">
          <cell r="A13">
            <v>202</v>
          </cell>
          <cell r="B13" t="str">
            <v>WW Sales - Ops</v>
          </cell>
          <cell r="C13" t="str">
            <v>2Sales / Field Ops</v>
          </cell>
          <cell r="D13" t="str">
            <v>Sales &amp; Field Operations</v>
          </cell>
          <cell r="E13" t="str">
            <v>SF</v>
          </cell>
          <cell r="F13" t="str">
            <v>Stephen Elop</v>
          </cell>
          <cell r="G13" t="str">
            <v>Corporate</v>
          </cell>
          <cell r="H13" t="str">
            <v>Sales &amp; Field Ops</v>
          </cell>
          <cell r="I13" t="str">
            <v>Sales Ops</v>
          </cell>
        </row>
        <row r="14">
          <cell r="A14">
            <v>203</v>
          </cell>
          <cell r="B14" t="str">
            <v>Worldwide Sales &amp; Field Ops HQ</v>
          </cell>
          <cell r="C14" t="str">
            <v>2Sales / Field Ops</v>
          </cell>
          <cell r="D14" t="str">
            <v>Sales &amp; Field Operations</v>
          </cell>
          <cell r="E14" t="str">
            <v>SF</v>
          </cell>
          <cell r="F14" t="str">
            <v>Stephen Elop</v>
          </cell>
          <cell r="G14" t="str">
            <v>Corporate</v>
          </cell>
          <cell r="H14" t="str">
            <v>Sales &amp; Field Ops</v>
          </cell>
          <cell r="I14" t="str">
            <v>Sales Ops</v>
          </cell>
        </row>
        <row r="15">
          <cell r="A15">
            <v>204</v>
          </cell>
          <cell r="B15" t="str">
            <v>Customer Service - TX</v>
          </cell>
          <cell r="C15" t="str">
            <v>2Sales / Field Ops</v>
          </cell>
          <cell r="D15" t="str">
            <v>Sales &amp; Field Operations</v>
          </cell>
          <cell r="E15" t="str">
            <v>Texas</v>
          </cell>
          <cell r="F15" t="str">
            <v>Stephen Elop</v>
          </cell>
          <cell r="G15" t="str">
            <v>Corporate</v>
          </cell>
          <cell r="H15" t="str">
            <v>Sales &amp; Field Ops</v>
          </cell>
          <cell r="I15" t="str">
            <v>Ops - Tech/CS</v>
          </cell>
        </row>
        <row r="16">
          <cell r="A16">
            <v>212</v>
          </cell>
          <cell r="B16" t="str">
            <v>ESD Online Sales</v>
          </cell>
          <cell r="C16" t="str">
            <v>2Sales / Field Ops</v>
          </cell>
          <cell r="D16" t="str">
            <v>Sales &amp; Field Operations</v>
          </cell>
          <cell r="E16" t="str">
            <v>SF</v>
          </cell>
          <cell r="F16" t="str">
            <v>Stephen Elop</v>
          </cell>
          <cell r="G16" t="str">
            <v>Corporate</v>
          </cell>
          <cell r="H16" t="str">
            <v>Sales &amp; Field Ops</v>
          </cell>
          <cell r="I16" t="str">
            <v>Sales - NA</v>
          </cell>
        </row>
        <row r="17">
          <cell r="A17">
            <v>213</v>
          </cell>
          <cell r="B17" t="str">
            <v>Strategic Sales - NBR</v>
          </cell>
          <cell r="C17" t="str">
            <v>2Sales / Field Ops</v>
          </cell>
          <cell r="D17" t="str">
            <v>Sales &amp; Field Operations</v>
          </cell>
          <cell r="E17" t="str">
            <v>SF</v>
          </cell>
          <cell r="F17" t="str">
            <v>Stephen Elop</v>
          </cell>
          <cell r="G17" t="str">
            <v>Corporate</v>
          </cell>
          <cell r="H17" t="str">
            <v>Sales &amp; Field Ops</v>
          </cell>
          <cell r="I17" t="str">
            <v>Sales - NA</v>
          </cell>
        </row>
        <row r="18">
          <cell r="A18">
            <v>214</v>
          </cell>
          <cell r="B18" t="str">
            <v>Dir Sls/OB Telesales - TX - Inactive</v>
          </cell>
          <cell r="C18" t="str">
            <v>2Sales / Sales</v>
          </cell>
          <cell r="D18" t="str">
            <v>Sales &amp; Field Operations</v>
          </cell>
          <cell r="E18" t="str">
            <v>Texas</v>
          </cell>
          <cell r="F18" t="str">
            <v>Stephen Elop</v>
          </cell>
          <cell r="G18" t="str">
            <v>Corporate</v>
          </cell>
          <cell r="H18" t="str">
            <v>Sales &amp; Field Ops</v>
          </cell>
          <cell r="I18" t="str">
            <v>Sales - NA</v>
          </cell>
        </row>
        <row r="19">
          <cell r="A19">
            <v>215</v>
          </cell>
          <cell r="B19" t="str">
            <v>Outsource</v>
          </cell>
          <cell r="C19" t="str">
            <v>2Sales / Sales</v>
          </cell>
          <cell r="D19" t="str">
            <v>Sales &amp; Field Operations</v>
          </cell>
          <cell r="E19" t="str">
            <v>SF</v>
          </cell>
          <cell r="F19" t="str">
            <v>Stephen Elop</v>
          </cell>
          <cell r="G19" t="str">
            <v>Corporate</v>
          </cell>
          <cell r="H19" t="str">
            <v>Sales &amp; Field Ops</v>
          </cell>
          <cell r="I19" t="str">
            <v>Sales - NA</v>
          </cell>
        </row>
        <row r="20">
          <cell r="A20">
            <v>218</v>
          </cell>
          <cell r="B20" t="str">
            <v>Technical Support</v>
          </cell>
          <cell r="C20" t="str">
            <v>2Sales / Technical Support</v>
          </cell>
          <cell r="D20" t="str">
            <v>Sales &amp; Field Operations</v>
          </cell>
          <cell r="E20" t="str">
            <v>SF</v>
          </cell>
          <cell r="F20" t="str">
            <v>Stephen Elop</v>
          </cell>
          <cell r="G20" t="str">
            <v>Corporate</v>
          </cell>
          <cell r="H20" t="str">
            <v>Sales &amp; Field Ops</v>
          </cell>
          <cell r="I20" t="str">
            <v>Sales - Europe</v>
          </cell>
        </row>
        <row r="21">
          <cell r="A21">
            <v>220</v>
          </cell>
          <cell r="B21" t="str">
            <v>National SE/Specialists</v>
          </cell>
          <cell r="C21" t="str">
            <v>2Sales / Sales</v>
          </cell>
          <cell r="D21" t="str">
            <v>Sales &amp; Field Operations</v>
          </cell>
          <cell r="E21" t="str">
            <v>SF</v>
          </cell>
          <cell r="F21" t="str">
            <v>Stephen Elop</v>
          </cell>
          <cell r="G21" t="str">
            <v>Corporate</v>
          </cell>
          <cell r="H21" t="str">
            <v>Sales &amp; Field Ops</v>
          </cell>
          <cell r="I21" t="str">
            <v>Sales - NA</v>
          </cell>
        </row>
        <row r="22">
          <cell r="A22">
            <v>221</v>
          </cell>
          <cell r="B22" t="str">
            <v>Regional SE - West</v>
          </cell>
          <cell r="C22" t="str">
            <v>2Sales / Sales</v>
          </cell>
          <cell r="D22" t="str">
            <v>Sales &amp; Field Operations</v>
          </cell>
          <cell r="E22" t="str">
            <v>SF</v>
          </cell>
          <cell r="F22" t="str">
            <v>Stephen Elop</v>
          </cell>
          <cell r="G22" t="str">
            <v>Corporate</v>
          </cell>
          <cell r="H22" t="str">
            <v>Sales &amp; Field Ops</v>
          </cell>
          <cell r="I22" t="str">
            <v>Sales - NA</v>
          </cell>
        </row>
        <row r="23">
          <cell r="A23">
            <v>222</v>
          </cell>
          <cell r="B23" t="str">
            <v>Regional SE - East</v>
          </cell>
          <cell r="C23" t="str">
            <v>2Sales / Sales</v>
          </cell>
          <cell r="D23" t="str">
            <v>Sales &amp; Field Operations</v>
          </cell>
          <cell r="E23" t="str">
            <v>SF</v>
          </cell>
          <cell r="F23" t="str">
            <v>Stephen Elop</v>
          </cell>
          <cell r="G23" t="str">
            <v>Corporate</v>
          </cell>
          <cell r="H23" t="str">
            <v>Sales &amp; Field Ops</v>
          </cell>
          <cell r="I23" t="str">
            <v>Sales - NA</v>
          </cell>
        </row>
        <row r="24">
          <cell r="A24">
            <v>223</v>
          </cell>
          <cell r="B24" t="str">
            <v>NA Sales Management</v>
          </cell>
          <cell r="C24" t="str">
            <v>2Sales / Sales</v>
          </cell>
          <cell r="D24" t="str">
            <v>Sales &amp; Field Operations</v>
          </cell>
          <cell r="E24" t="str">
            <v>SF</v>
          </cell>
          <cell r="F24" t="str">
            <v>Stephen Elop</v>
          </cell>
          <cell r="G24" t="str">
            <v>Corporate</v>
          </cell>
          <cell r="H24" t="str">
            <v>Sales &amp; Field Ops</v>
          </cell>
          <cell r="I24" t="str">
            <v>Sales - NA</v>
          </cell>
        </row>
        <row r="25">
          <cell r="A25">
            <v>224</v>
          </cell>
          <cell r="B25" t="str">
            <v>Flash Bus Dev</v>
          </cell>
          <cell r="C25" t="str">
            <v>2Sales / Business Development</v>
          </cell>
          <cell r="D25" t="str">
            <v>Sales &amp; Field Operations</v>
          </cell>
          <cell r="E25" t="str">
            <v>SF</v>
          </cell>
          <cell r="F25" t="str">
            <v>Stephen Elop</v>
          </cell>
          <cell r="G25" t="str">
            <v>Corporate</v>
          </cell>
          <cell r="H25" t="str">
            <v>Sales &amp; Field Ops</v>
          </cell>
          <cell r="I25" t="str">
            <v>Biz Dev</v>
          </cell>
        </row>
        <row r="26">
          <cell r="A26">
            <v>225</v>
          </cell>
          <cell r="B26" t="str">
            <v>WW Sales HQ</v>
          </cell>
          <cell r="C26" t="str">
            <v>2Sales / Field Ops</v>
          </cell>
          <cell r="D26" t="str">
            <v>Sales &amp; Field Operations</v>
          </cell>
          <cell r="E26" t="str">
            <v>SF</v>
          </cell>
          <cell r="F26" t="str">
            <v>Stephen Elop</v>
          </cell>
          <cell r="G26" t="str">
            <v>Corporate</v>
          </cell>
          <cell r="H26" t="str">
            <v>Sales &amp; Field Ops</v>
          </cell>
          <cell r="I26" t="str">
            <v>Sales Ops</v>
          </cell>
        </row>
        <row r="27">
          <cell r="A27">
            <v>226</v>
          </cell>
          <cell r="B27" t="str">
            <v>eBS Business Development</v>
          </cell>
          <cell r="C27" t="str">
            <v>2Sales / Sales</v>
          </cell>
          <cell r="D27" t="str">
            <v>Sales &amp; Field Operations</v>
          </cell>
          <cell r="E27" t="str">
            <v>SF</v>
          </cell>
          <cell r="F27" t="str">
            <v>N/A</v>
          </cell>
          <cell r="G27" t="str">
            <v>Corporate</v>
          </cell>
          <cell r="H27" t="str">
            <v>Sales &amp; Field Ops</v>
          </cell>
          <cell r="I27" t="str">
            <v>S &amp; FO Other</v>
          </cell>
        </row>
        <row r="28">
          <cell r="A28">
            <v>227</v>
          </cell>
          <cell r="B28" t="str">
            <v>Corporate Sales - West</v>
          </cell>
          <cell r="C28" t="str">
            <v>2Sales / Sales</v>
          </cell>
          <cell r="D28" t="str">
            <v>Sales &amp; Field Operations</v>
          </cell>
          <cell r="E28" t="str">
            <v>SF</v>
          </cell>
          <cell r="F28" t="str">
            <v>Stephen Elop</v>
          </cell>
          <cell r="G28" t="str">
            <v>Corporate</v>
          </cell>
          <cell r="H28" t="str">
            <v>Sales &amp; Field Ops</v>
          </cell>
          <cell r="I28" t="str">
            <v>Sales - NA</v>
          </cell>
        </row>
        <row r="29">
          <cell r="A29">
            <v>228</v>
          </cell>
          <cell r="B29" t="str">
            <v>Strategic Sales - Inside</v>
          </cell>
          <cell r="C29" t="str">
            <v>2Sales / Sales</v>
          </cell>
          <cell r="D29" t="str">
            <v>Sales &amp; Field Operations</v>
          </cell>
          <cell r="E29" t="str">
            <v>SF</v>
          </cell>
          <cell r="F29" t="str">
            <v>Stephen Elop</v>
          </cell>
          <cell r="G29" t="str">
            <v>Corporate</v>
          </cell>
          <cell r="H29" t="str">
            <v>Sales &amp; Field Ops</v>
          </cell>
          <cell r="I29" t="str">
            <v>Sales - NA</v>
          </cell>
        </row>
        <row r="30">
          <cell r="A30">
            <v>229</v>
          </cell>
          <cell r="B30" t="str">
            <v>Sales Adjustments</v>
          </cell>
          <cell r="C30" t="str">
            <v>2Sales / Sales</v>
          </cell>
          <cell r="D30" t="str">
            <v>Sales &amp; Field Operations</v>
          </cell>
          <cell r="E30" t="str">
            <v>SF</v>
          </cell>
          <cell r="F30" t="str">
            <v>N/A</v>
          </cell>
          <cell r="G30" t="str">
            <v>Corporate</v>
          </cell>
          <cell r="H30" t="str">
            <v>Sales &amp; Field Ops</v>
          </cell>
          <cell r="I30" t="str">
            <v>S &amp; FO Other</v>
          </cell>
        </row>
        <row r="31">
          <cell r="A31">
            <v>231</v>
          </cell>
          <cell r="B31" t="str">
            <v>Field Sales - West</v>
          </cell>
          <cell r="C31" t="str">
            <v>2Sales / Sales</v>
          </cell>
          <cell r="D31" t="str">
            <v>Sales &amp; Field Operations</v>
          </cell>
          <cell r="E31" t="str">
            <v>SF</v>
          </cell>
          <cell r="F31" t="str">
            <v>Stephen Elop</v>
          </cell>
          <cell r="G31" t="str">
            <v>Corporate</v>
          </cell>
          <cell r="H31" t="str">
            <v>Sales &amp; Field Ops</v>
          </cell>
          <cell r="I31" t="str">
            <v>Sales - NA</v>
          </cell>
        </row>
        <row r="32">
          <cell r="A32">
            <v>232</v>
          </cell>
          <cell r="B32" t="str">
            <v>US Sales - Central</v>
          </cell>
          <cell r="C32" t="str">
            <v>2Sales / Sales</v>
          </cell>
          <cell r="D32" t="str">
            <v>Sales &amp; Field Operations</v>
          </cell>
          <cell r="E32" t="str">
            <v>US - Non SF</v>
          </cell>
          <cell r="F32" t="str">
            <v>Stephen Elop</v>
          </cell>
          <cell r="G32" t="str">
            <v>Corporate</v>
          </cell>
          <cell r="H32" t="str">
            <v>Sales &amp; Field Ops</v>
          </cell>
          <cell r="I32" t="str">
            <v>S &amp; FO Other</v>
          </cell>
        </row>
        <row r="33">
          <cell r="A33">
            <v>233</v>
          </cell>
          <cell r="B33" t="str">
            <v>Macromedia Canada</v>
          </cell>
          <cell r="C33" t="str">
            <v>2Sales / Sales</v>
          </cell>
          <cell r="D33" t="str">
            <v>Sales &amp; Field Operations</v>
          </cell>
          <cell r="E33" t="str">
            <v>CAN</v>
          </cell>
          <cell r="F33" t="str">
            <v>N/A</v>
          </cell>
          <cell r="G33" t="str">
            <v>Corporate</v>
          </cell>
          <cell r="H33" t="str">
            <v>Sales &amp; Field Ops</v>
          </cell>
          <cell r="I33" t="str">
            <v>S &amp; FO Other</v>
          </cell>
        </row>
        <row r="34">
          <cell r="A34">
            <v>234</v>
          </cell>
          <cell r="B34" t="str">
            <v>Strategic Sales - Field</v>
          </cell>
          <cell r="C34" t="str">
            <v>2Sales / Sales</v>
          </cell>
          <cell r="D34" t="str">
            <v>Sales &amp; Field Operations</v>
          </cell>
          <cell r="E34" t="str">
            <v>US - Non SF</v>
          </cell>
          <cell r="F34" t="str">
            <v>Stephen Elop</v>
          </cell>
          <cell r="G34" t="str">
            <v>Corporate</v>
          </cell>
          <cell r="H34" t="str">
            <v>Sales &amp; Field Ops</v>
          </cell>
          <cell r="I34" t="str">
            <v>Sales - NA</v>
          </cell>
        </row>
        <row r="35">
          <cell r="A35">
            <v>236</v>
          </cell>
          <cell r="B35" t="str">
            <v>Web Publishing Bus Dev</v>
          </cell>
          <cell r="C35" t="str">
            <v>2Sales / Business Development</v>
          </cell>
          <cell r="D35" t="str">
            <v>Sales &amp; Field Operations</v>
          </cell>
          <cell r="E35" t="str">
            <v>SF</v>
          </cell>
          <cell r="F35" t="str">
            <v>Stephen Elop</v>
          </cell>
          <cell r="G35" t="str">
            <v>Corporate</v>
          </cell>
          <cell r="H35" t="str">
            <v>Sales &amp; Field Ops</v>
          </cell>
          <cell r="I35" t="str">
            <v>S &amp; FO Other</v>
          </cell>
        </row>
        <row r="36">
          <cell r="A36">
            <v>240</v>
          </cell>
          <cell r="B36" t="str">
            <v>Asia/Latin America HQ</v>
          </cell>
          <cell r="C36" t="str">
            <v>2Sales / Sales</v>
          </cell>
          <cell r="D36" t="str">
            <v>Sales &amp; Field Operations</v>
          </cell>
          <cell r="E36" t="str">
            <v>Asia/Pacific/LA</v>
          </cell>
          <cell r="F36" t="str">
            <v>Stephen Elop</v>
          </cell>
          <cell r="G36" t="str">
            <v>Corporate</v>
          </cell>
          <cell r="H36" t="str">
            <v>Sales &amp; Field Ops</v>
          </cell>
          <cell r="I36" t="str">
            <v>Sales - ROW</v>
          </cell>
        </row>
        <row r="37">
          <cell r="A37">
            <v>241</v>
          </cell>
          <cell r="B37" t="str">
            <v>South Asia</v>
          </cell>
          <cell r="C37" t="str">
            <v>3Field Mktg / Sales</v>
          </cell>
          <cell r="D37" t="str">
            <v>Sales &amp; Field Operations</v>
          </cell>
          <cell r="E37" t="str">
            <v>Asia/Pacific/LA</v>
          </cell>
          <cell r="F37" t="str">
            <v>Stephen Elop</v>
          </cell>
          <cell r="G37" t="str">
            <v>Corporate</v>
          </cell>
          <cell r="H37" t="str">
            <v>Sales &amp; Field Ops</v>
          </cell>
          <cell r="I37" t="str">
            <v>Sales - ROW</v>
          </cell>
        </row>
        <row r="38">
          <cell r="A38">
            <v>242</v>
          </cell>
          <cell r="B38" t="str">
            <v>India</v>
          </cell>
          <cell r="C38" t="str">
            <v>3Field Mktg / Sales</v>
          </cell>
          <cell r="D38" t="str">
            <v>Sales &amp; Field Operations</v>
          </cell>
          <cell r="E38" t="str">
            <v>Asia/Pacific/LA</v>
          </cell>
          <cell r="F38" t="str">
            <v>Stephen Elop</v>
          </cell>
          <cell r="G38" t="str">
            <v>Corporate</v>
          </cell>
          <cell r="H38" t="str">
            <v>Sales &amp; Field Ops</v>
          </cell>
          <cell r="I38" t="str">
            <v>Sales - ROW</v>
          </cell>
        </row>
        <row r="39">
          <cell r="A39">
            <v>243</v>
          </cell>
          <cell r="B39" t="str">
            <v>Singapore</v>
          </cell>
          <cell r="C39" t="str">
            <v>3Field Mktg / Sales</v>
          </cell>
          <cell r="D39" t="str">
            <v>Sales &amp; Field Operations</v>
          </cell>
          <cell r="E39" t="str">
            <v>Asia/Pacific/LA</v>
          </cell>
          <cell r="F39" t="str">
            <v>Stephen Elop</v>
          </cell>
          <cell r="G39" t="str">
            <v>Corporate</v>
          </cell>
          <cell r="H39" t="str">
            <v>Sales &amp; Field Ops</v>
          </cell>
          <cell r="I39" t="str">
            <v>Sales - ROW</v>
          </cell>
        </row>
        <row r="40">
          <cell r="A40">
            <v>244</v>
          </cell>
          <cell r="B40" t="str">
            <v>Greater China</v>
          </cell>
          <cell r="C40" t="str">
            <v>3Field Mktg / Sales</v>
          </cell>
          <cell r="D40" t="str">
            <v>Sales &amp; Field Operations</v>
          </cell>
          <cell r="E40" t="str">
            <v>Asia/Pacific/LA</v>
          </cell>
          <cell r="F40" t="str">
            <v>Stephen Elop</v>
          </cell>
          <cell r="G40" t="str">
            <v>Corporate</v>
          </cell>
          <cell r="H40" t="str">
            <v>Sales &amp; Field Ops</v>
          </cell>
          <cell r="I40" t="str">
            <v>Sales - ROW</v>
          </cell>
        </row>
        <row r="41">
          <cell r="A41">
            <v>245</v>
          </cell>
          <cell r="B41" t="str">
            <v>Asia Pacific</v>
          </cell>
          <cell r="C41" t="str">
            <v>3Field Mktg / Sales</v>
          </cell>
          <cell r="D41" t="str">
            <v>Sales &amp; Field Operations</v>
          </cell>
          <cell r="E41" t="str">
            <v>Asia/Pacific/LA</v>
          </cell>
          <cell r="F41" t="str">
            <v>Stephen Elop</v>
          </cell>
          <cell r="G41" t="str">
            <v>Corporate</v>
          </cell>
          <cell r="H41" t="str">
            <v>Sales &amp; Field Ops</v>
          </cell>
          <cell r="I41" t="str">
            <v>Sales - ROW</v>
          </cell>
        </row>
        <row r="42">
          <cell r="A42">
            <v>246</v>
          </cell>
          <cell r="B42" t="str">
            <v>Korea</v>
          </cell>
          <cell r="C42" t="str">
            <v>3Field Mktg / Sales</v>
          </cell>
          <cell r="D42" t="str">
            <v>Sales &amp; Field Operations</v>
          </cell>
          <cell r="E42" t="str">
            <v>Asia/Pacific/LA</v>
          </cell>
          <cell r="F42" t="str">
            <v>Stephen Elop</v>
          </cell>
          <cell r="G42" t="str">
            <v>Corporate</v>
          </cell>
          <cell r="H42" t="str">
            <v>Sales &amp; Field Ops</v>
          </cell>
          <cell r="I42" t="str">
            <v>Sales - ROW</v>
          </cell>
        </row>
        <row r="43">
          <cell r="A43">
            <v>247</v>
          </cell>
          <cell r="B43" t="str">
            <v>China</v>
          </cell>
          <cell r="C43" t="str">
            <v>3Field Mktg / Sales</v>
          </cell>
          <cell r="D43" t="str">
            <v>Sales &amp; Field Operations</v>
          </cell>
          <cell r="E43" t="str">
            <v>Asia/Pacific/LA</v>
          </cell>
          <cell r="F43" t="str">
            <v>Stephen Elop</v>
          </cell>
          <cell r="G43" t="str">
            <v>Corporate</v>
          </cell>
          <cell r="H43" t="str">
            <v>Sales &amp; Field Ops</v>
          </cell>
          <cell r="I43" t="str">
            <v>Sales - ROW</v>
          </cell>
        </row>
        <row r="44">
          <cell r="A44">
            <v>248</v>
          </cell>
          <cell r="B44" t="str">
            <v>Hong Kong</v>
          </cell>
          <cell r="C44" t="str">
            <v>3Field Mktg / Sales</v>
          </cell>
          <cell r="D44" t="str">
            <v>Sales &amp; Field Operations</v>
          </cell>
          <cell r="E44" t="str">
            <v>Asia/Pacific/LA</v>
          </cell>
          <cell r="F44" t="str">
            <v>Stephen Elop</v>
          </cell>
          <cell r="G44" t="str">
            <v>Corporate</v>
          </cell>
          <cell r="H44" t="str">
            <v>Sales &amp; Field Ops</v>
          </cell>
          <cell r="I44" t="str">
            <v>Sales - ROW</v>
          </cell>
        </row>
        <row r="45">
          <cell r="A45">
            <v>249</v>
          </cell>
          <cell r="B45" t="str">
            <v>Canada</v>
          </cell>
          <cell r="C45" t="str">
            <v>3Field Mktg / Sales</v>
          </cell>
          <cell r="D45" t="str">
            <v>Sales &amp; Field Operations</v>
          </cell>
          <cell r="E45" t="str">
            <v>CAN</v>
          </cell>
          <cell r="F45" t="str">
            <v>Stephen Elop</v>
          </cell>
          <cell r="G45" t="str">
            <v>Corporate</v>
          </cell>
          <cell r="H45" t="str">
            <v>Sales &amp; Field Ops</v>
          </cell>
          <cell r="I45" t="str">
            <v>Sales - NA</v>
          </cell>
        </row>
        <row r="46">
          <cell r="A46">
            <v>250</v>
          </cell>
          <cell r="B46" t="str">
            <v>Europe - Headquarters</v>
          </cell>
          <cell r="C46" t="str">
            <v>2Sales / Sales</v>
          </cell>
          <cell r="D46" t="str">
            <v>Sales &amp; Field Operations</v>
          </cell>
          <cell r="E46" t="str">
            <v>EUR</v>
          </cell>
          <cell r="F46" t="str">
            <v>Stephen Elop</v>
          </cell>
          <cell r="G46" t="str">
            <v>Corporate</v>
          </cell>
          <cell r="H46" t="str">
            <v>Sales &amp; Field Ops</v>
          </cell>
          <cell r="I46" t="str">
            <v>Sales - Europe</v>
          </cell>
        </row>
        <row r="47">
          <cell r="A47">
            <v>251</v>
          </cell>
          <cell r="B47" t="str">
            <v>Europe - UK</v>
          </cell>
          <cell r="C47" t="str">
            <v>2Sales / Sales</v>
          </cell>
          <cell r="D47" t="str">
            <v>Sales &amp; Field Operations</v>
          </cell>
          <cell r="E47" t="str">
            <v>EUR</v>
          </cell>
          <cell r="F47" t="str">
            <v>Stephen Elop</v>
          </cell>
          <cell r="G47" t="str">
            <v>Corporate</v>
          </cell>
          <cell r="H47" t="str">
            <v>Sales &amp; Field Ops</v>
          </cell>
          <cell r="I47" t="str">
            <v>Sales - Europe</v>
          </cell>
        </row>
        <row r="48">
          <cell r="A48">
            <v>252</v>
          </cell>
          <cell r="B48" t="str">
            <v>Macromedia SARL (France)</v>
          </cell>
          <cell r="C48" t="str">
            <v>2Sales / Sales</v>
          </cell>
          <cell r="D48" t="str">
            <v>Sales &amp; Field Operations</v>
          </cell>
          <cell r="E48" t="str">
            <v>EUR</v>
          </cell>
          <cell r="F48" t="str">
            <v>Stephen Elop</v>
          </cell>
          <cell r="G48" t="str">
            <v>Corporate</v>
          </cell>
          <cell r="H48" t="str">
            <v>Sales &amp; Field Ops</v>
          </cell>
          <cell r="I48" t="str">
            <v>Sales - Europe</v>
          </cell>
        </row>
        <row r="49">
          <cell r="A49">
            <v>253</v>
          </cell>
          <cell r="B49" t="str">
            <v>Macromedia Germany</v>
          </cell>
          <cell r="C49" t="str">
            <v>2Sales / Sales</v>
          </cell>
          <cell r="D49" t="str">
            <v>Sales &amp; Field Operations</v>
          </cell>
          <cell r="E49" t="str">
            <v>EUR</v>
          </cell>
          <cell r="F49" t="str">
            <v>Stephen Elop</v>
          </cell>
          <cell r="G49" t="str">
            <v>Corporate</v>
          </cell>
          <cell r="H49" t="str">
            <v>Sales &amp; Field Ops</v>
          </cell>
          <cell r="I49" t="str">
            <v>Sales - Europe</v>
          </cell>
        </row>
        <row r="50">
          <cell r="A50">
            <v>254</v>
          </cell>
          <cell r="B50" t="str">
            <v>Macromedia Sweden</v>
          </cell>
          <cell r="C50" t="str">
            <v>2Sales / Sales</v>
          </cell>
          <cell r="D50" t="str">
            <v>Sales &amp; Field Operations</v>
          </cell>
          <cell r="E50" t="str">
            <v>EUR</v>
          </cell>
          <cell r="F50" t="str">
            <v>Stephen Elop</v>
          </cell>
          <cell r="G50" t="str">
            <v>Corporate</v>
          </cell>
          <cell r="H50" t="str">
            <v>Sales &amp; Field Ops</v>
          </cell>
          <cell r="I50" t="str">
            <v>Sales - Europe</v>
          </cell>
        </row>
        <row r="51">
          <cell r="A51">
            <v>255</v>
          </cell>
          <cell r="B51" t="str">
            <v>Macromedia Switzerland</v>
          </cell>
          <cell r="C51" t="str">
            <v>2Sales / Sales</v>
          </cell>
          <cell r="D51" t="str">
            <v>Sales &amp; Field Operations</v>
          </cell>
          <cell r="E51" t="str">
            <v>EUR</v>
          </cell>
          <cell r="F51" t="str">
            <v>Stephen Elop</v>
          </cell>
          <cell r="G51" t="str">
            <v>Corporate</v>
          </cell>
          <cell r="H51" t="str">
            <v>Sales &amp; Field Ops</v>
          </cell>
          <cell r="I51" t="str">
            <v>Sales - Europe</v>
          </cell>
        </row>
        <row r="52">
          <cell r="A52">
            <v>256</v>
          </cell>
          <cell r="B52" t="str">
            <v>Macromedia Belgium</v>
          </cell>
          <cell r="C52" t="str">
            <v>2Sales / Sales</v>
          </cell>
          <cell r="D52" t="str">
            <v>Sales &amp; Field Operations</v>
          </cell>
          <cell r="E52" t="str">
            <v>EUR</v>
          </cell>
          <cell r="F52" t="str">
            <v>Stephen Elop</v>
          </cell>
          <cell r="G52" t="str">
            <v>Corporate</v>
          </cell>
          <cell r="H52" t="str">
            <v>Sales &amp; Field Ops</v>
          </cell>
          <cell r="I52" t="str">
            <v>Sales - Europe</v>
          </cell>
        </row>
        <row r="53">
          <cell r="A53">
            <v>257</v>
          </cell>
          <cell r="B53" t="str">
            <v>Professional Serv- Consulting - Inactive</v>
          </cell>
          <cell r="C53" t="str">
            <v>2Sales / Technical Support</v>
          </cell>
          <cell r="D53" t="str">
            <v>Sales &amp; Field Operations</v>
          </cell>
          <cell r="E53" t="str">
            <v>SF</v>
          </cell>
          <cell r="F53" t="str">
            <v>Stephen Elop</v>
          </cell>
          <cell r="G53" t="str">
            <v>Corporate</v>
          </cell>
          <cell r="H53" t="str">
            <v>Sales &amp; Field Ops</v>
          </cell>
          <cell r="I53" t="str">
            <v>Ops - Tech/CS</v>
          </cell>
        </row>
        <row r="54">
          <cell r="A54">
            <v>258</v>
          </cell>
          <cell r="B54" t="str">
            <v>Macromedia Italy</v>
          </cell>
          <cell r="C54" t="str">
            <v>2Sales / Sales</v>
          </cell>
          <cell r="D54" t="str">
            <v>Sales &amp; Field Operations</v>
          </cell>
          <cell r="E54" t="str">
            <v>EUR</v>
          </cell>
          <cell r="F54" t="str">
            <v>Stephen Elop</v>
          </cell>
          <cell r="G54" t="str">
            <v>Corporate</v>
          </cell>
          <cell r="H54" t="str">
            <v>Sales &amp; Field Ops</v>
          </cell>
          <cell r="I54" t="str">
            <v>Sales - Europe</v>
          </cell>
        </row>
        <row r="55">
          <cell r="A55">
            <v>259</v>
          </cell>
          <cell r="B55" t="str">
            <v>Macromedia Spain</v>
          </cell>
          <cell r="C55" t="str">
            <v>2Sales / Sales</v>
          </cell>
          <cell r="D55" t="str">
            <v>Sales &amp; Field Operations</v>
          </cell>
          <cell r="E55" t="str">
            <v>EUR</v>
          </cell>
          <cell r="F55" t="str">
            <v>Stephen Elop</v>
          </cell>
          <cell r="G55" t="str">
            <v>Corporate</v>
          </cell>
          <cell r="H55" t="str">
            <v>Sales &amp; Field Ops</v>
          </cell>
          <cell r="I55" t="str">
            <v>Sales - Europe</v>
          </cell>
        </row>
        <row r="56">
          <cell r="A56">
            <v>260</v>
          </cell>
          <cell r="B56" t="str">
            <v>Macromedia KK (Japan)</v>
          </cell>
          <cell r="C56" t="str">
            <v>2Sales / Sales</v>
          </cell>
          <cell r="D56" t="str">
            <v>Sales &amp; Field Operations</v>
          </cell>
          <cell r="E56" t="str">
            <v>JPN</v>
          </cell>
          <cell r="F56" t="str">
            <v>Stephen Elop</v>
          </cell>
          <cell r="G56" t="str">
            <v>Corporate</v>
          </cell>
          <cell r="H56" t="str">
            <v>Sales &amp; Field Ops</v>
          </cell>
          <cell r="I56" t="str">
            <v>Sales - Japan</v>
          </cell>
        </row>
        <row r="57">
          <cell r="A57">
            <v>261</v>
          </cell>
          <cell r="B57" t="str">
            <v>eBS US Consulting - West</v>
          </cell>
          <cell r="C57" t="str">
            <v>3Field Mktg / Mktng</v>
          </cell>
          <cell r="D57" t="str">
            <v>Sales &amp; Field Operations</v>
          </cell>
          <cell r="E57" t="str">
            <v>SF</v>
          </cell>
          <cell r="F57" t="str">
            <v>N/A</v>
          </cell>
          <cell r="G57" t="str">
            <v>Corporate</v>
          </cell>
          <cell r="H57" t="str">
            <v>Sales &amp; Field Ops</v>
          </cell>
          <cell r="I57" t="str">
            <v>S &amp; FO Other</v>
          </cell>
        </row>
        <row r="58">
          <cell r="A58">
            <v>262</v>
          </cell>
          <cell r="B58" t="str">
            <v>eBS US Consulting - Cntl</v>
          </cell>
          <cell r="C58" t="str">
            <v>3Field Mktg / Mktng</v>
          </cell>
          <cell r="D58" t="str">
            <v>Sales &amp; Field Operations</v>
          </cell>
          <cell r="E58" t="str">
            <v>SF</v>
          </cell>
          <cell r="F58" t="str">
            <v>N/A</v>
          </cell>
          <cell r="G58" t="str">
            <v>Corporate</v>
          </cell>
          <cell r="H58" t="str">
            <v>Sales &amp; Field Ops</v>
          </cell>
          <cell r="I58" t="str">
            <v>S &amp; FO Other</v>
          </cell>
        </row>
        <row r="59">
          <cell r="A59">
            <v>263</v>
          </cell>
          <cell r="B59" t="str">
            <v>eBS US Consulting - East</v>
          </cell>
          <cell r="C59" t="str">
            <v>3Field Mktg / Mktng</v>
          </cell>
          <cell r="D59" t="str">
            <v>Sales &amp; Field Operations</v>
          </cell>
          <cell r="E59" t="str">
            <v>SF</v>
          </cell>
          <cell r="F59" t="str">
            <v>N/A</v>
          </cell>
          <cell r="G59" t="str">
            <v>Corporate</v>
          </cell>
          <cell r="H59" t="str">
            <v>Sales &amp; Field Ops</v>
          </cell>
          <cell r="I59" t="str">
            <v>S &amp; FO Other</v>
          </cell>
        </row>
        <row r="60">
          <cell r="A60">
            <v>264</v>
          </cell>
          <cell r="B60" t="str">
            <v>Product Enablement - UK</v>
          </cell>
          <cell r="C60" t="str">
            <v>3Field Mktg / Sales</v>
          </cell>
          <cell r="D60" t="str">
            <v>Sales &amp; Field Operations</v>
          </cell>
          <cell r="E60" t="str">
            <v>EUR</v>
          </cell>
          <cell r="F60" t="str">
            <v>N/A</v>
          </cell>
          <cell r="G60" t="str">
            <v>Corporate</v>
          </cell>
          <cell r="H60" t="str">
            <v>Sales &amp; Field Ops</v>
          </cell>
          <cell r="I60" t="str">
            <v>S &amp; FO Other</v>
          </cell>
        </row>
        <row r="61">
          <cell r="A61">
            <v>266</v>
          </cell>
          <cell r="B61" t="str">
            <v>Alliance Marketing</v>
          </cell>
          <cell r="C61" t="str">
            <v>3Field Mktg / Sales</v>
          </cell>
          <cell r="D61" t="str">
            <v>Sales &amp; Field Operations</v>
          </cell>
          <cell r="E61" t="str">
            <v>SF</v>
          </cell>
          <cell r="F61" t="str">
            <v>Stephen Elop</v>
          </cell>
          <cell r="G61" t="str">
            <v>Corporate</v>
          </cell>
          <cell r="H61" t="str">
            <v>Sales &amp; Field Ops</v>
          </cell>
          <cell r="I61" t="str">
            <v>Alliance Mktg</v>
          </cell>
        </row>
        <row r="62">
          <cell r="A62">
            <v>268</v>
          </cell>
          <cell r="B62" t="str">
            <v>Business Development</v>
          </cell>
          <cell r="C62" t="str">
            <v>2Sales / Business Development</v>
          </cell>
          <cell r="D62" t="str">
            <v>Sales &amp; Field Operations</v>
          </cell>
          <cell r="E62" t="str">
            <v>SF</v>
          </cell>
          <cell r="F62" t="str">
            <v>Stephen Elop</v>
          </cell>
          <cell r="G62" t="str">
            <v>Corporate</v>
          </cell>
          <cell r="H62" t="str">
            <v>Sales &amp; Field Ops</v>
          </cell>
          <cell r="I62" t="str">
            <v>Biz Dev</v>
          </cell>
        </row>
        <row r="63">
          <cell r="A63">
            <v>269</v>
          </cell>
          <cell r="B63" t="str">
            <v>5OEM</v>
          </cell>
          <cell r="C63" t="str">
            <v>2Sales / Business Development</v>
          </cell>
          <cell r="D63" t="str">
            <v>Sales &amp; Field Operations</v>
          </cell>
          <cell r="E63" t="str">
            <v>SF</v>
          </cell>
          <cell r="F63" t="str">
            <v>Stephen Elop</v>
          </cell>
          <cell r="G63" t="str">
            <v>Corporate</v>
          </cell>
          <cell r="H63" t="str">
            <v>Sales &amp; Field Ops</v>
          </cell>
          <cell r="I63" t="str">
            <v>Biz Dev</v>
          </cell>
        </row>
        <row r="64">
          <cell r="A64">
            <v>271</v>
          </cell>
          <cell r="B64" t="str">
            <v>Client Product Support</v>
          </cell>
          <cell r="C64" t="str">
            <v>2Sales / Technical Support</v>
          </cell>
          <cell r="D64" t="str">
            <v>Sales &amp; Field Operations</v>
          </cell>
          <cell r="E64" t="str">
            <v>SF</v>
          </cell>
          <cell r="F64" t="str">
            <v>Stephen Elop</v>
          </cell>
          <cell r="G64" t="str">
            <v>Corporate</v>
          </cell>
          <cell r="H64" t="str">
            <v>Sales &amp; Field Ops</v>
          </cell>
          <cell r="I64" t="str">
            <v>Ops - Tech/CS</v>
          </cell>
        </row>
        <row r="65">
          <cell r="A65">
            <v>272</v>
          </cell>
          <cell r="B65" t="str">
            <v>Tech Support - HQ</v>
          </cell>
          <cell r="C65" t="str">
            <v>2Sales / Technical Support</v>
          </cell>
          <cell r="D65" t="str">
            <v>Sales &amp; Field Operations</v>
          </cell>
          <cell r="E65" t="str">
            <v>SF</v>
          </cell>
          <cell r="F65" t="str">
            <v>Stephen Elop</v>
          </cell>
          <cell r="G65" t="str">
            <v>Corporate</v>
          </cell>
          <cell r="H65" t="str">
            <v>Sales &amp; Field Ops</v>
          </cell>
          <cell r="I65" t="str">
            <v>Ops - Tech/CS</v>
          </cell>
        </row>
        <row r="66">
          <cell r="A66">
            <v>273</v>
          </cell>
          <cell r="B66" t="str">
            <v>Technical Support - Newton</v>
          </cell>
          <cell r="C66" t="str">
            <v>2Sales / Technical Support</v>
          </cell>
          <cell r="D66" t="str">
            <v>Sales &amp; Field Operations</v>
          </cell>
          <cell r="E66" t="str">
            <v>SF</v>
          </cell>
          <cell r="F66" t="str">
            <v>Stephen Elop</v>
          </cell>
          <cell r="G66" t="str">
            <v>Corporate</v>
          </cell>
          <cell r="H66" t="str">
            <v>Sales &amp; Field Ops</v>
          </cell>
          <cell r="I66" t="str">
            <v>Ops - Tech/CS</v>
          </cell>
        </row>
        <row r="67">
          <cell r="A67">
            <v>274</v>
          </cell>
          <cell r="B67" t="str">
            <v>Tech Support - DAG</v>
          </cell>
          <cell r="C67" t="str">
            <v>2Sales / Technical Support</v>
          </cell>
          <cell r="D67" t="str">
            <v>Sales &amp; Field Operations</v>
          </cell>
          <cell r="E67" t="str">
            <v>Texas</v>
          </cell>
          <cell r="F67" t="str">
            <v>Stephen Elop</v>
          </cell>
          <cell r="G67" t="str">
            <v>Corporate</v>
          </cell>
          <cell r="H67" t="str">
            <v>Sales &amp; Field Ops</v>
          </cell>
          <cell r="I67" t="str">
            <v>Ops - Tech/CS</v>
          </cell>
        </row>
        <row r="68">
          <cell r="A68">
            <v>275</v>
          </cell>
          <cell r="B68" t="str">
            <v>NA Channel Sales &amp; Marketing</v>
          </cell>
          <cell r="C68" t="str">
            <v>3Field Mktg / Sales</v>
          </cell>
          <cell r="D68" t="str">
            <v>Sales &amp; Field Operations</v>
          </cell>
          <cell r="E68" t="str">
            <v>SF</v>
          </cell>
          <cell r="F68" t="str">
            <v>Stephen Elop</v>
          </cell>
          <cell r="G68" t="str">
            <v>Corporate</v>
          </cell>
          <cell r="H68" t="str">
            <v>Sales &amp; Field Ops</v>
          </cell>
          <cell r="I68" t="str">
            <v>Sales - NA</v>
          </cell>
        </row>
        <row r="69">
          <cell r="A69">
            <v>276</v>
          </cell>
          <cell r="B69" t="str">
            <v>Government Sales</v>
          </cell>
          <cell r="C69" t="str">
            <v>3Field Mktg / Sales</v>
          </cell>
          <cell r="D69" t="str">
            <v>Sales &amp; Field Operations</v>
          </cell>
          <cell r="E69" t="str">
            <v>SF</v>
          </cell>
          <cell r="F69" t="str">
            <v>Stephen Elop</v>
          </cell>
          <cell r="G69" t="str">
            <v>Corporate</v>
          </cell>
          <cell r="H69" t="str">
            <v>Sales &amp; Field Ops</v>
          </cell>
          <cell r="I69" t="str">
            <v>Sales - NA</v>
          </cell>
        </row>
        <row r="70">
          <cell r="A70">
            <v>279</v>
          </cell>
          <cell r="B70" t="str">
            <v>Tech Support - Japan</v>
          </cell>
          <cell r="C70" t="str">
            <v>2Sales / Technical Support</v>
          </cell>
          <cell r="D70" t="str">
            <v>Sales &amp; Field Operations</v>
          </cell>
          <cell r="E70" t="str">
            <v>JPN</v>
          </cell>
          <cell r="F70" t="str">
            <v>Stephen Elop</v>
          </cell>
          <cell r="G70" t="str">
            <v>Corporate</v>
          </cell>
          <cell r="H70" t="str">
            <v>Sales &amp; Field Ops</v>
          </cell>
          <cell r="I70" t="str">
            <v>Sales - Japan</v>
          </cell>
        </row>
        <row r="71">
          <cell r="A71">
            <v>280</v>
          </cell>
          <cell r="B71" t="str">
            <v>Database Management</v>
          </cell>
          <cell r="C71" t="str">
            <v>3Field Mktg / Sales</v>
          </cell>
          <cell r="D71" t="str">
            <v>Sales &amp; Field Operations</v>
          </cell>
          <cell r="E71" t="str">
            <v>SF</v>
          </cell>
          <cell r="F71" t="str">
            <v>N/A</v>
          </cell>
          <cell r="G71" t="str">
            <v>Corporate</v>
          </cell>
          <cell r="H71" t="str">
            <v>Sales &amp; Field Ops</v>
          </cell>
          <cell r="I71" t="str">
            <v>S &amp; FO Other</v>
          </cell>
        </row>
        <row r="72">
          <cell r="A72">
            <v>284</v>
          </cell>
          <cell r="B72" t="str">
            <v>CLM- F/A Adjusted LIfe   R&amp;D</v>
          </cell>
          <cell r="C72" t="str">
            <v>2Sales / Field Ops</v>
          </cell>
          <cell r="D72" t="str">
            <v>Sales &amp; Field Operations</v>
          </cell>
          <cell r="E72" t="str">
            <v>SF</v>
          </cell>
          <cell r="F72" t="str">
            <v>N/A</v>
          </cell>
          <cell r="G72" t="str">
            <v>Corporate</v>
          </cell>
          <cell r="H72" t="str">
            <v>Sales &amp; Field Ops</v>
          </cell>
          <cell r="I72" t="str">
            <v>S &amp; FO Other</v>
          </cell>
        </row>
        <row r="73">
          <cell r="A73">
            <v>286</v>
          </cell>
          <cell r="B73" t="str">
            <v>MDF</v>
          </cell>
          <cell r="C73" t="str">
            <v>3Field Mktg / Sales</v>
          </cell>
          <cell r="D73" t="str">
            <v>Sales &amp; Field Operations</v>
          </cell>
          <cell r="E73" t="str">
            <v>SF</v>
          </cell>
          <cell r="F73" t="str">
            <v>Stephen Elop</v>
          </cell>
          <cell r="G73" t="str">
            <v>Corporate</v>
          </cell>
          <cell r="H73" t="str">
            <v>Sales &amp; Field Ops</v>
          </cell>
          <cell r="I73" t="str">
            <v>Sales - Europe</v>
          </cell>
        </row>
        <row r="74">
          <cell r="A74">
            <v>291</v>
          </cell>
          <cell r="B74" t="str">
            <v>Australia/New Zealand</v>
          </cell>
          <cell r="C74" t="str">
            <v>3Field Mktg / Sales</v>
          </cell>
          <cell r="D74" t="str">
            <v>Sales &amp; Field Operations</v>
          </cell>
          <cell r="E74" t="str">
            <v>Asia/Pacific/LA</v>
          </cell>
          <cell r="F74" t="str">
            <v>Stephen Elop</v>
          </cell>
          <cell r="G74" t="str">
            <v>Corporate</v>
          </cell>
          <cell r="H74" t="str">
            <v>Sales &amp; Field Ops</v>
          </cell>
          <cell r="I74" t="str">
            <v>Sales - ROW</v>
          </cell>
        </row>
        <row r="75">
          <cell r="A75">
            <v>292</v>
          </cell>
          <cell r="B75" t="str">
            <v>Marketing - KK</v>
          </cell>
          <cell r="C75" t="str">
            <v>3Field Mktg / Sales</v>
          </cell>
          <cell r="D75" t="str">
            <v>Sales &amp; Field Operations</v>
          </cell>
          <cell r="E75" t="str">
            <v>JPN</v>
          </cell>
          <cell r="F75" t="str">
            <v>Stephen Elop</v>
          </cell>
          <cell r="G75" t="str">
            <v>Corporate</v>
          </cell>
          <cell r="H75" t="str">
            <v>Sales &amp; Field Ops</v>
          </cell>
          <cell r="I75" t="str">
            <v>Sales - Japan</v>
          </cell>
        </row>
        <row r="76">
          <cell r="A76">
            <v>293</v>
          </cell>
          <cell r="B76" t="str">
            <v>Intl Mktg Asia Pac</v>
          </cell>
          <cell r="C76" t="str">
            <v>3Field Mktg / Sales</v>
          </cell>
          <cell r="D76" t="str">
            <v>Sales &amp; Field Operations</v>
          </cell>
          <cell r="E76" t="str">
            <v>Asia/Pacific/LA</v>
          </cell>
          <cell r="F76" t="str">
            <v>Stephen Elop</v>
          </cell>
          <cell r="G76" t="str">
            <v>Corporate</v>
          </cell>
          <cell r="H76" t="str">
            <v>Sales &amp; Field Ops</v>
          </cell>
          <cell r="I76" t="str">
            <v>Sales - ROW</v>
          </cell>
        </row>
        <row r="77">
          <cell r="A77">
            <v>294</v>
          </cell>
          <cell r="B77" t="str">
            <v>Latin America</v>
          </cell>
          <cell r="C77" t="str">
            <v>3Field Mktg / Sales</v>
          </cell>
          <cell r="D77" t="str">
            <v>Sales &amp; Field Operations</v>
          </cell>
          <cell r="E77" t="str">
            <v>Asia/Pacific/LA</v>
          </cell>
          <cell r="F77" t="str">
            <v>Stephen Elop</v>
          </cell>
          <cell r="G77" t="str">
            <v>Corporate</v>
          </cell>
          <cell r="H77" t="str">
            <v>Sales &amp; Field Ops</v>
          </cell>
          <cell r="I77" t="str">
            <v>Sales - ROW</v>
          </cell>
        </row>
        <row r="78">
          <cell r="A78">
            <v>295</v>
          </cell>
          <cell r="B78" t="str">
            <v>Education Sales</v>
          </cell>
          <cell r="C78" t="str">
            <v>3Field Mktg / Sales</v>
          </cell>
          <cell r="D78" t="str">
            <v>Sales &amp; Field Operations</v>
          </cell>
          <cell r="E78" t="str">
            <v>SF</v>
          </cell>
          <cell r="F78" t="str">
            <v>Stephen Elop</v>
          </cell>
          <cell r="G78" t="str">
            <v>Corporate</v>
          </cell>
          <cell r="H78" t="str">
            <v>Sales &amp; Field Ops</v>
          </cell>
          <cell r="I78" t="str">
            <v>Sales - NA</v>
          </cell>
        </row>
        <row r="79">
          <cell r="A79">
            <v>297</v>
          </cell>
          <cell r="B79" t="str">
            <v>Adjustment - Inactive</v>
          </cell>
          <cell r="C79" t="str">
            <v>3Field Mktg / Sales</v>
          </cell>
          <cell r="D79" t="str">
            <v>Sales &amp; Field Operations</v>
          </cell>
          <cell r="E79" t="str">
            <v>Non-Allocated</v>
          </cell>
          <cell r="F79" t="str">
            <v>N/A</v>
          </cell>
          <cell r="G79" t="str">
            <v>Corporate</v>
          </cell>
          <cell r="H79" t="str">
            <v>Sales &amp; Field Ops</v>
          </cell>
          <cell r="I79" t="str">
            <v>S &amp; FO Other</v>
          </cell>
        </row>
        <row r="80">
          <cell r="A80">
            <v>298</v>
          </cell>
          <cell r="B80" t="str">
            <v>Brazil</v>
          </cell>
          <cell r="C80" t="str">
            <v>2Sales / Sales</v>
          </cell>
          <cell r="D80" t="str">
            <v>Sales &amp; Field Operations</v>
          </cell>
          <cell r="E80" t="str">
            <v>Asia/Pacific/LA</v>
          </cell>
          <cell r="F80" t="str">
            <v>Stephen Elop</v>
          </cell>
          <cell r="G80" t="str">
            <v>Corporate</v>
          </cell>
          <cell r="H80" t="str">
            <v>Sales &amp; Field Ops</v>
          </cell>
          <cell r="I80" t="str">
            <v>Sales - ROW</v>
          </cell>
        </row>
        <row r="81">
          <cell r="A81">
            <v>299</v>
          </cell>
          <cell r="B81" t="str">
            <v>Adjustment - Inactive</v>
          </cell>
          <cell r="C81" t="str">
            <v>2Sales / Sales</v>
          </cell>
          <cell r="D81" t="str">
            <v>Sales &amp; Field Operations</v>
          </cell>
          <cell r="E81" t="str">
            <v>Non-Allocated</v>
          </cell>
          <cell r="F81" t="str">
            <v>N/A</v>
          </cell>
          <cell r="G81" t="str">
            <v>Corporate</v>
          </cell>
          <cell r="H81" t="str">
            <v>Sales &amp; Field Ops</v>
          </cell>
          <cell r="I81" t="str">
            <v>S &amp; FO Other</v>
          </cell>
        </row>
        <row r="82">
          <cell r="A82">
            <v>300</v>
          </cell>
          <cell r="B82" t="str">
            <v>Web Team</v>
          </cell>
          <cell r="C82" t="str">
            <v>4Marketing / IT</v>
          </cell>
          <cell r="D82" t="str">
            <v>Customer Marketing</v>
          </cell>
          <cell r="E82" t="str">
            <v>SF</v>
          </cell>
          <cell r="F82" t="str">
            <v>Stephen Elop</v>
          </cell>
          <cell r="G82" t="str">
            <v>Corporate</v>
          </cell>
          <cell r="H82" t="str">
            <v>Sales &amp; Field Ops</v>
          </cell>
          <cell r="I82" t="str">
            <v>Cust Mktg</v>
          </cell>
        </row>
        <row r="83">
          <cell r="A83">
            <v>301</v>
          </cell>
          <cell r="B83" t="str">
            <v>ESD Online Sales - Inactive</v>
          </cell>
          <cell r="C83" t="str">
            <v>4Marketing / Mktng</v>
          </cell>
          <cell r="D83" t="str">
            <v>Sales &amp; Field Operations</v>
          </cell>
          <cell r="E83" t="str">
            <v>SF</v>
          </cell>
          <cell r="F83" t="str">
            <v>Stephen Elop</v>
          </cell>
          <cell r="G83" t="str">
            <v>Corporate</v>
          </cell>
          <cell r="H83" t="str">
            <v>Sales &amp; Field Ops</v>
          </cell>
          <cell r="I83" t="str">
            <v>Sales - NA</v>
          </cell>
        </row>
        <row r="84">
          <cell r="A84">
            <v>302</v>
          </cell>
          <cell r="B84" t="str">
            <v>Customer Marketing - Education</v>
          </cell>
          <cell r="C84" t="str">
            <v>4Marketing / Mktng</v>
          </cell>
          <cell r="D84" t="str">
            <v>Customer Marketing</v>
          </cell>
          <cell r="E84" t="str">
            <v>SF</v>
          </cell>
          <cell r="F84" t="str">
            <v>Stephen Elop</v>
          </cell>
          <cell r="G84" t="str">
            <v>Corporate</v>
          </cell>
          <cell r="H84" t="str">
            <v>Sales &amp; Field Ops</v>
          </cell>
          <cell r="I84" t="str">
            <v>Cust Mktg</v>
          </cell>
        </row>
        <row r="85">
          <cell r="A85">
            <v>303</v>
          </cell>
          <cell r="B85" t="str">
            <v>Corporate Solutions</v>
          </cell>
          <cell r="C85" t="str">
            <v>4Marketing / Mktng</v>
          </cell>
          <cell r="D85" t="str">
            <v>Customer Marketing</v>
          </cell>
          <cell r="E85" t="str">
            <v>SF</v>
          </cell>
          <cell r="F85" t="str">
            <v>Stephen Elop</v>
          </cell>
          <cell r="G85" t="str">
            <v>Corporate</v>
          </cell>
          <cell r="H85" t="str">
            <v>Sales &amp; Field Ops</v>
          </cell>
          <cell r="I85" t="str">
            <v>Cust Mktg</v>
          </cell>
        </row>
        <row r="86">
          <cell r="A86">
            <v>304</v>
          </cell>
          <cell r="B86" t="str">
            <v>GELC Management</v>
          </cell>
          <cell r="C86" t="str">
            <v>4Marketing / Mktng</v>
          </cell>
          <cell r="D86" t="str">
            <v>Customer Marketing</v>
          </cell>
          <cell r="E86" t="str">
            <v>SF</v>
          </cell>
          <cell r="F86" t="str">
            <v>Stephen Elop</v>
          </cell>
          <cell r="G86" t="str">
            <v>Corporate</v>
          </cell>
          <cell r="H86" t="str">
            <v>Sales &amp; Field Ops</v>
          </cell>
          <cell r="I86" t="str">
            <v>Cust Mktg</v>
          </cell>
        </row>
        <row r="87">
          <cell r="A87">
            <v>305</v>
          </cell>
          <cell r="B87" t="str">
            <v>Community Marketing</v>
          </cell>
          <cell r="C87" t="str">
            <v>4Marketing / Mktng</v>
          </cell>
          <cell r="D87" t="str">
            <v>Customer Marketing</v>
          </cell>
          <cell r="E87" t="str">
            <v>SF</v>
          </cell>
          <cell r="F87" t="str">
            <v>Stephen Elop</v>
          </cell>
          <cell r="G87" t="str">
            <v>Corporate</v>
          </cell>
          <cell r="H87" t="str">
            <v>Sales &amp; Field Ops</v>
          </cell>
          <cell r="I87" t="str">
            <v>Cust Mktg</v>
          </cell>
        </row>
        <row r="88">
          <cell r="A88">
            <v>306</v>
          </cell>
          <cell r="B88" t="str">
            <v>Developer Relations</v>
          </cell>
          <cell r="C88" t="str">
            <v>4Marketing / Mktng</v>
          </cell>
          <cell r="D88" t="str">
            <v>Customer Marketing</v>
          </cell>
          <cell r="E88" t="str">
            <v>SF</v>
          </cell>
          <cell r="F88" t="str">
            <v>Stephen Elop</v>
          </cell>
          <cell r="G88" t="str">
            <v>Corporate</v>
          </cell>
          <cell r="H88" t="str">
            <v>Sales &amp; Field Ops</v>
          </cell>
          <cell r="I88" t="str">
            <v>Cust Mktg</v>
          </cell>
        </row>
        <row r="89">
          <cell r="A89">
            <v>307</v>
          </cell>
          <cell r="B89" t="str">
            <v>WW Field Programs &amp; Support - Inactive</v>
          </cell>
          <cell r="C89" t="str">
            <v>4Marketing / Mktng</v>
          </cell>
          <cell r="D89" t="str">
            <v>Customer Marketing</v>
          </cell>
          <cell r="E89" t="str">
            <v>SF</v>
          </cell>
          <cell r="F89" t="str">
            <v>Stephen Elop</v>
          </cell>
          <cell r="G89" t="str">
            <v>Corporate</v>
          </cell>
          <cell r="H89" t="str">
            <v>Sales &amp; Field Ops</v>
          </cell>
          <cell r="I89" t="str">
            <v>S &amp; FO Other</v>
          </cell>
        </row>
        <row r="90">
          <cell r="A90">
            <v>308</v>
          </cell>
          <cell r="B90" t="str">
            <v>Europe Marketing</v>
          </cell>
          <cell r="C90" t="str">
            <v>4Marketing / Mktng</v>
          </cell>
          <cell r="D90" t="str">
            <v>Sales &amp; Field Operations</v>
          </cell>
          <cell r="E90" t="str">
            <v>EUR</v>
          </cell>
          <cell r="F90" t="str">
            <v>Stephen Elop</v>
          </cell>
          <cell r="G90" t="str">
            <v>Corporate</v>
          </cell>
          <cell r="H90" t="str">
            <v>Sales &amp; Field Ops</v>
          </cell>
          <cell r="I90" t="str">
            <v>Sales - Europe</v>
          </cell>
        </row>
        <row r="91">
          <cell r="A91">
            <v>330</v>
          </cell>
          <cell r="B91" t="str">
            <v>UCON</v>
          </cell>
          <cell r="C91" t="str">
            <v>4Marketing / Mktng</v>
          </cell>
          <cell r="D91" t="str">
            <v>Sales &amp; Field Operations</v>
          </cell>
          <cell r="E91" t="str">
            <v>SF</v>
          </cell>
          <cell r="F91" t="str">
            <v>Stephen Elop</v>
          </cell>
          <cell r="G91" t="str">
            <v>Corporate</v>
          </cell>
          <cell r="H91" t="str">
            <v>Sales &amp; Field Ops</v>
          </cell>
          <cell r="I91" t="str">
            <v>Mktg - NA</v>
          </cell>
        </row>
        <row r="92">
          <cell r="A92">
            <v>337</v>
          </cell>
          <cell r="B92" t="str">
            <v>Online Marketing</v>
          </cell>
          <cell r="C92" t="str">
            <v>4Marketing / Mktng</v>
          </cell>
          <cell r="D92" t="str">
            <v>Customer Marketing</v>
          </cell>
          <cell r="E92" t="str">
            <v>SF</v>
          </cell>
          <cell r="F92" t="str">
            <v>Stephen Elop</v>
          </cell>
          <cell r="G92" t="str">
            <v>Corporate</v>
          </cell>
          <cell r="H92" t="str">
            <v>Sales &amp; Field Ops</v>
          </cell>
          <cell r="I92" t="str">
            <v>Cust Mktg</v>
          </cell>
        </row>
        <row r="93">
          <cell r="A93">
            <v>338</v>
          </cell>
          <cell r="B93" t="str">
            <v>Services Marketing - Inactive</v>
          </cell>
          <cell r="C93" t="str">
            <v>4Marketing / Mktng</v>
          </cell>
          <cell r="D93" t="str">
            <v>Sales &amp; Field Operations</v>
          </cell>
          <cell r="E93" t="str">
            <v>SF</v>
          </cell>
          <cell r="F93" t="str">
            <v>Stephen Elop</v>
          </cell>
          <cell r="G93" t="str">
            <v>Corporate</v>
          </cell>
          <cell r="H93" t="str">
            <v>Sales &amp; Field Ops</v>
          </cell>
          <cell r="I93" t="str">
            <v>Edu Svcs</v>
          </cell>
        </row>
        <row r="94">
          <cell r="A94">
            <v>339</v>
          </cell>
          <cell r="B94" t="str">
            <v>Training - Inactive</v>
          </cell>
          <cell r="C94" t="str">
            <v>4Marketing / Mktng</v>
          </cell>
          <cell r="D94" t="str">
            <v>Customer Marketing</v>
          </cell>
          <cell r="E94" t="str">
            <v>SF</v>
          </cell>
          <cell r="F94" t="str">
            <v>Stephen Elop</v>
          </cell>
          <cell r="G94" t="str">
            <v>Corporate</v>
          </cell>
          <cell r="H94" t="str">
            <v>Sales &amp; Field Ops</v>
          </cell>
          <cell r="I94" t="str">
            <v>S &amp; FO Other</v>
          </cell>
        </row>
        <row r="95">
          <cell r="A95">
            <v>341</v>
          </cell>
          <cell r="B95" t="str">
            <v>Seminars</v>
          </cell>
          <cell r="C95" t="str">
            <v>4Marketing / Mktng</v>
          </cell>
          <cell r="D95" t="str">
            <v>Sales &amp; Field Operations</v>
          </cell>
          <cell r="E95" t="str">
            <v>SF</v>
          </cell>
          <cell r="F95" t="str">
            <v>Stephen Elop</v>
          </cell>
          <cell r="G95" t="str">
            <v>Corporate</v>
          </cell>
          <cell r="H95" t="str">
            <v>Sales &amp; Field Ops</v>
          </cell>
          <cell r="I95" t="str">
            <v>Mktg - NA</v>
          </cell>
        </row>
        <row r="96">
          <cell r="A96">
            <v>342</v>
          </cell>
          <cell r="B96" t="str">
            <v>Creative Services</v>
          </cell>
          <cell r="C96" t="str">
            <v>4Marketing / Mktng</v>
          </cell>
          <cell r="D96" t="str">
            <v>Sales &amp; Field Operations</v>
          </cell>
          <cell r="E96" t="str">
            <v>SF</v>
          </cell>
          <cell r="F96" t="str">
            <v>Stephen Elop</v>
          </cell>
          <cell r="G96" t="str">
            <v>Corporate</v>
          </cell>
          <cell r="H96" t="str">
            <v>Sales &amp; Field Ops</v>
          </cell>
          <cell r="I96" t="str">
            <v>Cust Mktg</v>
          </cell>
        </row>
        <row r="97">
          <cell r="A97">
            <v>343</v>
          </cell>
          <cell r="B97" t="str">
            <v>Macromedia Online - CM</v>
          </cell>
          <cell r="C97" t="str">
            <v>4Marketing / Mktng</v>
          </cell>
          <cell r="D97" t="str">
            <v>Customer Marketing</v>
          </cell>
          <cell r="E97" t="str">
            <v>SF</v>
          </cell>
          <cell r="F97" t="str">
            <v>Stephen Elop</v>
          </cell>
          <cell r="G97" t="str">
            <v>Corporate</v>
          </cell>
          <cell r="H97" t="str">
            <v>Sales &amp; Field Ops</v>
          </cell>
          <cell r="I97" t="str">
            <v>Cust Mktg</v>
          </cell>
        </row>
        <row r="98">
          <cell r="A98">
            <v>345</v>
          </cell>
          <cell r="B98" t="str">
            <v>Channel Marketing</v>
          </cell>
          <cell r="C98" t="str">
            <v>4Marketing / Mktng</v>
          </cell>
          <cell r="D98" t="str">
            <v>Customer Marketing</v>
          </cell>
          <cell r="E98" t="str">
            <v>SF</v>
          </cell>
          <cell r="F98" t="str">
            <v>Stephen Elop</v>
          </cell>
          <cell r="G98" t="str">
            <v>Corporate</v>
          </cell>
          <cell r="H98" t="str">
            <v>Sales &amp; Field Ops</v>
          </cell>
          <cell r="I98" t="str">
            <v>Sales - NA</v>
          </cell>
        </row>
        <row r="99">
          <cell r="A99">
            <v>346</v>
          </cell>
          <cell r="B99" t="str">
            <v>TradeShows</v>
          </cell>
          <cell r="C99" t="str">
            <v>4Marketing / Mktng</v>
          </cell>
          <cell r="D99" t="str">
            <v>Sales &amp; Field Operations</v>
          </cell>
          <cell r="E99" t="str">
            <v>SF</v>
          </cell>
          <cell r="F99" t="str">
            <v>Stephen Elop</v>
          </cell>
          <cell r="G99" t="str">
            <v>Corporate</v>
          </cell>
          <cell r="H99" t="str">
            <v>Sales &amp; Field Ops</v>
          </cell>
          <cell r="I99" t="str">
            <v>Mktg - NA</v>
          </cell>
        </row>
        <row r="100">
          <cell r="A100">
            <v>348</v>
          </cell>
          <cell r="B100" t="str">
            <v>PR - Customer</v>
          </cell>
          <cell r="C100" t="str">
            <v>4Marketing / Mktng</v>
          </cell>
          <cell r="D100" t="str">
            <v>Cross BU</v>
          </cell>
          <cell r="E100" t="str">
            <v>SF</v>
          </cell>
          <cell r="F100" t="str">
            <v>Kevin Lynch</v>
          </cell>
          <cell r="G100" t="str">
            <v>Corporate</v>
          </cell>
          <cell r="H100" t="str">
            <v>Cross BU</v>
          </cell>
          <cell r="I100" t="str">
            <v>Marketing</v>
          </cell>
        </row>
        <row r="101">
          <cell r="A101">
            <v>349</v>
          </cell>
          <cell r="B101" t="str">
            <v>PR - Product</v>
          </cell>
          <cell r="C101" t="str">
            <v>4Marketing / Mktng</v>
          </cell>
          <cell r="D101" t="str">
            <v>Cross BU</v>
          </cell>
          <cell r="E101" t="str">
            <v>SF</v>
          </cell>
          <cell r="F101" t="str">
            <v>Kevin Lynch</v>
          </cell>
          <cell r="G101" t="str">
            <v>Corporate</v>
          </cell>
          <cell r="H101" t="str">
            <v>Cross BU</v>
          </cell>
          <cell r="I101" t="str">
            <v>Marketing</v>
          </cell>
        </row>
        <row r="102">
          <cell r="A102">
            <v>350</v>
          </cell>
          <cell r="B102" t="str">
            <v>Cross Product Strategy</v>
          </cell>
          <cell r="C102" t="str">
            <v>4Marketing / Mktng</v>
          </cell>
          <cell r="D102" t="str">
            <v>Cross BU</v>
          </cell>
          <cell r="E102" t="str">
            <v>SF</v>
          </cell>
          <cell r="F102" t="str">
            <v>Kevin Lynch</v>
          </cell>
          <cell r="G102" t="str">
            <v>Corporate</v>
          </cell>
          <cell r="H102" t="str">
            <v>Cross BU</v>
          </cell>
          <cell r="I102" t="str">
            <v>Marketing</v>
          </cell>
        </row>
        <row r="103">
          <cell r="A103">
            <v>357</v>
          </cell>
          <cell r="B103" t="str">
            <v>Demo Marketing</v>
          </cell>
          <cell r="C103" t="str">
            <v>4Marketing / Mktng</v>
          </cell>
          <cell r="D103" t="str">
            <v>Customer Marketing</v>
          </cell>
          <cell r="E103" t="str">
            <v>SF</v>
          </cell>
          <cell r="F103" t="str">
            <v>Stephen Elop</v>
          </cell>
          <cell r="G103" t="str">
            <v>Corporate</v>
          </cell>
          <cell r="H103" t="str">
            <v>Sales &amp; Field Ops</v>
          </cell>
          <cell r="I103" t="str">
            <v>Cust Mktg</v>
          </cell>
        </row>
        <row r="104">
          <cell r="A104">
            <v>358</v>
          </cell>
          <cell r="B104" t="str">
            <v>WP Marketing Web/Vectors - Inactive</v>
          </cell>
          <cell r="C104" t="str">
            <v>4Marketing / Mktng</v>
          </cell>
          <cell r="D104" t="str">
            <v>Customer Marketing</v>
          </cell>
          <cell r="E104" t="str">
            <v>SF</v>
          </cell>
          <cell r="F104" t="str">
            <v>Stephen Elop</v>
          </cell>
          <cell r="G104" t="str">
            <v>Corporate</v>
          </cell>
          <cell r="H104" t="str">
            <v>Sales &amp; Field Ops</v>
          </cell>
          <cell r="I104" t="str">
            <v>Cust Mktg</v>
          </cell>
        </row>
        <row r="105">
          <cell r="A105">
            <v>359</v>
          </cell>
          <cell r="B105" t="str">
            <v>WP Marketing Authoring/Aria - Inactive</v>
          </cell>
          <cell r="C105" t="str">
            <v>4Marketing / Mktng</v>
          </cell>
          <cell r="D105" t="str">
            <v>Customer Marketing</v>
          </cell>
          <cell r="E105" t="str">
            <v>SF</v>
          </cell>
          <cell r="F105" t="str">
            <v>Stephen Elop</v>
          </cell>
          <cell r="G105" t="str">
            <v>Corporate</v>
          </cell>
          <cell r="H105" t="str">
            <v>Sales &amp; Field Ops</v>
          </cell>
          <cell r="I105" t="str">
            <v>Cust Mktg</v>
          </cell>
        </row>
        <row r="106">
          <cell r="A106">
            <v>361</v>
          </cell>
          <cell r="B106" t="str">
            <v>DTG Marketing</v>
          </cell>
          <cell r="C106" t="str">
            <v>4Marketing / Mktng</v>
          </cell>
          <cell r="D106" t="str">
            <v>Dream Tools Group</v>
          </cell>
          <cell r="E106" t="str">
            <v>SF</v>
          </cell>
          <cell r="F106" t="str">
            <v>Dominic Gallello</v>
          </cell>
          <cell r="G106" t="str">
            <v>Tools</v>
          </cell>
          <cell r="I106" t="str">
            <v>Marketing</v>
          </cell>
        </row>
        <row r="107">
          <cell r="A107">
            <v>362</v>
          </cell>
          <cell r="B107" t="str">
            <v>Flash Economy</v>
          </cell>
          <cell r="C107" t="str">
            <v>4Marketing / Mktng</v>
          </cell>
          <cell r="D107" t="str">
            <v>Flash Group</v>
          </cell>
          <cell r="E107" t="str">
            <v>SF</v>
          </cell>
          <cell r="F107" t="str">
            <v>Dominic Gallello</v>
          </cell>
          <cell r="G107" t="str">
            <v>Tools</v>
          </cell>
          <cell r="I107" t="str">
            <v>Marketing</v>
          </cell>
        </row>
        <row r="108">
          <cell r="A108">
            <v>363</v>
          </cell>
          <cell r="B108" t="str">
            <v>Server Marketing</v>
          </cell>
          <cell r="C108" t="str">
            <v>4Marketing / Mktng</v>
          </cell>
          <cell r="D108" t="str">
            <v>Server Group</v>
          </cell>
          <cell r="E108" t="str">
            <v>Newton</v>
          </cell>
          <cell r="F108" t="str">
            <v>Paul Madar</v>
          </cell>
          <cell r="G108" t="str">
            <v>Servers</v>
          </cell>
          <cell r="I108" t="str">
            <v>Marketing</v>
          </cell>
        </row>
        <row r="109">
          <cell r="A109">
            <v>364</v>
          </cell>
          <cell r="B109" t="str">
            <v>Marketing Management</v>
          </cell>
          <cell r="C109" t="str">
            <v>4Marketing / Mktng</v>
          </cell>
          <cell r="D109" t="str">
            <v>Customer Marketing</v>
          </cell>
          <cell r="E109" t="str">
            <v>SF</v>
          </cell>
          <cell r="F109" t="str">
            <v>Stephen Elop</v>
          </cell>
          <cell r="G109" t="str">
            <v>Corporate</v>
          </cell>
          <cell r="H109" t="str">
            <v>Sales &amp; Field Ops</v>
          </cell>
          <cell r="I109" t="str">
            <v>Cust Mktg</v>
          </cell>
        </row>
        <row r="110">
          <cell r="A110">
            <v>366</v>
          </cell>
          <cell r="B110" t="str">
            <v>Direct Marketing</v>
          </cell>
          <cell r="C110" t="str">
            <v>4Marketing / Mktng</v>
          </cell>
          <cell r="D110" t="str">
            <v>Customer Marketing</v>
          </cell>
          <cell r="E110" t="str">
            <v>SF</v>
          </cell>
          <cell r="F110" t="str">
            <v>Stephen Elop</v>
          </cell>
          <cell r="G110" t="str">
            <v>Corporate</v>
          </cell>
          <cell r="H110" t="str">
            <v>Sales &amp; Field Ops</v>
          </cell>
          <cell r="I110" t="str">
            <v>Cust Mktg</v>
          </cell>
        </row>
        <row r="111">
          <cell r="A111">
            <v>367</v>
          </cell>
          <cell r="B111" t="str">
            <v>Marcom Management - Inactive</v>
          </cell>
          <cell r="C111" t="str">
            <v>4Marketing / Mktng</v>
          </cell>
          <cell r="D111" t="str">
            <v>Sales &amp; Field Operations</v>
          </cell>
          <cell r="E111" t="str">
            <v>SF</v>
          </cell>
          <cell r="F111" t="str">
            <v>Stephen Elop</v>
          </cell>
          <cell r="G111" t="str">
            <v>Corporate</v>
          </cell>
          <cell r="H111" t="str">
            <v>Sales &amp; Field Ops</v>
          </cell>
          <cell r="I111" t="str">
            <v>Cust Mktg</v>
          </cell>
        </row>
        <row r="112">
          <cell r="A112">
            <v>368</v>
          </cell>
          <cell r="B112" t="str">
            <v>Web Publishing Prod Mgmt</v>
          </cell>
          <cell r="C112" t="str">
            <v>4Marketing / Mktng</v>
          </cell>
          <cell r="D112" t="str">
            <v>Customer Marketing</v>
          </cell>
          <cell r="E112" t="str">
            <v>SF</v>
          </cell>
          <cell r="F112" t="str">
            <v>N/A</v>
          </cell>
          <cell r="G112" t="str">
            <v>Corporate</v>
          </cell>
          <cell r="H112" t="str">
            <v>Sales &amp; Field Ops</v>
          </cell>
          <cell r="I112" t="str">
            <v>S &amp; FO Other</v>
          </cell>
        </row>
        <row r="113">
          <cell r="A113">
            <v>369</v>
          </cell>
          <cell r="B113" t="str">
            <v>Ad Agency Marketing</v>
          </cell>
          <cell r="C113" t="str">
            <v>4Marketing / Agency</v>
          </cell>
          <cell r="D113" t="str">
            <v>Customer Marketing</v>
          </cell>
          <cell r="E113" t="str">
            <v>SF</v>
          </cell>
          <cell r="F113" t="str">
            <v>Stephen Elop</v>
          </cell>
          <cell r="G113" t="str">
            <v>Corporate</v>
          </cell>
          <cell r="H113" t="str">
            <v>Sales &amp; Field Ops</v>
          </cell>
          <cell r="I113" t="str">
            <v>Cust Mktg</v>
          </cell>
        </row>
        <row r="114">
          <cell r="A114">
            <v>370</v>
          </cell>
          <cell r="B114" t="str">
            <v>International Web</v>
          </cell>
          <cell r="C114" t="str">
            <v>4Marketing / Agency</v>
          </cell>
          <cell r="D114" t="str">
            <v>Customer Marketing</v>
          </cell>
          <cell r="E114" t="str">
            <v>SF</v>
          </cell>
          <cell r="F114" t="str">
            <v>Stephen Elop</v>
          </cell>
          <cell r="G114" t="str">
            <v>Corporate</v>
          </cell>
          <cell r="H114" t="str">
            <v>Sales &amp; Field Ops</v>
          </cell>
          <cell r="I114" t="str">
            <v>Cust Mktg</v>
          </cell>
        </row>
        <row r="115">
          <cell r="A115">
            <v>371</v>
          </cell>
          <cell r="B115" t="str">
            <v>International Marketing</v>
          </cell>
          <cell r="C115" t="str">
            <v>4Marketing / Mktng</v>
          </cell>
          <cell r="D115" t="str">
            <v>Customer Marketing</v>
          </cell>
          <cell r="E115" t="str">
            <v>SF</v>
          </cell>
          <cell r="F115" t="str">
            <v>Stephen Elop</v>
          </cell>
          <cell r="G115" t="str">
            <v>Corporate</v>
          </cell>
          <cell r="H115" t="str">
            <v>Sales &amp; Field Ops</v>
          </cell>
          <cell r="I115" t="str">
            <v>Cust Mktg</v>
          </cell>
        </row>
        <row r="116">
          <cell r="A116">
            <v>372</v>
          </cell>
          <cell r="B116" t="str">
            <v>Research/Reporting/Metrics - Inactive</v>
          </cell>
          <cell r="C116" t="str">
            <v>4Marketing / Mktng</v>
          </cell>
          <cell r="D116" t="str">
            <v>Customer Marketing</v>
          </cell>
          <cell r="E116" t="str">
            <v>SF</v>
          </cell>
          <cell r="F116" t="str">
            <v>Kevin Lynch</v>
          </cell>
          <cell r="G116" t="str">
            <v>Corporate</v>
          </cell>
          <cell r="H116" t="str">
            <v>Cross BU</v>
          </cell>
          <cell r="I116" t="str">
            <v>Marketing</v>
          </cell>
        </row>
        <row r="117">
          <cell r="A117">
            <v>381</v>
          </cell>
          <cell r="B117" t="str">
            <v>Marketing Communications</v>
          </cell>
          <cell r="C117" t="str">
            <v>4Marketing / Mktng</v>
          </cell>
          <cell r="D117" t="str">
            <v>Dream Tools Group</v>
          </cell>
          <cell r="E117" t="str">
            <v>SF</v>
          </cell>
          <cell r="F117" t="str">
            <v>Dominic Gallello</v>
          </cell>
          <cell r="G117" t="str">
            <v>Tools</v>
          </cell>
          <cell r="I117" t="str">
            <v>Marketing</v>
          </cell>
        </row>
        <row r="118">
          <cell r="A118">
            <v>382</v>
          </cell>
          <cell r="B118" t="str">
            <v>FW-FH-Dir-Studio</v>
          </cell>
          <cell r="C118" t="str">
            <v>4Marketing / Mktng</v>
          </cell>
          <cell r="D118" t="str">
            <v>Dream Tools Group</v>
          </cell>
          <cell r="E118" t="str">
            <v>SF</v>
          </cell>
          <cell r="F118" t="str">
            <v>Dominic Gallello</v>
          </cell>
          <cell r="G118" t="str">
            <v>Tools</v>
          </cell>
          <cell r="I118" t="str">
            <v>Marketing</v>
          </cell>
        </row>
        <row r="119">
          <cell r="A119">
            <v>383</v>
          </cell>
          <cell r="B119" t="str">
            <v>FAST</v>
          </cell>
          <cell r="C119" t="str">
            <v>4Marketing / Mktng</v>
          </cell>
          <cell r="D119" t="str">
            <v>Flash Group</v>
          </cell>
          <cell r="E119" t="str">
            <v>SF</v>
          </cell>
          <cell r="F119" t="str">
            <v>Dominic Gallello</v>
          </cell>
          <cell r="G119" t="str">
            <v>Tools</v>
          </cell>
          <cell r="I119" t="str">
            <v>Marketing</v>
          </cell>
        </row>
        <row r="120">
          <cell r="A120">
            <v>384</v>
          </cell>
          <cell r="B120" t="str">
            <v>Tin Can Marketing</v>
          </cell>
          <cell r="C120" t="str">
            <v>4Marketing / Mktng</v>
          </cell>
          <cell r="D120" t="str">
            <v>Flash Group</v>
          </cell>
          <cell r="E120" t="str">
            <v>SF</v>
          </cell>
          <cell r="F120" t="str">
            <v>Dominic Gallello</v>
          </cell>
          <cell r="G120" t="str">
            <v>Tools</v>
          </cell>
          <cell r="I120" t="str">
            <v>Marketing</v>
          </cell>
        </row>
        <row r="121">
          <cell r="A121">
            <v>389</v>
          </cell>
          <cell r="B121" t="str">
            <v>Marketing Adjustments</v>
          </cell>
          <cell r="C121" t="str">
            <v>4Marketing / Mktng</v>
          </cell>
          <cell r="D121" t="str">
            <v>Customer Marketing</v>
          </cell>
          <cell r="E121" t="str">
            <v>Non-Allocated</v>
          </cell>
          <cell r="F121" t="str">
            <v>N/A</v>
          </cell>
          <cell r="G121" t="str">
            <v>Corporate</v>
          </cell>
          <cell r="H121" t="str">
            <v>Sales &amp; Field Ops</v>
          </cell>
          <cell r="I121" t="str">
            <v>Marketing</v>
          </cell>
        </row>
        <row r="122">
          <cell r="A122">
            <v>391</v>
          </cell>
          <cell r="B122" t="str">
            <v>Developer Conference</v>
          </cell>
          <cell r="C122" t="str">
            <v>4Marketing / Mktng</v>
          </cell>
          <cell r="D122" t="str">
            <v>Sales &amp; Field Operations</v>
          </cell>
          <cell r="E122" t="str">
            <v>Newton</v>
          </cell>
          <cell r="F122" t="str">
            <v>Stephen Elop</v>
          </cell>
          <cell r="G122" t="str">
            <v>Corporate</v>
          </cell>
          <cell r="H122" t="str">
            <v>Sales &amp; Field Ops</v>
          </cell>
          <cell r="I122" t="str">
            <v>Marketing - NA</v>
          </cell>
        </row>
        <row r="123">
          <cell r="A123">
            <v>395</v>
          </cell>
          <cell r="B123" t="str">
            <v>MX Corporate Marketing</v>
          </cell>
          <cell r="C123" t="str">
            <v>4Marketing / Mktng</v>
          </cell>
          <cell r="D123" t="str">
            <v>Customer Marketing</v>
          </cell>
          <cell r="E123" t="str">
            <v>RWS</v>
          </cell>
          <cell r="F123" t="str">
            <v>Stephen Elop</v>
          </cell>
          <cell r="G123" t="str">
            <v>Corporate</v>
          </cell>
          <cell r="H123" t="str">
            <v>Sales &amp; Field Ops</v>
          </cell>
          <cell r="I123" t="str">
            <v>Cust Mktg</v>
          </cell>
        </row>
        <row r="124">
          <cell r="A124">
            <v>399</v>
          </cell>
          <cell r="B124" t="str">
            <v>Adjustment - Inactive</v>
          </cell>
          <cell r="C124" t="str">
            <v>4Marketing / Mktng</v>
          </cell>
          <cell r="D124" t="str">
            <v>Customer Marketing</v>
          </cell>
          <cell r="E124" t="str">
            <v>Non-Allocated</v>
          </cell>
          <cell r="F124" t="str">
            <v>N/A</v>
          </cell>
          <cell r="G124" t="str">
            <v>Corporate</v>
          </cell>
          <cell r="H124" t="str">
            <v>Sales &amp; Field Ops</v>
          </cell>
          <cell r="I124" t="str">
            <v>Marketing</v>
          </cell>
        </row>
        <row r="125">
          <cell r="A125">
            <v>401</v>
          </cell>
          <cell r="B125" t="str">
            <v>Flash Remoting</v>
          </cell>
          <cell r="C125" t="str">
            <v>6R &amp; D / R&amp;D</v>
          </cell>
          <cell r="D125" t="str">
            <v>Server Group</v>
          </cell>
          <cell r="E125" t="str">
            <v>Newton</v>
          </cell>
          <cell r="F125" t="str">
            <v>Paul Madar</v>
          </cell>
          <cell r="G125" t="str">
            <v>Servers</v>
          </cell>
          <cell r="I125" t="str">
            <v>R &amp; D</v>
          </cell>
        </row>
        <row r="126">
          <cell r="A126">
            <v>402</v>
          </cell>
          <cell r="B126" t="str">
            <v>Trinity Rangers</v>
          </cell>
          <cell r="C126" t="str">
            <v>6R &amp; D / R&amp;D</v>
          </cell>
          <cell r="D126" t="str">
            <v>Dream Tools Group</v>
          </cell>
          <cell r="E126" t="str">
            <v>Minnesota</v>
          </cell>
          <cell r="F126" t="str">
            <v>Dominic Gallello</v>
          </cell>
          <cell r="G126" t="str">
            <v>Tools</v>
          </cell>
          <cell r="I126" t="str">
            <v>R &amp; D</v>
          </cell>
        </row>
        <row r="127">
          <cell r="A127">
            <v>403</v>
          </cell>
          <cell r="B127" t="str">
            <v>Communications NBO</v>
          </cell>
          <cell r="C127" t="str">
            <v>6R &amp; D / R&amp;D</v>
          </cell>
          <cell r="D127" t="str">
            <v>Cross BU</v>
          </cell>
          <cell r="E127" t="str">
            <v>SF</v>
          </cell>
          <cell r="F127" t="str">
            <v>Kevin Lynch</v>
          </cell>
          <cell r="G127" t="str">
            <v>Corporate</v>
          </cell>
          <cell r="H127" t="str">
            <v>Cross BU</v>
          </cell>
          <cell r="I127" t="str">
            <v>R &amp; D</v>
          </cell>
        </row>
        <row r="128">
          <cell r="A128">
            <v>404</v>
          </cell>
          <cell r="B128" t="str">
            <v>.Net+ NBO</v>
          </cell>
          <cell r="C128" t="str">
            <v>6R &amp; D / R&amp;D</v>
          </cell>
          <cell r="D128" t="str">
            <v>Cross BU</v>
          </cell>
          <cell r="E128" t="str">
            <v>SF</v>
          </cell>
          <cell r="F128" t="str">
            <v>Kevin Lynch</v>
          </cell>
          <cell r="G128" t="str">
            <v>Corporate</v>
          </cell>
          <cell r="H128" t="str">
            <v>Cross BU</v>
          </cell>
          <cell r="I128" t="str">
            <v>R &amp; D</v>
          </cell>
        </row>
        <row r="129">
          <cell r="A129">
            <v>405</v>
          </cell>
          <cell r="B129" t="str">
            <v>Thin Rich Client NBO</v>
          </cell>
          <cell r="C129" t="str">
            <v>6R &amp; D / R&amp;D</v>
          </cell>
          <cell r="D129" t="str">
            <v>Cross BU</v>
          </cell>
          <cell r="E129" t="str">
            <v>SF</v>
          </cell>
          <cell r="F129" t="str">
            <v>Kevin Lynch</v>
          </cell>
          <cell r="G129" t="str">
            <v>Corporate</v>
          </cell>
          <cell r="H129" t="str">
            <v>Cross BU</v>
          </cell>
          <cell r="I129" t="str">
            <v>R &amp; D</v>
          </cell>
        </row>
        <row r="130">
          <cell r="A130">
            <v>406</v>
          </cell>
          <cell r="B130" t="str">
            <v>IMD Production</v>
          </cell>
          <cell r="C130" t="str">
            <v>6R &amp; D / R&amp;D</v>
          </cell>
          <cell r="D130" t="str">
            <v>Flash Group</v>
          </cell>
          <cell r="E130" t="str">
            <v>SF</v>
          </cell>
          <cell r="F130" t="str">
            <v>Dominic Gallello</v>
          </cell>
          <cell r="G130" t="str">
            <v>Tools</v>
          </cell>
          <cell r="I130" t="str">
            <v>R &amp; D</v>
          </cell>
        </row>
        <row r="131">
          <cell r="A131">
            <v>410</v>
          </cell>
          <cell r="B131" t="str">
            <v>Server New Product</v>
          </cell>
          <cell r="D131" t="str">
            <v>Server New Product</v>
          </cell>
          <cell r="E131" t="str">
            <v>Newton</v>
          </cell>
          <cell r="F131" t="str">
            <v>Paul Madar</v>
          </cell>
          <cell r="G131" t="str">
            <v>Servers</v>
          </cell>
          <cell r="I131" t="str">
            <v>R &amp; D</v>
          </cell>
        </row>
        <row r="132">
          <cell r="A132">
            <v>430</v>
          </cell>
          <cell r="B132" t="str">
            <v>Dreamweaver Localization</v>
          </cell>
          <cell r="E132" t="str">
            <v>RWS</v>
          </cell>
          <cell r="F132" t="str">
            <v>Dominic Gallello</v>
          </cell>
          <cell r="G132" t="str">
            <v>Tools</v>
          </cell>
          <cell r="I132" t="str">
            <v>R &amp; D</v>
          </cell>
        </row>
        <row r="133">
          <cell r="A133">
            <v>440</v>
          </cell>
          <cell r="B133" t="str">
            <v>Player Core QA</v>
          </cell>
          <cell r="E133" t="str">
            <v>SF</v>
          </cell>
          <cell r="F133" t="str">
            <v>Dominic Gallello</v>
          </cell>
          <cell r="G133" t="str">
            <v>Tools</v>
          </cell>
          <cell r="I133" t="str">
            <v>R &amp; D</v>
          </cell>
        </row>
        <row r="134">
          <cell r="A134">
            <v>450</v>
          </cell>
          <cell r="B134" t="str">
            <v>Tin Can QA</v>
          </cell>
          <cell r="E134" t="str">
            <v>SF</v>
          </cell>
          <cell r="F134" t="str">
            <v>Dominic Gallello</v>
          </cell>
          <cell r="G134" t="str">
            <v>Tools</v>
          </cell>
          <cell r="I134" t="str">
            <v>R &amp; D</v>
          </cell>
        </row>
        <row r="135">
          <cell r="A135">
            <v>496</v>
          </cell>
          <cell r="B135" t="str">
            <v>CLM F/A Adjusted Life R&amp;D</v>
          </cell>
          <cell r="C135" t="str">
            <v>6R &amp; D / R&amp;D</v>
          </cell>
          <cell r="D135" t="str">
            <v>Cross BU</v>
          </cell>
          <cell r="E135" t="str">
            <v>SF</v>
          </cell>
          <cell r="F135" t="str">
            <v>N/A</v>
          </cell>
          <cell r="G135" t="str">
            <v>Corporate</v>
          </cell>
          <cell r="H135" t="str">
            <v>Cross BU</v>
          </cell>
          <cell r="I135" t="str">
            <v>R &amp; D</v>
          </cell>
        </row>
        <row r="136">
          <cell r="A136">
            <v>497</v>
          </cell>
          <cell r="B136" t="str">
            <v>Tutorial Devlopmnt Group</v>
          </cell>
          <cell r="C136" t="str">
            <v>6R &amp; D / R&amp;D</v>
          </cell>
          <cell r="D136" t="str">
            <v>Flash Group</v>
          </cell>
          <cell r="E136" t="str">
            <v>SF</v>
          </cell>
          <cell r="F136" t="str">
            <v>Dominic Gallello</v>
          </cell>
          <cell r="G136" t="str">
            <v>Tools</v>
          </cell>
          <cell r="I136" t="str">
            <v>R &amp; D</v>
          </cell>
        </row>
        <row r="137">
          <cell r="A137">
            <v>498</v>
          </cell>
          <cell r="B137" t="str">
            <v>IMD-Web Content - Inactive</v>
          </cell>
          <cell r="C137" t="str">
            <v>6R &amp; D / R&amp;D</v>
          </cell>
          <cell r="D137" t="str">
            <v>Cross BU</v>
          </cell>
          <cell r="E137" t="str">
            <v>Boston</v>
          </cell>
          <cell r="F137" t="str">
            <v>Paul Madar</v>
          </cell>
          <cell r="G137" t="str">
            <v>Servers</v>
          </cell>
          <cell r="I137" t="str">
            <v>R &amp; D</v>
          </cell>
        </row>
        <row r="138">
          <cell r="A138">
            <v>500</v>
          </cell>
          <cell r="B138" t="str">
            <v>IMD - Flash Group</v>
          </cell>
          <cell r="C138" t="str">
            <v>6R &amp; D / R&amp;D</v>
          </cell>
          <cell r="D138" t="str">
            <v>Flash Group</v>
          </cell>
          <cell r="E138" t="str">
            <v>SF</v>
          </cell>
          <cell r="F138" t="str">
            <v>Dominic Gallello</v>
          </cell>
          <cell r="G138" t="str">
            <v>Tools</v>
          </cell>
          <cell r="I138" t="str">
            <v>R &amp; D</v>
          </cell>
        </row>
        <row r="139">
          <cell r="A139">
            <v>501</v>
          </cell>
          <cell r="B139" t="str">
            <v>Frameworks</v>
          </cell>
          <cell r="C139" t="str">
            <v>6R &amp; D / R&amp;D</v>
          </cell>
          <cell r="D139" t="str">
            <v>Flash Group</v>
          </cell>
          <cell r="E139" t="str">
            <v>SF</v>
          </cell>
          <cell r="F139" t="str">
            <v>Dominic Gallello</v>
          </cell>
          <cell r="G139" t="str">
            <v>Tools</v>
          </cell>
          <cell r="I139" t="str">
            <v>R &amp; D</v>
          </cell>
        </row>
        <row r="140">
          <cell r="A140">
            <v>502</v>
          </cell>
          <cell r="B140" t="str">
            <v>Flash Localization</v>
          </cell>
          <cell r="C140" t="str">
            <v>6R &amp; D / R&amp;D</v>
          </cell>
          <cell r="D140" t="str">
            <v>Flash Group</v>
          </cell>
          <cell r="E140" t="str">
            <v>SF</v>
          </cell>
          <cell r="F140" t="str">
            <v>Dominic Gallello</v>
          </cell>
          <cell r="G140" t="str">
            <v>Tools</v>
          </cell>
          <cell r="I140" t="str">
            <v>R &amp; D</v>
          </cell>
        </row>
        <row r="141">
          <cell r="A141">
            <v>503</v>
          </cell>
          <cell r="B141" t="str">
            <v>Flash QA/Build/Release</v>
          </cell>
          <cell r="C141" t="str">
            <v>6R &amp; D / R&amp;D</v>
          </cell>
          <cell r="D141" t="str">
            <v>Flash Group</v>
          </cell>
          <cell r="E141" t="str">
            <v>SF</v>
          </cell>
          <cell r="F141" t="str">
            <v>Dominic Gallello</v>
          </cell>
          <cell r="G141" t="str">
            <v>Tools</v>
          </cell>
          <cell r="I141" t="str">
            <v>R &amp; D</v>
          </cell>
        </row>
        <row r="142">
          <cell r="A142">
            <v>505</v>
          </cell>
          <cell r="B142" t="str">
            <v>Trinity</v>
          </cell>
          <cell r="C142" t="str">
            <v>6R &amp; D / R&amp;D</v>
          </cell>
          <cell r="D142" t="str">
            <v>Flash Group</v>
          </cell>
          <cell r="E142" t="str">
            <v>SF</v>
          </cell>
          <cell r="F142" t="str">
            <v>Dominic Gallello</v>
          </cell>
          <cell r="G142" t="str">
            <v>Tools</v>
          </cell>
          <cell r="I142" t="str">
            <v>R &amp; D</v>
          </cell>
        </row>
        <row r="143">
          <cell r="A143">
            <v>506</v>
          </cell>
          <cell r="B143" t="str">
            <v>Engineering Services - Server</v>
          </cell>
          <cell r="C143" t="str">
            <v>6R &amp; D / R&amp;D</v>
          </cell>
          <cell r="D143" t="str">
            <v>Server Group</v>
          </cell>
          <cell r="E143" t="str">
            <v>Newton</v>
          </cell>
          <cell r="F143" t="str">
            <v>Paul Madar</v>
          </cell>
          <cell r="G143" t="str">
            <v>Servers</v>
          </cell>
          <cell r="I143" t="str">
            <v>R &amp; D</v>
          </cell>
        </row>
        <row r="144">
          <cell r="A144">
            <v>508</v>
          </cell>
          <cell r="B144" t="str">
            <v>Tools Management</v>
          </cell>
          <cell r="C144" t="str">
            <v>6R &amp; D / R&amp;D</v>
          </cell>
          <cell r="D144" t="str">
            <v>Flash Group</v>
          </cell>
          <cell r="E144" t="str">
            <v>SF</v>
          </cell>
          <cell r="F144" t="str">
            <v>Dominic Gallello</v>
          </cell>
          <cell r="G144" t="str">
            <v>Tools</v>
          </cell>
          <cell r="I144" t="str">
            <v>R &amp; D</v>
          </cell>
        </row>
        <row r="145">
          <cell r="A145">
            <v>509</v>
          </cell>
          <cell r="B145" t="str">
            <v>IMD - Dream Tools Group</v>
          </cell>
          <cell r="C145" t="str">
            <v>6R &amp; D / R&amp;D</v>
          </cell>
          <cell r="D145" t="str">
            <v>Dream Tools Group</v>
          </cell>
          <cell r="E145" t="str">
            <v>SF</v>
          </cell>
          <cell r="F145" t="str">
            <v>Dominic Gallello</v>
          </cell>
          <cell r="G145" t="str">
            <v>Tools</v>
          </cell>
          <cell r="I145" t="str">
            <v>R &amp; D</v>
          </cell>
        </row>
        <row r="146">
          <cell r="A146">
            <v>510</v>
          </cell>
          <cell r="B146" t="str">
            <v>IMD - Server Group</v>
          </cell>
          <cell r="C146" t="str">
            <v>6R &amp; D / R&amp;D</v>
          </cell>
          <cell r="D146" t="str">
            <v>Server Group</v>
          </cell>
          <cell r="E146" t="str">
            <v>Newton</v>
          </cell>
          <cell r="F146" t="str">
            <v>Paul Madar</v>
          </cell>
          <cell r="G146" t="str">
            <v>Servers</v>
          </cell>
          <cell r="I146" t="str">
            <v>R &amp; D</v>
          </cell>
        </row>
        <row r="147">
          <cell r="A147">
            <v>512</v>
          </cell>
          <cell r="B147" t="str">
            <v>Authorware R&amp;D</v>
          </cell>
          <cell r="C147" t="str">
            <v>6R &amp; D / R&amp;D</v>
          </cell>
          <cell r="D147" t="str">
            <v>Dream Tools Group</v>
          </cell>
          <cell r="E147" t="str">
            <v>RWS</v>
          </cell>
          <cell r="F147" t="str">
            <v>N/A</v>
          </cell>
          <cell r="G147" t="str">
            <v>Tools</v>
          </cell>
          <cell r="I147" t="str">
            <v>R &amp; D</v>
          </cell>
        </row>
        <row r="148">
          <cell r="A148">
            <v>513</v>
          </cell>
          <cell r="B148" t="str">
            <v>PRISM</v>
          </cell>
          <cell r="C148" t="str">
            <v>6R &amp; D / R&amp;D</v>
          </cell>
          <cell r="D148" t="str">
            <v>Flash Group</v>
          </cell>
          <cell r="E148" t="str">
            <v>SF</v>
          </cell>
          <cell r="F148" t="str">
            <v>Dominic Gallello</v>
          </cell>
          <cell r="G148" t="str">
            <v>Tools</v>
          </cell>
          <cell r="I148" t="str">
            <v>R &amp; D</v>
          </cell>
        </row>
        <row r="149">
          <cell r="A149">
            <v>514</v>
          </cell>
          <cell r="B149" t="str">
            <v>Cold Fusion Development</v>
          </cell>
          <cell r="C149" t="str">
            <v>6R &amp; D / R&amp;D</v>
          </cell>
          <cell r="D149" t="str">
            <v>Server Group</v>
          </cell>
          <cell r="E149" t="str">
            <v>Newton</v>
          </cell>
          <cell r="F149" t="str">
            <v>Paul Madar</v>
          </cell>
          <cell r="G149" t="str">
            <v>Servers</v>
          </cell>
          <cell r="I149" t="str">
            <v>R &amp; D</v>
          </cell>
        </row>
        <row r="150">
          <cell r="A150">
            <v>515</v>
          </cell>
          <cell r="B150" t="str">
            <v>JRun Development</v>
          </cell>
          <cell r="C150" t="str">
            <v>6R &amp; D / R&amp;D</v>
          </cell>
          <cell r="D150" t="str">
            <v>Server Group</v>
          </cell>
          <cell r="E150" t="str">
            <v>Newton</v>
          </cell>
          <cell r="F150" t="str">
            <v>Paul Madar</v>
          </cell>
          <cell r="G150" t="str">
            <v>Servers</v>
          </cell>
          <cell r="I150" t="str">
            <v>R &amp; D</v>
          </cell>
        </row>
        <row r="151">
          <cell r="A151">
            <v>516</v>
          </cell>
          <cell r="B151" t="str">
            <v>Gemba R&amp;D</v>
          </cell>
          <cell r="C151" t="str">
            <v>6R &amp; D / R&amp;D</v>
          </cell>
          <cell r="D151" t="str">
            <v>Server Group</v>
          </cell>
          <cell r="E151" t="str">
            <v>Newton</v>
          </cell>
          <cell r="F151" t="str">
            <v>N/A</v>
          </cell>
          <cell r="G151" t="str">
            <v>Servers</v>
          </cell>
          <cell r="I151" t="str">
            <v>R &amp; D</v>
          </cell>
        </row>
        <row r="152">
          <cell r="A152">
            <v>517</v>
          </cell>
          <cell r="B152" t="str">
            <v>Spectra Development</v>
          </cell>
          <cell r="C152" t="str">
            <v>6R &amp; D / R&amp;D</v>
          </cell>
          <cell r="D152" t="str">
            <v>Server Group</v>
          </cell>
          <cell r="E152" t="str">
            <v>Newton</v>
          </cell>
          <cell r="F152" t="str">
            <v>Paul Madar</v>
          </cell>
          <cell r="G152" t="str">
            <v>Servers</v>
          </cell>
          <cell r="I152" t="str">
            <v>R &amp; D</v>
          </cell>
        </row>
        <row r="153">
          <cell r="A153">
            <v>519</v>
          </cell>
          <cell r="B153" t="str">
            <v>Tin Can Development</v>
          </cell>
          <cell r="C153" t="str">
            <v>6R &amp; D / R&amp;D</v>
          </cell>
          <cell r="D153" t="str">
            <v>Flash Group</v>
          </cell>
          <cell r="E153" t="str">
            <v>SF</v>
          </cell>
          <cell r="F153" t="str">
            <v>Dominic Gallello</v>
          </cell>
          <cell r="G153" t="str">
            <v>Tools</v>
          </cell>
          <cell r="I153" t="str">
            <v>R &amp; D</v>
          </cell>
        </row>
        <row r="154">
          <cell r="A154">
            <v>520</v>
          </cell>
          <cell r="B154" t="str">
            <v>MM Ventures - Inactive</v>
          </cell>
          <cell r="C154" t="str">
            <v>6R &amp; D / R&amp;D</v>
          </cell>
          <cell r="D154" t="str">
            <v>Macromedia Ventures</v>
          </cell>
          <cell r="E154" t="str">
            <v>SF</v>
          </cell>
          <cell r="F154" t="str">
            <v>Betsey Nelson</v>
          </cell>
          <cell r="G154" t="str">
            <v>Corporate</v>
          </cell>
          <cell r="H154" t="str">
            <v>G &amp; A</v>
          </cell>
          <cell r="I154" t="str">
            <v>R &amp; D</v>
          </cell>
        </row>
        <row r="155">
          <cell r="A155">
            <v>523</v>
          </cell>
          <cell r="B155" t="str">
            <v>Player</v>
          </cell>
          <cell r="C155" t="str">
            <v>6R &amp; D / R&amp;D</v>
          </cell>
          <cell r="D155" t="str">
            <v>Flash Group</v>
          </cell>
          <cell r="E155" t="str">
            <v>SF</v>
          </cell>
          <cell r="F155" t="str">
            <v>Dominic Gallello</v>
          </cell>
          <cell r="G155" t="str">
            <v>Tools</v>
          </cell>
          <cell r="I155" t="str">
            <v>R &amp; D</v>
          </cell>
        </row>
        <row r="156">
          <cell r="A156">
            <v>524</v>
          </cell>
          <cell r="B156" t="str">
            <v>HomeSite Development/QA</v>
          </cell>
          <cell r="C156" t="str">
            <v>6R &amp; D / R&amp;D</v>
          </cell>
          <cell r="D156" t="str">
            <v>Dream Tools Group</v>
          </cell>
          <cell r="E156" t="str">
            <v>RWS</v>
          </cell>
          <cell r="F156" t="str">
            <v>Dominic Gallello</v>
          </cell>
          <cell r="G156" t="str">
            <v>Tools</v>
          </cell>
          <cell r="I156" t="str">
            <v>R &amp; D</v>
          </cell>
        </row>
        <row r="157">
          <cell r="A157">
            <v>525</v>
          </cell>
          <cell r="B157" t="str">
            <v>Dreamweaver Development</v>
          </cell>
          <cell r="C157" t="str">
            <v>6R &amp; D / R&amp;D</v>
          </cell>
          <cell r="D157" t="str">
            <v>Dream Tools Group</v>
          </cell>
          <cell r="E157" t="str">
            <v>RWS</v>
          </cell>
          <cell r="F157" t="str">
            <v>Dominic Gallello</v>
          </cell>
          <cell r="G157" t="str">
            <v>Tools</v>
          </cell>
          <cell r="I157" t="str">
            <v>R &amp; D</v>
          </cell>
        </row>
        <row r="158">
          <cell r="A158">
            <v>526</v>
          </cell>
          <cell r="B158" t="str">
            <v>Dreamweaver QA</v>
          </cell>
          <cell r="C158" t="str">
            <v>6R &amp; D / R&amp;D</v>
          </cell>
          <cell r="D158" t="str">
            <v>Dream Tools Group</v>
          </cell>
          <cell r="E158" t="str">
            <v>RWS</v>
          </cell>
          <cell r="F158" t="str">
            <v>Dominic Gallello</v>
          </cell>
          <cell r="G158" t="str">
            <v>Tools</v>
          </cell>
          <cell r="I158" t="str">
            <v>R &amp; D</v>
          </cell>
        </row>
        <row r="159">
          <cell r="A159">
            <v>527</v>
          </cell>
          <cell r="B159" t="str">
            <v>Kawa R&amp;D - Inactive</v>
          </cell>
          <cell r="C159" t="str">
            <v>6R &amp; D / R&amp;D</v>
          </cell>
          <cell r="D159" t="str">
            <v>Dream Tools Group</v>
          </cell>
          <cell r="E159" t="str">
            <v>RWS</v>
          </cell>
          <cell r="F159" t="str">
            <v>Dominic Gallello</v>
          </cell>
          <cell r="G159" t="str">
            <v>Tools</v>
          </cell>
          <cell r="I159" t="str">
            <v>R &amp; D</v>
          </cell>
        </row>
        <row r="160">
          <cell r="A160">
            <v>528</v>
          </cell>
          <cell r="B160" t="str">
            <v>UltraDev Development</v>
          </cell>
          <cell r="C160" t="str">
            <v>6R &amp; D / R&amp;D</v>
          </cell>
          <cell r="D160" t="str">
            <v>Dream Tools Group</v>
          </cell>
          <cell r="E160" t="str">
            <v>RWS</v>
          </cell>
          <cell r="F160" t="str">
            <v>Dominic Gallello</v>
          </cell>
          <cell r="G160" t="str">
            <v>Tools</v>
          </cell>
          <cell r="I160" t="str">
            <v>R &amp; D</v>
          </cell>
        </row>
        <row r="161">
          <cell r="A161">
            <v>529</v>
          </cell>
          <cell r="B161" t="str">
            <v>Dreamweaver/UltraDev Mgmt</v>
          </cell>
          <cell r="C161" t="str">
            <v>6R &amp; D / R&amp;D</v>
          </cell>
          <cell r="D161" t="str">
            <v>Dream Tools Group</v>
          </cell>
          <cell r="E161" t="str">
            <v>SF</v>
          </cell>
          <cell r="F161" t="str">
            <v>Dominic Gallello</v>
          </cell>
          <cell r="G161" t="str">
            <v>Tools</v>
          </cell>
          <cell r="I161" t="str">
            <v>R &amp; D</v>
          </cell>
        </row>
        <row r="162">
          <cell r="A162">
            <v>530</v>
          </cell>
          <cell r="B162" t="str">
            <v>Cross BU Management</v>
          </cell>
          <cell r="C162" t="str">
            <v>6R &amp; D / R&amp;D</v>
          </cell>
          <cell r="D162" t="str">
            <v>Cross BU</v>
          </cell>
          <cell r="E162" t="str">
            <v>SF</v>
          </cell>
          <cell r="F162" t="str">
            <v>Kevin Lynch</v>
          </cell>
          <cell r="G162" t="str">
            <v>Corporate</v>
          </cell>
          <cell r="H162" t="str">
            <v>Cross BU</v>
          </cell>
          <cell r="I162" t="str">
            <v>R &amp; D</v>
          </cell>
        </row>
        <row r="163">
          <cell r="A163">
            <v>532</v>
          </cell>
          <cell r="B163" t="str">
            <v>Ringo Development</v>
          </cell>
          <cell r="C163" t="str">
            <v>6R &amp; D / R&amp;D</v>
          </cell>
          <cell r="D163" t="str">
            <v>Dream Tools Group</v>
          </cell>
          <cell r="E163" t="str">
            <v>SF</v>
          </cell>
          <cell r="F163" t="str">
            <v>Dominic Gallello</v>
          </cell>
          <cell r="G163" t="str">
            <v>Tools</v>
          </cell>
          <cell r="I163" t="str">
            <v>R &amp; D</v>
          </cell>
        </row>
        <row r="164">
          <cell r="A164">
            <v>534</v>
          </cell>
          <cell r="B164" t="str">
            <v>Beta Team</v>
          </cell>
          <cell r="C164" t="str">
            <v>6R &amp; D / R&amp;D</v>
          </cell>
          <cell r="D164" t="str">
            <v>Flash Group</v>
          </cell>
          <cell r="E164" t="str">
            <v>SF</v>
          </cell>
          <cell r="F164" t="str">
            <v>Dominic Gallello</v>
          </cell>
          <cell r="G164" t="str">
            <v>Tools</v>
          </cell>
          <cell r="I164" t="str">
            <v>R &amp; D</v>
          </cell>
        </row>
        <row r="165">
          <cell r="A165">
            <v>535</v>
          </cell>
          <cell r="B165" t="str">
            <v>Dreamweaver Exchange</v>
          </cell>
          <cell r="C165" t="str">
            <v>6R &amp; D / R&amp;D</v>
          </cell>
          <cell r="D165" t="str">
            <v>Dream Tools Group</v>
          </cell>
          <cell r="E165" t="str">
            <v>RWS</v>
          </cell>
          <cell r="F165" t="str">
            <v>Dominic Gallello</v>
          </cell>
          <cell r="G165" t="str">
            <v>Tools</v>
          </cell>
          <cell r="I165" t="str">
            <v>R &amp; D</v>
          </cell>
        </row>
        <row r="166">
          <cell r="A166">
            <v>536</v>
          </cell>
          <cell r="B166" t="str">
            <v>Tools Localization</v>
          </cell>
          <cell r="C166" t="str">
            <v>6R &amp; D / R&amp;D</v>
          </cell>
          <cell r="D166" t="str">
            <v>Flash Group</v>
          </cell>
          <cell r="E166" t="str">
            <v>SF</v>
          </cell>
          <cell r="F166" t="str">
            <v>Dominic Gallello</v>
          </cell>
          <cell r="G166" t="str">
            <v>Tools</v>
          </cell>
          <cell r="I166" t="str">
            <v>R &amp; D</v>
          </cell>
        </row>
        <row r="167">
          <cell r="A167">
            <v>537</v>
          </cell>
          <cell r="B167" t="str">
            <v>Localizations - Japan</v>
          </cell>
          <cell r="C167" t="str">
            <v>6R &amp; D / R&amp;D</v>
          </cell>
          <cell r="D167" t="str">
            <v>Sales &amp; Field Operations</v>
          </cell>
          <cell r="E167" t="str">
            <v>JPN</v>
          </cell>
          <cell r="F167" t="str">
            <v>Stephen Elop</v>
          </cell>
          <cell r="G167" t="str">
            <v>Corporate</v>
          </cell>
          <cell r="H167" t="str">
            <v>Sales &amp; Field Ops</v>
          </cell>
          <cell r="I167" t="str">
            <v>Sales - Japan</v>
          </cell>
        </row>
        <row r="168">
          <cell r="A168">
            <v>538</v>
          </cell>
          <cell r="B168" t="str">
            <v>Ringo QA</v>
          </cell>
          <cell r="C168" t="str">
            <v>6R &amp; D / R&amp;D</v>
          </cell>
          <cell r="D168" t="str">
            <v>Dream Tools Group</v>
          </cell>
          <cell r="E168" t="str">
            <v>RWS</v>
          </cell>
          <cell r="F168" t="str">
            <v>Dominic Gallello</v>
          </cell>
          <cell r="G168" t="str">
            <v>Tools</v>
          </cell>
          <cell r="I168" t="str">
            <v>R &amp; D</v>
          </cell>
        </row>
        <row r="169">
          <cell r="A169">
            <v>542</v>
          </cell>
          <cell r="B169" t="str">
            <v>Director QA</v>
          </cell>
          <cell r="C169" t="str">
            <v>6R &amp; D / R&amp;D</v>
          </cell>
          <cell r="D169" t="str">
            <v>Flash Group</v>
          </cell>
          <cell r="E169" t="str">
            <v>SF</v>
          </cell>
          <cell r="F169" t="str">
            <v>Dominic Gallello</v>
          </cell>
          <cell r="G169" t="str">
            <v>Tools</v>
          </cell>
          <cell r="I169" t="str">
            <v>R &amp; D</v>
          </cell>
        </row>
        <row r="170">
          <cell r="A170">
            <v>543</v>
          </cell>
          <cell r="B170" t="str">
            <v>Director Management</v>
          </cell>
          <cell r="C170" t="str">
            <v>6R &amp; D / R&amp;D</v>
          </cell>
          <cell r="D170" t="str">
            <v>Flash Group</v>
          </cell>
          <cell r="E170" t="str">
            <v>SF</v>
          </cell>
          <cell r="F170" t="str">
            <v>Dominic Gallello</v>
          </cell>
          <cell r="G170" t="str">
            <v>Tools</v>
          </cell>
          <cell r="I170" t="str">
            <v>R &amp; D</v>
          </cell>
        </row>
        <row r="171">
          <cell r="A171">
            <v>547</v>
          </cell>
          <cell r="B171" t="str">
            <v>Director Development</v>
          </cell>
          <cell r="C171" t="str">
            <v>6R &amp; D / R&amp;D</v>
          </cell>
          <cell r="D171" t="str">
            <v>Flash Group</v>
          </cell>
          <cell r="E171" t="str">
            <v>SF</v>
          </cell>
          <cell r="F171" t="str">
            <v>Dominic Gallello</v>
          </cell>
          <cell r="G171" t="str">
            <v>Tools</v>
          </cell>
          <cell r="I171" t="str">
            <v>R &amp; D</v>
          </cell>
        </row>
        <row r="172">
          <cell r="A172">
            <v>550</v>
          </cell>
          <cell r="B172" t="str">
            <v>Enterprise Development</v>
          </cell>
          <cell r="C172" t="str">
            <v>6R &amp; D / R&amp;D</v>
          </cell>
          <cell r="D172" t="str">
            <v>Server Group</v>
          </cell>
          <cell r="E172" t="str">
            <v>Newton</v>
          </cell>
          <cell r="F172" t="str">
            <v>Paul Madar</v>
          </cell>
          <cell r="G172" t="str">
            <v>Servers</v>
          </cell>
          <cell r="I172" t="str">
            <v>R &amp; D</v>
          </cell>
        </row>
        <row r="173">
          <cell r="A173">
            <v>551</v>
          </cell>
          <cell r="B173" t="str">
            <v>Flash for Applications</v>
          </cell>
          <cell r="C173" t="str">
            <v>6R &amp; D / R&amp;D</v>
          </cell>
          <cell r="D173" t="str">
            <v>Flash Group</v>
          </cell>
          <cell r="E173" t="str">
            <v>SF</v>
          </cell>
          <cell r="F173" t="str">
            <v>Dominic Gallello</v>
          </cell>
          <cell r="G173" t="str">
            <v>Tools</v>
          </cell>
          <cell r="I173" t="str">
            <v>R &amp; D</v>
          </cell>
        </row>
        <row r="174">
          <cell r="A174">
            <v>552</v>
          </cell>
          <cell r="B174" t="str">
            <v>Flash</v>
          </cell>
          <cell r="C174" t="str">
            <v>6R &amp; D / R&amp;D</v>
          </cell>
          <cell r="D174" t="str">
            <v>Flash Group</v>
          </cell>
          <cell r="E174" t="str">
            <v>SF</v>
          </cell>
          <cell r="F174" t="str">
            <v>Dominic Gallello</v>
          </cell>
          <cell r="G174" t="str">
            <v>Tools</v>
          </cell>
          <cell r="I174" t="str">
            <v>R &amp; D</v>
          </cell>
        </row>
        <row r="175">
          <cell r="A175">
            <v>553</v>
          </cell>
          <cell r="B175" t="str">
            <v>Generator Authoring</v>
          </cell>
          <cell r="C175" t="str">
            <v>6R &amp; D / R&amp;D</v>
          </cell>
          <cell r="D175" t="str">
            <v>Server Group</v>
          </cell>
          <cell r="E175" t="str">
            <v>SF</v>
          </cell>
          <cell r="F175" t="str">
            <v>Dominic Gallello</v>
          </cell>
          <cell r="G175" t="str">
            <v>Tools</v>
          </cell>
          <cell r="I175" t="str">
            <v>R &amp; D</v>
          </cell>
        </row>
        <row r="176">
          <cell r="A176">
            <v>555</v>
          </cell>
          <cell r="B176" t="str">
            <v>ColdFusion QA</v>
          </cell>
          <cell r="C176" t="str">
            <v>6R &amp; D / R&amp;D</v>
          </cell>
          <cell r="D176" t="str">
            <v>Server Group</v>
          </cell>
          <cell r="E176" t="str">
            <v>Newton</v>
          </cell>
          <cell r="F176" t="str">
            <v>Paul Madar</v>
          </cell>
          <cell r="G176" t="str">
            <v>Servers</v>
          </cell>
          <cell r="I176" t="str">
            <v>R &amp; D</v>
          </cell>
        </row>
        <row r="177">
          <cell r="A177">
            <v>556</v>
          </cell>
          <cell r="B177" t="str">
            <v>JRun QA</v>
          </cell>
          <cell r="C177" t="str">
            <v>6R &amp; D / R&amp;D</v>
          </cell>
          <cell r="D177" t="str">
            <v>Server Group</v>
          </cell>
          <cell r="E177" t="str">
            <v>Newton</v>
          </cell>
          <cell r="F177" t="str">
            <v>Paul Madar</v>
          </cell>
          <cell r="G177" t="str">
            <v>Servers</v>
          </cell>
          <cell r="I177" t="str">
            <v>R &amp; D</v>
          </cell>
        </row>
        <row r="178">
          <cell r="A178">
            <v>557</v>
          </cell>
          <cell r="B178" t="str">
            <v>Spectra QA</v>
          </cell>
          <cell r="C178" t="str">
            <v>6R &amp; D / R&amp;D</v>
          </cell>
          <cell r="D178" t="str">
            <v>Server Group</v>
          </cell>
          <cell r="E178" t="str">
            <v>Newton</v>
          </cell>
          <cell r="F178" t="str">
            <v>Paul Madar</v>
          </cell>
          <cell r="G178" t="str">
            <v>Servers</v>
          </cell>
          <cell r="I178" t="str">
            <v>R &amp; D</v>
          </cell>
        </row>
        <row r="179">
          <cell r="A179">
            <v>560</v>
          </cell>
          <cell r="B179" t="str">
            <v>Cross Product Resources-Texas</v>
          </cell>
          <cell r="C179" t="str">
            <v>6R &amp; D / R&amp;D</v>
          </cell>
          <cell r="D179" t="str">
            <v>Dream Tools Group</v>
          </cell>
          <cell r="E179" t="str">
            <v>Texas</v>
          </cell>
          <cell r="F179" t="str">
            <v>Dominic Gallello</v>
          </cell>
          <cell r="G179" t="str">
            <v>Tools</v>
          </cell>
          <cell r="I179" t="str">
            <v>R &amp; D</v>
          </cell>
        </row>
        <row r="180">
          <cell r="A180">
            <v>561</v>
          </cell>
          <cell r="B180" t="str">
            <v>Studio Dev/QA</v>
          </cell>
          <cell r="C180" t="str">
            <v>6R &amp; D / R&amp;D</v>
          </cell>
          <cell r="D180" t="str">
            <v>Dream Tools Group</v>
          </cell>
          <cell r="E180" t="str">
            <v>Texas</v>
          </cell>
          <cell r="F180" t="str">
            <v>Dominic Gallello</v>
          </cell>
          <cell r="G180" t="str">
            <v>Tools</v>
          </cell>
          <cell r="I180" t="str">
            <v>R &amp; D</v>
          </cell>
        </row>
        <row r="181">
          <cell r="A181">
            <v>562</v>
          </cell>
          <cell r="B181" t="str">
            <v>FreeHand R&amp;D - TX</v>
          </cell>
          <cell r="C181" t="str">
            <v>6R &amp; D / R&amp;D</v>
          </cell>
          <cell r="D181" t="str">
            <v>Flash Group</v>
          </cell>
          <cell r="E181" t="str">
            <v>Texas</v>
          </cell>
          <cell r="F181" t="str">
            <v>Dominic Gallello</v>
          </cell>
          <cell r="G181" t="str">
            <v>Tools</v>
          </cell>
          <cell r="I181" t="str">
            <v>R &amp; D</v>
          </cell>
        </row>
        <row r="182">
          <cell r="A182">
            <v>563</v>
          </cell>
          <cell r="B182" t="str">
            <v>Educational Development R&amp;D -</v>
          </cell>
          <cell r="C182" t="str">
            <v>6R &amp; D / R&amp;D</v>
          </cell>
          <cell r="D182" t="str">
            <v>Cross BU</v>
          </cell>
          <cell r="E182" t="str">
            <v>Texas</v>
          </cell>
          <cell r="F182" t="str">
            <v>Stephen Elop</v>
          </cell>
          <cell r="G182" t="str">
            <v>Corporate</v>
          </cell>
          <cell r="H182" t="str">
            <v>Sales &amp; Field Ops</v>
          </cell>
          <cell r="I182" t="str">
            <v>R &amp; D</v>
          </cell>
        </row>
        <row r="183">
          <cell r="A183">
            <v>565</v>
          </cell>
          <cell r="B183" t="str">
            <v>FreeHand SQA - Texas</v>
          </cell>
          <cell r="C183" t="str">
            <v>6R &amp; D / R&amp;D</v>
          </cell>
          <cell r="D183" t="str">
            <v>Flash Group</v>
          </cell>
          <cell r="E183" t="str">
            <v>Texas</v>
          </cell>
          <cell r="F183" t="str">
            <v>Dominic Gallello</v>
          </cell>
          <cell r="G183" t="str">
            <v>Tools</v>
          </cell>
          <cell r="I183" t="str">
            <v>R &amp; D</v>
          </cell>
        </row>
        <row r="184">
          <cell r="A184">
            <v>566</v>
          </cell>
          <cell r="B184" t="str">
            <v>Instructional Media - TX</v>
          </cell>
          <cell r="C184" t="str">
            <v>6R &amp; D / R&amp;D</v>
          </cell>
          <cell r="D184" t="str">
            <v>Cross BU</v>
          </cell>
          <cell r="E184" t="str">
            <v>Texas</v>
          </cell>
          <cell r="F184" t="str">
            <v>Kevin Lynch</v>
          </cell>
          <cell r="G184" t="str">
            <v>Corporate</v>
          </cell>
          <cell r="H184" t="str">
            <v>Cross BU</v>
          </cell>
          <cell r="I184" t="str">
            <v>R &amp; D</v>
          </cell>
        </row>
        <row r="185">
          <cell r="A185">
            <v>567</v>
          </cell>
          <cell r="B185" t="str">
            <v>Localization - TX</v>
          </cell>
          <cell r="C185" t="str">
            <v>6R &amp; D / R&amp;D</v>
          </cell>
          <cell r="D185" t="str">
            <v>Flash Group</v>
          </cell>
          <cell r="E185" t="str">
            <v>Texas</v>
          </cell>
          <cell r="F185" t="str">
            <v>Dominic Gallello</v>
          </cell>
          <cell r="G185" t="str">
            <v>Tools</v>
          </cell>
          <cell r="I185" t="str">
            <v>R &amp; D</v>
          </cell>
        </row>
        <row r="186">
          <cell r="A186">
            <v>568</v>
          </cell>
          <cell r="B186" t="str">
            <v>Texas Testing Resources</v>
          </cell>
          <cell r="C186" t="str">
            <v>6R &amp; D / R&amp;D</v>
          </cell>
          <cell r="D186" t="str">
            <v>Flash Group</v>
          </cell>
          <cell r="E186" t="str">
            <v>Texas</v>
          </cell>
          <cell r="F186" t="str">
            <v>Dominic Gallello</v>
          </cell>
          <cell r="G186" t="str">
            <v>Tools</v>
          </cell>
          <cell r="I186" t="str">
            <v>R &amp; D</v>
          </cell>
        </row>
        <row r="187">
          <cell r="A187">
            <v>569</v>
          </cell>
          <cell r="B187" t="str">
            <v>Fireworks Development</v>
          </cell>
          <cell r="C187" t="str">
            <v>6R &amp; D / R&amp;D</v>
          </cell>
          <cell r="D187" t="str">
            <v>Dream Tools Group</v>
          </cell>
          <cell r="E187" t="str">
            <v>Texas</v>
          </cell>
          <cell r="F187" t="str">
            <v>Dominic Gallello</v>
          </cell>
          <cell r="G187" t="str">
            <v>Tools</v>
          </cell>
          <cell r="I187" t="str">
            <v>R &amp; D</v>
          </cell>
        </row>
        <row r="188">
          <cell r="A188">
            <v>571</v>
          </cell>
          <cell r="B188" t="str">
            <v>R&amp;D Adjustments</v>
          </cell>
          <cell r="C188" t="str">
            <v>6R &amp; D / Bus Dev</v>
          </cell>
          <cell r="D188" t="str">
            <v>Dream Tools Group</v>
          </cell>
          <cell r="E188" t="str">
            <v>Non-Allocated</v>
          </cell>
          <cell r="F188" t="str">
            <v>N/A</v>
          </cell>
          <cell r="G188" t="str">
            <v>Tools</v>
          </cell>
          <cell r="I188" t="str">
            <v>R &amp; D</v>
          </cell>
        </row>
        <row r="189">
          <cell r="A189">
            <v>575</v>
          </cell>
          <cell r="B189" t="str">
            <v>Usability</v>
          </cell>
          <cell r="C189" t="str">
            <v>6R &amp; D / R&amp;D</v>
          </cell>
          <cell r="D189" t="str">
            <v>Flash Group</v>
          </cell>
          <cell r="E189" t="str">
            <v>SF</v>
          </cell>
          <cell r="F189" t="str">
            <v>Dominic Gallello</v>
          </cell>
          <cell r="G189" t="str">
            <v>Tools</v>
          </cell>
          <cell r="I189" t="str">
            <v>R &amp; D</v>
          </cell>
        </row>
        <row r="190">
          <cell r="A190">
            <v>579</v>
          </cell>
          <cell r="B190" t="str">
            <v>Adjustment - Inactive</v>
          </cell>
          <cell r="C190" t="str">
            <v>6R &amp; D / R&amp;D</v>
          </cell>
          <cell r="D190" t="str">
            <v>Flash Group</v>
          </cell>
          <cell r="E190" t="str">
            <v>Non-Allocated</v>
          </cell>
          <cell r="F190" t="str">
            <v>N/A</v>
          </cell>
          <cell r="G190" t="str">
            <v>Tools</v>
          </cell>
          <cell r="I190" t="str">
            <v>R &amp; D</v>
          </cell>
        </row>
        <row r="191">
          <cell r="A191">
            <v>582</v>
          </cell>
          <cell r="B191" t="str">
            <v>Whirlwind R&amp;D - MN</v>
          </cell>
          <cell r="C191" t="str">
            <v>6R &amp; D / R&amp;D</v>
          </cell>
          <cell r="D191" t="str">
            <v>Dream Tools Group</v>
          </cell>
          <cell r="E191" t="str">
            <v>Minnesota</v>
          </cell>
          <cell r="F191" t="str">
            <v>Dominic Gallello</v>
          </cell>
          <cell r="G191" t="str">
            <v>Tools</v>
          </cell>
          <cell r="I191" t="str">
            <v>R &amp; D</v>
          </cell>
        </row>
        <row r="192">
          <cell r="A192">
            <v>583</v>
          </cell>
          <cell r="B192" t="str">
            <v>Whirlwind R&amp;D - CA</v>
          </cell>
          <cell r="C192" t="str">
            <v>6R &amp; D / R&amp;D</v>
          </cell>
          <cell r="D192" t="str">
            <v>Flash Group</v>
          </cell>
          <cell r="E192" t="str">
            <v>SF</v>
          </cell>
          <cell r="F192" t="str">
            <v>Dominic Gallello</v>
          </cell>
          <cell r="G192" t="str">
            <v>Tools</v>
          </cell>
          <cell r="I192" t="str">
            <v>R &amp; D</v>
          </cell>
        </row>
        <row r="193">
          <cell r="A193">
            <v>584</v>
          </cell>
          <cell r="B193" t="str">
            <v>ARIA &amp; LM</v>
          </cell>
          <cell r="C193" t="str">
            <v>6R &amp; D / R&amp;D</v>
          </cell>
          <cell r="D193" t="str">
            <v>Sales &amp; Field Operations</v>
          </cell>
          <cell r="E193" t="str">
            <v>SF</v>
          </cell>
          <cell r="F193" t="str">
            <v>Stephen Elop</v>
          </cell>
          <cell r="G193" t="str">
            <v>Corporate</v>
          </cell>
          <cell r="H193" t="str">
            <v>Sales &amp; Field Ops</v>
          </cell>
          <cell r="I193" t="str">
            <v>R &amp; D</v>
          </cell>
        </row>
        <row r="194">
          <cell r="A194">
            <v>585</v>
          </cell>
          <cell r="B194" t="str">
            <v>Server Group Management</v>
          </cell>
          <cell r="C194" t="str">
            <v>6R &amp; D / R&amp;D</v>
          </cell>
          <cell r="D194" t="str">
            <v>Server Group</v>
          </cell>
          <cell r="E194" t="str">
            <v>Newton</v>
          </cell>
          <cell r="F194" t="str">
            <v>Paul Madar</v>
          </cell>
          <cell r="G194" t="str">
            <v>Servers</v>
          </cell>
          <cell r="I194" t="str">
            <v>R &amp; D</v>
          </cell>
        </row>
        <row r="195">
          <cell r="A195">
            <v>588</v>
          </cell>
          <cell r="B195" t="str">
            <v>Localization - Server Group</v>
          </cell>
          <cell r="C195" t="str">
            <v>6R &amp; D / R&amp;D</v>
          </cell>
          <cell r="D195" t="str">
            <v>Server Group</v>
          </cell>
          <cell r="E195" t="str">
            <v>Newton</v>
          </cell>
          <cell r="F195" t="str">
            <v>Paul Madar</v>
          </cell>
          <cell r="G195" t="str">
            <v>Servers</v>
          </cell>
          <cell r="I195" t="str">
            <v>R &amp; D</v>
          </cell>
        </row>
        <row r="196">
          <cell r="A196">
            <v>589</v>
          </cell>
          <cell r="B196" t="str">
            <v>Adjustment</v>
          </cell>
          <cell r="C196" t="str">
            <v>6R &amp; D / R&amp;D</v>
          </cell>
          <cell r="D196" t="str">
            <v>Server Group</v>
          </cell>
          <cell r="E196" t="str">
            <v>Non-Allocated</v>
          </cell>
          <cell r="F196" t="str">
            <v>N/A</v>
          </cell>
          <cell r="G196" t="str">
            <v>Servers</v>
          </cell>
          <cell r="I196" t="str">
            <v>R &amp; D</v>
          </cell>
        </row>
        <row r="197">
          <cell r="A197">
            <v>800</v>
          </cell>
          <cell r="B197" t="str">
            <v>Office of the President</v>
          </cell>
          <cell r="C197" t="str">
            <v>7G &amp; A / G&amp;A</v>
          </cell>
          <cell r="D197" t="str">
            <v>General &amp; Administrative</v>
          </cell>
          <cell r="E197" t="str">
            <v>SF</v>
          </cell>
          <cell r="F197" t="str">
            <v>Betsey Nelson</v>
          </cell>
          <cell r="G197" t="str">
            <v>Corporate</v>
          </cell>
          <cell r="H197" t="str">
            <v>G &amp; A</v>
          </cell>
          <cell r="I197" t="str">
            <v>G &amp; A</v>
          </cell>
        </row>
        <row r="198">
          <cell r="A198">
            <v>801</v>
          </cell>
          <cell r="B198" t="str">
            <v>Finance - Newton - Inactive</v>
          </cell>
          <cell r="C198" t="str">
            <v>7G &amp; A / G&amp;A</v>
          </cell>
          <cell r="D198" t="str">
            <v>General &amp; Administrative</v>
          </cell>
          <cell r="E198" t="str">
            <v>SF</v>
          </cell>
          <cell r="F198" t="str">
            <v>Betsey Nelson</v>
          </cell>
          <cell r="G198" t="str">
            <v>Corporate</v>
          </cell>
          <cell r="H198" t="str">
            <v>G &amp; A</v>
          </cell>
          <cell r="I198" t="str">
            <v>G &amp; A</v>
          </cell>
        </row>
        <row r="199">
          <cell r="A199">
            <v>802</v>
          </cell>
          <cell r="B199" t="str">
            <v>Finance - Revenue</v>
          </cell>
          <cell r="C199" t="str">
            <v>7G &amp; A / G&amp;A</v>
          </cell>
          <cell r="D199" t="str">
            <v>General &amp; Administrative</v>
          </cell>
          <cell r="E199" t="str">
            <v>SF</v>
          </cell>
          <cell r="F199" t="str">
            <v>Betsey Nelson</v>
          </cell>
          <cell r="G199" t="str">
            <v>Corporate</v>
          </cell>
          <cell r="H199" t="str">
            <v>G &amp; A</v>
          </cell>
          <cell r="I199" t="str">
            <v>G &amp; A</v>
          </cell>
        </row>
        <row r="200">
          <cell r="A200">
            <v>803</v>
          </cell>
          <cell r="B200" t="str">
            <v>Finance - Accounting</v>
          </cell>
          <cell r="C200" t="str">
            <v>7G &amp; A / G&amp;A</v>
          </cell>
          <cell r="D200" t="str">
            <v>General &amp; Administrative</v>
          </cell>
          <cell r="E200" t="str">
            <v>SF</v>
          </cell>
          <cell r="F200" t="str">
            <v>Betsey Nelson</v>
          </cell>
          <cell r="G200" t="str">
            <v>Corporate</v>
          </cell>
          <cell r="H200" t="str">
            <v>G &amp; A</v>
          </cell>
          <cell r="I200" t="str">
            <v>G &amp; A</v>
          </cell>
        </row>
        <row r="201">
          <cell r="A201">
            <v>804</v>
          </cell>
          <cell r="B201" t="str">
            <v>Finance - Projects</v>
          </cell>
          <cell r="C201" t="str">
            <v>7G &amp; A / G&amp;A</v>
          </cell>
          <cell r="D201" t="str">
            <v>General &amp; Administrative</v>
          </cell>
          <cell r="E201" t="str">
            <v>SF</v>
          </cell>
          <cell r="F201" t="str">
            <v>N/A</v>
          </cell>
          <cell r="G201" t="str">
            <v>Corporate</v>
          </cell>
          <cell r="H201" t="str">
            <v>G &amp; A</v>
          </cell>
          <cell r="I201" t="str">
            <v>G &amp; A</v>
          </cell>
        </row>
        <row r="202">
          <cell r="A202">
            <v>809</v>
          </cell>
          <cell r="B202" t="str">
            <v>Purchasing - Inactive</v>
          </cell>
          <cell r="C202" t="str">
            <v>7G &amp; A / G&amp;A</v>
          </cell>
          <cell r="D202" t="str">
            <v>General &amp; Administrative</v>
          </cell>
          <cell r="E202" t="str">
            <v>SF</v>
          </cell>
          <cell r="F202" t="str">
            <v>Betsey Nelson</v>
          </cell>
          <cell r="G202" t="str">
            <v>Corporate</v>
          </cell>
          <cell r="H202" t="str">
            <v>G &amp; A</v>
          </cell>
          <cell r="I202" t="str">
            <v>G &amp; A</v>
          </cell>
        </row>
        <row r="203">
          <cell r="A203">
            <v>810</v>
          </cell>
          <cell r="B203" t="str">
            <v>G&amp;A -Finance</v>
          </cell>
          <cell r="C203" t="str">
            <v>7G &amp; A / G&amp;A</v>
          </cell>
          <cell r="D203" t="str">
            <v>General &amp; Administrative</v>
          </cell>
          <cell r="E203" t="str">
            <v>SF</v>
          </cell>
          <cell r="F203" t="str">
            <v>Betsey Nelson</v>
          </cell>
          <cell r="G203" t="str">
            <v>Corporate</v>
          </cell>
          <cell r="H203" t="str">
            <v>G &amp; A</v>
          </cell>
          <cell r="I203" t="str">
            <v>G &amp; A</v>
          </cell>
        </row>
        <row r="204">
          <cell r="A204">
            <v>811</v>
          </cell>
          <cell r="B204" t="str">
            <v>Corporate Development</v>
          </cell>
          <cell r="C204" t="str">
            <v>7G &amp; A / G&amp;A</v>
          </cell>
          <cell r="D204" t="str">
            <v>General &amp; Administrative</v>
          </cell>
          <cell r="E204" t="str">
            <v>SF</v>
          </cell>
          <cell r="F204" t="str">
            <v>Betsey Nelson</v>
          </cell>
          <cell r="G204" t="str">
            <v>Corporate</v>
          </cell>
          <cell r="H204" t="str">
            <v>G &amp; A</v>
          </cell>
          <cell r="I204" t="str">
            <v>G &amp; A</v>
          </cell>
        </row>
        <row r="205">
          <cell r="A205">
            <v>815</v>
          </cell>
          <cell r="B205" t="str">
            <v>G&amp;A -Operations</v>
          </cell>
          <cell r="C205" t="str">
            <v>7G &amp; A / G&amp;A</v>
          </cell>
          <cell r="D205" t="str">
            <v>Sales &amp; Field Operations</v>
          </cell>
          <cell r="E205" t="str">
            <v>SF</v>
          </cell>
          <cell r="F205" t="str">
            <v>Stephen Elop</v>
          </cell>
          <cell r="G205" t="str">
            <v>Corporate</v>
          </cell>
          <cell r="H205" t="str">
            <v>Sales &amp; Field Ops</v>
          </cell>
          <cell r="I205" t="str">
            <v>Ops - G&amp;A</v>
          </cell>
        </row>
        <row r="206">
          <cell r="A206">
            <v>820</v>
          </cell>
          <cell r="B206" t="str">
            <v>G&amp;A -Human Resources</v>
          </cell>
          <cell r="C206" t="str">
            <v>7G &amp; A / G&amp;A</v>
          </cell>
          <cell r="D206" t="str">
            <v>General &amp; Administrative</v>
          </cell>
          <cell r="E206" t="str">
            <v>SF</v>
          </cell>
          <cell r="F206" t="str">
            <v>Betsey Nelson</v>
          </cell>
          <cell r="G206" t="str">
            <v>Corporate</v>
          </cell>
          <cell r="H206" t="str">
            <v>G &amp; A</v>
          </cell>
          <cell r="I206" t="str">
            <v>G &amp; A</v>
          </cell>
        </row>
        <row r="207">
          <cell r="A207">
            <v>821</v>
          </cell>
          <cell r="B207" t="str">
            <v>G &amp; A -Recruiting</v>
          </cell>
          <cell r="C207" t="str">
            <v>7G &amp; A / G&amp;A</v>
          </cell>
          <cell r="D207" t="str">
            <v>General &amp; Administrative</v>
          </cell>
          <cell r="E207" t="str">
            <v>SF</v>
          </cell>
          <cell r="F207" t="str">
            <v>Betsey Nelson</v>
          </cell>
          <cell r="G207" t="str">
            <v>Corporate</v>
          </cell>
          <cell r="H207" t="str">
            <v>G &amp; A</v>
          </cell>
          <cell r="I207" t="str">
            <v>G &amp; A</v>
          </cell>
        </row>
        <row r="208">
          <cell r="A208">
            <v>822</v>
          </cell>
          <cell r="B208" t="str">
            <v>G&amp;A -Human Resources</v>
          </cell>
          <cell r="C208" t="str">
            <v>7G &amp; A / G&amp;A</v>
          </cell>
          <cell r="D208" t="str">
            <v>General &amp; Administrative</v>
          </cell>
          <cell r="E208" t="str">
            <v>SF</v>
          </cell>
          <cell r="F208" t="str">
            <v>Betsey Nelson</v>
          </cell>
          <cell r="G208" t="str">
            <v>Corporate</v>
          </cell>
          <cell r="H208" t="str">
            <v>G &amp; A</v>
          </cell>
          <cell r="I208" t="str">
            <v>G &amp; A</v>
          </cell>
        </row>
        <row r="209">
          <cell r="A209">
            <v>824</v>
          </cell>
          <cell r="B209" t="str">
            <v>G&amp;A -Finance</v>
          </cell>
          <cell r="C209" t="str">
            <v>7G &amp; A / G&amp;A</v>
          </cell>
          <cell r="D209" t="str">
            <v>General &amp; Administrative</v>
          </cell>
          <cell r="E209" t="str">
            <v>SF</v>
          </cell>
          <cell r="F209" t="str">
            <v>Betsey Nelson</v>
          </cell>
          <cell r="G209" t="str">
            <v>Corporate</v>
          </cell>
          <cell r="H209" t="str">
            <v>G &amp; A</v>
          </cell>
          <cell r="I209" t="str">
            <v>G &amp; A</v>
          </cell>
        </row>
        <row r="210">
          <cell r="A210">
            <v>825</v>
          </cell>
          <cell r="B210" t="str">
            <v>G&amp;A -Investor Relations</v>
          </cell>
          <cell r="C210" t="str">
            <v>7G &amp; A / G&amp;A</v>
          </cell>
          <cell r="D210" t="str">
            <v>General &amp; Administrative</v>
          </cell>
          <cell r="E210" t="str">
            <v>SF</v>
          </cell>
          <cell r="F210" t="str">
            <v>Betsey Nelson</v>
          </cell>
          <cell r="G210" t="str">
            <v>Corporate</v>
          </cell>
          <cell r="H210" t="str">
            <v>G &amp; A</v>
          </cell>
          <cell r="I210" t="str">
            <v>G &amp; A</v>
          </cell>
        </row>
        <row r="211">
          <cell r="A211">
            <v>829</v>
          </cell>
          <cell r="B211" t="str">
            <v>Adjustment - G&amp;A</v>
          </cell>
          <cell r="C211" t="str">
            <v>7G &amp; A / G&amp;A</v>
          </cell>
          <cell r="D211" t="str">
            <v>General &amp; Administrative</v>
          </cell>
          <cell r="E211" t="str">
            <v>SF</v>
          </cell>
          <cell r="F211" t="str">
            <v>N/A</v>
          </cell>
          <cell r="G211" t="str">
            <v>Corporate</v>
          </cell>
          <cell r="H211" t="str">
            <v>G &amp; A</v>
          </cell>
          <cell r="I211" t="str">
            <v>G &amp; A</v>
          </cell>
        </row>
        <row r="212">
          <cell r="A212">
            <v>830</v>
          </cell>
          <cell r="B212" t="str">
            <v>G&amp;A -Legal</v>
          </cell>
          <cell r="C212" t="str">
            <v>7G &amp; A / G&amp;A</v>
          </cell>
          <cell r="D212" t="str">
            <v>General &amp; Administrative</v>
          </cell>
          <cell r="E212" t="str">
            <v>SF</v>
          </cell>
          <cell r="F212" t="str">
            <v>Betsey Nelson</v>
          </cell>
          <cell r="G212" t="str">
            <v>Corporate</v>
          </cell>
          <cell r="H212" t="str">
            <v>G &amp; A</v>
          </cell>
          <cell r="I212" t="str">
            <v>G &amp; A</v>
          </cell>
        </row>
        <row r="213">
          <cell r="A213">
            <v>835</v>
          </cell>
          <cell r="B213" t="str">
            <v>Order Services</v>
          </cell>
          <cell r="C213" t="str">
            <v>7G &amp; A / G&amp;A</v>
          </cell>
          <cell r="D213" t="str">
            <v>Sales &amp; Field Operations</v>
          </cell>
          <cell r="E213" t="str">
            <v>SF</v>
          </cell>
          <cell r="F213" t="str">
            <v>Stephen Elop</v>
          </cell>
          <cell r="G213" t="str">
            <v>Corporate</v>
          </cell>
          <cell r="H213" t="str">
            <v>Sales &amp; Field Ops</v>
          </cell>
          <cell r="I213" t="str">
            <v>Ops - G&amp;A</v>
          </cell>
        </row>
        <row r="214">
          <cell r="A214">
            <v>836</v>
          </cell>
          <cell r="B214" t="str">
            <v>Credit</v>
          </cell>
          <cell r="C214" t="str">
            <v>7G &amp; A / G&amp;A</v>
          </cell>
          <cell r="D214" t="str">
            <v>General &amp; Administrative</v>
          </cell>
          <cell r="E214" t="str">
            <v>SF</v>
          </cell>
          <cell r="F214" t="str">
            <v>Betsey Nelson</v>
          </cell>
          <cell r="G214" t="str">
            <v>Corporate</v>
          </cell>
          <cell r="H214" t="str">
            <v>G &amp; A</v>
          </cell>
          <cell r="I214" t="str">
            <v>G &amp; A</v>
          </cell>
        </row>
        <row r="215">
          <cell r="A215">
            <v>845</v>
          </cell>
          <cell r="B215" t="str">
            <v>Security</v>
          </cell>
          <cell r="C215" t="str">
            <v>7G &amp; A / G&amp;A</v>
          </cell>
          <cell r="D215" t="str">
            <v>Sales &amp; Field Operations</v>
          </cell>
          <cell r="E215" t="str">
            <v>SF</v>
          </cell>
          <cell r="F215" t="str">
            <v>Stephen Elop</v>
          </cell>
          <cell r="G215" t="str">
            <v>Corporate</v>
          </cell>
          <cell r="H215" t="str">
            <v>Sales &amp; Field Ops</v>
          </cell>
          <cell r="I215" t="str">
            <v>Ops - G&amp;A</v>
          </cell>
        </row>
        <row r="216">
          <cell r="A216">
            <v>850</v>
          </cell>
          <cell r="B216" t="str">
            <v>Tax &amp; Treasury</v>
          </cell>
          <cell r="C216" t="str">
            <v>7G &amp; A / G&amp;A</v>
          </cell>
          <cell r="D216" t="str">
            <v>General &amp; Administrative</v>
          </cell>
          <cell r="E216" t="str">
            <v>SF</v>
          </cell>
          <cell r="F216" t="str">
            <v>Betsey Nelson</v>
          </cell>
          <cell r="G216" t="str">
            <v>Corporate</v>
          </cell>
          <cell r="H216" t="str">
            <v>G &amp; A</v>
          </cell>
          <cell r="I216" t="str">
            <v>G &amp; A</v>
          </cell>
        </row>
        <row r="217">
          <cell r="A217">
            <v>875</v>
          </cell>
          <cell r="B217" t="str">
            <v>Finance - Accounting</v>
          </cell>
          <cell r="C217" t="str">
            <v>7G &amp; A / G&amp;A</v>
          </cell>
          <cell r="D217" t="str">
            <v>General &amp; Administrative</v>
          </cell>
          <cell r="E217" t="str">
            <v>SF</v>
          </cell>
          <cell r="F217" t="str">
            <v>Betsey Nelson</v>
          </cell>
          <cell r="G217" t="str">
            <v>Corporate</v>
          </cell>
          <cell r="H217" t="str">
            <v>G &amp; A</v>
          </cell>
          <cell r="I217" t="str">
            <v>G &amp; A</v>
          </cell>
        </row>
        <row r="218">
          <cell r="A218">
            <v>880</v>
          </cell>
          <cell r="B218" t="str">
            <v>Field Readiness - Inactive</v>
          </cell>
          <cell r="C218" t="str">
            <v>7G &amp; A / G&amp;A</v>
          </cell>
          <cell r="D218" t="str">
            <v>Sales &amp; Field Operations</v>
          </cell>
          <cell r="E218" t="str">
            <v>SF</v>
          </cell>
          <cell r="F218" t="str">
            <v>Stephen Elop</v>
          </cell>
          <cell r="G218" t="str">
            <v>Corporate</v>
          </cell>
          <cell r="H218" t="str">
            <v>Sales &amp; Field Ops</v>
          </cell>
          <cell r="I218" t="str">
            <v>Edu Svcs</v>
          </cell>
        </row>
        <row r="219">
          <cell r="A219">
            <v>881</v>
          </cell>
          <cell r="B219" t="str">
            <v>WP Management (TX) - Inactive</v>
          </cell>
          <cell r="C219" t="str">
            <v>7G &amp; A / G&amp;A</v>
          </cell>
          <cell r="D219" t="str">
            <v>Facilities</v>
          </cell>
          <cell r="E219" t="str">
            <v>Texas</v>
          </cell>
          <cell r="F219" t="str">
            <v>Kevin Lynch</v>
          </cell>
          <cell r="G219" t="str">
            <v>Corporate</v>
          </cell>
          <cell r="H219" t="str">
            <v>Cross BU</v>
          </cell>
          <cell r="I219" t="str">
            <v>G &amp; A</v>
          </cell>
        </row>
        <row r="220">
          <cell r="A220">
            <v>882</v>
          </cell>
          <cell r="B220" t="str">
            <v>CLM F/A Adjusted Life- G&amp;A</v>
          </cell>
          <cell r="C220" t="str">
            <v>2G&amp;A / G&amp;A</v>
          </cell>
          <cell r="D220" t="str">
            <v>General &amp; Administrative</v>
          </cell>
          <cell r="E220" t="str">
            <v>SF</v>
          </cell>
          <cell r="F220" t="str">
            <v>N/A</v>
          </cell>
          <cell r="G220" t="str">
            <v>Corporate</v>
          </cell>
          <cell r="H220" t="str">
            <v>G &amp; A</v>
          </cell>
          <cell r="I220" t="str">
            <v>G &amp; A</v>
          </cell>
        </row>
        <row r="221">
          <cell r="A221">
            <v>899</v>
          </cell>
          <cell r="B221" t="str">
            <v>Korea Transfer Price Cost - BV</v>
          </cell>
          <cell r="C221" t="str">
            <v>7G &amp; A / G&amp;A</v>
          </cell>
          <cell r="D221" t="str">
            <v>General &amp; Administrative</v>
          </cell>
          <cell r="E221" t="str">
            <v>SF</v>
          </cell>
          <cell r="F221" t="str">
            <v>N/A</v>
          </cell>
          <cell r="G221" t="str">
            <v>Corporate</v>
          </cell>
          <cell r="H221" t="str">
            <v>G &amp; A</v>
          </cell>
          <cell r="I221" t="str">
            <v>G &amp; A</v>
          </cell>
        </row>
        <row r="222">
          <cell r="A222">
            <v>900</v>
          </cell>
          <cell r="B222" t="str">
            <v>1750 Alameda</v>
          </cell>
          <cell r="C222" t="str">
            <v>9ChargeBack / Facilities</v>
          </cell>
          <cell r="D222" t="str">
            <v>Facilities</v>
          </cell>
          <cell r="E222" t="str">
            <v>SF</v>
          </cell>
          <cell r="F222" t="str">
            <v>Jim Morgensen</v>
          </cell>
          <cell r="G222" t="str">
            <v>Corporate</v>
          </cell>
          <cell r="H222" t="str">
            <v>Facilities</v>
          </cell>
          <cell r="I222" t="str">
            <v>Facilities</v>
          </cell>
        </row>
        <row r="223">
          <cell r="A223">
            <v>901</v>
          </cell>
          <cell r="B223" t="str">
            <v>450 Rhode Island - Inactive</v>
          </cell>
          <cell r="C223" t="str">
            <v>9ChargeBack / Facilities</v>
          </cell>
          <cell r="D223" t="str">
            <v>Facilities</v>
          </cell>
          <cell r="E223" t="str">
            <v>SF</v>
          </cell>
          <cell r="F223" t="str">
            <v>Jim Morgensen</v>
          </cell>
          <cell r="G223" t="str">
            <v>Corporate</v>
          </cell>
          <cell r="H223" t="str">
            <v>Facilities</v>
          </cell>
          <cell r="I223" t="str">
            <v>Facilities</v>
          </cell>
        </row>
        <row r="224">
          <cell r="A224">
            <v>902</v>
          </cell>
          <cell r="B224" t="str">
            <v>Time 4/Minneapolis</v>
          </cell>
          <cell r="C224" t="str">
            <v>9ChargeBack / Facilities</v>
          </cell>
          <cell r="D224" t="str">
            <v>Facilities</v>
          </cell>
          <cell r="E224" t="str">
            <v>SF</v>
          </cell>
          <cell r="F224" t="str">
            <v>Jim Morgensen</v>
          </cell>
          <cell r="G224" t="str">
            <v>Corporate</v>
          </cell>
          <cell r="H224" t="str">
            <v>Facilities</v>
          </cell>
          <cell r="I224" t="str">
            <v>Facilities</v>
          </cell>
        </row>
        <row r="225">
          <cell r="A225">
            <v>903</v>
          </cell>
          <cell r="B225" t="str">
            <v>Pleasanton - Inactive</v>
          </cell>
          <cell r="C225" t="str">
            <v>9ChargeBack / Facilities</v>
          </cell>
          <cell r="D225" t="str">
            <v>Facilities</v>
          </cell>
          <cell r="E225" t="str">
            <v>Pleasanton</v>
          </cell>
          <cell r="F225" t="str">
            <v>Jim Morgensen</v>
          </cell>
          <cell r="G225" t="str">
            <v>Corporate</v>
          </cell>
          <cell r="H225" t="str">
            <v>Facilities</v>
          </cell>
          <cell r="I225" t="str">
            <v>Facilities</v>
          </cell>
        </row>
        <row r="226">
          <cell r="A226">
            <v>904</v>
          </cell>
          <cell r="B226" t="str">
            <v>606 Townsend - Concourse</v>
          </cell>
          <cell r="C226" t="str">
            <v>9ChargeBack / Facilities</v>
          </cell>
          <cell r="D226" t="str">
            <v>Facilities</v>
          </cell>
          <cell r="E226" t="str">
            <v>SF</v>
          </cell>
          <cell r="F226" t="str">
            <v>Jim Morgensen</v>
          </cell>
          <cell r="G226" t="str">
            <v>Corporate</v>
          </cell>
          <cell r="H226" t="str">
            <v>Facilities</v>
          </cell>
          <cell r="I226" t="str">
            <v>Facilities</v>
          </cell>
        </row>
        <row r="227">
          <cell r="A227">
            <v>905</v>
          </cell>
          <cell r="B227" t="str">
            <v>Facilities- New Jersey</v>
          </cell>
          <cell r="C227" t="str">
            <v>9ChargeBack / Facilities</v>
          </cell>
          <cell r="D227" t="str">
            <v>Facilities</v>
          </cell>
          <cell r="E227" t="str">
            <v>New Jersey</v>
          </cell>
          <cell r="F227" t="str">
            <v>Jim Morgensen</v>
          </cell>
          <cell r="G227" t="str">
            <v>Corporate</v>
          </cell>
          <cell r="H227" t="str">
            <v>Facilities</v>
          </cell>
          <cell r="I227" t="str">
            <v>Facilities</v>
          </cell>
        </row>
        <row r="228">
          <cell r="A228">
            <v>906</v>
          </cell>
          <cell r="B228" t="str">
            <v>Facilties - SF REAF</v>
          </cell>
          <cell r="C228" t="str">
            <v>9ChargeBack / Facilities</v>
          </cell>
          <cell r="D228" t="str">
            <v>Facilities</v>
          </cell>
          <cell r="E228" t="str">
            <v>SF</v>
          </cell>
          <cell r="F228" t="str">
            <v>Jim Morgensen</v>
          </cell>
          <cell r="G228" t="str">
            <v>Corporate</v>
          </cell>
          <cell r="H228" t="str">
            <v>Facilities</v>
          </cell>
          <cell r="I228" t="str">
            <v>Facilities</v>
          </cell>
        </row>
        <row r="229">
          <cell r="A229">
            <v>907</v>
          </cell>
          <cell r="B229" t="str">
            <v>Facilities - Nashua</v>
          </cell>
          <cell r="C229" t="str">
            <v>9ChargeBack / Facilities</v>
          </cell>
          <cell r="D229" t="str">
            <v>Facilities</v>
          </cell>
          <cell r="E229" t="str">
            <v>Boston</v>
          </cell>
          <cell r="F229" t="str">
            <v>Jim Morgensen</v>
          </cell>
          <cell r="G229" t="str">
            <v>Corporate</v>
          </cell>
          <cell r="H229" t="str">
            <v>Facilities</v>
          </cell>
          <cell r="I229" t="str">
            <v>Facilities</v>
          </cell>
        </row>
        <row r="230">
          <cell r="A230">
            <v>908</v>
          </cell>
          <cell r="B230" t="str">
            <v>Facilities - Riverside</v>
          </cell>
          <cell r="C230" t="str">
            <v>9ChargeBack / Facilities</v>
          </cell>
          <cell r="D230" t="str">
            <v>Facilities</v>
          </cell>
          <cell r="E230" t="str">
            <v>Boston</v>
          </cell>
          <cell r="F230" t="str">
            <v>Jim Morgensen</v>
          </cell>
          <cell r="G230" t="str">
            <v>Corporate</v>
          </cell>
          <cell r="H230" t="str">
            <v>Facilities</v>
          </cell>
          <cell r="I230" t="str">
            <v>Facilities</v>
          </cell>
        </row>
        <row r="231">
          <cell r="A231">
            <v>909</v>
          </cell>
          <cell r="B231" t="str">
            <v>Facilities - Chicago</v>
          </cell>
          <cell r="C231" t="str">
            <v>9ChargeBack / Facilities</v>
          </cell>
          <cell r="D231" t="str">
            <v>Facilities</v>
          </cell>
          <cell r="E231" t="str">
            <v>Chicago</v>
          </cell>
          <cell r="F231" t="str">
            <v>Jim Morgensen</v>
          </cell>
          <cell r="G231" t="str">
            <v>Corporate</v>
          </cell>
          <cell r="H231" t="str">
            <v>Facilities</v>
          </cell>
          <cell r="I231" t="str">
            <v>Facilities</v>
          </cell>
        </row>
        <row r="232">
          <cell r="A232">
            <v>910</v>
          </cell>
          <cell r="B232" t="str">
            <v>Facilities - SF</v>
          </cell>
          <cell r="C232" t="str">
            <v>9ChargeBack / Facilities</v>
          </cell>
          <cell r="D232" t="str">
            <v>Facilities</v>
          </cell>
          <cell r="E232" t="str">
            <v>SF</v>
          </cell>
          <cell r="F232" t="str">
            <v>Jim Morgensen</v>
          </cell>
          <cell r="G232" t="str">
            <v>Corporate</v>
          </cell>
          <cell r="H232" t="str">
            <v>Facilities</v>
          </cell>
          <cell r="I232" t="str">
            <v>Facilities</v>
          </cell>
        </row>
        <row r="233">
          <cell r="A233">
            <v>912</v>
          </cell>
          <cell r="B233" t="str">
            <v>650 Townsend 4th</v>
          </cell>
          <cell r="C233" t="str">
            <v>9ChargeBack / Facilities</v>
          </cell>
          <cell r="D233" t="str">
            <v>Facilities</v>
          </cell>
          <cell r="E233" t="str">
            <v>SF</v>
          </cell>
          <cell r="F233" t="str">
            <v>Jim Morgensen</v>
          </cell>
          <cell r="G233" t="str">
            <v>Corporate</v>
          </cell>
          <cell r="H233" t="str">
            <v>Facilities</v>
          </cell>
          <cell r="I233" t="str">
            <v>Facilities</v>
          </cell>
        </row>
        <row r="234">
          <cell r="A234">
            <v>915</v>
          </cell>
          <cell r="B234" t="str">
            <v>Facilities - RWS</v>
          </cell>
          <cell r="C234" t="str">
            <v>9ChargeBack / Facilities</v>
          </cell>
          <cell r="D234" t="str">
            <v>Facilities</v>
          </cell>
          <cell r="E234" t="str">
            <v>RWS</v>
          </cell>
          <cell r="F234" t="str">
            <v>Jim Morgensen</v>
          </cell>
          <cell r="G234" t="str">
            <v>Corporate</v>
          </cell>
          <cell r="H234" t="str">
            <v>Facilities</v>
          </cell>
          <cell r="I234" t="str">
            <v>Facilities</v>
          </cell>
        </row>
        <row r="235">
          <cell r="A235">
            <v>916</v>
          </cell>
          <cell r="B235" t="str">
            <v>eBS Facilities</v>
          </cell>
          <cell r="C235" t="str">
            <v>9ChargeBack / Facilities</v>
          </cell>
          <cell r="D235" t="str">
            <v>Facilities</v>
          </cell>
          <cell r="E235" t="str">
            <v>SF</v>
          </cell>
          <cell r="F235" t="str">
            <v>Jim Morgensen</v>
          </cell>
          <cell r="G235" t="str">
            <v>Corporate</v>
          </cell>
          <cell r="H235" t="str">
            <v>Facilities</v>
          </cell>
          <cell r="I235" t="str">
            <v>Facilities</v>
          </cell>
        </row>
        <row r="236">
          <cell r="A236">
            <v>917</v>
          </cell>
          <cell r="B236" t="str">
            <v>Facilities - Exec. Suites - A</v>
          </cell>
          <cell r="C236" t="str">
            <v>9ChargeBack / Facilities</v>
          </cell>
          <cell r="D236" t="str">
            <v>Facilities</v>
          </cell>
          <cell r="E236" t="str">
            <v>SF</v>
          </cell>
          <cell r="F236" t="str">
            <v>Jim Morgensen</v>
          </cell>
          <cell r="G236" t="str">
            <v>Corporate</v>
          </cell>
          <cell r="H236" t="str">
            <v>Facilities</v>
          </cell>
          <cell r="I236" t="str">
            <v>Facilities</v>
          </cell>
        </row>
        <row r="237">
          <cell r="A237">
            <v>919</v>
          </cell>
          <cell r="B237" t="str">
            <v>Facilities - Exec. Suites - AL</v>
          </cell>
          <cell r="C237" t="str">
            <v>9ChargeBack / Facilities</v>
          </cell>
          <cell r="D237" t="str">
            <v>Facilities</v>
          </cell>
          <cell r="E237" t="str">
            <v>SF</v>
          </cell>
          <cell r="F237" t="str">
            <v>Jim Morgensen</v>
          </cell>
          <cell r="G237" t="str">
            <v>Corporate</v>
          </cell>
          <cell r="H237" t="str">
            <v>Facilities</v>
          </cell>
          <cell r="I237" t="str">
            <v>Facilities</v>
          </cell>
        </row>
        <row r="238">
          <cell r="A238">
            <v>920</v>
          </cell>
          <cell r="B238" t="str">
            <v>Facilities - Texas</v>
          </cell>
          <cell r="C238" t="str">
            <v>9ChargeBack / Facilities</v>
          </cell>
          <cell r="D238" t="str">
            <v>Facilities</v>
          </cell>
          <cell r="E238" t="str">
            <v>Texas</v>
          </cell>
          <cell r="F238" t="str">
            <v>Jim Morgensen</v>
          </cell>
          <cell r="G238" t="str">
            <v>Corporate</v>
          </cell>
          <cell r="H238" t="str">
            <v>Facilities</v>
          </cell>
          <cell r="I238" t="str">
            <v>Facilities</v>
          </cell>
        </row>
        <row r="239">
          <cell r="A239">
            <v>921</v>
          </cell>
          <cell r="B239" t="str">
            <v>Maryland IT Offices</v>
          </cell>
          <cell r="C239" t="str">
            <v>9ChargeBack / Facilities</v>
          </cell>
          <cell r="D239" t="str">
            <v>Facilities</v>
          </cell>
          <cell r="E239" t="str">
            <v>Maryland</v>
          </cell>
          <cell r="F239" t="str">
            <v>Jim Morgensen</v>
          </cell>
          <cell r="G239" t="str">
            <v>Corporate</v>
          </cell>
          <cell r="H239" t="str">
            <v>Facilities</v>
          </cell>
          <cell r="I239" t="str">
            <v>Facilities</v>
          </cell>
        </row>
        <row r="240">
          <cell r="A240">
            <v>922</v>
          </cell>
          <cell r="B240" t="str">
            <v>IT Strategic Consulting</v>
          </cell>
          <cell r="C240" t="str">
            <v>9ChargeBack / IT</v>
          </cell>
          <cell r="D240" t="str">
            <v>Information Technology</v>
          </cell>
          <cell r="E240" t="str">
            <v>SF</v>
          </cell>
          <cell r="F240" t="str">
            <v>Tim Keefe</v>
          </cell>
          <cell r="G240" t="str">
            <v>Corporate</v>
          </cell>
          <cell r="H240" t="str">
            <v>IT</v>
          </cell>
          <cell r="I240" t="str">
            <v>IT</v>
          </cell>
        </row>
        <row r="241">
          <cell r="A241">
            <v>923</v>
          </cell>
          <cell r="B241" t="str">
            <v>IT Macromedia Online</v>
          </cell>
          <cell r="C241" t="str">
            <v>9ChargeBack / IT</v>
          </cell>
          <cell r="D241" t="str">
            <v>Information Technology</v>
          </cell>
          <cell r="E241" t="str">
            <v>SF</v>
          </cell>
          <cell r="F241" t="str">
            <v>Tim Keefe</v>
          </cell>
          <cell r="G241" t="str">
            <v>Corporate</v>
          </cell>
          <cell r="H241" t="str">
            <v>IT</v>
          </cell>
          <cell r="I241" t="str">
            <v>IT</v>
          </cell>
        </row>
        <row r="242">
          <cell r="A242">
            <v>924</v>
          </cell>
          <cell r="B242" t="str">
            <v>IT Enterprise Engineering</v>
          </cell>
          <cell r="C242" t="str">
            <v>9ChargeBack / IT</v>
          </cell>
          <cell r="D242" t="str">
            <v>Information Technology</v>
          </cell>
          <cell r="E242" t="str">
            <v>SF</v>
          </cell>
          <cell r="F242" t="str">
            <v>Tim Keefe</v>
          </cell>
          <cell r="G242" t="str">
            <v>Corporate</v>
          </cell>
          <cell r="H242" t="str">
            <v>IT</v>
          </cell>
          <cell r="I242" t="str">
            <v>IT</v>
          </cell>
        </row>
        <row r="243">
          <cell r="A243">
            <v>925</v>
          </cell>
          <cell r="B243" t="str">
            <v>IT Minnesota</v>
          </cell>
          <cell r="C243" t="str">
            <v>9ChargeBack / IT</v>
          </cell>
          <cell r="D243" t="str">
            <v>Information Technology</v>
          </cell>
          <cell r="E243" t="str">
            <v>Minnesota</v>
          </cell>
          <cell r="F243" t="str">
            <v>Tim Keefe</v>
          </cell>
          <cell r="G243" t="str">
            <v>Corporate</v>
          </cell>
          <cell r="H243" t="str">
            <v>IT</v>
          </cell>
          <cell r="I243" t="str">
            <v>IT</v>
          </cell>
        </row>
        <row r="244">
          <cell r="A244">
            <v>933</v>
          </cell>
          <cell r="B244" t="str">
            <v>IT Applications Engineering</v>
          </cell>
          <cell r="C244" t="str">
            <v>9ChargeBack / IT</v>
          </cell>
          <cell r="D244" t="str">
            <v>Information Technology</v>
          </cell>
          <cell r="E244" t="str">
            <v>SF</v>
          </cell>
          <cell r="F244" t="str">
            <v>Tim Keefe</v>
          </cell>
          <cell r="G244" t="str">
            <v>Corporate</v>
          </cell>
          <cell r="H244" t="str">
            <v>IT</v>
          </cell>
          <cell r="I244" t="str">
            <v>IT</v>
          </cell>
        </row>
        <row r="245">
          <cell r="A245">
            <v>934</v>
          </cell>
          <cell r="B245" t="str">
            <v>IT Operations-E. Coast &amp; EMEA</v>
          </cell>
          <cell r="C245" t="str">
            <v>9ChargeBack / IT</v>
          </cell>
          <cell r="D245" t="str">
            <v>Information Technology</v>
          </cell>
          <cell r="E245" t="str">
            <v>SF</v>
          </cell>
          <cell r="F245" t="str">
            <v>Tim Keefe</v>
          </cell>
          <cell r="G245" t="str">
            <v>Corporate</v>
          </cell>
          <cell r="H245" t="str">
            <v>IT</v>
          </cell>
          <cell r="I245" t="str">
            <v>IT</v>
          </cell>
        </row>
        <row r="246">
          <cell r="A246">
            <v>936</v>
          </cell>
          <cell r="B246" t="str">
            <v>IT Operations-W. Coast &amp; APAC</v>
          </cell>
          <cell r="C246" t="str">
            <v>9ChargeBack / IT</v>
          </cell>
          <cell r="D246" t="str">
            <v>Information Technology</v>
          </cell>
          <cell r="E246" t="str">
            <v>SF</v>
          </cell>
          <cell r="F246" t="str">
            <v>Tim Keefe</v>
          </cell>
          <cell r="G246" t="str">
            <v>Corporate</v>
          </cell>
          <cell r="H246" t="str">
            <v>IT</v>
          </cell>
          <cell r="I246" t="str">
            <v>IT</v>
          </cell>
        </row>
        <row r="247">
          <cell r="A247">
            <v>938</v>
          </cell>
          <cell r="B247" t="str">
            <v>IT Administration - CIO</v>
          </cell>
          <cell r="C247" t="str">
            <v>9ChargeBack / IT</v>
          </cell>
          <cell r="D247" t="str">
            <v>Information Technology</v>
          </cell>
          <cell r="E247" t="str">
            <v>SF</v>
          </cell>
          <cell r="F247" t="str">
            <v>Tim Keefe</v>
          </cell>
          <cell r="G247" t="str">
            <v>Corporate</v>
          </cell>
          <cell r="H247" t="str">
            <v>IT</v>
          </cell>
          <cell r="I247" t="str">
            <v>IT</v>
          </cell>
        </row>
        <row r="248">
          <cell r="A248">
            <v>940</v>
          </cell>
          <cell r="B248" t="str">
            <v>IT Operations - Texas</v>
          </cell>
          <cell r="C248" t="str">
            <v>9ChargeBack / IT</v>
          </cell>
          <cell r="D248" t="str">
            <v>Information Technology</v>
          </cell>
          <cell r="E248" t="str">
            <v>Texas</v>
          </cell>
          <cell r="F248" t="str">
            <v>Tim Keefe</v>
          </cell>
          <cell r="G248" t="str">
            <v>Corporate</v>
          </cell>
          <cell r="H248" t="str">
            <v>IT</v>
          </cell>
          <cell r="I248" t="str">
            <v>IT</v>
          </cell>
        </row>
        <row r="249">
          <cell r="A249">
            <v>941</v>
          </cell>
          <cell r="B249" t="str">
            <v>eBS IT</v>
          </cell>
          <cell r="C249" t="str">
            <v>9ChargeBack / IT</v>
          </cell>
          <cell r="D249" t="str">
            <v>Information Technology</v>
          </cell>
          <cell r="E249" t="str">
            <v>SF</v>
          </cell>
          <cell r="F249" t="str">
            <v>N/A</v>
          </cell>
          <cell r="G249" t="str">
            <v>Corporate</v>
          </cell>
          <cell r="H249" t="str">
            <v>IT</v>
          </cell>
          <cell r="I249" t="str">
            <v>IT</v>
          </cell>
        </row>
        <row r="250">
          <cell r="A250">
            <v>950</v>
          </cell>
          <cell r="B250" t="str">
            <v>Purchasing</v>
          </cell>
          <cell r="C250" t="str">
            <v>9ChargeBack / Facilities</v>
          </cell>
          <cell r="D250" t="str">
            <v>Facilities</v>
          </cell>
          <cell r="E250" t="str">
            <v>SF</v>
          </cell>
          <cell r="F250" t="str">
            <v>Jim Morgensen</v>
          </cell>
          <cell r="G250" t="str">
            <v>Corporate</v>
          </cell>
          <cell r="H250" t="str">
            <v>Facilities</v>
          </cell>
          <cell r="I250" t="str">
            <v>Facilities</v>
          </cell>
        </row>
        <row r="251">
          <cell r="A251">
            <v>951</v>
          </cell>
          <cell r="B251" t="str">
            <v>Travel Mgmt</v>
          </cell>
          <cell r="C251" t="str">
            <v>9ChargeBack / Facilities</v>
          </cell>
          <cell r="D251" t="str">
            <v>Facilities</v>
          </cell>
          <cell r="E251" t="str">
            <v>SF</v>
          </cell>
          <cell r="F251" t="str">
            <v>Jim Morgensen</v>
          </cell>
          <cell r="G251" t="str">
            <v>Corporate</v>
          </cell>
          <cell r="H251" t="str">
            <v>Facilities</v>
          </cell>
          <cell r="I251" t="str">
            <v>Facilities</v>
          </cell>
        </row>
        <row r="252">
          <cell r="A252">
            <v>952</v>
          </cell>
          <cell r="B252" t="str">
            <v>United Prop Operations</v>
          </cell>
          <cell r="C252" t="str">
            <v>9ChargeBack / Facilities</v>
          </cell>
          <cell r="D252" t="str">
            <v>Facilities</v>
          </cell>
          <cell r="E252" t="str">
            <v>SF</v>
          </cell>
          <cell r="F252" t="str">
            <v>Jim Morgensen</v>
          </cell>
          <cell r="G252" t="str">
            <v>Corporate</v>
          </cell>
          <cell r="H252" t="str">
            <v>Facilities</v>
          </cell>
          <cell r="I252" t="str">
            <v>Facilities</v>
          </cell>
        </row>
        <row r="253">
          <cell r="A253">
            <v>953</v>
          </cell>
          <cell r="B253" t="str">
            <v>Corporate Functions</v>
          </cell>
          <cell r="C253" t="str">
            <v>9ChargeBack / Facilities</v>
          </cell>
          <cell r="D253" t="str">
            <v>Facilities</v>
          </cell>
          <cell r="E253" t="str">
            <v>SF</v>
          </cell>
          <cell r="F253" t="str">
            <v>Jim Morgensen</v>
          </cell>
          <cell r="G253" t="str">
            <v>Corporate</v>
          </cell>
          <cell r="H253" t="str">
            <v>Facilities</v>
          </cell>
          <cell r="I253" t="str">
            <v>Facilities</v>
          </cell>
        </row>
        <row r="254">
          <cell r="A254">
            <v>954</v>
          </cell>
          <cell r="B254" t="str">
            <v>Strategy and Planning</v>
          </cell>
          <cell r="C254" t="str">
            <v>9ChargeBack / Facilities</v>
          </cell>
          <cell r="D254" t="str">
            <v>Facilities</v>
          </cell>
          <cell r="E254" t="str">
            <v>SF</v>
          </cell>
          <cell r="F254" t="str">
            <v>Jim Morgensen</v>
          </cell>
          <cell r="G254" t="str">
            <v>Corporate</v>
          </cell>
          <cell r="H254" t="str">
            <v>Facilities</v>
          </cell>
          <cell r="I254" t="str">
            <v>Facilities</v>
          </cell>
        </row>
        <row r="255">
          <cell r="A255">
            <v>955</v>
          </cell>
          <cell r="B255" t="str">
            <v>UP Manage Not Pay</v>
          </cell>
          <cell r="C255" t="str">
            <v>9ChargeBack / Facilities</v>
          </cell>
          <cell r="D255" t="str">
            <v>Facilities</v>
          </cell>
          <cell r="E255" t="str">
            <v>SF</v>
          </cell>
          <cell r="F255" t="str">
            <v>Jim Morgensen</v>
          </cell>
          <cell r="G255" t="str">
            <v>Corporate</v>
          </cell>
          <cell r="H255" t="str">
            <v>Facilities</v>
          </cell>
          <cell r="I255" t="str">
            <v>Facilities</v>
          </cell>
        </row>
        <row r="256">
          <cell r="A256">
            <v>999</v>
          </cell>
          <cell r="B256" t="str">
            <v>Reorganization</v>
          </cell>
          <cell r="F256" t="str">
            <v>N/A</v>
          </cell>
        </row>
      </sheetData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 SW"/>
      <sheetName val="Wards West2"/>
      <sheetName val="Wards West"/>
      <sheetName val="Wards NW"/>
      <sheetName val="Para"/>
      <sheetName val="WWP 1"/>
      <sheetName val="WWP (2)"/>
      <sheetName val="WWP (2.1)"/>
      <sheetName val="WWP (3)"/>
      <sheetName val="WWP (3.1)"/>
      <sheetName val="WWP (3.2)"/>
      <sheetName val="WWP (3.3)"/>
      <sheetName val="WWP (3.4)"/>
      <sheetName val="WWP (3.4) (for gis)"/>
      <sheetName val="WWP (3.5)"/>
      <sheetName val="WWP (3.5) (Dem)"/>
      <sheetName val="Param"/>
      <sheetName val="WB-PB-LU-V02"/>
      <sheetName val="Pivot WBPBLU"/>
      <sheetName val="DDA"/>
      <sheetName val="1 State"/>
      <sheetName val="State Sum"/>
      <sheetName val="2 Dist West"/>
      <sheetName val="West Sum"/>
      <sheetName val="3 Dist SW"/>
      <sheetName val="SW Sum"/>
      <sheetName val="3 Dist SW (2)"/>
      <sheetName val="SW Sum (2)"/>
      <sheetName val="4 Dist NW"/>
      <sheetName val="NW Sum"/>
      <sheetName val="2 Dist Po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135</v>
          </cell>
        </row>
        <row r="2">
          <cell r="B2">
            <v>1.1499999999999999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L2">
            <v>-3729.22</v>
          </cell>
          <cell r="R2">
            <v>467329.78</v>
          </cell>
        </row>
        <row r="3">
          <cell r="L3">
            <v>0</v>
          </cell>
          <cell r="R3">
            <v>0</v>
          </cell>
        </row>
        <row r="4">
          <cell r="L4">
            <v>-139630.22</v>
          </cell>
          <cell r="R4">
            <v>235635.78</v>
          </cell>
        </row>
        <row r="5">
          <cell r="L5">
            <v>-32669.08</v>
          </cell>
          <cell r="R5">
            <v>1708.57</v>
          </cell>
        </row>
        <row r="6">
          <cell r="L6">
            <v>-206522.05</v>
          </cell>
          <cell r="R6">
            <v>10800.95</v>
          </cell>
        </row>
        <row r="7">
          <cell r="L7">
            <v>-448668.61</v>
          </cell>
          <cell r="R7">
            <v>39899.75</v>
          </cell>
        </row>
        <row r="8">
          <cell r="L8">
            <v>-499979.6</v>
          </cell>
          <cell r="R8">
            <v>63907.17</v>
          </cell>
        </row>
        <row r="9">
          <cell r="L9">
            <v>-282120.40999999997</v>
          </cell>
          <cell r="R9">
            <v>30478.38</v>
          </cell>
        </row>
        <row r="10">
          <cell r="L10">
            <v>-264336.71000000002</v>
          </cell>
          <cell r="R10">
            <v>28557.15</v>
          </cell>
        </row>
        <row r="11">
          <cell r="L11">
            <v>-267649.2</v>
          </cell>
          <cell r="R11">
            <v>84520.8</v>
          </cell>
        </row>
        <row r="12">
          <cell r="L12">
            <v>-538051.88</v>
          </cell>
          <cell r="R12">
            <v>169911.12</v>
          </cell>
        </row>
        <row r="13">
          <cell r="L13">
            <v>-268605.06</v>
          </cell>
          <cell r="R13">
            <v>88542.94</v>
          </cell>
        </row>
        <row r="14">
          <cell r="L14">
            <v>-293075.78999999998</v>
          </cell>
          <cell r="R14">
            <v>77125.210000000006</v>
          </cell>
        </row>
        <row r="15">
          <cell r="L15">
            <v>-457130.54</v>
          </cell>
          <cell r="R15">
            <v>150688.46</v>
          </cell>
        </row>
        <row r="16">
          <cell r="L16">
            <v>-376513.37</v>
          </cell>
          <cell r="R16">
            <v>140438.63</v>
          </cell>
        </row>
        <row r="17">
          <cell r="L17">
            <v>-366582.08</v>
          </cell>
          <cell r="R17">
            <v>132775.92000000001</v>
          </cell>
        </row>
        <row r="18">
          <cell r="L18">
            <v>-261346.39</v>
          </cell>
          <cell r="R18">
            <v>97481.61</v>
          </cell>
        </row>
        <row r="19">
          <cell r="L19">
            <v>-393498.96</v>
          </cell>
          <cell r="R19">
            <v>135279.04000000001</v>
          </cell>
        </row>
        <row r="20">
          <cell r="L20">
            <v>-263924.65999999997</v>
          </cell>
          <cell r="R20">
            <v>90733.34</v>
          </cell>
        </row>
        <row r="21">
          <cell r="L21">
            <v>-358774.94</v>
          </cell>
          <cell r="R21">
            <v>174389.06</v>
          </cell>
        </row>
        <row r="22">
          <cell r="L22">
            <v>-232473.87</v>
          </cell>
          <cell r="R22">
            <v>112998.13</v>
          </cell>
        </row>
        <row r="23">
          <cell r="L23">
            <v>-454454.86</v>
          </cell>
          <cell r="R23">
            <v>209650.14</v>
          </cell>
        </row>
        <row r="24">
          <cell r="L24">
            <v>-372873.48</v>
          </cell>
          <cell r="R24">
            <v>187838.52</v>
          </cell>
        </row>
        <row r="25">
          <cell r="L25">
            <v>-255874.16</v>
          </cell>
          <cell r="R25">
            <v>133534.84</v>
          </cell>
        </row>
        <row r="26">
          <cell r="L26">
            <v>-267231.35999999999</v>
          </cell>
          <cell r="R26">
            <v>129892.64</v>
          </cell>
        </row>
        <row r="27">
          <cell r="L27">
            <v>-255874.16</v>
          </cell>
          <cell r="R27">
            <v>133534.84</v>
          </cell>
        </row>
        <row r="28">
          <cell r="L28">
            <v>-583958.82999999996</v>
          </cell>
          <cell r="R28">
            <v>317083.17</v>
          </cell>
        </row>
        <row r="29">
          <cell r="L29">
            <v>-227222.05</v>
          </cell>
          <cell r="R29">
            <v>118581.95</v>
          </cell>
        </row>
        <row r="30">
          <cell r="L30">
            <v>-227222.05</v>
          </cell>
          <cell r="R30">
            <v>118581.95</v>
          </cell>
        </row>
        <row r="31">
          <cell r="L31">
            <v>-107544.83</v>
          </cell>
          <cell r="R31">
            <v>56125.17</v>
          </cell>
        </row>
        <row r="32">
          <cell r="L32">
            <v>-216935.97</v>
          </cell>
          <cell r="R32">
            <v>101697.03</v>
          </cell>
        </row>
        <row r="33">
          <cell r="L33">
            <v>-216935.97</v>
          </cell>
          <cell r="R33">
            <v>101697.03</v>
          </cell>
        </row>
        <row r="34">
          <cell r="L34">
            <v>-216935.97</v>
          </cell>
          <cell r="R34">
            <v>101697.03</v>
          </cell>
        </row>
        <row r="35">
          <cell r="L35">
            <v>-186665.83</v>
          </cell>
          <cell r="R35">
            <v>131967.17000000001</v>
          </cell>
        </row>
        <row r="36">
          <cell r="L36">
            <v>-180873.47</v>
          </cell>
          <cell r="R36">
            <v>170621.53</v>
          </cell>
        </row>
        <row r="37">
          <cell r="L37">
            <v>-191541.17</v>
          </cell>
          <cell r="R37">
            <v>205092.83</v>
          </cell>
        </row>
        <row r="38">
          <cell r="L38">
            <v>-191541.17</v>
          </cell>
          <cell r="R38">
            <v>205092.83</v>
          </cell>
        </row>
        <row r="39">
          <cell r="L39">
            <v>-191541.17</v>
          </cell>
          <cell r="R39">
            <v>205092.83</v>
          </cell>
        </row>
        <row r="40">
          <cell r="L40">
            <v>-189703.76</v>
          </cell>
          <cell r="R40">
            <v>216629.24</v>
          </cell>
        </row>
        <row r="41">
          <cell r="L41">
            <v>-193936.39</v>
          </cell>
          <cell r="R41">
            <v>228429.61</v>
          </cell>
        </row>
        <row r="42">
          <cell r="L42">
            <v>-181456.49</v>
          </cell>
          <cell r="R42">
            <v>259328.51</v>
          </cell>
        </row>
        <row r="43">
          <cell r="L43">
            <v>-152164.85999999999</v>
          </cell>
          <cell r="R43">
            <v>265679.14</v>
          </cell>
        </row>
        <row r="44">
          <cell r="L44">
            <v>-152164.85999999999</v>
          </cell>
          <cell r="R44">
            <v>265679.14</v>
          </cell>
        </row>
        <row r="45">
          <cell r="L45">
            <v>-162724.6</v>
          </cell>
          <cell r="R45">
            <v>284116.40000000002</v>
          </cell>
        </row>
        <row r="46">
          <cell r="L46">
            <v>-162724.6</v>
          </cell>
          <cell r="R46">
            <v>284116.40000000002</v>
          </cell>
        </row>
        <row r="47">
          <cell r="L47">
            <v>-237788.87</v>
          </cell>
          <cell r="R47">
            <v>415178.29</v>
          </cell>
        </row>
        <row r="48">
          <cell r="L48">
            <v>-222521.95</v>
          </cell>
          <cell r="R48">
            <v>416297.05</v>
          </cell>
        </row>
        <row r="49">
          <cell r="L49">
            <v>-221980.99</v>
          </cell>
          <cell r="R49">
            <v>96652.01</v>
          </cell>
        </row>
        <row r="50">
          <cell r="L50">
            <v>-110497.49</v>
          </cell>
          <cell r="R50">
            <v>300019.51</v>
          </cell>
        </row>
        <row r="51">
          <cell r="L51">
            <v>-92193.61</v>
          </cell>
          <cell r="R51">
            <v>323717.39</v>
          </cell>
        </row>
        <row r="52">
          <cell r="L52">
            <v>-90863.61</v>
          </cell>
          <cell r="R52">
            <v>319047.39</v>
          </cell>
        </row>
        <row r="53">
          <cell r="L53">
            <v>-128584.84</v>
          </cell>
          <cell r="R53">
            <v>451497.16</v>
          </cell>
        </row>
        <row r="54">
          <cell r="L54">
            <v>-60299.49</v>
          </cell>
          <cell r="R54">
            <v>232653.51</v>
          </cell>
        </row>
        <row r="55">
          <cell r="L55">
            <v>-113116.9</v>
          </cell>
          <cell r="R55">
            <v>458421.11</v>
          </cell>
        </row>
        <row r="56">
          <cell r="L56">
            <v>-42267.88</v>
          </cell>
          <cell r="R56">
            <v>224687.12</v>
          </cell>
        </row>
        <row r="57">
          <cell r="L57">
            <v>-42267.88</v>
          </cell>
          <cell r="R57">
            <v>224687.12</v>
          </cell>
        </row>
        <row r="58">
          <cell r="L58">
            <v>-104311.4</v>
          </cell>
          <cell r="R58">
            <v>670757.85</v>
          </cell>
        </row>
        <row r="59">
          <cell r="L59">
            <v>-31253.54</v>
          </cell>
          <cell r="R59">
            <v>462223.46</v>
          </cell>
        </row>
        <row r="60">
          <cell r="L60">
            <v>-13682.4</v>
          </cell>
          <cell r="R60">
            <v>418393.35</v>
          </cell>
        </row>
        <row r="61">
          <cell r="L61">
            <v>-9369.76</v>
          </cell>
          <cell r="R61">
            <v>286517.24</v>
          </cell>
        </row>
        <row r="62">
          <cell r="L62">
            <v>-8819.58</v>
          </cell>
          <cell r="R62">
            <v>269693.42</v>
          </cell>
        </row>
        <row r="63">
          <cell r="L63">
            <v>-9198.06</v>
          </cell>
          <cell r="R63">
            <v>281266.94</v>
          </cell>
        </row>
        <row r="64">
          <cell r="L64">
            <v>-17169.02</v>
          </cell>
          <cell r="R64">
            <v>705736.98</v>
          </cell>
        </row>
        <row r="65">
          <cell r="L65">
            <v>-6614.16</v>
          </cell>
          <cell r="R65">
            <v>411121.97</v>
          </cell>
        </row>
        <row r="66">
          <cell r="L66">
            <v>-21819.91</v>
          </cell>
          <cell r="R66">
            <v>896913.12</v>
          </cell>
        </row>
        <row r="67">
          <cell r="L67">
            <v>0</v>
          </cell>
          <cell r="R67">
            <v>0</v>
          </cell>
        </row>
        <row r="68">
          <cell r="L68">
            <v>0</v>
          </cell>
          <cell r="R68">
            <v>0</v>
          </cell>
        </row>
        <row r="69">
          <cell r="L69">
            <v>-13095.05</v>
          </cell>
          <cell r="R69">
            <v>813960.95</v>
          </cell>
        </row>
        <row r="70">
          <cell r="L70">
            <v>-2832.96</v>
          </cell>
          <cell r="R70">
            <v>355014.04</v>
          </cell>
        </row>
        <row r="71">
          <cell r="L71">
            <v>-9107.27</v>
          </cell>
          <cell r="R71">
            <v>278490.73</v>
          </cell>
        </row>
        <row r="72">
          <cell r="L72">
            <v>-9107.27</v>
          </cell>
          <cell r="R72">
            <v>278490.73</v>
          </cell>
        </row>
        <row r="73">
          <cell r="L73">
            <v>-7374.01</v>
          </cell>
          <cell r="R73">
            <v>458352.99</v>
          </cell>
        </row>
        <row r="74">
          <cell r="L74">
            <v>-7374.01</v>
          </cell>
          <cell r="R74">
            <v>458352.99</v>
          </cell>
        </row>
        <row r="75">
          <cell r="L75">
            <v>0</v>
          </cell>
          <cell r="R75">
            <v>0</v>
          </cell>
        </row>
        <row r="76">
          <cell r="L76">
            <v>-11061.02</v>
          </cell>
          <cell r="R76">
            <v>454665.98</v>
          </cell>
        </row>
        <row r="77">
          <cell r="L77">
            <v>-3687.01</v>
          </cell>
          <cell r="R77">
            <v>462039.99</v>
          </cell>
        </row>
        <row r="78">
          <cell r="L78">
            <v>-7457.93</v>
          </cell>
          <cell r="R78">
            <v>463569.07</v>
          </cell>
        </row>
        <row r="79">
          <cell r="L79">
            <v>-7457.93</v>
          </cell>
          <cell r="R79">
            <v>463569.07</v>
          </cell>
        </row>
        <row r="80">
          <cell r="L80">
            <v>-7457.93</v>
          </cell>
          <cell r="R80">
            <v>463569.07</v>
          </cell>
        </row>
        <row r="81">
          <cell r="L81">
            <v>-7457.93</v>
          </cell>
          <cell r="R81">
            <v>463569.07</v>
          </cell>
        </row>
        <row r="82">
          <cell r="L82">
            <v>-7457.93</v>
          </cell>
          <cell r="R82">
            <v>463569.07</v>
          </cell>
        </row>
        <row r="83">
          <cell r="L83">
            <v>-7457.93</v>
          </cell>
          <cell r="R83">
            <v>463569.07</v>
          </cell>
        </row>
        <row r="84">
          <cell r="L84">
            <v>-7457.93</v>
          </cell>
          <cell r="R84">
            <v>463569.07</v>
          </cell>
        </row>
        <row r="85">
          <cell r="L85">
            <v>-3687.01</v>
          </cell>
          <cell r="R85">
            <v>462039.99</v>
          </cell>
        </row>
        <row r="86">
          <cell r="L86">
            <v>-16649.080000000002</v>
          </cell>
          <cell r="R86">
            <v>686914.92</v>
          </cell>
        </row>
        <row r="87">
          <cell r="L87">
            <v>0</v>
          </cell>
          <cell r="R87">
            <v>0</v>
          </cell>
        </row>
        <row r="88">
          <cell r="L88">
            <v>0</v>
          </cell>
          <cell r="R88">
            <v>0</v>
          </cell>
        </row>
        <row r="89">
          <cell r="L89">
            <v>0</v>
          </cell>
          <cell r="R89">
            <v>0</v>
          </cell>
        </row>
        <row r="90">
          <cell r="L90">
            <v>0</v>
          </cell>
          <cell r="R90">
            <v>0</v>
          </cell>
        </row>
        <row r="91">
          <cell r="L91">
            <v>0</v>
          </cell>
          <cell r="R91">
            <v>0</v>
          </cell>
        </row>
        <row r="92">
          <cell r="L92">
            <v>0</v>
          </cell>
          <cell r="R92">
            <v>0</v>
          </cell>
        </row>
        <row r="93">
          <cell r="L93">
            <v>0</v>
          </cell>
          <cell r="R93">
            <v>0</v>
          </cell>
        </row>
        <row r="94">
          <cell r="L94">
            <v>0</v>
          </cell>
          <cell r="R94">
            <v>0</v>
          </cell>
        </row>
        <row r="95">
          <cell r="L95">
            <v>0</v>
          </cell>
          <cell r="R95">
            <v>0</v>
          </cell>
        </row>
        <row r="96">
          <cell r="L96">
            <v>0</v>
          </cell>
          <cell r="R96">
            <v>0</v>
          </cell>
        </row>
        <row r="97">
          <cell r="L97">
            <v>0</v>
          </cell>
          <cell r="R97">
            <v>0</v>
          </cell>
        </row>
        <row r="98">
          <cell r="L98">
            <v>0</v>
          </cell>
          <cell r="R98">
            <v>0</v>
          </cell>
        </row>
        <row r="99">
          <cell r="L99">
            <v>0</v>
          </cell>
          <cell r="R99">
            <v>0</v>
          </cell>
        </row>
        <row r="100">
          <cell r="L100">
            <v>0</v>
          </cell>
          <cell r="R100">
            <v>0</v>
          </cell>
        </row>
        <row r="101">
          <cell r="L101">
            <v>0</v>
          </cell>
          <cell r="R101">
            <v>0</v>
          </cell>
        </row>
        <row r="102">
          <cell r="L102">
            <v>0</v>
          </cell>
          <cell r="R102">
            <v>0</v>
          </cell>
        </row>
        <row r="103">
          <cell r="L103">
            <v>0</v>
          </cell>
          <cell r="R103">
            <v>0</v>
          </cell>
        </row>
        <row r="104">
          <cell r="L104">
            <v>-20743.330000000002</v>
          </cell>
          <cell r="R104">
            <v>1084.8599999999999</v>
          </cell>
        </row>
        <row r="105">
          <cell r="L105">
            <v>-20918.61</v>
          </cell>
          <cell r="R105">
            <v>1094.03</v>
          </cell>
        </row>
        <row r="106">
          <cell r="L106">
            <v>-17067.39</v>
          </cell>
          <cell r="R106">
            <v>892.61</v>
          </cell>
        </row>
        <row r="107">
          <cell r="L107">
            <v>-25969.8</v>
          </cell>
          <cell r="R107">
            <v>1358.2</v>
          </cell>
        </row>
        <row r="108">
          <cell r="L108">
            <v>-101402.47</v>
          </cell>
          <cell r="R108">
            <v>5303.28</v>
          </cell>
        </row>
        <row r="109">
          <cell r="L109">
            <v>-255158.39999999999</v>
          </cell>
          <cell r="R109">
            <v>13344.6</v>
          </cell>
        </row>
        <row r="110">
          <cell r="L110">
            <v>-336606.82</v>
          </cell>
          <cell r="R110">
            <v>36364.730000000003</v>
          </cell>
        </row>
        <row r="111">
          <cell r="L111">
            <v>-337934.63</v>
          </cell>
          <cell r="R111">
            <v>36508.17</v>
          </cell>
        </row>
        <row r="112">
          <cell r="L112">
            <v>-340220.39</v>
          </cell>
          <cell r="R112">
            <v>93872.61</v>
          </cell>
        </row>
        <row r="113">
          <cell r="L113">
            <v>-237515.09</v>
          </cell>
          <cell r="R113">
            <v>71782.91</v>
          </cell>
        </row>
        <row r="114">
          <cell r="L114">
            <v>-234174.65</v>
          </cell>
          <cell r="R114">
            <v>70773.350000000006</v>
          </cell>
        </row>
        <row r="115">
          <cell r="L115">
            <v>-348912.15</v>
          </cell>
          <cell r="R115">
            <v>105449.85</v>
          </cell>
        </row>
        <row r="116">
          <cell r="L116">
            <v>-328050.26</v>
          </cell>
          <cell r="R116">
            <v>94785.74</v>
          </cell>
        </row>
        <row r="117">
          <cell r="L117">
            <v>-349458.91</v>
          </cell>
          <cell r="R117">
            <v>105615.09</v>
          </cell>
        </row>
        <row r="118">
          <cell r="L118">
            <v>-349458.91</v>
          </cell>
          <cell r="R118">
            <v>105615.09</v>
          </cell>
        </row>
        <row r="119">
          <cell r="L119">
            <v>-347553.5</v>
          </cell>
          <cell r="R119">
            <v>114567.5</v>
          </cell>
        </row>
        <row r="120">
          <cell r="L120">
            <v>-347553.5</v>
          </cell>
          <cell r="R120">
            <v>114567.5</v>
          </cell>
        </row>
        <row r="121">
          <cell r="L121">
            <v>-289272.15000000002</v>
          </cell>
          <cell r="R121">
            <v>116723.85</v>
          </cell>
        </row>
        <row r="122">
          <cell r="L122">
            <v>-289272.15000000002</v>
          </cell>
          <cell r="R122">
            <v>116723.85</v>
          </cell>
        </row>
        <row r="123">
          <cell r="L123">
            <v>-289272.15000000002</v>
          </cell>
          <cell r="R123">
            <v>116723.85</v>
          </cell>
        </row>
        <row r="124">
          <cell r="L124">
            <v>-289272.15000000002</v>
          </cell>
          <cell r="R124">
            <v>116723.85</v>
          </cell>
        </row>
        <row r="125">
          <cell r="L125">
            <v>-270968.94</v>
          </cell>
          <cell r="R125">
            <v>127027.06</v>
          </cell>
        </row>
        <row r="126">
          <cell r="L126">
            <v>-270968.94</v>
          </cell>
          <cell r="R126">
            <v>127027.06</v>
          </cell>
        </row>
        <row r="127">
          <cell r="L127">
            <v>-270968.94</v>
          </cell>
          <cell r="R127">
            <v>127027.06</v>
          </cell>
        </row>
        <row r="128">
          <cell r="L128">
            <v>-270968.94</v>
          </cell>
          <cell r="R128">
            <v>127027.06</v>
          </cell>
        </row>
        <row r="129">
          <cell r="L129">
            <v>-270968.94</v>
          </cell>
          <cell r="R129">
            <v>127027.06</v>
          </cell>
        </row>
        <row r="130">
          <cell r="L130">
            <v>-270968.94</v>
          </cell>
          <cell r="R130">
            <v>127027.06</v>
          </cell>
        </row>
        <row r="131">
          <cell r="L131">
            <v>-884238.36</v>
          </cell>
          <cell r="R131">
            <v>461463.64</v>
          </cell>
        </row>
        <row r="132">
          <cell r="L132">
            <v>-317931.43</v>
          </cell>
          <cell r="R132">
            <v>184065.57</v>
          </cell>
        </row>
        <row r="133">
          <cell r="L133">
            <v>-282164.15000000002</v>
          </cell>
          <cell r="R133">
            <v>219832.85</v>
          </cell>
        </row>
        <row r="134">
          <cell r="L134">
            <v>-1038222.89</v>
          </cell>
          <cell r="R134">
            <v>1783613.11</v>
          </cell>
        </row>
        <row r="135">
          <cell r="L135">
            <v>-258175.61</v>
          </cell>
          <cell r="R135">
            <v>235940.39</v>
          </cell>
        </row>
        <row r="136">
          <cell r="L136">
            <v>-242500.61</v>
          </cell>
          <cell r="R136">
            <v>221615.39</v>
          </cell>
        </row>
        <row r="137">
          <cell r="L137">
            <v>-237102.35</v>
          </cell>
          <cell r="R137">
            <v>216682.05</v>
          </cell>
        </row>
        <row r="138">
          <cell r="L138">
            <v>-213535.98</v>
          </cell>
          <cell r="R138">
            <v>201432.72</v>
          </cell>
        </row>
        <row r="139">
          <cell r="L139">
            <v>-213535.98</v>
          </cell>
          <cell r="R139">
            <v>201432.72</v>
          </cell>
        </row>
        <row r="140">
          <cell r="L140">
            <v>-239528.97</v>
          </cell>
          <cell r="R140">
            <v>225952.43</v>
          </cell>
        </row>
        <row r="141">
          <cell r="L141">
            <v>-311255.73</v>
          </cell>
          <cell r="R141">
            <v>333277.27</v>
          </cell>
        </row>
        <row r="142">
          <cell r="L142">
            <v>-311255.73</v>
          </cell>
          <cell r="R142">
            <v>333277.27</v>
          </cell>
        </row>
        <row r="143">
          <cell r="L143">
            <v>-291103.43</v>
          </cell>
          <cell r="R143">
            <v>301976.57</v>
          </cell>
        </row>
        <row r="144">
          <cell r="L144">
            <v>-373819.16</v>
          </cell>
          <cell r="R144">
            <v>387781.84</v>
          </cell>
        </row>
        <row r="145">
          <cell r="L145">
            <v>-270449.17</v>
          </cell>
          <cell r="R145">
            <v>280550.83</v>
          </cell>
        </row>
        <row r="146">
          <cell r="L146">
            <v>-391456.53</v>
          </cell>
          <cell r="R146">
            <v>432662.47</v>
          </cell>
        </row>
        <row r="147">
          <cell r="L147">
            <v>-380057.19</v>
          </cell>
          <cell r="R147">
            <v>462174.81</v>
          </cell>
        </row>
        <row r="148">
          <cell r="L148">
            <v>-275580.94</v>
          </cell>
          <cell r="R148">
            <v>346124.06</v>
          </cell>
        </row>
        <row r="149">
          <cell r="L149">
            <v>-407792.75</v>
          </cell>
          <cell r="R149">
            <v>602220.25</v>
          </cell>
        </row>
        <row r="150">
          <cell r="L150">
            <v>-284306.46999999997</v>
          </cell>
          <cell r="R150">
            <v>406316.53</v>
          </cell>
        </row>
        <row r="151">
          <cell r="L151">
            <v>-1022399.23</v>
          </cell>
          <cell r="R151">
            <v>1544360.18</v>
          </cell>
        </row>
        <row r="152">
          <cell r="L152">
            <v>-204018.18</v>
          </cell>
          <cell r="R152">
            <v>356214.82</v>
          </cell>
        </row>
        <row r="153">
          <cell r="L153">
            <v>-234070.31</v>
          </cell>
          <cell r="R153">
            <v>408685.69</v>
          </cell>
        </row>
        <row r="154">
          <cell r="L154">
            <v>-163766.84</v>
          </cell>
          <cell r="R154">
            <v>285936.15999999997</v>
          </cell>
        </row>
        <row r="155">
          <cell r="L155">
            <v>-225332.97</v>
          </cell>
          <cell r="R155">
            <v>565309.03</v>
          </cell>
        </row>
        <row r="156">
          <cell r="L156">
            <v>-272393.88</v>
          </cell>
          <cell r="R156">
            <v>118602.12</v>
          </cell>
        </row>
        <row r="157">
          <cell r="L157">
            <v>-244790.1</v>
          </cell>
          <cell r="R157">
            <v>638662.9</v>
          </cell>
        </row>
        <row r="158">
          <cell r="L158">
            <v>-249648.03</v>
          </cell>
          <cell r="R158">
            <v>626309.97</v>
          </cell>
        </row>
        <row r="159">
          <cell r="L159">
            <v>-256483.8</v>
          </cell>
          <cell r="R159">
            <v>696397.2</v>
          </cell>
        </row>
        <row r="160">
          <cell r="L160">
            <v>-26125</v>
          </cell>
          <cell r="R160">
            <v>73875</v>
          </cell>
        </row>
        <row r="161">
          <cell r="L161">
            <v>-200958.42</v>
          </cell>
          <cell r="R161">
            <v>674359.58</v>
          </cell>
        </row>
        <row r="162">
          <cell r="L162">
            <v>-200958.42</v>
          </cell>
          <cell r="R162">
            <v>674359.58</v>
          </cell>
        </row>
        <row r="163">
          <cell r="L163">
            <v>-196927.86</v>
          </cell>
          <cell r="R163">
            <v>660834.14</v>
          </cell>
        </row>
        <row r="164">
          <cell r="L164">
            <v>-490370.07</v>
          </cell>
          <cell r="R164">
            <v>1803758.93</v>
          </cell>
        </row>
        <row r="165">
          <cell r="L165">
            <v>-136434.28</v>
          </cell>
          <cell r="R165">
            <v>479058.72</v>
          </cell>
        </row>
        <row r="166">
          <cell r="L166">
            <v>-141330.57999999999</v>
          </cell>
          <cell r="R166">
            <v>474265.42</v>
          </cell>
        </row>
        <row r="167">
          <cell r="L167">
            <v>-136901.53</v>
          </cell>
          <cell r="R167">
            <v>554811.47</v>
          </cell>
        </row>
        <row r="168">
          <cell r="L168">
            <v>-83682.13</v>
          </cell>
          <cell r="R168">
            <v>339132.82</v>
          </cell>
        </row>
        <row r="169">
          <cell r="L169">
            <v>-162806.06</v>
          </cell>
          <cell r="R169">
            <v>694067.94</v>
          </cell>
        </row>
        <row r="170">
          <cell r="L170">
            <v>-93232.25</v>
          </cell>
          <cell r="R170">
            <v>526594.35</v>
          </cell>
        </row>
        <row r="171">
          <cell r="L171">
            <v>-71238.03</v>
          </cell>
          <cell r="R171">
            <v>378686.37</v>
          </cell>
        </row>
        <row r="172">
          <cell r="L172">
            <v>-173826.04</v>
          </cell>
          <cell r="R172">
            <v>780824.96</v>
          </cell>
        </row>
        <row r="173">
          <cell r="L173">
            <v>-254543.95</v>
          </cell>
          <cell r="R173">
            <v>1353102.05</v>
          </cell>
        </row>
        <row r="174">
          <cell r="L174">
            <v>-141491.73000000001</v>
          </cell>
          <cell r="R174">
            <v>752140.27</v>
          </cell>
        </row>
        <row r="175">
          <cell r="L175">
            <v>-141491.73000000001</v>
          </cell>
          <cell r="R175">
            <v>752140.27</v>
          </cell>
        </row>
        <row r="176">
          <cell r="L176">
            <v>-130970.5</v>
          </cell>
          <cell r="R176">
            <v>739747.5</v>
          </cell>
        </row>
        <row r="177">
          <cell r="L177">
            <v>-157949.22</v>
          </cell>
          <cell r="R177">
            <v>839624.78</v>
          </cell>
        </row>
        <row r="178">
          <cell r="L178">
            <v>-167617.48000000001</v>
          </cell>
          <cell r="R178">
            <v>1008645.52</v>
          </cell>
        </row>
        <row r="179">
          <cell r="L179">
            <v>-69969.61</v>
          </cell>
          <cell r="R179">
            <v>449928.39</v>
          </cell>
        </row>
        <row r="180">
          <cell r="L180">
            <v>-69443.12</v>
          </cell>
          <cell r="R180">
            <v>446542.88</v>
          </cell>
        </row>
        <row r="181">
          <cell r="L181">
            <v>-69443.12</v>
          </cell>
          <cell r="R181">
            <v>446542.88</v>
          </cell>
        </row>
        <row r="182">
          <cell r="L182">
            <v>-57910.69</v>
          </cell>
          <cell r="R182">
            <v>372385.44</v>
          </cell>
        </row>
        <row r="183">
          <cell r="L183">
            <v>-57910.69</v>
          </cell>
          <cell r="R183">
            <v>372385.44</v>
          </cell>
        </row>
        <row r="184">
          <cell r="L184">
            <v>-57910.69</v>
          </cell>
          <cell r="R184">
            <v>372385.44</v>
          </cell>
        </row>
        <row r="185">
          <cell r="L185">
            <v>-57910.69</v>
          </cell>
          <cell r="R185">
            <v>372385.44</v>
          </cell>
        </row>
        <row r="186">
          <cell r="L186">
            <v>-80780.149999999994</v>
          </cell>
          <cell r="R186">
            <v>519443.85</v>
          </cell>
        </row>
        <row r="187">
          <cell r="L187">
            <v>-80780.149999999994</v>
          </cell>
          <cell r="R187">
            <v>519443.85</v>
          </cell>
        </row>
        <row r="188">
          <cell r="L188">
            <v>-77815.460000000006</v>
          </cell>
          <cell r="R188">
            <v>536517.14</v>
          </cell>
        </row>
        <row r="189">
          <cell r="L189">
            <v>-81017.649999999994</v>
          </cell>
          <cell r="R189">
            <v>706198.35</v>
          </cell>
        </row>
        <row r="190">
          <cell r="L190">
            <v>-68846.179999999993</v>
          </cell>
          <cell r="R190">
            <v>800789.82</v>
          </cell>
        </row>
        <row r="191">
          <cell r="L191">
            <v>-149689.92000000001</v>
          </cell>
          <cell r="R191">
            <v>1741130.08</v>
          </cell>
        </row>
        <row r="192">
          <cell r="L192">
            <v>-539243.38</v>
          </cell>
          <cell r="R192">
            <v>7029084.7300000004</v>
          </cell>
        </row>
        <row r="193">
          <cell r="L193">
            <v>-535851.88</v>
          </cell>
          <cell r="R193">
            <v>6984876.2300000004</v>
          </cell>
        </row>
        <row r="194">
          <cell r="L194">
            <v>-43614.75</v>
          </cell>
          <cell r="R194">
            <v>743418.25</v>
          </cell>
        </row>
        <row r="195">
          <cell r="L195">
            <v>-76490.3</v>
          </cell>
          <cell r="R195">
            <v>1303785.7</v>
          </cell>
        </row>
        <row r="196">
          <cell r="L196">
            <v>-51279.54</v>
          </cell>
          <cell r="R196">
            <v>1244203.46</v>
          </cell>
        </row>
        <row r="197">
          <cell r="L197">
            <v>-34169.410000000003</v>
          </cell>
          <cell r="R197">
            <v>1044864.59</v>
          </cell>
        </row>
        <row r="198">
          <cell r="L198">
            <v>-52414.64</v>
          </cell>
          <cell r="R198">
            <v>893413.36</v>
          </cell>
        </row>
        <row r="199">
          <cell r="L199">
            <v>-9842.4</v>
          </cell>
          <cell r="R199">
            <v>611782.6</v>
          </cell>
        </row>
        <row r="200">
          <cell r="L200">
            <v>-9842.4</v>
          </cell>
          <cell r="R200">
            <v>611782.6</v>
          </cell>
        </row>
        <row r="201">
          <cell r="L201">
            <v>-39581.43</v>
          </cell>
          <cell r="R201">
            <v>960370.57</v>
          </cell>
        </row>
        <row r="202">
          <cell r="L202">
            <v>-24219.75</v>
          </cell>
          <cell r="R202">
            <v>995559.25</v>
          </cell>
        </row>
        <row r="203">
          <cell r="L203">
            <v>-24022.91</v>
          </cell>
          <cell r="R203">
            <v>987468.09</v>
          </cell>
        </row>
        <row r="204">
          <cell r="L204">
            <v>-24983.93</v>
          </cell>
          <cell r="R204">
            <v>1026971.07</v>
          </cell>
        </row>
        <row r="205">
          <cell r="L205">
            <v>-9681.07</v>
          </cell>
          <cell r="R205">
            <v>601754.93000000005</v>
          </cell>
        </row>
        <row r="206">
          <cell r="L206">
            <v>-9681.07</v>
          </cell>
          <cell r="R206">
            <v>601754.93000000005</v>
          </cell>
        </row>
        <row r="207">
          <cell r="L207">
            <v>-14352.98</v>
          </cell>
          <cell r="R207">
            <v>589983.02</v>
          </cell>
        </row>
        <row r="208">
          <cell r="L208">
            <v>0</v>
          </cell>
          <cell r="R208">
            <v>0</v>
          </cell>
        </row>
        <row r="209">
          <cell r="L209">
            <v>-9568.65</v>
          </cell>
          <cell r="R209">
            <v>594767.35</v>
          </cell>
        </row>
        <row r="210">
          <cell r="L210">
            <v>0</v>
          </cell>
          <cell r="R210">
            <v>0</v>
          </cell>
        </row>
        <row r="211">
          <cell r="L211">
            <v>-4958.49</v>
          </cell>
          <cell r="R211">
            <v>621377.51</v>
          </cell>
        </row>
        <row r="212">
          <cell r="L212">
            <v>-4958.49</v>
          </cell>
          <cell r="R212">
            <v>621377.51</v>
          </cell>
        </row>
        <row r="213">
          <cell r="L213">
            <v>-4958.49</v>
          </cell>
          <cell r="R213">
            <v>621377.51</v>
          </cell>
        </row>
        <row r="214">
          <cell r="L214">
            <v>0</v>
          </cell>
          <cell r="R214">
            <v>0</v>
          </cell>
        </row>
        <row r="215">
          <cell r="L215">
            <v>0</v>
          </cell>
          <cell r="R215">
            <v>0</v>
          </cell>
        </row>
        <row r="216">
          <cell r="L216">
            <v>0</v>
          </cell>
          <cell r="R216">
            <v>0</v>
          </cell>
        </row>
        <row r="217">
          <cell r="L217">
            <v>0</v>
          </cell>
          <cell r="R217">
            <v>0</v>
          </cell>
        </row>
        <row r="218">
          <cell r="L218">
            <v>0</v>
          </cell>
          <cell r="R218">
            <v>0</v>
          </cell>
        </row>
        <row r="219">
          <cell r="L219">
            <v>0</v>
          </cell>
          <cell r="R219">
            <v>0</v>
          </cell>
        </row>
        <row r="220">
          <cell r="L220">
            <v>0</v>
          </cell>
          <cell r="R220">
            <v>0</v>
          </cell>
        </row>
        <row r="221">
          <cell r="L221">
            <v>0</v>
          </cell>
          <cell r="R221">
            <v>0</v>
          </cell>
        </row>
        <row r="222">
          <cell r="L222">
            <v>0</v>
          </cell>
          <cell r="R222">
            <v>0</v>
          </cell>
        </row>
        <row r="223">
          <cell r="L223">
            <v>0</v>
          </cell>
          <cell r="R223">
            <v>0</v>
          </cell>
        </row>
        <row r="224">
          <cell r="L224">
            <v>0</v>
          </cell>
          <cell r="R224">
            <v>0</v>
          </cell>
        </row>
        <row r="225">
          <cell r="L225">
            <v>-33614.01</v>
          </cell>
          <cell r="R225">
            <v>1757.99</v>
          </cell>
        </row>
        <row r="226">
          <cell r="L226">
            <v>-2850.9</v>
          </cell>
          <cell r="R226">
            <v>149.1</v>
          </cell>
        </row>
        <row r="227">
          <cell r="L227">
            <v>-233901.14</v>
          </cell>
          <cell r="R227">
            <v>12232.86</v>
          </cell>
        </row>
        <row r="228">
          <cell r="L228">
            <v>-547208.4</v>
          </cell>
          <cell r="R228">
            <v>28618.6</v>
          </cell>
        </row>
        <row r="229">
          <cell r="L229">
            <v>-4254751.8099999996</v>
          </cell>
          <cell r="R229">
            <v>797934.19</v>
          </cell>
        </row>
        <row r="230">
          <cell r="L230">
            <v>-728861.19</v>
          </cell>
          <cell r="R230">
            <v>220279.81</v>
          </cell>
        </row>
        <row r="231">
          <cell r="L231">
            <v>-403380.81</v>
          </cell>
          <cell r="R231">
            <v>189100.19</v>
          </cell>
        </row>
        <row r="232">
          <cell r="L232">
            <v>-416906.72</v>
          </cell>
          <cell r="R232">
            <v>149350.28</v>
          </cell>
        </row>
        <row r="233">
          <cell r="L233">
            <v>-371310.67</v>
          </cell>
          <cell r="R233">
            <v>361539.33</v>
          </cell>
        </row>
        <row r="234">
          <cell r="L234">
            <v>-317702.93</v>
          </cell>
          <cell r="R234">
            <v>328279.27</v>
          </cell>
        </row>
        <row r="235">
          <cell r="L235">
            <v>-164078.22</v>
          </cell>
          <cell r="R235">
            <v>170206.78</v>
          </cell>
        </row>
        <row r="236">
          <cell r="L236">
            <v>-297733.5</v>
          </cell>
          <cell r="R236">
            <v>282070.5</v>
          </cell>
        </row>
        <row r="237">
          <cell r="L237">
            <v>-197701.25</v>
          </cell>
          <cell r="R237">
            <v>211688.75</v>
          </cell>
        </row>
        <row r="238">
          <cell r="L238">
            <v>-462847.13</v>
          </cell>
          <cell r="R238">
            <v>511567.87</v>
          </cell>
        </row>
        <row r="239">
          <cell r="L239">
            <v>-506706.73</v>
          </cell>
          <cell r="R239">
            <v>560044.27</v>
          </cell>
        </row>
        <row r="240">
          <cell r="L240">
            <v>-159682.63</v>
          </cell>
          <cell r="R240">
            <v>164545.37</v>
          </cell>
        </row>
        <row r="241">
          <cell r="L241">
            <v>-273587.62</v>
          </cell>
          <cell r="R241">
            <v>300141.21999999997</v>
          </cell>
        </row>
        <row r="242">
          <cell r="L242">
            <v>-168832.37</v>
          </cell>
          <cell r="R242">
            <v>169120.63</v>
          </cell>
        </row>
        <row r="243">
          <cell r="L243">
            <v>-159521.59</v>
          </cell>
          <cell r="R243">
            <v>168644.41</v>
          </cell>
        </row>
        <row r="244">
          <cell r="L244">
            <v>-324481.48</v>
          </cell>
          <cell r="R244">
            <v>434539.52000000002</v>
          </cell>
        </row>
        <row r="245">
          <cell r="L245">
            <v>-331655.36</v>
          </cell>
          <cell r="R245">
            <v>444146.64</v>
          </cell>
        </row>
        <row r="246">
          <cell r="L246">
            <v>-144137.35999999999</v>
          </cell>
          <cell r="R246">
            <v>199387.64</v>
          </cell>
        </row>
        <row r="247">
          <cell r="L247">
            <v>-197982.44</v>
          </cell>
          <cell r="R247">
            <v>282946.56</v>
          </cell>
        </row>
        <row r="248">
          <cell r="L248">
            <v>-240704.04</v>
          </cell>
          <cell r="R248">
            <v>355466.96</v>
          </cell>
        </row>
        <row r="249">
          <cell r="L249">
            <v>-254778</v>
          </cell>
          <cell r="R249">
            <v>347962</v>
          </cell>
        </row>
        <row r="250">
          <cell r="L250">
            <v>-3252250.31</v>
          </cell>
          <cell r="R250">
            <v>4217032.6900000004</v>
          </cell>
        </row>
        <row r="251">
          <cell r="L251">
            <v>-1166126.1399999999</v>
          </cell>
          <cell r="R251">
            <v>1902626.86</v>
          </cell>
        </row>
        <row r="252">
          <cell r="L252">
            <v>-142813.69</v>
          </cell>
          <cell r="R252">
            <v>215710.31</v>
          </cell>
        </row>
        <row r="253">
          <cell r="L253">
            <v>-250507.4</v>
          </cell>
          <cell r="R253">
            <v>408722.6</v>
          </cell>
        </row>
        <row r="254">
          <cell r="L254">
            <v>-190782.42</v>
          </cell>
          <cell r="R254">
            <v>304441.58</v>
          </cell>
        </row>
        <row r="255">
          <cell r="L255">
            <v>-228761.14</v>
          </cell>
          <cell r="R255">
            <v>373241.86</v>
          </cell>
        </row>
        <row r="256">
          <cell r="L256">
            <v>-362307.58</v>
          </cell>
          <cell r="R256">
            <v>591133.42000000004</v>
          </cell>
        </row>
        <row r="257">
          <cell r="L257">
            <v>-142122.81</v>
          </cell>
          <cell r="R257">
            <v>239842.19</v>
          </cell>
        </row>
        <row r="258">
          <cell r="L258">
            <v>-127491.11</v>
          </cell>
          <cell r="R258">
            <v>222598.89</v>
          </cell>
        </row>
        <row r="259">
          <cell r="L259">
            <v>-368867.69</v>
          </cell>
          <cell r="R259">
            <v>644041.31000000006</v>
          </cell>
        </row>
        <row r="260">
          <cell r="L260">
            <v>-117017.55</v>
          </cell>
          <cell r="R260">
            <v>226730.45</v>
          </cell>
        </row>
        <row r="261">
          <cell r="L261">
            <v>-132870.41</v>
          </cell>
          <cell r="R261">
            <v>257446.59</v>
          </cell>
        </row>
        <row r="262">
          <cell r="L262">
            <v>-110775.67</v>
          </cell>
          <cell r="R262">
            <v>214636.33</v>
          </cell>
        </row>
        <row r="263">
          <cell r="L263">
            <v>-108512.24</v>
          </cell>
          <cell r="R263">
            <v>210250.76</v>
          </cell>
        </row>
        <row r="264">
          <cell r="L264">
            <v>-247066.99</v>
          </cell>
          <cell r="R264">
            <v>514115.01</v>
          </cell>
        </row>
        <row r="265">
          <cell r="L265">
            <v>-111128.75</v>
          </cell>
          <cell r="R265">
            <v>216852.25</v>
          </cell>
        </row>
        <row r="266">
          <cell r="L266">
            <v>-227183</v>
          </cell>
          <cell r="R266">
            <v>490237</v>
          </cell>
        </row>
        <row r="267">
          <cell r="L267">
            <v>-189978.34</v>
          </cell>
          <cell r="R267">
            <v>424195.66</v>
          </cell>
        </row>
        <row r="268">
          <cell r="L268">
            <v>-182782.09</v>
          </cell>
          <cell r="R268">
            <v>421391.91</v>
          </cell>
        </row>
        <row r="269">
          <cell r="L269">
            <v>-1285282.74</v>
          </cell>
          <cell r="R269">
            <v>2987125.26</v>
          </cell>
        </row>
        <row r="270">
          <cell r="L270">
            <v>-196074.11</v>
          </cell>
          <cell r="R270">
            <v>444360.89</v>
          </cell>
        </row>
        <row r="271">
          <cell r="L271">
            <v>-160426.54</v>
          </cell>
          <cell r="R271">
            <v>418556.46</v>
          </cell>
        </row>
        <row r="272">
          <cell r="L272">
            <v>-164093.15</v>
          </cell>
          <cell r="R272">
            <v>445540.85</v>
          </cell>
        </row>
        <row r="273">
          <cell r="L273">
            <v>-520161.62</v>
          </cell>
          <cell r="R273">
            <v>1412327.38</v>
          </cell>
        </row>
        <row r="274">
          <cell r="L274">
            <v>-78176.5</v>
          </cell>
          <cell r="R274">
            <v>212262.5</v>
          </cell>
        </row>
        <row r="275">
          <cell r="L275">
            <v>-151973.04</v>
          </cell>
          <cell r="R275">
            <v>429741.96</v>
          </cell>
        </row>
        <row r="276">
          <cell r="L276">
            <v>-194093.34</v>
          </cell>
          <cell r="R276">
            <v>713945.66</v>
          </cell>
        </row>
        <row r="277">
          <cell r="L277">
            <v>-92006.68</v>
          </cell>
          <cell r="R277">
            <v>354989.32</v>
          </cell>
        </row>
        <row r="278">
          <cell r="L278">
            <v>-237882.82</v>
          </cell>
          <cell r="R278">
            <v>917823.18</v>
          </cell>
        </row>
        <row r="279">
          <cell r="L279">
            <v>-251343.29</v>
          </cell>
          <cell r="R279">
            <v>969757.71</v>
          </cell>
        </row>
        <row r="280">
          <cell r="L280">
            <v>-217995.2</v>
          </cell>
          <cell r="R280">
            <v>841090.8</v>
          </cell>
        </row>
        <row r="281">
          <cell r="L281">
            <v>-61558.58</v>
          </cell>
          <cell r="R281">
            <v>237511.42</v>
          </cell>
        </row>
        <row r="282">
          <cell r="L282">
            <v>-80206.13</v>
          </cell>
          <cell r="R282">
            <v>325045.87</v>
          </cell>
        </row>
        <row r="283">
          <cell r="L283">
            <v>-224159.75</v>
          </cell>
          <cell r="R283">
            <v>787087.25</v>
          </cell>
        </row>
        <row r="284">
          <cell r="L284">
            <v>-116621.83</v>
          </cell>
          <cell r="R284">
            <v>552977.17000000004</v>
          </cell>
        </row>
        <row r="285">
          <cell r="L285">
            <v>-58452.6</v>
          </cell>
          <cell r="R285">
            <v>277160.40000000002</v>
          </cell>
        </row>
        <row r="286">
          <cell r="L286">
            <v>-248855.78</v>
          </cell>
          <cell r="R286">
            <v>1179981.22</v>
          </cell>
        </row>
        <row r="287">
          <cell r="L287">
            <v>-79175.87</v>
          </cell>
          <cell r="R287">
            <v>447201.13</v>
          </cell>
        </row>
        <row r="288">
          <cell r="L288">
            <v>-72608.31</v>
          </cell>
          <cell r="R288">
            <v>436923.69</v>
          </cell>
        </row>
        <row r="289">
          <cell r="L289">
            <v>-320763.94</v>
          </cell>
          <cell r="R289">
            <v>1930211.06</v>
          </cell>
        </row>
        <row r="290">
          <cell r="L290">
            <v>-321640.03000000003</v>
          </cell>
          <cell r="R290">
            <v>1935482.97</v>
          </cell>
        </row>
        <row r="291">
          <cell r="L291">
            <v>-40895.65</v>
          </cell>
          <cell r="R291">
            <v>246091.35</v>
          </cell>
        </row>
        <row r="292">
          <cell r="L292">
            <v>-35521.69</v>
          </cell>
          <cell r="R292">
            <v>263608.31</v>
          </cell>
        </row>
        <row r="293">
          <cell r="L293">
            <v>-79042.070000000007</v>
          </cell>
          <cell r="R293">
            <v>688803.93</v>
          </cell>
        </row>
        <row r="294">
          <cell r="L294">
            <v>-53574.11</v>
          </cell>
          <cell r="R294">
            <v>465215.89</v>
          </cell>
        </row>
        <row r="295">
          <cell r="L295">
            <v>-1079325.22</v>
          </cell>
          <cell r="R295">
            <v>9408045.3499999996</v>
          </cell>
        </row>
        <row r="296">
          <cell r="L296">
            <v>-78825.509999999995</v>
          </cell>
          <cell r="R296">
            <v>685558.49</v>
          </cell>
        </row>
        <row r="297">
          <cell r="L297">
            <v>-29412.95</v>
          </cell>
          <cell r="R297">
            <v>280197.05</v>
          </cell>
        </row>
        <row r="298">
          <cell r="L298">
            <v>-140398.03</v>
          </cell>
          <cell r="R298">
            <v>17594089.969999999</v>
          </cell>
        </row>
        <row r="299">
          <cell r="L299">
            <v>-11038.59</v>
          </cell>
          <cell r="R299">
            <v>686135.41</v>
          </cell>
        </row>
        <row r="300">
          <cell r="L300">
            <v>0</v>
          </cell>
          <cell r="R300">
            <v>0</v>
          </cell>
        </row>
        <row r="301">
          <cell r="L301">
            <v>0</v>
          </cell>
          <cell r="R301">
            <v>0</v>
          </cell>
        </row>
        <row r="302">
          <cell r="L302">
            <v>-6577.58</v>
          </cell>
          <cell r="R302">
            <v>11484.42</v>
          </cell>
        </row>
        <row r="303">
          <cell r="L303">
            <v>-1247.26</v>
          </cell>
          <cell r="R303">
            <v>51268.74</v>
          </cell>
        </row>
      </sheetData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ING"/>
      <sheetName val="Cont.Liab."/>
      <sheetName val="3"/>
      <sheetName val="4"/>
      <sheetName val="5"/>
      <sheetName val="ENCL6"/>
      <sheetName val="ENCL6 (2)"/>
      <sheetName val="encl-6-Working Apr'03-MAR'04"/>
      <sheetName val="encl-6-Apr'03 to MAR'04"/>
      <sheetName val="netting"/>
      <sheetName val="ENCL7 "/>
      <sheetName val="Encl.8"/>
      <sheetName val="Bk. Bal."/>
      <sheetName val="ENCL9"/>
      <sheetName val="ENCL10"/>
      <sheetName val="ENCL10 (A)"/>
      <sheetName val="ENCL11"/>
      <sheetName val="Encl.12"/>
      <sheetName val="Site Stock"/>
      <sheetName val="ENCL13"/>
      <sheetName val="Liab"/>
      <sheetName val="Mat. Liab."/>
      <sheetName val="ENCL-14"/>
      <sheetName val="Abstract15-03-04"/>
      <sheetName val="ENCL15"/>
      <sheetName val="ENCL16"/>
      <sheetName val="ENCL17"/>
      <sheetName val="ENCL18"/>
      <sheetName val="ENCL19"/>
      <sheetName val="ENCL20"/>
      <sheetName val="ENCL21"/>
      <sheetName val="ABSTRACT"/>
      <sheetName val="ENCL22B"/>
      <sheetName val="ENCL23"/>
      <sheetName val="ENCL24"/>
      <sheetName val="ENCL25 "/>
      <sheetName val="ENCL26"/>
      <sheetName val="ENCL27"/>
      <sheetName val="ENCL28"/>
      <sheetName val="ENCL2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5">
          <cell r="B5" t="str">
            <v>A/C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ormat Sommaire"/>
      <sheetName val="TRANSLATION"/>
      <sheetName val="R_COMEX PBZ"/>
      <sheetName val="R_COMEX Transfo"/>
      <sheetName val="List"/>
      <sheetName val="Par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Debt"/>
      <sheetName val="Loan Details Dhariwal"/>
      <sheetName val="Working Sheet"/>
      <sheetName val="Coal and Oil"/>
      <sheetName val="Depreciation Sheet"/>
      <sheetName val="Revenue Sheet"/>
      <sheetName val="UPERC Tariff for  NPCL-1&amp;2"/>
      <sheetName val="WC calculation"/>
      <sheetName val="Tax Sheet"/>
      <sheetName val="P&amp;L sheet"/>
      <sheetName val="Balance Sheet"/>
      <sheetName val="Cash Flow"/>
      <sheetName val="IRR calculation"/>
      <sheetName val="Ratios"/>
      <sheetName val="Sensitivity"/>
      <sheetName val="Sheet1"/>
      <sheetName val="Valuation 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E4">
            <v>1</v>
          </cell>
        </row>
        <row r="8">
          <cell r="E8">
            <v>1</v>
          </cell>
        </row>
        <row r="10">
          <cell r="E10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Debt Qtrwise JB"/>
      <sheetName val="DEC99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FA ISP"/>
      <sheetName val="Baseline Assumption Sheet"/>
      <sheetName val="Basis of Assum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Income &amp; Occupancy Customer"/>
      <sheetName val="Index"/>
      <sheetName val="DEPRE"/>
      <sheetName val="Global Assm."/>
      <sheetName val="QoQ Forecast"/>
      <sheetName val="BBEuros"/>
      <sheetName val="Income Statements"/>
      <sheetName val="Sheet3_(2)"/>
      <sheetName val="Sheet3__2_"/>
      <sheetName val="InvoiceList"/>
      <sheetName val="Summary"/>
      <sheetName val="노무비"/>
      <sheetName val="Set"/>
      <sheetName val="Analysis"/>
      <sheetName val="Sheet2"/>
      <sheetName val="van khuon"/>
      <sheetName val="Names"/>
      <sheetName val="Introduction"/>
      <sheetName val="IDC macro"/>
      <sheetName val="SALE"/>
      <sheetName val="sheet6"/>
      <sheetName val="Aladdin Macro1"/>
      <sheetName val="BalSht"/>
      <sheetName val="Acc_10.5"/>
      <sheetName val="ABP inputs"/>
      <sheetName val="Synergy Sales Budget"/>
      <sheetName val="Project Budget Worksheet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Rate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Assum"/>
      <sheetName val="Compan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ales &amp; Production"/>
      <sheetName val="NFB-LC"/>
      <sheetName val="Depreciation"/>
      <sheetName val="WC"/>
      <sheetName val="Tax"/>
      <sheetName val="P&amp;L"/>
      <sheetName val="BS"/>
      <sheetName val="CF"/>
      <sheetName val="Sensitivity"/>
      <sheetName val="CDR_Input"/>
      <sheetName val="Axis"/>
      <sheetName val="Indian Bank"/>
      <sheetName val="UBI"/>
      <sheetName val="IOB"/>
      <sheetName val="UCO"/>
      <sheetName val="rough work"/>
      <sheetName val="SBT"/>
      <sheetName val="CDR_Output"/>
      <sheetName val="CDR Summary"/>
      <sheetName val="BANKWISE SACRIFICE"/>
      <sheetName val="SI_FIN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IS"/>
      <sheetName val="TargBSCF"/>
      <sheetName val="TargDCF"/>
      <sheetName val="May_01"/>
      <sheetName val="Co. C"/>
      <sheetName val="Proforma"/>
      <sheetName val="CAUSTIC"/>
      <sheetName val="Additions"/>
      <sheetName val="MASTER"/>
      <sheetName val="THREE VARIABLES"/>
      <sheetName val="Power &amp; Fuel(c)"/>
      <sheetName val="Power &amp; Fuel(SMS)"/>
      <sheetName val="Power &amp; Fuel(new)"/>
      <sheetName val="Power &amp; Fuel (S)"/>
      <sheetName val="Control Panel"/>
      <sheetName val="Summary"/>
      <sheetName val="Credit ratios"/>
      <sheetName val="Interest Rates"/>
      <sheetName val="Fees"/>
      <sheetName val="Opening BS"/>
      <sheetName val="BS"/>
      <sheetName val="IS"/>
      <sheetName val="CFS"/>
      <sheetName val="Returns Backup (2)"/>
      <sheetName val="Return "/>
      <sheetName val="Consolidated"/>
      <sheetName val="Opting assum. Fixed Fire"/>
      <sheetName val="Opting assum. Mobile Fire"/>
      <sheetName val="Debt"/>
      <sheetName val="Interest"/>
      <sheetName val="Returns Backup"/>
      <sheetName val="Return Summary"/>
      <sheetName val="Ratios"/>
      <sheetName val="Taxes-Book"/>
      <sheetName val="Taxes-Tax"/>
      <sheetName val="Dep-Book"/>
      <sheetName val="Dep-Tax"/>
      <sheetName val="DCF"/>
      <sheetName val="WACC"/>
      <sheetName val="Module1"/>
      <sheetName val="Module2"/>
      <sheetName val="Module3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aseline Financial Analysis"/>
      <sheetName val="Baseline Assumption Sheet"/>
      <sheetName val="Basis of Assump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F-II"/>
      <sheetName val="BFA Upgrade"/>
      <sheetName val="Consolidated"/>
      <sheetName val="CF"/>
      <sheetName val="BS"/>
      <sheetName val="P&amp;L"/>
      <sheetName val="Baseline Financial Analysis"/>
      <sheetName val="Baseline Assumption She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Input-output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Location"/>
      <sheetName val="CCList"/>
      <sheetName val="orglist"/>
    </sheetNames>
    <sheetDataSet>
      <sheetData sheetId="0"/>
      <sheetData sheetId="1"/>
      <sheetData sheetId="2"/>
      <sheetData sheetId="3"/>
      <sheetData sheetId="4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>Consulting</v>
          </cell>
          <cell r="C2" t="str">
            <v>COGS</v>
          </cell>
          <cell r="E2" t="str">
            <v>Inactive</v>
          </cell>
          <cell r="F2" t="str">
            <v>Inactive</v>
          </cell>
        </row>
        <row r="3">
          <cell r="A3" t="str">
            <v>110</v>
          </cell>
          <cell r="B3" t="str">
            <v>Corporate Training</v>
          </cell>
          <cell r="C3" t="str">
            <v>COGS</v>
          </cell>
          <cell r="E3" t="str">
            <v>Inactive</v>
          </cell>
          <cell r="F3" t="str">
            <v>Inactive</v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>Global Order Processing</v>
          </cell>
          <cell r="C5" t="str">
            <v>Sales</v>
          </cell>
          <cell r="E5" t="str">
            <v>Inactive</v>
          </cell>
          <cell r="F5" t="str">
            <v>Inactive</v>
          </cell>
        </row>
        <row r="6">
          <cell r="A6" t="str">
            <v>202</v>
          </cell>
          <cell r="B6" t="str">
            <v>Dealer Support</v>
          </cell>
          <cell r="C6" t="str">
            <v>Sales</v>
          </cell>
          <cell r="E6" t="str">
            <v>Inactive</v>
          </cell>
          <cell r="F6" t="str">
            <v>Inactive</v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>Scott Larrimer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 t="str">
            <v>204</v>
          </cell>
          <cell r="B8" t="str">
            <v>Customer Service - Texas</v>
          </cell>
          <cell r="C8" t="str">
            <v>Carmel Martin</v>
          </cell>
          <cell r="D8" t="str">
            <v>-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>Sales</v>
          </cell>
          <cell r="E9" t="str">
            <v>Inactive</v>
          </cell>
          <cell r="F9" t="str">
            <v>Inactive</v>
          </cell>
        </row>
        <row r="10">
          <cell r="A10" t="str">
            <v>206</v>
          </cell>
          <cell r="B10" t="str">
            <v>Field Sales Programs</v>
          </cell>
          <cell r="C10" t="str">
            <v>Sales</v>
          </cell>
          <cell r="E10" t="str">
            <v>Inactive</v>
          </cell>
          <cell r="F10" t="str">
            <v>Inactive</v>
          </cell>
        </row>
        <row r="11">
          <cell r="A11" t="str">
            <v>207</v>
          </cell>
          <cell r="B11" t="str">
            <v>Field Sales West</v>
          </cell>
          <cell r="C11" t="str">
            <v>Sales</v>
          </cell>
          <cell r="E11" t="str">
            <v>Inactive</v>
          </cell>
          <cell r="F11" t="str">
            <v>Inactive</v>
          </cell>
        </row>
        <row r="12">
          <cell r="A12" t="str">
            <v>208</v>
          </cell>
          <cell r="B12" t="str">
            <v>Field Sales East</v>
          </cell>
          <cell r="C12" t="str">
            <v>Sales</v>
          </cell>
          <cell r="E12" t="str">
            <v>Inactive</v>
          </cell>
          <cell r="F12" t="str">
            <v>Inactive</v>
          </cell>
        </row>
        <row r="13">
          <cell r="A13" t="str">
            <v>210</v>
          </cell>
          <cell r="B13" t="str">
            <v>NA Learning Eastern Sales</v>
          </cell>
          <cell r="C13" t="str">
            <v>Sales</v>
          </cell>
          <cell r="E13" t="str">
            <v>Inactive</v>
          </cell>
          <cell r="F13" t="str">
            <v>Inactive</v>
          </cell>
        </row>
        <row r="14">
          <cell r="A14" t="str">
            <v>211</v>
          </cell>
          <cell r="B14" t="str">
            <v>Learning Professional Service</v>
          </cell>
          <cell r="C14" t="str">
            <v>Sales</v>
          </cell>
          <cell r="E14" t="str">
            <v>Inactive</v>
          </cell>
          <cell r="F14" t="str">
            <v>Inactive</v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 t="str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>sw.com Sales</v>
          </cell>
          <cell r="C18" t="str">
            <v>Sales</v>
          </cell>
          <cell r="E18" t="str">
            <v>Inactive</v>
          </cell>
          <cell r="F18" t="str">
            <v>Inactive</v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>Michael Lekse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>Sales</v>
          </cell>
          <cell r="E22" t="str">
            <v>Inactive</v>
          </cell>
          <cell r="F22" t="str">
            <v>Inactive</v>
          </cell>
        </row>
        <row r="23">
          <cell r="A23" t="str">
            <v>222</v>
          </cell>
          <cell r="B23" t="str">
            <v>Field Sales West</v>
          </cell>
          <cell r="C23" t="str">
            <v>Sales</v>
          </cell>
          <cell r="E23" t="str">
            <v>Inactive</v>
          </cell>
          <cell r="F23" t="str">
            <v>Inactive</v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>Marina Moreno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>Sales</v>
          </cell>
          <cell r="E26" t="str">
            <v>Inactive</v>
          </cell>
          <cell r="F26" t="str">
            <v>Inactive</v>
          </cell>
        </row>
        <row r="27">
          <cell r="A27" t="str">
            <v>227</v>
          </cell>
          <cell r="B27" t="str">
            <v>NA Corporate Sales</v>
          </cell>
          <cell r="C27" t="str">
            <v>James Holscher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Corporate Sales - East</v>
          </cell>
          <cell r="C28" t="str">
            <v>Sales</v>
          </cell>
          <cell r="E28" t="str">
            <v>Sales</v>
          </cell>
          <cell r="F28" t="str">
            <v>Sales</v>
          </cell>
        </row>
        <row r="29">
          <cell r="A29" t="str">
            <v>230</v>
          </cell>
          <cell r="B29" t="str">
            <v>Worldwide Sales HQ</v>
          </cell>
          <cell r="C29" t="str">
            <v>Sales</v>
          </cell>
          <cell r="E29" t="str">
            <v>Inactive</v>
          </cell>
          <cell r="F29" t="str">
            <v>Inactive</v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>Russell Ziegler</v>
          </cell>
        </row>
        <row r="31">
          <cell r="A31" t="str">
            <v>232</v>
          </cell>
          <cell r="B31" t="str">
            <v>US Sales - Central</v>
          </cell>
          <cell r="C31" t="str">
            <v>Toby Timion</v>
          </cell>
          <cell r="D31" t="str">
            <v>Maureen Thomas</v>
          </cell>
          <cell r="E31" t="str">
            <v>Sales</v>
          </cell>
          <cell r="F31" t="str">
            <v>Sales</v>
          </cell>
          <cell r="G31" t="str">
            <v>Russell Ziegler</v>
          </cell>
        </row>
        <row r="32">
          <cell r="A32" t="str">
            <v>233</v>
          </cell>
          <cell r="B32" t="str">
            <v>Macromedia Canada</v>
          </cell>
          <cell r="C32" t="str">
            <v>Sales</v>
          </cell>
          <cell r="E32" t="str">
            <v>Inactive</v>
          </cell>
          <cell r="F32" t="str">
            <v>Inactive</v>
          </cell>
        </row>
        <row r="33">
          <cell r="A33" t="str">
            <v>234</v>
          </cell>
          <cell r="B33" t="str">
            <v>US Sales - East</v>
          </cell>
          <cell r="C33" t="str">
            <v>William Schule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>Russell Ziegler</v>
          </cell>
        </row>
        <row r="34">
          <cell r="A34" t="str">
            <v>235</v>
          </cell>
          <cell r="B34" t="str">
            <v>Product Specialist</v>
          </cell>
          <cell r="C34" t="str">
            <v>Sales</v>
          </cell>
          <cell r="E34" t="str">
            <v>Inactive</v>
          </cell>
          <cell r="F34" t="str">
            <v>Inactive</v>
          </cell>
        </row>
        <row r="35">
          <cell r="A35" t="str">
            <v>237</v>
          </cell>
          <cell r="B35" t="str">
            <v>sw.com Syndication Sales</v>
          </cell>
          <cell r="C35" t="str">
            <v>Sales</v>
          </cell>
          <cell r="E35" t="str">
            <v>Inactive</v>
          </cell>
          <cell r="F35" t="str">
            <v>Inactive</v>
          </cell>
        </row>
        <row r="36">
          <cell r="A36" t="str">
            <v>238</v>
          </cell>
          <cell r="B36" t="str">
            <v>SW Europe Sales</v>
          </cell>
          <cell r="C36" t="str">
            <v>Sales</v>
          </cell>
          <cell r="E36" t="str">
            <v>Inactive</v>
          </cell>
          <cell r="F36" t="str">
            <v>Inactive</v>
          </cell>
        </row>
        <row r="37">
          <cell r="A37" t="str">
            <v>239</v>
          </cell>
          <cell r="B37" t="str">
            <v>SW KK Sales</v>
          </cell>
          <cell r="C37" t="str">
            <v>Sales</v>
          </cell>
          <cell r="E37" t="str">
            <v>Inactive</v>
          </cell>
          <cell r="F37" t="str">
            <v>Inactive</v>
          </cell>
        </row>
        <row r="38">
          <cell r="A38" t="str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>Russell Ziegler</v>
          </cell>
        </row>
        <row r="39">
          <cell r="A39" t="str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>Russell Ziegler</v>
          </cell>
        </row>
        <row r="40">
          <cell r="A40" t="str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>Russell Ziegler</v>
          </cell>
        </row>
        <row r="41">
          <cell r="A41" t="str">
            <v>247</v>
          </cell>
          <cell r="B41" t="str">
            <v>Worldwide Sales HQ</v>
          </cell>
          <cell r="C41" t="str">
            <v>Sales</v>
          </cell>
          <cell r="E41" t="str">
            <v>Inactive</v>
          </cell>
          <cell r="F41" t="str">
            <v>Inactive</v>
          </cell>
        </row>
        <row r="42">
          <cell r="A42" t="str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>Europe UK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>Mark Rolfe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>Macromedia Germany</v>
          </cell>
          <cell r="C45" t="str">
            <v>Mark Rolfe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>Macromedia Sweden</v>
          </cell>
          <cell r="C46" t="str">
            <v>Mark Rolfe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>Macromedia Switzerland</v>
          </cell>
          <cell r="C47" t="str">
            <v>Mark Rolfe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>Andrew Trombley</v>
          </cell>
        </row>
        <row r="48">
          <cell r="A48" t="str">
            <v>256</v>
          </cell>
          <cell r="B48" t="str">
            <v>Macromedia Netherlands BV</v>
          </cell>
          <cell r="C48" t="str">
            <v>Mark Rolfe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>Andrew Trombley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>Tom Boeckling, Mikel Matto, Eric Yerina</v>
          </cell>
          <cell r="E49" t="str">
            <v>Sales</v>
          </cell>
          <cell r="F49" t="str">
            <v>Sales</v>
          </cell>
          <cell r="G49" t="str">
            <v>Russell Ziegler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 t="str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E53" t="str">
            <v>Inactive</v>
          </cell>
          <cell r="F53" t="str">
            <v>Inactive</v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E54" t="str">
            <v>Inactive</v>
          </cell>
          <cell r="F54" t="str">
            <v>Inactive</v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E55" t="str">
            <v>Inactive</v>
          </cell>
          <cell r="F55" t="str">
            <v>Inactive</v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>Field Marketing</v>
          </cell>
          <cell r="C57" t="str">
            <v>Field Mktg</v>
          </cell>
          <cell r="E57" t="str">
            <v>Inactive</v>
          </cell>
          <cell r="F57" t="str">
            <v>Inactive</v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>Russell Ziegler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>Field Mktg</v>
          </cell>
          <cell r="E59" t="str">
            <v>Inactive</v>
          </cell>
          <cell r="F59" t="str">
            <v>Inactive</v>
          </cell>
        </row>
        <row r="60">
          <cell r="A60" t="str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>Field Mktg</v>
          </cell>
          <cell r="E61" t="str">
            <v>Inactive</v>
          </cell>
          <cell r="F61" t="str">
            <v>Inactive</v>
          </cell>
        </row>
        <row r="62">
          <cell r="A62" t="str">
            <v>285</v>
          </cell>
          <cell r="B62" t="str">
            <v>Seminars-Learning</v>
          </cell>
          <cell r="C62" t="str">
            <v>Field Mktg</v>
          </cell>
          <cell r="E62" t="str">
            <v>Inactive</v>
          </cell>
          <cell r="F62" t="str">
            <v>Inactive</v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 t="str">
            <v>290</v>
          </cell>
          <cell r="B65" t="str">
            <v>Worldwide Field Marketing</v>
          </cell>
          <cell r="C65" t="str">
            <v>Liz Osborn</v>
          </cell>
          <cell r="D65" t="str">
            <v>Scott Morris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>Dan Oyharchabal</v>
          </cell>
          <cell r="E66" t="str">
            <v>Field Mktg</v>
          </cell>
          <cell r="F66" t="str">
            <v>Sales</v>
          </cell>
          <cell r="G66" t="str">
            <v>Russell Ziegler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>Russell Ziegler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>Russell Ziegler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>Russell Ziegler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>International Marketing</v>
          </cell>
          <cell r="C72" t="str">
            <v>Marketing</v>
          </cell>
          <cell r="E72" t="str">
            <v>Inactive</v>
          </cell>
          <cell r="F72" t="str">
            <v>Inactive</v>
          </cell>
        </row>
        <row r="73">
          <cell r="A73" t="str">
            <v>311</v>
          </cell>
          <cell r="B73" t="str">
            <v>Int'l Mktg - Europe</v>
          </cell>
          <cell r="C73" t="str">
            <v>Marketing</v>
          </cell>
          <cell r="E73" t="str">
            <v>Inactive</v>
          </cell>
          <cell r="F73" t="str">
            <v>Inactive</v>
          </cell>
        </row>
        <row r="74">
          <cell r="A74" t="str">
            <v>312</v>
          </cell>
          <cell r="B74" t="str">
            <v>Int'l Mktg - Japan</v>
          </cell>
          <cell r="C74" t="str">
            <v>Marketing</v>
          </cell>
          <cell r="E74" t="str">
            <v>Inactive</v>
          </cell>
          <cell r="F74" t="str">
            <v>Inactive</v>
          </cell>
        </row>
        <row r="75">
          <cell r="A75" t="str">
            <v>313</v>
          </cell>
          <cell r="B75" t="str">
            <v>Int'l Mktg - Asia Pacific</v>
          </cell>
          <cell r="C75" t="str">
            <v>Marketing</v>
          </cell>
          <cell r="E75" t="str">
            <v>Inactive</v>
          </cell>
          <cell r="F75" t="str">
            <v>Inactive</v>
          </cell>
        </row>
        <row r="76">
          <cell r="A76" t="str">
            <v>314</v>
          </cell>
          <cell r="B76" t="str">
            <v>Int'l Mktg - Latin America</v>
          </cell>
          <cell r="C76" t="str">
            <v>Marketing</v>
          </cell>
          <cell r="E76" t="str">
            <v>Inactive</v>
          </cell>
          <cell r="F76" t="str">
            <v>Inactive</v>
          </cell>
        </row>
        <row r="77">
          <cell r="A77" t="str">
            <v>318</v>
          </cell>
          <cell r="B77" t="str">
            <v>Marketing Development Fund</v>
          </cell>
          <cell r="C77" t="str">
            <v>Marketing</v>
          </cell>
          <cell r="E77" t="str">
            <v>Inactive</v>
          </cell>
          <cell r="F77" t="str">
            <v>Inactive</v>
          </cell>
        </row>
        <row r="78">
          <cell r="A78" t="str">
            <v>319</v>
          </cell>
          <cell r="B78" t="str">
            <v>sw.com Lunch Program</v>
          </cell>
          <cell r="C78" t="str">
            <v>G&amp;A</v>
          </cell>
          <cell r="E78" t="str">
            <v>Inactive</v>
          </cell>
          <cell r="F78" t="str">
            <v>Inactive</v>
          </cell>
        </row>
        <row r="79">
          <cell r="A79" t="str">
            <v>320</v>
          </cell>
          <cell r="B79" t="str">
            <v>sw.com Creative Services</v>
          </cell>
          <cell r="C79" t="str">
            <v>Marketing</v>
          </cell>
          <cell r="E79" t="str">
            <v>Inactive</v>
          </cell>
          <cell r="F79" t="str">
            <v>Inactive</v>
          </cell>
        </row>
        <row r="80">
          <cell r="A80" t="str">
            <v>321</v>
          </cell>
          <cell r="B80" t="str">
            <v>sw.com Corporate Strat.</v>
          </cell>
          <cell r="C80" t="str">
            <v>Marketing</v>
          </cell>
          <cell r="E80" t="str">
            <v>Inactive</v>
          </cell>
          <cell r="F80" t="str">
            <v>Inactive</v>
          </cell>
        </row>
        <row r="81">
          <cell r="A81" t="str">
            <v>322</v>
          </cell>
          <cell r="B81" t="str">
            <v>sw.com Brand/Visit Acq.</v>
          </cell>
          <cell r="C81" t="str">
            <v>Marketing</v>
          </cell>
          <cell r="E81" t="str">
            <v>Inactive</v>
          </cell>
          <cell r="F81" t="str">
            <v>Inactive</v>
          </cell>
        </row>
        <row r="82">
          <cell r="A82" t="str">
            <v>323</v>
          </cell>
          <cell r="B82" t="str">
            <v>sw.com Cust/Prod Mgt</v>
          </cell>
          <cell r="C82" t="str">
            <v>Marketing</v>
          </cell>
          <cell r="E82" t="str">
            <v>Inactive</v>
          </cell>
          <cell r="F82" t="str">
            <v>Inactive</v>
          </cell>
        </row>
        <row r="83">
          <cell r="A83" t="str">
            <v>324</v>
          </cell>
          <cell r="B83" t="str">
            <v>sw.com Cust Relationship</v>
          </cell>
          <cell r="C83" t="str">
            <v>Marketing</v>
          </cell>
          <cell r="E83" t="str">
            <v>Inactive</v>
          </cell>
          <cell r="F83" t="str">
            <v>Inactive</v>
          </cell>
        </row>
        <row r="84">
          <cell r="A84" t="str">
            <v>325</v>
          </cell>
          <cell r="B84" t="str">
            <v>sw.com Marketing Programs</v>
          </cell>
          <cell r="C84" t="str">
            <v>Marketing</v>
          </cell>
          <cell r="E84" t="str">
            <v>Inactive</v>
          </cell>
          <cell r="F84" t="str">
            <v>Inactive</v>
          </cell>
        </row>
        <row r="85">
          <cell r="A85" t="str">
            <v>326</v>
          </cell>
          <cell r="B85" t="str">
            <v>sw.com PR</v>
          </cell>
          <cell r="C85" t="str">
            <v>Marketing</v>
          </cell>
          <cell r="E85" t="str">
            <v>Inactive</v>
          </cell>
          <cell r="F85" t="str">
            <v>Inactive</v>
          </cell>
        </row>
        <row r="86">
          <cell r="A86" t="str">
            <v>327</v>
          </cell>
          <cell r="B86" t="str">
            <v>sw.com Customer Insights</v>
          </cell>
          <cell r="C86" t="str">
            <v>Marketing</v>
          </cell>
          <cell r="E86" t="str">
            <v>Inactive</v>
          </cell>
          <cell r="F86" t="str">
            <v>Inactive</v>
          </cell>
        </row>
        <row r="87">
          <cell r="A87" t="str">
            <v>329</v>
          </cell>
          <cell r="B87" t="str">
            <v>sw.com Bus Development</v>
          </cell>
          <cell r="C87" t="str">
            <v>Marketing</v>
          </cell>
          <cell r="E87" t="str">
            <v>Inactive</v>
          </cell>
          <cell r="F87" t="str">
            <v>Inactive</v>
          </cell>
        </row>
        <row r="88">
          <cell r="A88" t="str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>Marketing Department-DAG</v>
          </cell>
          <cell r="C89" t="str">
            <v>Marketing</v>
          </cell>
          <cell r="E89" t="str">
            <v>Inactive</v>
          </cell>
          <cell r="F89" t="str">
            <v>Inactive</v>
          </cell>
        </row>
        <row r="90">
          <cell r="A90" t="str">
            <v>333</v>
          </cell>
          <cell r="B90" t="str">
            <v>Training and Programs</v>
          </cell>
          <cell r="C90" t="str">
            <v>Liz Osborn</v>
          </cell>
          <cell r="D90" t="str">
            <v>Maura Huntz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>sw.com Japan</v>
          </cell>
          <cell r="C91" t="str">
            <v>Marketing</v>
          </cell>
          <cell r="E91" t="str">
            <v>Inactive</v>
          </cell>
          <cell r="F91" t="str">
            <v>Inactive</v>
          </cell>
        </row>
        <row r="92">
          <cell r="A92" t="str">
            <v>336</v>
          </cell>
          <cell r="B92" t="str">
            <v>sw.com Europe</v>
          </cell>
          <cell r="C92" t="str">
            <v>Marketing</v>
          </cell>
          <cell r="E92" t="str">
            <v>Inactive</v>
          </cell>
          <cell r="F92" t="str">
            <v>Inactive</v>
          </cell>
        </row>
        <row r="93">
          <cell r="A93" t="str">
            <v>338</v>
          </cell>
          <cell r="B93" t="str">
            <v>Online Training</v>
          </cell>
          <cell r="C93" t="str">
            <v>Marketing</v>
          </cell>
          <cell r="E93" t="str">
            <v>Inactive</v>
          </cell>
          <cell r="F93" t="str">
            <v>Inactive</v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>Channel Marketing</v>
          </cell>
          <cell r="C95" t="str">
            <v>Marketing</v>
          </cell>
          <cell r="E95" t="str">
            <v>Inactive</v>
          </cell>
          <cell r="F95" t="str">
            <v>Inactive</v>
          </cell>
        </row>
        <row r="96">
          <cell r="A96" t="str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 t="str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>Marketing</v>
          </cell>
          <cell r="E98" t="str">
            <v>Inactive</v>
          </cell>
          <cell r="F98" t="str">
            <v>Inactive</v>
          </cell>
        </row>
        <row r="99">
          <cell r="A99" t="str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 t="str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>Direct Marketing</v>
          </cell>
          <cell r="C102" t="str">
            <v>Marketing</v>
          </cell>
          <cell r="E102" t="str">
            <v>Inactive</v>
          </cell>
          <cell r="F102" t="str">
            <v>Inactive</v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 t="str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 t="str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>Registration Database</v>
          </cell>
          <cell r="C106" t="str">
            <v>Marketing</v>
          </cell>
          <cell r="E106" t="str">
            <v>Inactive</v>
          </cell>
          <cell r="F106" t="str">
            <v>Inactive</v>
          </cell>
        </row>
        <row r="107">
          <cell r="A107" t="str">
            <v>361</v>
          </cell>
          <cell r="B107" t="str">
            <v>Learning Marketing</v>
          </cell>
          <cell r="C107" t="str">
            <v>Marketing</v>
          </cell>
          <cell r="E107" t="str">
            <v>Inactive</v>
          </cell>
          <cell r="F107" t="str">
            <v>Inactive</v>
          </cell>
        </row>
        <row r="108">
          <cell r="A108" t="str">
            <v>362</v>
          </cell>
          <cell r="B108" t="str">
            <v>Flash Group Marketing</v>
          </cell>
          <cell r="C108" t="str">
            <v>Marketing</v>
          </cell>
          <cell r="E108" t="str">
            <v>Marketing</v>
          </cell>
          <cell r="F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Marketing</v>
          </cell>
          <cell r="E109" t="str">
            <v>Marketing</v>
          </cell>
          <cell r="F109" t="str">
            <v>Marketing</v>
          </cell>
        </row>
        <row r="110">
          <cell r="A110" t="str">
            <v>364</v>
          </cell>
          <cell r="B110" t="str">
            <v>Video Marketing</v>
          </cell>
          <cell r="C110" t="str">
            <v>Marketing</v>
          </cell>
          <cell r="E110" t="str">
            <v>Inactive</v>
          </cell>
          <cell r="F110" t="str">
            <v>Inactive</v>
          </cell>
        </row>
        <row r="111">
          <cell r="A111" t="str">
            <v>365</v>
          </cell>
          <cell r="B111" t="str">
            <v>sw.com Marketing</v>
          </cell>
          <cell r="C111" t="str">
            <v>Marketing</v>
          </cell>
          <cell r="E111" t="str">
            <v>Inactive</v>
          </cell>
          <cell r="F111" t="str">
            <v>Inactive</v>
          </cell>
        </row>
        <row r="112">
          <cell r="A112" t="str">
            <v>366</v>
          </cell>
          <cell r="B112" t="str">
            <v>Customer Marketing</v>
          </cell>
          <cell r="C112" t="str">
            <v>Ian Fish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>Marketing</v>
          </cell>
          <cell r="E113" t="str">
            <v>Inactive</v>
          </cell>
          <cell r="F113" t="str">
            <v>Inactive</v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>Marketing</v>
          </cell>
          <cell r="E114" t="str">
            <v>Inactive</v>
          </cell>
          <cell r="F114" t="str">
            <v>Inactive</v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>Web Services</v>
          </cell>
          <cell r="C116" t="str">
            <v>Marketing</v>
          </cell>
          <cell r="E116" t="str">
            <v>Inactive</v>
          </cell>
          <cell r="F116" t="str">
            <v>Inactive</v>
          </cell>
        </row>
        <row r="117">
          <cell r="A117" t="str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>Multimedia Production</v>
          </cell>
          <cell r="C118" t="str">
            <v>Marketing</v>
          </cell>
          <cell r="E118" t="str">
            <v>Inactive</v>
          </cell>
          <cell r="F118" t="str">
            <v>Inactive</v>
          </cell>
        </row>
        <row r="119">
          <cell r="A119" t="str">
            <v>374</v>
          </cell>
          <cell r="B119" t="str">
            <v>Services Mktg Programs</v>
          </cell>
          <cell r="C119" t="str">
            <v>Marketing</v>
          </cell>
          <cell r="E119" t="str">
            <v>Inactive</v>
          </cell>
          <cell r="F119" t="str">
            <v>Inactive</v>
          </cell>
        </row>
        <row r="120">
          <cell r="A120" t="str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>Marketing</v>
          </cell>
          <cell r="E121" t="str">
            <v>Inactive</v>
          </cell>
          <cell r="F121" t="str">
            <v>Inactive</v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 t="str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>Product Management</v>
          </cell>
          <cell r="C125" t="str">
            <v>Marketing</v>
          </cell>
          <cell r="E125" t="str">
            <v>Inactive</v>
          </cell>
          <cell r="F125" t="str">
            <v>Inactive</v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E126" t="str">
            <v>Inactive</v>
          </cell>
          <cell r="F126" t="str">
            <v>Inactive</v>
          </cell>
        </row>
        <row r="127">
          <cell r="A127" t="str">
            <v>392</v>
          </cell>
          <cell r="B127" t="str">
            <v>Product Management-DAG</v>
          </cell>
          <cell r="C127" t="str">
            <v>Marketing</v>
          </cell>
          <cell r="E127" t="str">
            <v>Inactive</v>
          </cell>
          <cell r="F127" t="str">
            <v>Inactive</v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>Marketing</v>
          </cell>
          <cell r="E128" t="str">
            <v>Inactive</v>
          </cell>
          <cell r="F128" t="str">
            <v>Inactive</v>
          </cell>
        </row>
        <row r="129">
          <cell r="A129" t="str">
            <v>400</v>
          </cell>
          <cell r="B129" t="str">
            <v>Professional Services HQ</v>
          </cell>
          <cell r="C129" t="str">
            <v>Services</v>
          </cell>
          <cell r="E129" t="str">
            <v>Inactive</v>
          </cell>
          <cell r="F129" t="str">
            <v>Inactive</v>
          </cell>
        </row>
        <row r="130">
          <cell r="A130" t="str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>Macromedia Press</v>
          </cell>
          <cell r="C131" t="str">
            <v>R &amp; D</v>
          </cell>
          <cell r="E131" t="str">
            <v>Inactive</v>
          </cell>
          <cell r="F131" t="str">
            <v>Inactive</v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E132" t="str">
            <v>Inactive</v>
          </cell>
          <cell r="F132" t="str">
            <v>Inactive</v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E133" t="str">
            <v>Inactive</v>
          </cell>
          <cell r="F133" t="str">
            <v>Inactive</v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E134" t="str">
            <v>Inactive</v>
          </cell>
          <cell r="F134" t="str">
            <v>Inactive</v>
          </cell>
        </row>
        <row r="135">
          <cell r="A135" t="str">
            <v>505</v>
          </cell>
          <cell r="B135" t="str">
            <v>Video Group</v>
          </cell>
          <cell r="C135" t="str">
            <v>R &amp; D</v>
          </cell>
          <cell r="E135" t="str">
            <v>Inactive</v>
          </cell>
          <cell r="F135" t="str">
            <v>Inactive</v>
          </cell>
        </row>
        <row r="136">
          <cell r="A136" t="str">
            <v>506</v>
          </cell>
          <cell r="B136" t="str">
            <v>Zeus R&amp;D</v>
          </cell>
          <cell r="C136" t="str">
            <v>R &amp; D</v>
          </cell>
          <cell r="E136" t="str">
            <v>Inactive</v>
          </cell>
          <cell r="F136" t="str">
            <v>Inactive</v>
          </cell>
        </row>
        <row r="137">
          <cell r="A137" t="str">
            <v>507</v>
          </cell>
          <cell r="B137" t="str">
            <v>Generator Verticals</v>
          </cell>
          <cell r="C137" t="str">
            <v>Roberto Mameli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>Andy Brown</v>
          </cell>
        </row>
        <row r="138">
          <cell r="A138" t="str">
            <v>508</v>
          </cell>
          <cell r="B138" t="str">
            <v>Generator Mgmt</v>
          </cell>
          <cell r="C138" t="str">
            <v>Jack Moran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IMD - Dream Tools Group</v>
          </cell>
          <cell r="C139" t="str">
            <v>R &amp; D</v>
          </cell>
          <cell r="E139" t="str">
            <v>R &amp; D</v>
          </cell>
          <cell r="F139" t="str">
            <v>R &amp; D</v>
          </cell>
        </row>
        <row r="140">
          <cell r="A140" t="str">
            <v>510</v>
          </cell>
          <cell r="B140" t="str">
            <v>IMD - Server Group</v>
          </cell>
          <cell r="C140" t="str">
            <v>R &amp; D</v>
          </cell>
          <cell r="E140" t="str">
            <v>R &amp; D</v>
          </cell>
          <cell r="F140" t="str">
            <v>R &amp; D</v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E141" t="str">
            <v>Inactive</v>
          </cell>
          <cell r="F141" t="str">
            <v>Inactive</v>
          </cell>
        </row>
        <row r="142">
          <cell r="A142" t="str">
            <v>512</v>
          </cell>
          <cell r="B142" t="str">
            <v>Authorware R&amp;D</v>
          </cell>
          <cell r="C142" t="str">
            <v>R &amp; D</v>
          </cell>
          <cell r="E142" t="str">
            <v>Inactive</v>
          </cell>
          <cell r="F142" t="str">
            <v>Inactive</v>
          </cell>
        </row>
        <row r="143">
          <cell r="A143" t="str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>Extreme 3D</v>
          </cell>
          <cell r="C144" t="str">
            <v>R &amp; D</v>
          </cell>
          <cell r="E144" t="str">
            <v>Inactive</v>
          </cell>
          <cell r="F144" t="str">
            <v>Inactive</v>
          </cell>
        </row>
        <row r="145">
          <cell r="A145" t="str">
            <v>516</v>
          </cell>
          <cell r="B145" t="str">
            <v>Smart 3D-SM</v>
          </cell>
          <cell r="C145" t="str">
            <v>R &amp; D</v>
          </cell>
          <cell r="E145" t="str">
            <v>Inactive</v>
          </cell>
          <cell r="F145" t="str">
            <v>Inactive</v>
          </cell>
        </row>
        <row r="146">
          <cell r="A146" t="str">
            <v>517</v>
          </cell>
          <cell r="B146" t="str">
            <v>Pathware R&amp;D</v>
          </cell>
          <cell r="C146" t="str">
            <v>R &amp; D</v>
          </cell>
          <cell r="E146" t="str">
            <v>Inactive</v>
          </cell>
          <cell r="F146" t="str">
            <v>Inactive</v>
          </cell>
        </row>
        <row r="147">
          <cell r="A147" t="str">
            <v>518</v>
          </cell>
          <cell r="B147" t="str">
            <v>Flash Bus Dev</v>
          </cell>
          <cell r="C147" t="str">
            <v>R &amp; D</v>
          </cell>
          <cell r="E147" t="str">
            <v>Inactive</v>
          </cell>
          <cell r="F147" t="str">
            <v>Inactive</v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>Elaine Connolly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E150" t="str">
            <v>Inactive</v>
          </cell>
          <cell r="F150" t="str">
            <v>Inactive</v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>Bill McKee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>Andy Brown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E153" t="str">
            <v>Inactive</v>
          </cell>
          <cell r="F153" t="str">
            <v>Inactive</v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>Victor Grigorieff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 t="str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>R &amp; D</v>
          </cell>
          <cell r="E156" t="str">
            <v>Inactive</v>
          </cell>
          <cell r="F156" t="str">
            <v>Inactive</v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>Kevin Lynch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E160" t="str">
            <v>Inactive</v>
          </cell>
          <cell r="F160" t="str">
            <v>Inactive</v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E161" t="str">
            <v>Inactive</v>
          </cell>
          <cell r="F161" t="str">
            <v>Inactive</v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>Linda Page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>R &amp; D</v>
          </cell>
          <cell r="E167" t="str">
            <v>Inactive</v>
          </cell>
          <cell r="F167" t="str">
            <v>Inactive</v>
          </cell>
        </row>
        <row r="168">
          <cell r="A168" t="str">
            <v>539</v>
          </cell>
          <cell r="B168" t="str">
            <v>Director Playback</v>
          </cell>
          <cell r="C168" t="str">
            <v>R &amp; D</v>
          </cell>
          <cell r="E168" t="str">
            <v>Inactive</v>
          </cell>
          <cell r="F168" t="str">
            <v>Inactive</v>
          </cell>
        </row>
        <row r="169">
          <cell r="A169" t="str">
            <v>540</v>
          </cell>
          <cell r="B169" t="str">
            <v>Shockwave Server</v>
          </cell>
          <cell r="C169" t="str">
            <v>R &amp; D</v>
          </cell>
          <cell r="E169" t="str">
            <v>Inactive</v>
          </cell>
          <cell r="F169" t="str">
            <v>Inactive</v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E170" t="str">
            <v>Inactive</v>
          </cell>
          <cell r="F170" t="str">
            <v>Inactive</v>
          </cell>
        </row>
        <row r="171">
          <cell r="A171" t="str">
            <v>542</v>
          </cell>
          <cell r="B171" t="str">
            <v>Director QA</v>
          </cell>
          <cell r="C171" t="str">
            <v>Alan Isaacs</v>
          </cell>
          <cell r="D171" t="str">
            <v>Karl Miller, Matt Hoffberg, Manisha Masher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>sw.com UI</v>
          </cell>
          <cell r="C173" t="str">
            <v>R &amp; D</v>
          </cell>
          <cell r="E173" t="str">
            <v>Inactive</v>
          </cell>
          <cell r="F173" t="str">
            <v>Inactive</v>
          </cell>
        </row>
        <row r="174">
          <cell r="A174" t="str">
            <v>545</v>
          </cell>
          <cell r="B174" t="str">
            <v>Director A</v>
          </cell>
          <cell r="C174" t="str">
            <v>R &amp; D</v>
          </cell>
          <cell r="E174" t="str">
            <v>Inactive</v>
          </cell>
          <cell r="F174" t="str">
            <v>Inactive</v>
          </cell>
        </row>
        <row r="175">
          <cell r="A175" t="str">
            <v>546</v>
          </cell>
          <cell r="B175" t="str">
            <v>sw.com Delivery</v>
          </cell>
          <cell r="C175" t="str">
            <v>R &amp; D</v>
          </cell>
          <cell r="E175" t="str">
            <v>Inactive</v>
          </cell>
          <cell r="F175" t="str">
            <v>Inactive</v>
          </cell>
        </row>
        <row r="176">
          <cell r="A176" t="str">
            <v>547</v>
          </cell>
          <cell r="B176" t="str">
            <v>Director Development</v>
          </cell>
          <cell r="C176" t="str">
            <v>Venu Venugopal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E177" t="str">
            <v>Inactive</v>
          </cell>
          <cell r="F177" t="str">
            <v>Inactive</v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E178" t="str">
            <v>Inactive</v>
          </cell>
          <cell r="F178" t="str">
            <v>Inactive</v>
          </cell>
        </row>
        <row r="179">
          <cell r="A179" t="str">
            <v>550</v>
          </cell>
          <cell r="B179" t="str">
            <v>Sound</v>
          </cell>
          <cell r="C179" t="str">
            <v>R &amp; D</v>
          </cell>
          <cell r="E179" t="str">
            <v>Inactive</v>
          </cell>
          <cell r="F179" t="str">
            <v>Inactive</v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 t="str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>R &amp; D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>Generator Authoring</v>
          </cell>
          <cell r="C182" t="str">
            <v>Roberto Mameli</v>
          </cell>
          <cell r="D182" t="str">
            <v>Karen Cook</v>
          </cell>
          <cell r="E182" t="str">
            <v>R &amp; D</v>
          </cell>
          <cell r="F182" t="str">
            <v>R &amp; D</v>
          </cell>
          <cell r="G182" t="str">
            <v>Andy Brown</v>
          </cell>
        </row>
        <row r="183">
          <cell r="A183" t="str">
            <v>554</v>
          </cell>
          <cell r="B183" t="str">
            <v>Ecommerce Engineering</v>
          </cell>
          <cell r="C183" t="str">
            <v>R &amp; D</v>
          </cell>
          <cell r="E183" t="str">
            <v>Inactive</v>
          </cell>
          <cell r="F183" t="str">
            <v>Inactive</v>
          </cell>
        </row>
        <row r="184">
          <cell r="A184" t="str">
            <v>555</v>
          </cell>
          <cell r="B184" t="str">
            <v>Product Integration-SF</v>
          </cell>
          <cell r="C184" t="str">
            <v>R &amp; D</v>
          </cell>
          <cell r="E184" t="str">
            <v>Inactive</v>
          </cell>
          <cell r="F184" t="str">
            <v>Inactive</v>
          </cell>
        </row>
        <row r="185">
          <cell r="A185" t="str">
            <v>556</v>
          </cell>
          <cell r="B185" t="str">
            <v>Studio Development</v>
          </cell>
          <cell r="C185" t="str">
            <v>R &amp; D</v>
          </cell>
          <cell r="E185" t="str">
            <v>Inactive</v>
          </cell>
          <cell r="F185" t="str">
            <v>Inactive</v>
          </cell>
        </row>
        <row r="186">
          <cell r="A186" t="str">
            <v>557</v>
          </cell>
          <cell r="B186" t="str">
            <v>Director Plus Pack</v>
          </cell>
          <cell r="C186" t="str">
            <v>R &amp; D</v>
          </cell>
          <cell r="E186" t="str">
            <v>Inactive</v>
          </cell>
          <cell r="F186" t="str">
            <v>Inactive</v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E187" t="str">
            <v>Inactive</v>
          </cell>
          <cell r="F187" t="str">
            <v>Inactive</v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E188" t="str">
            <v>Inactive</v>
          </cell>
          <cell r="F188" t="str">
            <v>Inactive</v>
          </cell>
        </row>
        <row r="189">
          <cell r="A189" t="str">
            <v>560</v>
          </cell>
          <cell r="B189" t="str">
            <v>Enabling Technologies</v>
          </cell>
          <cell r="C189" t="str">
            <v>Craig Walters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>Gren Lewis</v>
          </cell>
        </row>
        <row r="190">
          <cell r="A190" t="str">
            <v>561</v>
          </cell>
          <cell r="B190" t="str">
            <v>New Product Development-TX</v>
          </cell>
          <cell r="C190" t="str">
            <v>Dennis Griffin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>Gren Lewis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 t="str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E193" t="str">
            <v>Inactive</v>
          </cell>
          <cell r="F193" t="str">
            <v>Inactive</v>
          </cell>
        </row>
        <row r="194">
          <cell r="A194" t="str">
            <v>565</v>
          </cell>
          <cell r="B194" t="str">
            <v>SQA R&amp;D - TX</v>
          </cell>
          <cell r="C194" t="str">
            <v>Deloris Highsmith</v>
          </cell>
          <cell r="D194" t="str">
            <v>Gren Lewis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>Gren Lewis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>Tim Hussey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 t="str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 t="str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>FreeHand-Shockwave-DAG</v>
          </cell>
          <cell r="C199" t="str">
            <v>R &amp; D</v>
          </cell>
          <cell r="E199" t="str">
            <v>Inactive</v>
          </cell>
          <cell r="F199" t="str">
            <v>Inactive</v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>Graphics Management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E203" t="str">
            <v>Inactive</v>
          </cell>
          <cell r="F203" t="str">
            <v>Inactive</v>
          </cell>
        </row>
        <row r="204">
          <cell r="A204" t="str">
            <v>575</v>
          </cell>
          <cell r="B204" t="str">
            <v>Usability</v>
          </cell>
          <cell r="C204" t="str">
            <v>R &amp; D</v>
          </cell>
          <cell r="E204" t="str">
            <v>R &amp; D</v>
          </cell>
          <cell r="F204" t="str">
            <v>R &amp; D</v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E205" t="str">
            <v>Inactive</v>
          </cell>
          <cell r="F205" t="str">
            <v>Inactive</v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E206" t="str">
            <v>Inactive</v>
          </cell>
          <cell r="F206" t="str">
            <v>Inactive</v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E207" t="str">
            <v>Inactive</v>
          </cell>
          <cell r="F207" t="str">
            <v>Inactive</v>
          </cell>
        </row>
        <row r="208">
          <cell r="A208" t="str">
            <v>580</v>
          </cell>
          <cell r="B208" t="str">
            <v>eBusiness Solutions</v>
          </cell>
          <cell r="C208" t="str">
            <v>R &amp; D</v>
          </cell>
          <cell r="E208" t="str">
            <v>Inactive</v>
          </cell>
          <cell r="F208" t="str">
            <v>Inactive</v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E209" t="str">
            <v>Inactive</v>
          </cell>
          <cell r="F209" t="str">
            <v>Inactive</v>
          </cell>
        </row>
        <row r="210">
          <cell r="A210" t="str">
            <v>582</v>
          </cell>
          <cell r="B210" t="str">
            <v>Whirlwind R&amp;D - MN</v>
          </cell>
          <cell r="C210" t="str">
            <v>Doug Olson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>Andy Brown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E211" t="str">
            <v>Inactive</v>
          </cell>
          <cell r="F211" t="str">
            <v>Inactive</v>
          </cell>
        </row>
        <row r="212">
          <cell r="A212" t="str">
            <v>584</v>
          </cell>
          <cell r="B212" t="str">
            <v>ARIA &amp; LM</v>
          </cell>
          <cell r="C212" t="str">
            <v>Tim Keefe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>Andrew Trombley</v>
          </cell>
        </row>
        <row r="213">
          <cell r="A213" t="str">
            <v>585</v>
          </cell>
          <cell r="B213" t="str">
            <v>Matisse</v>
          </cell>
          <cell r="C213" t="str">
            <v>R &amp; D</v>
          </cell>
          <cell r="E213" t="str">
            <v>Inactive</v>
          </cell>
          <cell r="F213" t="str">
            <v>Inactive</v>
          </cell>
        </row>
        <row r="214">
          <cell r="A214" t="str">
            <v>586</v>
          </cell>
          <cell r="B214" t="str">
            <v>eBS R&amp;D</v>
          </cell>
          <cell r="C214" t="str">
            <v>R &amp; D</v>
          </cell>
          <cell r="E214" t="str">
            <v>Inactive</v>
          </cell>
          <cell r="F214" t="str">
            <v>Inactive</v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E215" t="str">
            <v>Inactive</v>
          </cell>
          <cell r="F215" t="str">
            <v>Inactive</v>
          </cell>
        </row>
        <row r="216">
          <cell r="A216" t="str">
            <v>589</v>
          </cell>
          <cell r="B216" t="str">
            <v>Adjustment</v>
          </cell>
          <cell r="C216" t="str">
            <v>Judy Provines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>Karen Sammis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E217" t="str">
            <v>Inactive</v>
          </cell>
          <cell r="F217" t="str">
            <v>Inactive</v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E218" t="str">
            <v>Inactive</v>
          </cell>
          <cell r="F218" t="str">
            <v>Inactive</v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E219" t="str">
            <v>Inactive</v>
          </cell>
          <cell r="F219" t="str">
            <v>Inactive</v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E220" t="str">
            <v>Inactive</v>
          </cell>
          <cell r="F220" t="str">
            <v>Inactive</v>
          </cell>
        </row>
        <row r="221">
          <cell r="A221" t="str">
            <v>594</v>
          </cell>
          <cell r="B221" t="str">
            <v>sw.com Music</v>
          </cell>
          <cell r="C221" t="str">
            <v>R &amp; D</v>
          </cell>
          <cell r="E221" t="str">
            <v>Inactive</v>
          </cell>
          <cell r="F221" t="str">
            <v>Inactive</v>
          </cell>
        </row>
        <row r="222">
          <cell r="A222" t="str">
            <v>595</v>
          </cell>
          <cell r="B222" t="str">
            <v>sw.com Puzzles</v>
          </cell>
          <cell r="C222" t="str">
            <v>R &amp; D</v>
          </cell>
          <cell r="E222" t="str">
            <v>Inactive</v>
          </cell>
          <cell r="F222" t="str">
            <v>Inactive</v>
          </cell>
        </row>
        <row r="223">
          <cell r="A223" t="str">
            <v>596</v>
          </cell>
          <cell r="B223" t="str">
            <v>sw.com Films</v>
          </cell>
          <cell r="C223" t="str">
            <v>R &amp; D</v>
          </cell>
          <cell r="E223" t="str">
            <v>Inactive</v>
          </cell>
          <cell r="F223" t="str">
            <v>Inactive</v>
          </cell>
        </row>
        <row r="224">
          <cell r="A224" t="str">
            <v>597</v>
          </cell>
          <cell r="B224" t="str">
            <v>sw.com Cards</v>
          </cell>
          <cell r="C224" t="str">
            <v>R &amp; D</v>
          </cell>
          <cell r="E224" t="str">
            <v>Inactive</v>
          </cell>
          <cell r="F224" t="str">
            <v>Inactive</v>
          </cell>
        </row>
        <row r="225">
          <cell r="A225" t="str">
            <v>598</v>
          </cell>
          <cell r="B225" t="str">
            <v>sw.com Products</v>
          </cell>
          <cell r="C225" t="str">
            <v>R &amp; D</v>
          </cell>
          <cell r="E225" t="str">
            <v>Inactive</v>
          </cell>
          <cell r="F225" t="str">
            <v>Inactive</v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E226" t="str">
            <v>Inactive</v>
          </cell>
          <cell r="F226" t="str">
            <v>Inactive</v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>shockwave.com G&amp;A</v>
          </cell>
          <cell r="C232" t="str">
            <v>G &amp; A</v>
          </cell>
          <cell r="E232" t="str">
            <v>Inactive</v>
          </cell>
          <cell r="F232" t="str">
            <v>Inactive</v>
          </cell>
        </row>
        <row r="233">
          <cell r="A233" t="str">
            <v>806</v>
          </cell>
          <cell r="B233" t="str">
            <v>sw.com Finance</v>
          </cell>
          <cell r="C233" t="str">
            <v>G &amp; A</v>
          </cell>
          <cell r="E233" t="str">
            <v>Inactive</v>
          </cell>
          <cell r="F233" t="str">
            <v>Inactive</v>
          </cell>
        </row>
        <row r="234">
          <cell r="A234" t="str">
            <v>807</v>
          </cell>
          <cell r="B234" t="str">
            <v>sw.com HR</v>
          </cell>
          <cell r="C234" t="str">
            <v>G &amp; A</v>
          </cell>
          <cell r="E234" t="str">
            <v>Inactive</v>
          </cell>
          <cell r="F234" t="str">
            <v>Inactive</v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E235" t="str">
            <v>Inactive</v>
          </cell>
          <cell r="F235" t="str">
            <v>Inactive</v>
          </cell>
        </row>
        <row r="236">
          <cell r="A236" t="str">
            <v>810</v>
          </cell>
          <cell r="B236" t="str">
            <v>Finance</v>
          </cell>
          <cell r="C236" t="str">
            <v>Martin Aquino</v>
          </cell>
          <cell r="D236" t="str">
            <v>Jeanenne Deorsey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E238" t="str">
            <v>Inactive</v>
          </cell>
          <cell r="F238" t="str">
            <v>Inactive</v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E239" t="str">
            <v>Inactive</v>
          </cell>
          <cell r="F239" t="str">
            <v>Inactive</v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 t="str">
            <v>820</v>
          </cell>
          <cell r="B241" t="str">
            <v>Human Resources</v>
          </cell>
          <cell r="C241" t="str">
            <v>Michele Murgel,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 t="str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 t="str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>Michael Paynter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E247" t="str">
            <v>Inactive</v>
          </cell>
          <cell r="F247" t="str">
            <v>Inactive</v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>Jim Engle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>eBS G&amp;A</v>
          </cell>
          <cell r="C250" t="str">
            <v>G &amp; A</v>
          </cell>
          <cell r="E250" t="str">
            <v>Inactive</v>
          </cell>
          <cell r="F250" t="str">
            <v>Inactive</v>
          </cell>
        </row>
        <row r="251">
          <cell r="A251" t="str">
            <v>860</v>
          </cell>
          <cell r="B251" t="str">
            <v>G&amp;A-DAG</v>
          </cell>
          <cell r="C251" t="str">
            <v>G &amp; A</v>
          </cell>
          <cell r="E251" t="str">
            <v>Inactive</v>
          </cell>
          <cell r="F251" t="str">
            <v>Inactive</v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E252" t="str">
            <v>Inactive</v>
          </cell>
          <cell r="F252" t="str">
            <v>Inactive</v>
          </cell>
        </row>
        <row r="253">
          <cell r="A253" t="str">
            <v>899</v>
          </cell>
          <cell r="B253" t="str">
            <v>Ireland/Netherland</v>
          </cell>
          <cell r="C253" t="str">
            <v>G &amp; A</v>
          </cell>
          <cell r="E253" t="str">
            <v>Inactive</v>
          </cell>
          <cell r="F253" t="str">
            <v>Inactive</v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 t="str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 t="str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E262" t="str">
            <v>Inactive</v>
          </cell>
          <cell r="F262" t="str">
            <v>Inactive</v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E263" t="str">
            <v>Inactive</v>
          </cell>
          <cell r="F263" t="str">
            <v>Inactive</v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E264" t="str">
            <v>Inactive</v>
          </cell>
          <cell r="F264" t="str">
            <v>Inactive</v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E265" t="str">
            <v>Inactive</v>
          </cell>
          <cell r="F265" t="str">
            <v>Inactive</v>
          </cell>
        </row>
        <row r="266">
          <cell r="A266" t="str">
            <v>915</v>
          </cell>
          <cell r="B266" t="str">
            <v>Facilities - RWS</v>
          </cell>
          <cell r="C266" t="str">
            <v>Sandy Heistand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 t="str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E268" t="str">
            <v>Inactive</v>
          </cell>
          <cell r="F268" t="str">
            <v>Inactive</v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E269" t="str">
            <v>Inactive</v>
          </cell>
          <cell r="F269" t="str">
            <v>Inactive</v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>Information Tech-SF</v>
          </cell>
          <cell r="C276" t="str">
            <v>Allocations</v>
          </cell>
          <cell r="E276" t="str">
            <v>Inactive</v>
          </cell>
          <cell r="F276" t="str">
            <v>Inactive</v>
          </cell>
        </row>
        <row r="277">
          <cell r="A277" t="str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Marketing</v>
          </cell>
          <cell r="F277" t="str">
            <v>Marketing</v>
          </cell>
          <cell r="G277" t="str">
            <v>Julie Morgan</v>
          </cell>
        </row>
        <row r="278">
          <cell r="A278" t="str">
            <v>933</v>
          </cell>
          <cell r="B278" t="str">
            <v>IT - Web Engineering</v>
          </cell>
          <cell r="C278" t="str">
            <v>Walt Meffert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 t="str">
            <v>934</v>
          </cell>
          <cell r="B279" t="str">
            <v>IT - Business Applications</v>
          </cell>
          <cell r="C279" t="str">
            <v>Alma Perez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>Information Tech-SM</v>
          </cell>
          <cell r="C280" t="str">
            <v>Allocations</v>
          </cell>
          <cell r="E280" t="str">
            <v>Inactive</v>
          </cell>
          <cell r="F280" t="str">
            <v>Inactive</v>
          </cell>
        </row>
        <row r="281">
          <cell r="A281" t="str">
            <v>936</v>
          </cell>
          <cell r="B281" t="str">
            <v>IT - Operations</v>
          </cell>
          <cell r="C281" t="str">
            <v>Sam Lamonica</v>
          </cell>
          <cell r="D281" t="str">
            <v>-</v>
          </cell>
          <cell r="E281" t="str">
            <v>IT</v>
          </cell>
          <cell r="F281" t="str">
            <v>IT</v>
          </cell>
          <cell r="G281" t="str">
            <v>Julie Morgan</v>
          </cell>
        </row>
        <row r="282">
          <cell r="A282" t="str">
            <v>938</v>
          </cell>
          <cell r="B282" t="str">
            <v>IT - Infrastructure</v>
          </cell>
          <cell r="C282" t="str">
            <v>Julie Morgan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>Julie Morgan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E283" t="str">
            <v>Inactive</v>
          </cell>
          <cell r="F283" t="str">
            <v>Inactive</v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>Brian Elkins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E285" t="str">
            <v>Inactive</v>
          </cell>
          <cell r="F285" t="str">
            <v>Inactive</v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E286" t="str">
            <v>Inactive</v>
          </cell>
          <cell r="F286" t="str">
            <v>Inactive</v>
          </cell>
        </row>
        <row r="287">
          <cell r="A287" t="str">
            <v>950</v>
          </cell>
          <cell r="B287" t="str">
            <v>Purchasing</v>
          </cell>
          <cell r="C287" t="str">
            <v>Lori Lustig</v>
          </cell>
          <cell r="D287" t="str">
            <v>Chris Duran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>Other Income/Expense</v>
          </cell>
          <cell r="C288" t="str">
            <v>Allocations</v>
          </cell>
          <cell r="E288" t="str">
            <v>Inactive</v>
          </cell>
          <cell r="F288" t="str">
            <v>Inactive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ire"/>
      <sheetName val="CV Axe Div"/>
      <sheetName val="CV Axe Géo"/>
      <sheetName val="CV Axe Scn"/>
      <sheetName val="2000+"/>
      <sheetName val="Valorisation"/>
      <sheetName val="ResNet"/>
      <sheetName val="Inv"/>
      <sheetName val="Inv. Xce"/>
      <sheetName val="Acc.travail"/>
      <sheetName val="minos"/>
      <sheetName val="Poids PIB"/>
      <sheetName val="PAO zone 2000-06"/>
      <sheetName val="2000-06"/>
      <sheetName val="graphs PFR"/>
      <sheetName val="RépT USA Chine"/>
      <sheetName val="FCF 2002-11"/>
      <sheetName val="CAF -&gt; FCF"/>
      <sheetName val="PBZ VE"/>
      <sheetName val="PBZ Eau"/>
      <sheetName val="PBZ Propr."/>
      <sheetName val="PBZ NRJ"/>
      <sheetName val="PBZ Transp."/>
      <sheetName val="Comp. PLT 2005"/>
      <sheetName val="0. Invest"/>
      <sheetName val="1. EFN"/>
      <sheetName val="2. CE ROCE"/>
      <sheetName val="3. PAO txMarge"/>
      <sheetName val="4. Intensité cap."/>
      <sheetName val="5 Bulles Div &amp; Géo"/>
      <sheetName val="CV Détail Zones"/>
      <sheetName val="6. Axe Géo &amp; Div"/>
      <sheetName val="7. PAO Div"/>
      <sheetName val="Axe Géo-Div"/>
      <sheetName val="Anx1 Rating"/>
      <sheetName val="Anx2 Chiffres clés"/>
      <sheetName val="hydraulical model"/>
    </sheetNames>
    <sheetDataSet>
      <sheetData sheetId="0"/>
      <sheetData sheetId="1" refreshError="1">
        <row r="5">
          <cell r="M5" t="str">
            <v>PBZ</v>
          </cell>
        </row>
        <row r="6">
          <cell r="M6" t="str">
            <v>PBZ Dalkia</v>
          </cell>
          <cell r="N6" t="str">
            <v>Dalkia</v>
          </cell>
          <cell r="O6">
            <v>5463.6125451479993</v>
          </cell>
          <cell r="P6">
            <v>6235.2</v>
          </cell>
          <cell r="Q6">
            <v>6307.4850316069806</v>
          </cell>
          <cell r="R6">
            <v>6512.6617993243617</v>
          </cell>
          <cell r="S6">
            <v>6735.067763197465</v>
          </cell>
          <cell r="T6">
            <v>6946.1656422915203</v>
          </cell>
          <cell r="U6">
            <v>7133.3679568471325</v>
          </cell>
        </row>
        <row r="7">
          <cell r="M7" t="str">
            <v>PBZ Veolia Eau</v>
          </cell>
          <cell r="N7" t="str">
            <v>Veolia Eau</v>
          </cell>
          <cell r="O7">
            <v>9102.8002260569992</v>
          </cell>
          <cell r="P7">
            <v>10006.299999999999</v>
          </cell>
          <cell r="Q7">
            <v>10533.672659930646</v>
          </cell>
          <cell r="R7">
            <v>10871.926370662555</v>
          </cell>
          <cell r="S7">
            <v>11250.447729334684</v>
          </cell>
          <cell r="T7">
            <v>11455.829824437442</v>
          </cell>
          <cell r="U7">
            <v>11649.327469238135</v>
          </cell>
        </row>
        <row r="8">
          <cell r="M8" t="str">
            <v>PBZ Veolia Propreté</v>
          </cell>
          <cell r="N8" t="str">
            <v>Veolia Propreté</v>
          </cell>
          <cell r="O8">
            <v>6668.0769759408777</v>
          </cell>
          <cell r="P8">
            <v>7304.5</v>
          </cell>
          <cell r="Q8">
            <v>8090.5498373939045</v>
          </cell>
          <cell r="R8">
            <v>8552.4352196677046</v>
          </cell>
          <cell r="S8">
            <v>9015.8698631241532</v>
          </cell>
          <cell r="T8">
            <v>9373.3631757789335</v>
          </cell>
          <cell r="U8">
            <v>9784.1406454476219</v>
          </cell>
        </row>
        <row r="9">
          <cell r="M9" t="str">
            <v>PBZ Veolia Transport</v>
          </cell>
          <cell r="N9" t="str">
            <v>Veolia Transport</v>
          </cell>
          <cell r="O9">
            <v>4223.9120475169993</v>
          </cell>
          <cell r="P9">
            <v>4866.5</v>
          </cell>
          <cell r="Q9">
            <v>5224.4829342900248</v>
          </cell>
          <cell r="R9">
            <v>5384.4260510442145</v>
          </cell>
          <cell r="S9">
            <v>5554.4529488889266</v>
          </cell>
          <cell r="T9">
            <v>5708.637465714688</v>
          </cell>
          <cell r="U9">
            <v>5864.2529457896817</v>
          </cell>
        </row>
        <row r="10">
          <cell r="M10" t="str">
            <v>PBZ Proactiva</v>
          </cell>
          <cell r="N10" t="str">
            <v>Proactiva</v>
          </cell>
          <cell r="O10">
            <v>112.068</v>
          </cell>
          <cell r="P10">
            <v>116.3</v>
          </cell>
          <cell r="Q10">
            <v>119.3982498875549</v>
          </cell>
          <cell r="R10">
            <v>121.04932226679334</v>
          </cell>
          <cell r="S10">
            <v>123.62454622353677</v>
          </cell>
          <cell r="T10">
            <v>125.29760730524707</v>
          </cell>
          <cell r="U10">
            <v>127.10250030317842</v>
          </cell>
        </row>
        <row r="11">
          <cell r="M11" t="str">
            <v>PBZ Holdings</v>
          </cell>
          <cell r="N11" t="str">
            <v>Holdings</v>
          </cell>
          <cell r="O11">
            <v>0</v>
          </cell>
          <cell r="P11">
            <v>0</v>
          </cell>
          <cell r="Q11">
            <v>321.85147303747686</v>
          </cell>
          <cell r="R11">
            <v>334.72553195897598</v>
          </cell>
          <cell r="S11">
            <v>348.11455323733503</v>
          </cell>
          <cell r="T11">
            <v>362.03913536682842</v>
          </cell>
          <cell r="U11">
            <v>376.52070078150155</v>
          </cell>
        </row>
        <row r="12">
          <cell r="M12" t="str">
            <v>Total</v>
          </cell>
          <cell r="O12">
            <v>25570.469794662873</v>
          </cell>
          <cell r="P12">
            <v>28528.799999999999</v>
          </cell>
          <cell r="Q12">
            <v>30597.440186146592</v>
          </cell>
          <cell r="R12">
            <v>31777.224294924603</v>
          </cell>
          <cell r="S12">
            <v>33027.577404006101</v>
          </cell>
          <cell r="T12">
            <v>33971.332850894665</v>
          </cell>
          <cell r="U12">
            <v>34934.71221840725</v>
          </cell>
        </row>
        <row r="14">
          <cell r="M14" t="str">
            <v>PBZ &amp; Xce 1</v>
          </cell>
        </row>
        <row r="15">
          <cell r="M15" t="str">
            <v>PBZ &amp; Xce 1 Dalkia</v>
          </cell>
          <cell r="N15" t="str">
            <v>Dalkia</v>
          </cell>
          <cell r="O15">
            <v>5463.6125451479993</v>
          </cell>
          <cell r="P15">
            <v>6235.2</v>
          </cell>
          <cell r="Q15">
            <v>6896.5078798284185</v>
          </cell>
          <cell r="R15">
            <v>7807.8553733134831</v>
          </cell>
          <cell r="S15">
            <v>8802.5096976292825</v>
          </cell>
          <cell r="T15">
            <v>9596.9449747421168</v>
          </cell>
          <cell r="U15">
            <v>10210.718828719073</v>
          </cell>
        </row>
        <row r="16">
          <cell r="M16" t="str">
            <v>PBZ &amp; Xce 1 Veolia Eau</v>
          </cell>
          <cell r="N16" t="str">
            <v>Veolia Eau</v>
          </cell>
          <cell r="O16">
            <v>9102.8002260569992</v>
          </cell>
          <cell r="P16">
            <v>10006.299999999999</v>
          </cell>
          <cell r="Q16">
            <v>10789.177258389727</v>
          </cell>
          <cell r="R16">
            <v>11583.04736834854</v>
          </cell>
          <cell r="S16">
            <v>12488.296128349226</v>
          </cell>
          <cell r="T16">
            <v>13219.621083713701</v>
          </cell>
          <cell r="U16">
            <v>14169.923652882153</v>
          </cell>
        </row>
        <row r="17">
          <cell r="M17" t="str">
            <v>PBZ &amp; Xce 1 Veolia Propreté</v>
          </cell>
          <cell r="N17" t="str">
            <v>Veolia Propreté</v>
          </cell>
          <cell r="O17">
            <v>6668.0769759408777</v>
          </cell>
          <cell r="P17">
            <v>7304.5</v>
          </cell>
          <cell r="Q17">
            <v>8363.5458058514414</v>
          </cell>
          <cell r="R17">
            <v>9039.0158863003089</v>
          </cell>
          <cell r="S17">
            <v>9760.271854182196</v>
          </cell>
          <cell r="T17">
            <v>10609.528475624251</v>
          </cell>
          <cell r="U17">
            <v>11465.711646269372</v>
          </cell>
        </row>
        <row r="18">
          <cell r="M18" t="str">
            <v>PBZ &amp; Xce 1 Veolia Transport</v>
          </cell>
          <cell r="N18" t="str">
            <v>Veolia Transport</v>
          </cell>
          <cell r="O18">
            <v>4223.9120475169993</v>
          </cell>
          <cell r="P18">
            <v>4866.5</v>
          </cell>
          <cell r="Q18">
            <v>5197.4338907007386</v>
          </cell>
          <cell r="R18">
            <v>5434.2130464120719</v>
          </cell>
          <cell r="S18">
            <v>5712.1004264496405</v>
          </cell>
          <cell r="T18">
            <v>5975.2149906237955</v>
          </cell>
          <cell r="U18">
            <v>6249.9506550208689</v>
          </cell>
        </row>
        <row r="19">
          <cell r="M19" t="str">
            <v>PBZ &amp; Xce 1 Proactiva</v>
          </cell>
          <cell r="N19" t="str">
            <v>Proactiva</v>
          </cell>
          <cell r="O19">
            <v>112.068</v>
          </cell>
          <cell r="P19">
            <v>116.3</v>
          </cell>
          <cell r="Q19">
            <v>125.0482498875549</v>
          </cell>
          <cell r="R19">
            <v>139.04357226679335</v>
          </cell>
          <cell r="S19">
            <v>153.37254622353677</v>
          </cell>
          <cell r="T19">
            <v>163.54718730524706</v>
          </cell>
          <cell r="U19">
            <v>173.20112470317844</v>
          </cell>
        </row>
        <row r="20">
          <cell r="M20" t="str">
            <v>PBZ &amp; Xce 1 Holdings</v>
          </cell>
          <cell r="N20" t="str">
            <v>Holdings</v>
          </cell>
          <cell r="O20">
            <v>0</v>
          </cell>
          <cell r="P20">
            <v>0</v>
          </cell>
          <cell r="Q20">
            <v>321.85147303747686</v>
          </cell>
          <cell r="R20">
            <v>334.72553195897598</v>
          </cell>
          <cell r="S20">
            <v>348.11455323733503</v>
          </cell>
          <cell r="T20">
            <v>362.03913536682842</v>
          </cell>
          <cell r="U20">
            <v>376.52070078150155</v>
          </cell>
        </row>
        <row r="21">
          <cell r="M21" t="str">
            <v>Total</v>
          </cell>
          <cell r="O21">
            <v>25570.469794662873</v>
          </cell>
          <cell r="P21">
            <v>28528.799999999999</v>
          </cell>
          <cell r="Q21">
            <v>31693.564557695365</v>
          </cell>
          <cell r="R21">
            <v>34337.900778600168</v>
          </cell>
          <cell r="S21">
            <v>37264.665206071215</v>
          </cell>
          <cell r="T21">
            <v>39926.895847375941</v>
          </cell>
          <cell r="U21">
            <v>42646.026608376145</v>
          </cell>
        </row>
        <row r="23">
          <cell r="M23" t="str">
            <v>PBZ &amp; Xce 1 &amp; Xce 2</v>
          </cell>
        </row>
        <row r="24">
          <cell r="M24" t="str">
            <v>PBZ &amp; Xce 1 &amp; Xce 2 Dalkia</v>
          </cell>
          <cell r="N24" t="str">
            <v>Dalkia</v>
          </cell>
          <cell r="O24">
            <v>5463.6125451479993</v>
          </cell>
          <cell r="P24">
            <v>6235.2</v>
          </cell>
          <cell r="Q24">
            <v>7010.8030256636521</v>
          </cell>
          <cell r="R24">
            <v>8115.273457992007</v>
          </cell>
          <cell r="S24">
            <v>9171.1760615083567</v>
          </cell>
          <cell r="T24">
            <v>10052.156087547686</v>
          </cell>
          <cell r="U24">
            <v>10820.283887318557</v>
          </cell>
        </row>
        <row r="25">
          <cell r="M25" t="str">
            <v>PBZ &amp; Xce 1 &amp; Xce 2 Veolia Eau</v>
          </cell>
          <cell r="N25" t="str">
            <v>Veolia Eau</v>
          </cell>
          <cell r="O25">
            <v>9102.8002260569992</v>
          </cell>
          <cell r="P25">
            <v>10006.299999999999</v>
          </cell>
          <cell r="Q25">
            <v>11012.677258389727</v>
          </cell>
          <cell r="R25">
            <v>12135.187368348539</v>
          </cell>
          <cell r="S25">
            <v>13062.276128349225</v>
          </cell>
          <cell r="T25">
            <v>13821.301083713701</v>
          </cell>
          <cell r="U25">
            <v>14797.403652882153</v>
          </cell>
        </row>
        <row r="26">
          <cell r="M26" t="str">
            <v>PBZ &amp; Xce 1 &amp; Xce 2 Veolia Propreté</v>
          </cell>
          <cell r="N26" t="str">
            <v>Veolia Propreté</v>
          </cell>
          <cell r="O26">
            <v>6668.0769759408777</v>
          </cell>
          <cell r="P26">
            <v>7304.5</v>
          </cell>
          <cell r="Q26">
            <v>9143.36429860112</v>
          </cell>
          <cell r="R26">
            <v>10603.816607669098</v>
          </cell>
          <cell r="S26">
            <v>11536.410322343627</v>
          </cell>
          <cell r="T26">
            <v>12506.478871434087</v>
          </cell>
          <cell r="U26">
            <v>13435.06509322728</v>
          </cell>
        </row>
        <row r="27">
          <cell r="M27" t="str">
            <v>PBZ &amp; Xce 1 &amp; Xce 2 Veolia Transport</v>
          </cell>
          <cell r="N27" t="str">
            <v>Veolia Transport</v>
          </cell>
          <cell r="O27">
            <v>4223.9120475169993</v>
          </cell>
          <cell r="P27">
            <v>4866.5</v>
          </cell>
          <cell r="Q27">
            <v>5552.630699453458</v>
          </cell>
          <cell r="R27">
            <v>6200.1479885418867</v>
          </cell>
          <cell r="S27">
            <v>6779.804327158964</v>
          </cell>
          <cell r="T27">
            <v>7364.5804182776528</v>
          </cell>
          <cell r="U27">
            <v>7848.5691754201089</v>
          </cell>
        </row>
        <row r="28">
          <cell r="M28" t="str">
            <v>PBZ &amp; Xce 1 &amp; Xce 2 Proactiva</v>
          </cell>
          <cell r="N28" t="str">
            <v>Proactiva</v>
          </cell>
          <cell r="O28">
            <v>112.068</v>
          </cell>
          <cell r="P28">
            <v>116.3</v>
          </cell>
          <cell r="Q28">
            <v>125.0482498875549</v>
          </cell>
          <cell r="R28">
            <v>139.04357226679335</v>
          </cell>
          <cell r="S28">
            <v>153.37254622353677</v>
          </cell>
          <cell r="T28">
            <v>163.54718730524706</v>
          </cell>
          <cell r="U28">
            <v>173.20112470317844</v>
          </cell>
        </row>
        <row r="29">
          <cell r="M29" t="str">
            <v>PBZ &amp; Xce 1 &amp; Xce 2 Holdings</v>
          </cell>
          <cell r="N29" t="str">
            <v>Holdings</v>
          </cell>
          <cell r="O29">
            <v>0</v>
          </cell>
          <cell r="P29">
            <v>0</v>
          </cell>
          <cell r="Q29">
            <v>321.85147303747686</v>
          </cell>
          <cell r="R29">
            <v>334.72553195897598</v>
          </cell>
          <cell r="S29">
            <v>348.11455323733503</v>
          </cell>
          <cell r="T29">
            <v>362.03913536682842</v>
          </cell>
          <cell r="U29">
            <v>376.52070078150155</v>
          </cell>
        </row>
        <row r="30">
          <cell r="M30" t="str">
            <v>Total</v>
          </cell>
          <cell r="O30">
            <v>25570.469794662873</v>
          </cell>
          <cell r="P30">
            <v>28528.799999999999</v>
          </cell>
          <cell r="Q30">
            <v>33166.375005032998</v>
          </cell>
          <cell r="R30">
            <v>37528.194526777297</v>
          </cell>
          <cell r="S30">
            <v>41051.153938821044</v>
          </cell>
          <cell r="T30">
            <v>44270.102783645205</v>
          </cell>
          <cell r="U30">
            <v>47451.043634332775</v>
          </cell>
        </row>
        <row r="32">
          <cell r="M32" t="str">
            <v>PBZ &amp; Xce 1 &amp; Xce 2 &amp; Xce 3</v>
          </cell>
        </row>
        <row r="33">
          <cell r="N33" t="str">
            <v>Dalkia</v>
          </cell>
          <cell r="O33">
            <v>5463.6125451479993</v>
          </cell>
          <cell r="P33">
            <v>6235.2</v>
          </cell>
          <cell r="Q33">
            <v>7010.8030256636521</v>
          </cell>
          <cell r="R33">
            <v>8115.273457992007</v>
          </cell>
          <cell r="S33">
            <v>9171.1760615083567</v>
          </cell>
          <cell r="T33">
            <v>10052.156087547686</v>
          </cell>
          <cell r="U33">
            <v>10820.283887318557</v>
          </cell>
        </row>
        <row r="34">
          <cell r="N34" t="str">
            <v>Veolia Eau</v>
          </cell>
          <cell r="O34">
            <v>9102.8002260569992</v>
          </cell>
          <cell r="P34">
            <v>10006.299999999999</v>
          </cell>
          <cell r="Q34">
            <v>11277.646427940666</v>
          </cell>
          <cell r="R34">
            <v>12415.183098905194</v>
          </cell>
          <cell r="S34">
            <v>13357.014530373235</v>
          </cell>
          <cell r="T34">
            <v>14135.705167855696</v>
          </cell>
          <cell r="U34">
            <v>15110.003849047889</v>
          </cell>
        </row>
        <row r="35">
          <cell r="N35" t="str">
            <v>Veolia Propreté</v>
          </cell>
          <cell r="O35">
            <v>6668.0769759408777</v>
          </cell>
          <cell r="P35">
            <v>7304.5</v>
          </cell>
          <cell r="Q35">
            <v>11600.86429860112</v>
          </cell>
          <cell r="R35">
            <v>15697.716607669097</v>
          </cell>
          <cell r="S35">
            <v>16805.110322343626</v>
          </cell>
          <cell r="T35">
            <v>17954.078871434089</v>
          </cell>
          <cell r="U35">
            <v>19067.765093227281</v>
          </cell>
        </row>
        <row r="36">
          <cell r="N36" t="str">
            <v>Veolia Transport</v>
          </cell>
          <cell r="O36">
            <v>4223.9120475169993</v>
          </cell>
          <cell r="P36">
            <v>4866.5</v>
          </cell>
          <cell r="Q36">
            <v>5552.630699453458</v>
          </cell>
          <cell r="R36">
            <v>6200.1479885418867</v>
          </cell>
          <cell r="S36">
            <v>6779.804327158964</v>
          </cell>
          <cell r="T36">
            <v>7364.5804182776528</v>
          </cell>
          <cell r="U36">
            <v>7848.5691754201089</v>
          </cell>
        </row>
        <row r="37">
          <cell r="N37" t="str">
            <v>Proactiva</v>
          </cell>
          <cell r="O37">
            <v>112.068</v>
          </cell>
          <cell r="P37">
            <v>116.3</v>
          </cell>
          <cell r="Q37">
            <v>125.0482498875549</v>
          </cell>
          <cell r="R37">
            <v>139.04357226679335</v>
          </cell>
          <cell r="S37">
            <v>153.37254622353677</v>
          </cell>
          <cell r="T37">
            <v>163.54718730524706</v>
          </cell>
          <cell r="U37">
            <v>173.20112470317844</v>
          </cell>
        </row>
        <row r="38">
          <cell r="N38" t="str">
            <v>Holdings</v>
          </cell>
          <cell r="O38">
            <v>0</v>
          </cell>
          <cell r="P38">
            <v>0</v>
          </cell>
          <cell r="Q38">
            <v>321.85147303747686</v>
          </cell>
          <cell r="R38">
            <v>334.72553195897598</v>
          </cell>
          <cell r="S38">
            <v>348.11455323733503</v>
          </cell>
          <cell r="T38">
            <v>362.03913536682842</v>
          </cell>
          <cell r="U38">
            <v>376.52070078150155</v>
          </cell>
        </row>
        <row r="39">
          <cell r="M39" t="str">
            <v>Total</v>
          </cell>
          <cell r="O39">
            <v>25570.469794662873</v>
          </cell>
          <cell r="P39">
            <v>28528.799999999999</v>
          </cell>
          <cell r="Q39">
            <v>35888.844174583937</v>
          </cell>
          <cell r="R39">
            <v>42902.090257333955</v>
          </cell>
          <cell r="S39">
            <v>46614.592340845054</v>
          </cell>
          <cell r="T39">
            <v>50032.106867787203</v>
          </cell>
          <cell r="U39">
            <v>53396.34383049851</v>
          </cell>
        </row>
        <row r="41">
          <cell r="M41" t="str">
            <v>PBZ &amp; Xce 1 &amp; Xce 2 &amp; Xce Galaxie</v>
          </cell>
        </row>
        <row r="42">
          <cell r="N42" t="str">
            <v>Dalkia</v>
          </cell>
          <cell r="O42">
            <v>5463.6125451479993</v>
          </cell>
          <cell r="P42">
            <v>6235.2</v>
          </cell>
          <cell r="Q42">
            <v>7010.8030256636521</v>
          </cell>
          <cell r="R42">
            <v>8115.273457992007</v>
          </cell>
          <cell r="S42">
            <v>9171.1760615083567</v>
          </cell>
          <cell r="T42">
            <v>10052.156087547686</v>
          </cell>
          <cell r="U42">
            <v>10820.283887318557</v>
          </cell>
        </row>
        <row r="43">
          <cell r="N43" t="str">
            <v>Veolia Eau</v>
          </cell>
          <cell r="O43">
            <v>9102.8002260569992</v>
          </cell>
          <cell r="P43">
            <v>10006.299999999999</v>
          </cell>
          <cell r="Q43">
            <v>11012.677258389727</v>
          </cell>
          <cell r="R43">
            <v>12135.187368348539</v>
          </cell>
          <cell r="S43">
            <v>13062.276128349225</v>
          </cell>
          <cell r="T43">
            <v>13821.301083713701</v>
          </cell>
          <cell r="U43">
            <v>14797.403652882153</v>
          </cell>
        </row>
        <row r="44">
          <cell r="N44" t="str">
            <v>Veolia Propreté</v>
          </cell>
          <cell r="O44">
            <v>6668.0769759408777</v>
          </cell>
          <cell r="P44">
            <v>7304.5</v>
          </cell>
          <cell r="Q44">
            <v>9143.36429860112</v>
          </cell>
          <cell r="R44">
            <v>10603.816607669098</v>
          </cell>
          <cell r="S44">
            <v>11536.410322343627</v>
          </cell>
          <cell r="T44">
            <v>12506.478871434087</v>
          </cell>
          <cell r="U44">
            <v>13435.06509322728</v>
          </cell>
        </row>
        <row r="45">
          <cell r="N45" t="str">
            <v>Veolia Transport</v>
          </cell>
          <cell r="O45">
            <v>4223.9120475169993</v>
          </cell>
          <cell r="P45">
            <v>4866.5</v>
          </cell>
          <cell r="Q45">
            <v>5552.630699453458</v>
          </cell>
          <cell r="R45">
            <v>6200.1479885418867</v>
          </cell>
          <cell r="S45">
            <v>6779.804327158964</v>
          </cell>
          <cell r="T45">
            <v>7364.5804182776528</v>
          </cell>
          <cell r="U45">
            <v>7848.5691754201089</v>
          </cell>
        </row>
        <row r="46">
          <cell r="N46" t="str">
            <v>Proactiva</v>
          </cell>
          <cell r="O46">
            <v>112.068</v>
          </cell>
          <cell r="P46">
            <v>116.3</v>
          </cell>
          <cell r="Q46">
            <v>125.0482498875549</v>
          </cell>
          <cell r="R46">
            <v>139.04357226679335</v>
          </cell>
          <cell r="S46">
            <v>153.37254622353677</v>
          </cell>
          <cell r="T46">
            <v>163.54718730524706</v>
          </cell>
          <cell r="U46">
            <v>173.20112470317844</v>
          </cell>
        </row>
        <row r="47">
          <cell r="N47" t="str">
            <v>Holdings</v>
          </cell>
          <cell r="O47">
            <v>0</v>
          </cell>
          <cell r="P47">
            <v>0</v>
          </cell>
          <cell r="Q47">
            <v>321.85147303747686</v>
          </cell>
          <cell r="R47">
            <v>334.72553195897598</v>
          </cell>
          <cell r="S47">
            <v>348.11455323733503</v>
          </cell>
          <cell r="T47">
            <v>362.03913536682842</v>
          </cell>
          <cell r="U47">
            <v>376.52070078150155</v>
          </cell>
        </row>
        <row r="48">
          <cell r="M48" t="str">
            <v>Total</v>
          </cell>
          <cell r="O48">
            <v>25570.469794662873</v>
          </cell>
          <cell r="P48">
            <v>28528.799999999999</v>
          </cell>
          <cell r="Q48">
            <v>33166.375005032998</v>
          </cell>
          <cell r="R48">
            <v>37528.194526777297</v>
          </cell>
          <cell r="S48">
            <v>41051.153938821044</v>
          </cell>
          <cell r="T48">
            <v>44270.102783645205</v>
          </cell>
          <cell r="U48">
            <v>47451.043634332775</v>
          </cell>
        </row>
        <row r="50">
          <cell r="M50" t="str">
            <v>PBZ &amp; Xce 1 &amp; Xce 2 &amp; Xce 3 &amp; AugK 2</v>
          </cell>
        </row>
        <row r="51">
          <cell r="N51" t="str">
            <v>Dalkia</v>
          </cell>
          <cell r="O51">
            <v>5463.6125451479993</v>
          </cell>
          <cell r="P51">
            <v>6235.2</v>
          </cell>
          <cell r="Q51">
            <v>7010.8030256636521</v>
          </cell>
          <cell r="R51">
            <v>8115.273457992007</v>
          </cell>
          <cell r="S51">
            <v>9171.1760615083567</v>
          </cell>
          <cell r="T51">
            <v>10052.156087547686</v>
          </cell>
          <cell r="U51">
            <v>10820.283887318557</v>
          </cell>
        </row>
        <row r="52">
          <cell r="N52" t="str">
            <v>Veolia Eau</v>
          </cell>
          <cell r="O52">
            <v>9102.8002260569992</v>
          </cell>
          <cell r="P52">
            <v>10006.299999999999</v>
          </cell>
          <cell r="Q52">
            <v>11277.646427940666</v>
          </cell>
          <cell r="R52">
            <v>12415.183098905194</v>
          </cell>
          <cell r="S52">
            <v>13357.014530373235</v>
          </cell>
          <cell r="T52">
            <v>14135.705167855696</v>
          </cell>
          <cell r="U52">
            <v>15110.003849047889</v>
          </cell>
        </row>
        <row r="53">
          <cell r="N53" t="str">
            <v>Veolia Propreté</v>
          </cell>
          <cell r="O53">
            <v>6668.0769759408777</v>
          </cell>
          <cell r="P53">
            <v>7304.5</v>
          </cell>
          <cell r="Q53">
            <v>11600.86429860112</v>
          </cell>
          <cell r="R53">
            <v>15697.716607669097</v>
          </cell>
          <cell r="S53">
            <v>16805.110322343626</v>
          </cell>
          <cell r="T53">
            <v>17954.078871434089</v>
          </cell>
          <cell r="U53">
            <v>19067.765093227281</v>
          </cell>
        </row>
        <row r="54">
          <cell r="N54" t="str">
            <v>Veolia Transport</v>
          </cell>
          <cell r="O54">
            <v>4223.9120475169993</v>
          </cell>
          <cell r="P54">
            <v>4866.5</v>
          </cell>
          <cell r="Q54">
            <v>5552.630699453458</v>
          </cell>
          <cell r="R54">
            <v>6200.1479885418867</v>
          </cell>
          <cell r="S54">
            <v>6779.804327158964</v>
          </cell>
          <cell r="T54">
            <v>7364.5804182776528</v>
          </cell>
          <cell r="U54">
            <v>7848.5691754201089</v>
          </cell>
        </row>
        <row r="55">
          <cell r="N55" t="str">
            <v>Proactiva</v>
          </cell>
          <cell r="O55">
            <v>112.068</v>
          </cell>
          <cell r="P55">
            <v>116.3</v>
          </cell>
          <cell r="Q55">
            <v>125.0482498875549</v>
          </cell>
          <cell r="R55">
            <v>139.04357226679335</v>
          </cell>
          <cell r="S55">
            <v>153.37254622353677</v>
          </cell>
          <cell r="T55">
            <v>163.54718730524706</v>
          </cell>
          <cell r="U55">
            <v>173.20112470317844</v>
          </cell>
        </row>
        <row r="56">
          <cell r="N56" t="str">
            <v>Holdings</v>
          </cell>
          <cell r="O56">
            <v>0</v>
          </cell>
          <cell r="P56">
            <v>0</v>
          </cell>
          <cell r="Q56">
            <v>321.85147303747686</v>
          </cell>
          <cell r="R56">
            <v>334.72553195897598</v>
          </cell>
          <cell r="S56">
            <v>348.11455323733503</v>
          </cell>
          <cell r="T56">
            <v>362.03913536682842</v>
          </cell>
          <cell r="U56">
            <v>376.52070078150155</v>
          </cell>
        </row>
        <row r="57">
          <cell r="M57" t="str">
            <v>Total</v>
          </cell>
          <cell r="O57">
            <v>25570.469794662873</v>
          </cell>
          <cell r="P57">
            <v>28528.799999999999</v>
          </cell>
          <cell r="Q57">
            <v>35888.844174583937</v>
          </cell>
          <cell r="R57">
            <v>42902.090257333955</v>
          </cell>
          <cell r="S57">
            <v>46614.592340845054</v>
          </cell>
          <cell r="T57">
            <v>50032.106867787203</v>
          </cell>
          <cell r="U57">
            <v>53396.34383049851</v>
          </cell>
        </row>
        <row r="59">
          <cell r="M59" t="str">
            <v>PBZ &amp; Xce 1 &amp; Xce 2 &amp; Xce Galaxie &amp; AugK 1</v>
          </cell>
        </row>
        <row r="60">
          <cell r="N60" t="str">
            <v>Dalkia</v>
          </cell>
          <cell r="O60">
            <v>5463.6125451479993</v>
          </cell>
          <cell r="P60">
            <v>6235.2</v>
          </cell>
          <cell r="Q60">
            <v>7010.8030256636521</v>
          </cell>
          <cell r="R60">
            <v>8115.273457992007</v>
          </cell>
          <cell r="S60">
            <v>9171.1760615083567</v>
          </cell>
          <cell r="T60">
            <v>10052.156087547686</v>
          </cell>
          <cell r="U60">
            <v>10820.283887318557</v>
          </cell>
        </row>
        <row r="61">
          <cell r="N61" t="str">
            <v>Veolia Eau</v>
          </cell>
          <cell r="O61">
            <v>9102.8002260569992</v>
          </cell>
          <cell r="P61">
            <v>10006.299999999999</v>
          </cell>
          <cell r="Q61">
            <v>11012.677258389727</v>
          </cell>
          <cell r="R61">
            <v>12135.187368348539</v>
          </cell>
          <cell r="S61">
            <v>13062.276128349225</v>
          </cell>
          <cell r="T61">
            <v>13821.301083713701</v>
          </cell>
          <cell r="U61">
            <v>14797.403652882153</v>
          </cell>
        </row>
        <row r="62">
          <cell r="N62" t="str">
            <v>Veolia Propreté</v>
          </cell>
          <cell r="O62">
            <v>6668.0769759408777</v>
          </cell>
          <cell r="P62">
            <v>7304.5</v>
          </cell>
          <cell r="Q62">
            <v>9143.36429860112</v>
          </cell>
          <cell r="R62">
            <v>10603.816607669098</v>
          </cell>
          <cell r="S62">
            <v>11536.410322343627</v>
          </cell>
          <cell r="T62">
            <v>12506.478871434087</v>
          </cell>
          <cell r="U62">
            <v>13435.06509322728</v>
          </cell>
        </row>
        <row r="63">
          <cell r="N63" t="str">
            <v>Veolia Transport</v>
          </cell>
          <cell r="O63">
            <v>4223.9120475169993</v>
          </cell>
          <cell r="P63">
            <v>4866.5</v>
          </cell>
          <cell r="Q63">
            <v>5552.630699453458</v>
          </cell>
          <cell r="R63">
            <v>6200.1479885418867</v>
          </cell>
          <cell r="S63">
            <v>6779.804327158964</v>
          </cell>
          <cell r="T63">
            <v>7364.5804182776528</v>
          </cell>
          <cell r="U63">
            <v>7848.5691754201089</v>
          </cell>
        </row>
        <row r="64">
          <cell r="N64" t="str">
            <v>Proactiva</v>
          </cell>
          <cell r="O64">
            <v>112.068</v>
          </cell>
          <cell r="P64">
            <v>116.3</v>
          </cell>
          <cell r="Q64">
            <v>125.0482498875549</v>
          </cell>
          <cell r="R64">
            <v>139.04357226679335</v>
          </cell>
          <cell r="S64">
            <v>153.37254622353677</v>
          </cell>
          <cell r="T64">
            <v>163.54718730524706</v>
          </cell>
          <cell r="U64">
            <v>173.20112470317844</v>
          </cell>
        </row>
        <row r="65">
          <cell r="N65" t="str">
            <v>Holdings</v>
          </cell>
          <cell r="O65">
            <v>0</v>
          </cell>
          <cell r="P65">
            <v>0</v>
          </cell>
          <cell r="Q65">
            <v>-391.16162291523966</v>
          </cell>
          <cell r="R65">
            <v>-1382.4316083861261</v>
          </cell>
          <cell r="S65">
            <v>-1259.9206740845486</v>
          </cell>
          <cell r="T65">
            <v>-441.10532431787624</v>
          </cell>
          <cell r="U65">
            <v>-82.396049195505213</v>
          </cell>
        </row>
        <row r="66">
          <cell r="M66" t="str">
            <v>Total</v>
          </cell>
          <cell r="O66">
            <v>25570.469794662873</v>
          </cell>
          <cell r="P66">
            <v>28528.799999999999</v>
          </cell>
          <cell r="Q66">
            <v>32453.361909080282</v>
          </cell>
          <cell r="R66">
            <v>35811.037386432195</v>
          </cell>
          <cell r="S66">
            <v>39443.118711499163</v>
          </cell>
          <cell r="T66">
            <v>43466.958323960498</v>
          </cell>
          <cell r="U66">
            <v>46992.12688435577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62015"/>
      <sheetName val="16-06-2015"/>
      <sheetName val="Lists&amp;Param"/>
      <sheetName val="Summary"/>
      <sheetName val="O&amp;M"/>
      <sheetName val="F&amp;A"/>
      <sheetName val="Works"/>
      <sheetName val="Production"/>
      <sheetName val="HR &amp; Admin"/>
      <sheetName val="IT"/>
      <sheetName val="Others"/>
      <sheetName val="Provision"/>
      <sheetName val="Parameters"/>
    </sheetNames>
    <sheetDataSet>
      <sheetData sheetId="0"/>
      <sheetData sheetId="1"/>
      <sheetData sheetId="2">
        <row r="14">
          <cell r="B14" t="str">
            <v>YES</v>
          </cell>
        </row>
        <row r="15">
          <cell r="B15" t="str">
            <v>NO</v>
          </cell>
        </row>
        <row r="18">
          <cell r="B18">
            <v>0</v>
          </cell>
        </row>
        <row r="19">
          <cell r="B19">
            <v>0.1</v>
          </cell>
        </row>
        <row r="20">
          <cell r="B20">
            <v>0.2</v>
          </cell>
        </row>
        <row r="21">
          <cell r="B21">
            <v>0.3</v>
          </cell>
        </row>
        <row r="22">
          <cell r="B22">
            <v>0.4</v>
          </cell>
        </row>
        <row r="23">
          <cell r="B23">
            <v>0.5</v>
          </cell>
        </row>
        <row r="24">
          <cell r="B24">
            <v>0.6</v>
          </cell>
        </row>
        <row r="25">
          <cell r="B25">
            <v>0.7</v>
          </cell>
        </row>
        <row r="26">
          <cell r="B26">
            <v>0.8</v>
          </cell>
        </row>
        <row r="27">
          <cell r="B27">
            <v>0.9</v>
          </cell>
        </row>
        <row r="28">
          <cell r="B28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Sep 05"/>
      <sheetName val="Control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ction &amp; used limits"/>
      <sheetName val="bank limits"/>
      <sheetName val="DP"/>
      <sheetName val="Revenue Assm BC"/>
      <sheetName val="Revenue Assm BJ"/>
      <sheetName val="Carve offs"/>
      <sheetName val="WC"/>
      <sheetName val="PL"/>
      <sheetName val="BS"/>
      <sheetName val="CFS"/>
      <sheetName val="Taxation"/>
      <sheetName val="Int Calc"/>
      <sheetName val="DSCR"/>
      <sheetName val="Funds Utilisation"/>
      <sheetName val="Freehold Lan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Assist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PPO"/>
      <sheetName val="TCD CONV"/>
      <sheetName val="MENU"/>
      <sheetName val="Main Report"/>
      <sheetName val="THINK CELL"/>
      <sheetName val="1 DIVISION"/>
      <sheetName val="2 Détail"/>
      <sheetName val="3 Synthèse"/>
      <sheetName val="1 PREZ POLE"/>
      <sheetName val="Enablon 2012 2015"/>
      <sheetName val="FY 2012"/>
      <sheetName val="PP Après"/>
      <sheetName val="PP Ajust"/>
      <sheetName val="PP Avant"/>
      <sheetName val="Carto Eau 2 pôles"/>
      <sheetName val="PC Après"/>
      <sheetName val="PC Ajust"/>
      <sheetName val="PC avant"/>
      <sheetName val="SEPT 2012"/>
      <sheetName val="PP Après Ajust Q3"/>
      <sheetName val="PP Ajust Q3"/>
      <sheetName val="PP avant Q3"/>
      <sheetName val="PC Après Ajust Q3"/>
      <sheetName val="PC Ajust Q3"/>
      <sheetName val="PC avant Q3"/>
      <sheetName val="Feuil2"/>
      <sheetName val="Idées"/>
      <sheetName val="Objectifs compl 2013"/>
      <sheetName val="Mapping"/>
      <sheetName val="eq inf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>
        <row r="6">
          <cell r="K6" t="str">
            <v>Division Eau</v>
          </cell>
        </row>
        <row r="7">
          <cell r="K7" t="str">
            <v>Exploitations</v>
          </cell>
        </row>
        <row r="8">
          <cell r="K8" t="str">
            <v>Tech_Réseaux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FT"/>
      <sheetName val="#REF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Docctrl"/>
      <sheetName val="ImptdData1"/>
      <sheetName val="EqDmog"/>
      <sheetName val="327056"/>
      <sheetName val="G1"/>
      <sheetName val="G2"/>
      <sheetName val="Index"/>
      <sheetName val="Summary"/>
      <sheetName val="327057"/>
      <sheetName val="327058"/>
      <sheetName val="Cons_by_Region"/>
      <sheetName val="Cons_by_Supplier"/>
      <sheetName val="Supplier_MktShr"/>
      <sheetName val="ImptData2"/>
      <sheetName val="327057_w"/>
      <sheetName val="327058_w"/>
      <sheetName val="327056_CH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sy Summary"/>
      <sheetName val="Market Size per Buildout"/>
    </sheetNames>
    <sheetDataSet>
      <sheetData sheetId="0" refreshError="1"/>
      <sheetData sheetId="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BidForm"/>
      <sheetName val="ScenarioBackUp"/>
      <sheetName val="Input"/>
      <sheetName val="Output"/>
      <sheetName val="Macro"/>
      <sheetName val="IDC"/>
      <sheetName val="DebtCalc"/>
      <sheetName val="Dep_Sch"/>
      <sheetName val="WC"/>
      <sheetName val="O&amp;M"/>
      <sheetName val="Fuel Charges"/>
      <sheetName val="Tariff"/>
      <sheetName val="P&amp;L"/>
      <sheetName val="BS&amp;CF"/>
      <sheetName val="Bidder Input"/>
      <sheetName val="Evaluated Tariff"/>
      <sheetName val="For Visual Purposes Only"/>
      <sheetName val="O&amp;M (2)"/>
      <sheetName val="Dahanu"/>
      <sheetName val="R&amp;M"/>
    </sheetNames>
    <sheetDataSet>
      <sheetData sheetId="0"/>
      <sheetData sheetId="1"/>
      <sheetData sheetId="2"/>
      <sheetData sheetId="3"/>
      <sheetData sheetId="4"/>
      <sheetData sheetId="5">
        <row r="22">
          <cell r="D22">
            <v>5073.7646403308618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. Liab."/>
      <sheetName val="Subcont. Liab."/>
      <sheetName val="Mat. Liab."/>
      <sheetName val="Cl.Stock"/>
      <sheetName val="Site Stock"/>
      <sheetName val="Cl.WIP"/>
      <sheetName val="Adv. Rnt."/>
      <sheetName val="Deposit"/>
      <sheetName val="Fuel Consumption"/>
      <sheetName val="BG"/>
      <sheetName val="BG (2)"/>
      <sheetName val="Telephone"/>
      <sheetName val="Wages"/>
      <sheetName val="CAR"/>
      <sheetName val="Prel.Mat."/>
      <sheetName val="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Pro Forma"/>
      <sheetName val="PFBS"/>
      <sheetName val="PFEPS"/>
      <sheetName val="TM"/>
      <sheetName val="DEV-T"/>
      <sheetName val="DCF-T"/>
      <sheetName val="SumVal-T"/>
      <sheetName val="Options"/>
      <sheetName val="Factset"/>
      <sheetName val="ER"/>
      <sheetName val="PIEPS"/>
      <sheetName val="RC"/>
      <sheetName val="AdditionalPrintCode"/>
      <sheetName val="MainPrintCode"/>
    </sheetNames>
    <sheetDataSet>
      <sheetData sheetId="0" refreshError="1"/>
      <sheetData sheetId="1">
        <row r="16">
          <cell r="L16">
            <v>14.074999999999999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ompare"/>
      <sheetName val="Qcompare (2)"/>
      <sheetName val="Qcompare (3)"/>
      <sheetName val="Qcompare (4)"/>
      <sheetName val="Full Yr"/>
      <sheetName val="Full Yr (2)"/>
      <sheetName val="Full Yr (3)"/>
      <sheetName val="Full Yr (4)"/>
      <sheetName val="Monthly"/>
      <sheetName val="Monthly (2)"/>
      <sheetName val="Monthly (3)"/>
      <sheetName val="Monthly (4)"/>
      <sheetName val="Hcare Full Yr"/>
      <sheetName val="Hcare Full Yr (2)"/>
      <sheetName val="Hcare Full Yr (3)"/>
      <sheetName val="Hcare Full Yr (4)"/>
      <sheetName val="Hcare Q1"/>
      <sheetName val="Hcare Q1 (2)"/>
      <sheetName val="Hcare Q1 (3)"/>
      <sheetName val="Hcare Q1 (4)"/>
      <sheetName val="Hcare Q2"/>
      <sheetName val="Hcare Q2 (2)"/>
      <sheetName val="Hcare Q2 (3)"/>
      <sheetName val="Hcare Q2 (4)"/>
      <sheetName val="Hcare Q3"/>
      <sheetName val="Hcare Q3 (2)"/>
      <sheetName val="Hcare Q3 (3)"/>
      <sheetName val="Hcare Q3 (4)"/>
      <sheetName val="Hcare Q4"/>
      <sheetName val="Hcare Q4 (2)"/>
      <sheetName val="Hcare Q4 (3)"/>
      <sheetName val="Hcare Q4 (4)"/>
      <sheetName val="Q1GW"/>
      <sheetName val="Q1GW (2)"/>
      <sheetName val="Q1GW (3)"/>
      <sheetName val="Q1GW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COUNTRY: INDONESIA</v>
          </cell>
          <cell r="C1" t="str">
            <v>Division :Head Office</v>
          </cell>
        </row>
        <row r="3">
          <cell r="A3">
            <v>38367</v>
          </cell>
          <cell r="B3" t="str">
            <v>Currency Rupiah m's</v>
          </cell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</row>
        <row r="4">
          <cell r="C4" t="str">
            <v>Actual</v>
          </cell>
          <cell r="D4" t="str">
            <v>Actual</v>
          </cell>
          <cell r="E4" t="str">
            <v>Actual</v>
          </cell>
          <cell r="F4" t="str">
            <v>Actual</v>
          </cell>
          <cell r="G4" t="str">
            <v>Actual</v>
          </cell>
        </row>
        <row r="5">
          <cell r="B5" t="str">
            <v xml:space="preserve">  Starting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 t="str">
            <v xml:space="preserve">  Gross Sales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 t="str">
            <v xml:space="preserve">  Add &amp; Reneg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 xml:space="preserve">  Price Increases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 t="str">
            <v xml:space="preserve">  Terminations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 xml:space="preserve"> Portfolio</v>
          </cell>
          <cell r="B10" t="str">
            <v xml:space="preserve">  Deds &amp; Reneg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 xml:space="preserve">  Net Gain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 t="str">
            <v xml:space="preserve">  Closing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4">
          <cell r="B14" t="str">
            <v xml:space="preserve">  Contract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 xml:space="preserve">  Job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 xml:space="preserve"> Turnover</v>
          </cell>
          <cell r="B16" t="str">
            <v xml:space="preserve">  Products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 xml:space="preserve">  Credits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 xml:space="preserve">  UCP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 xml:space="preserve">  Total</v>
          </cell>
          <cell r="C19">
            <v>2</v>
          </cell>
          <cell r="D19">
            <v>68</v>
          </cell>
          <cell r="E19">
            <v>0</v>
          </cell>
          <cell r="F19">
            <v>374</v>
          </cell>
          <cell r="G19">
            <v>37</v>
          </cell>
        </row>
        <row r="20">
          <cell r="B20" t="str">
            <v xml:space="preserve">  Intercompany</v>
          </cell>
          <cell r="C20">
            <v>2</v>
          </cell>
          <cell r="D20">
            <v>68</v>
          </cell>
          <cell r="E20">
            <v>0</v>
          </cell>
          <cell r="F20">
            <v>374</v>
          </cell>
          <cell r="G20">
            <v>37</v>
          </cell>
        </row>
        <row r="21">
          <cell r="B21" t="str">
            <v xml:space="preserve">  Wages</v>
          </cell>
          <cell r="C21">
            <v>11</v>
          </cell>
          <cell r="D21">
            <v>11</v>
          </cell>
          <cell r="E21">
            <v>11</v>
          </cell>
          <cell r="F21">
            <v>10</v>
          </cell>
          <cell r="G21">
            <v>13</v>
          </cell>
        </row>
        <row r="22">
          <cell r="B22" t="str">
            <v xml:space="preserve">  Expenses</v>
          </cell>
          <cell r="C22">
            <v>2</v>
          </cell>
          <cell r="D22">
            <v>2</v>
          </cell>
          <cell r="E22">
            <v>1</v>
          </cell>
          <cell r="F22">
            <v>6</v>
          </cell>
          <cell r="G22">
            <v>2</v>
          </cell>
        </row>
        <row r="23">
          <cell r="A23" t="str">
            <v xml:space="preserve"> Service</v>
          </cell>
          <cell r="B23" t="str">
            <v xml:space="preserve">  Preparations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 t="str">
            <v xml:space="preserve">  Depreciation</v>
          </cell>
          <cell r="C24">
            <v>0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</row>
        <row r="25">
          <cell r="B25" t="str">
            <v xml:space="preserve">  Capitalisations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 t="str">
            <v xml:space="preserve">  All Other</v>
          </cell>
          <cell r="C26">
            <v>1</v>
          </cell>
          <cell r="D26">
            <v>1</v>
          </cell>
          <cell r="E26">
            <v>2</v>
          </cell>
          <cell r="F26">
            <v>2</v>
          </cell>
          <cell r="G26">
            <v>12</v>
          </cell>
        </row>
        <row r="27">
          <cell r="B27" t="str">
            <v xml:space="preserve">  Total</v>
          </cell>
          <cell r="C27">
            <v>15</v>
          </cell>
          <cell r="D27">
            <v>54</v>
          </cell>
          <cell r="E27">
            <v>16</v>
          </cell>
          <cell r="F27">
            <v>294</v>
          </cell>
          <cell r="G27">
            <v>56</v>
          </cell>
        </row>
        <row r="28">
          <cell r="B28" t="str">
            <v>%</v>
          </cell>
        </row>
        <row r="29">
          <cell r="B29" t="str">
            <v>Cost Of Sales</v>
          </cell>
          <cell r="C29">
            <v>1</v>
          </cell>
          <cell r="D29">
            <v>40</v>
          </cell>
          <cell r="E29">
            <v>0</v>
          </cell>
          <cell r="F29">
            <v>274</v>
          </cell>
          <cell r="G29">
            <v>27</v>
          </cell>
        </row>
        <row r="30">
          <cell r="B30" t="str">
            <v xml:space="preserve">  Salaries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 t="str">
            <v xml:space="preserve">  Comm/Incentive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 xml:space="preserve"> Sales</v>
          </cell>
          <cell r="B32" t="str">
            <v xml:space="preserve">  Expenses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 t="str">
            <v xml:space="preserve">  All 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 t="str">
            <v xml:space="preserve">  Managers Salaries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 xml:space="preserve">  Managers Bonus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 t="str">
            <v xml:space="preserve">  Managers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 t="str">
            <v xml:space="preserve">  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 t="str">
            <v>%</v>
          </cell>
        </row>
        <row r="40">
          <cell r="B40" t="str">
            <v xml:space="preserve">  Salaries</v>
          </cell>
          <cell r="C40">
            <v>115</v>
          </cell>
          <cell r="D40">
            <v>115</v>
          </cell>
          <cell r="E40">
            <v>125</v>
          </cell>
          <cell r="F40">
            <v>116</v>
          </cell>
          <cell r="G40">
            <v>111</v>
          </cell>
        </row>
        <row r="41">
          <cell r="A41" t="str">
            <v xml:space="preserve"> Admin</v>
          </cell>
          <cell r="B41" t="str">
            <v xml:space="preserve">  Bad Debts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-43</v>
          </cell>
        </row>
        <row r="42">
          <cell r="B42" t="str">
            <v xml:space="preserve">  All Other</v>
          </cell>
          <cell r="C42">
            <v>151</v>
          </cell>
          <cell r="D42">
            <v>151</v>
          </cell>
          <cell r="E42">
            <v>156</v>
          </cell>
          <cell r="F42">
            <v>388</v>
          </cell>
          <cell r="G42">
            <v>175</v>
          </cell>
        </row>
        <row r="43">
          <cell r="B43" t="str">
            <v xml:space="preserve">  Total</v>
          </cell>
          <cell r="C43">
            <v>266</v>
          </cell>
          <cell r="D43">
            <v>266</v>
          </cell>
          <cell r="E43">
            <v>281</v>
          </cell>
          <cell r="F43">
            <v>504</v>
          </cell>
          <cell r="G43">
            <v>243</v>
          </cell>
        </row>
        <row r="44">
          <cell r="B44" t="str">
            <v>%</v>
          </cell>
        </row>
        <row r="46">
          <cell r="B46" t="str">
            <v xml:space="preserve">  Salaries</v>
          </cell>
          <cell r="C46">
            <v>104</v>
          </cell>
          <cell r="D46">
            <v>113</v>
          </cell>
          <cell r="E46">
            <v>115</v>
          </cell>
          <cell r="F46">
            <v>95</v>
          </cell>
          <cell r="G46">
            <v>106</v>
          </cell>
        </row>
        <row r="47">
          <cell r="A47" t="str">
            <v>Overhead</v>
          </cell>
          <cell r="B47" t="str">
            <v xml:space="preserve">  Bonus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 xml:space="preserve">  All Other</v>
          </cell>
          <cell r="C48">
            <v>57</v>
          </cell>
          <cell r="D48">
            <v>52</v>
          </cell>
          <cell r="E48">
            <v>53</v>
          </cell>
          <cell r="F48">
            <v>60</v>
          </cell>
          <cell r="G48">
            <v>62</v>
          </cell>
        </row>
        <row r="49">
          <cell r="B49" t="str">
            <v xml:space="preserve">  Total</v>
          </cell>
          <cell r="C49">
            <v>161</v>
          </cell>
          <cell r="D49">
            <v>165</v>
          </cell>
          <cell r="E49">
            <v>168</v>
          </cell>
          <cell r="F49">
            <v>155</v>
          </cell>
          <cell r="G49">
            <v>168</v>
          </cell>
        </row>
        <row r="50">
          <cell r="B50" t="str">
            <v>%</v>
          </cell>
        </row>
        <row r="52">
          <cell r="B52" t="str">
            <v xml:space="preserve">  Assessments</v>
          </cell>
          <cell r="C52">
            <v>-458</v>
          </cell>
          <cell r="D52">
            <v>-458</v>
          </cell>
          <cell r="E52">
            <v>-459</v>
          </cell>
          <cell r="F52">
            <v>-468</v>
          </cell>
          <cell r="G52">
            <v>-468</v>
          </cell>
        </row>
        <row r="53">
          <cell r="B53" t="str">
            <v>%</v>
          </cell>
        </row>
        <row r="55">
          <cell r="B55" t="str">
            <v xml:space="preserve">  Total Expenses</v>
          </cell>
          <cell r="C55">
            <v>-16</v>
          </cell>
          <cell r="D55">
            <v>27</v>
          </cell>
          <cell r="E55">
            <v>6</v>
          </cell>
          <cell r="F55">
            <v>485</v>
          </cell>
          <cell r="G55">
            <v>-1</v>
          </cell>
        </row>
        <row r="56">
          <cell r="B56" t="str">
            <v>%</v>
          </cell>
        </row>
        <row r="58">
          <cell r="B58" t="str">
            <v xml:space="preserve">  Interest Payable (Net)</v>
          </cell>
          <cell r="C58">
            <v>249</v>
          </cell>
          <cell r="D58">
            <v>398</v>
          </cell>
          <cell r="E58">
            <v>333</v>
          </cell>
          <cell r="F58">
            <v>315</v>
          </cell>
          <cell r="G58">
            <v>316</v>
          </cell>
        </row>
        <row r="59">
          <cell r="B59" t="str">
            <v xml:space="preserve">  Profit/(Loss) on Fixed 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B60" t="str">
            <v xml:space="preserve">  Profit/(Loss) on FX</v>
          </cell>
          <cell r="C60">
            <v>0</v>
          </cell>
          <cell r="D60">
            <v>0</v>
          </cell>
          <cell r="E60">
            <v>0</v>
          </cell>
          <cell r="F60">
            <v>-53</v>
          </cell>
          <cell r="G60">
            <v>21</v>
          </cell>
        </row>
        <row r="61">
          <cell r="B61" t="str">
            <v xml:space="preserve">  Net Profit</v>
          </cell>
          <cell r="C61">
            <v>267</v>
          </cell>
          <cell r="D61">
            <v>439</v>
          </cell>
          <cell r="E61">
            <v>327</v>
          </cell>
          <cell r="F61">
            <v>151</v>
          </cell>
          <cell r="G61">
            <v>375</v>
          </cell>
        </row>
        <row r="62">
          <cell r="B62" t="str">
            <v>%</v>
          </cell>
        </row>
        <row r="64">
          <cell r="B64" t="str">
            <v xml:space="preserve">  Service Sup/Managers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</row>
        <row r="65">
          <cell r="B65" t="str">
            <v xml:space="preserve">  Service Technicians</v>
          </cell>
          <cell r="C65">
            <v>2</v>
          </cell>
          <cell r="D65">
            <v>2</v>
          </cell>
          <cell r="E65">
            <v>2</v>
          </cell>
          <cell r="F65">
            <v>2</v>
          </cell>
          <cell r="G65">
            <v>2</v>
          </cell>
        </row>
        <row r="66">
          <cell r="B66" t="str">
            <v xml:space="preserve">  Service Total</v>
          </cell>
          <cell r="C66">
            <v>3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</row>
        <row r="68">
          <cell r="A68" t="str">
            <v xml:space="preserve">  Staffing</v>
          </cell>
        </row>
        <row r="69">
          <cell r="A69" t="str">
            <v xml:space="preserve">  Levels</v>
          </cell>
          <cell r="B69" t="str">
            <v xml:space="preserve">  Sales Sup/ Managers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 t="str">
            <v xml:space="preserve">  Sales People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 t="str">
            <v xml:space="preserve">  Selling Total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3">
          <cell r="B73" t="str">
            <v xml:space="preserve">  Administration Staff</v>
          </cell>
          <cell r="C73">
            <v>35</v>
          </cell>
          <cell r="D73">
            <v>35</v>
          </cell>
          <cell r="E73">
            <v>35</v>
          </cell>
          <cell r="F73">
            <v>35</v>
          </cell>
          <cell r="G73">
            <v>35</v>
          </cell>
        </row>
        <row r="75">
          <cell r="B75" t="str">
            <v xml:space="preserve">  Overhead Staff</v>
          </cell>
          <cell r="C75">
            <v>3</v>
          </cell>
          <cell r="D75">
            <v>3</v>
          </cell>
          <cell r="E75">
            <v>3</v>
          </cell>
          <cell r="F75">
            <v>3</v>
          </cell>
          <cell r="G75">
            <v>3</v>
          </cell>
        </row>
        <row r="77">
          <cell r="B77" t="str">
            <v xml:space="preserve">  Total Staff</v>
          </cell>
          <cell r="C77">
            <v>41</v>
          </cell>
          <cell r="D77">
            <v>41</v>
          </cell>
          <cell r="E77">
            <v>41</v>
          </cell>
          <cell r="F77">
            <v>41</v>
          </cell>
          <cell r="G77">
            <v>41</v>
          </cell>
        </row>
        <row r="79">
          <cell r="B79" t="str">
            <v xml:space="preserve">  Payroll Selling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B80" t="str">
            <v xml:space="preserve">  Effective Selling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 xml:space="preserve"> Activity</v>
          </cell>
          <cell r="B81" t="str">
            <v xml:space="preserve">  Average Gross Sales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 xml:space="preserve"> Levels</v>
          </cell>
          <cell r="B82" t="str">
            <v xml:space="preserve">  Job Sales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B83" t="str">
            <v xml:space="preserve">  Average Job Sales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24"/>
      <sheetName val="Weekly Hires"/>
      <sheetName val="Terms QTD 5_24"/>
      <sheetName val="Weekly Terms"/>
      <sheetName val="Detail Headcount"/>
      <sheetName val="Open Jobs we 5-26"/>
      <sheetName val="Offers Accepted"/>
      <sheetName val="Do not print-&gt;"/>
      <sheetName val="Open Requisitions 05-20-02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Req #</v>
          </cell>
          <cell r="B2" t="str">
            <v>Title</v>
          </cell>
          <cell r="C2" t="str">
            <v>Hired</v>
          </cell>
        </row>
        <row r="3">
          <cell r="A3" t="str">
            <v>1218HS</v>
          </cell>
          <cell r="B3" t="str">
            <v>Sr. Credit Analyst, Corporate Finance</v>
          </cell>
          <cell r="C3" t="str">
            <v>Q1</v>
          </cell>
        </row>
        <row r="4">
          <cell r="A4" t="str">
            <v>1248HS</v>
          </cell>
          <cell r="B4" t="str">
            <v>Director, Investor Relations</v>
          </cell>
          <cell r="C4" t="str">
            <v>Q1</v>
          </cell>
        </row>
        <row r="5">
          <cell r="A5" t="str">
            <v>1284HS</v>
          </cell>
          <cell r="B5" t="str">
            <v>Senior International Analyst</v>
          </cell>
          <cell r="C5" t="str">
            <v>Q1</v>
          </cell>
        </row>
        <row r="6">
          <cell r="A6" t="str">
            <v>1285HS</v>
          </cell>
          <cell r="B6" t="str">
            <v>Sr. Revenue Analyst</v>
          </cell>
          <cell r="C6" t="str">
            <v>Q1</v>
          </cell>
        </row>
        <row r="7">
          <cell r="A7" t="str">
            <v>1102HS</v>
          </cell>
          <cell r="B7" t="str">
            <v>Product Manager, Dreamweaver</v>
          </cell>
          <cell r="C7" t="str">
            <v>Q1</v>
          </cell>
        </row>
        <row r="8">
          <cell r="A8" t="str">
            <v>1222HS</v>
          </cell>
          <cell r="B8" t="str">
            <v>Product Marketing Manager, Dreamweaver Line Extensions</v>
          </cell>
          <cell r="C8" t="str">
            <v>Q1</v>
          </cell>
        </row>
        <row r="9">
          <cell r="A9" t="str">
            <v>1268HS</v>
          </cell>
          <cell r="B9" t="str">
            <v>Director of Product Marketing</v>
          </cell>
          <cell r="C9" t="str">
            <v>Q1</v>
          </cell>
        </row>
        <row r="10">
          <cell r="A10" t="str">
            <v>1275HS</v>
          </cell>
          <cell r="B10" t="str">
            <v>Flash Content Designer-- Front</v>
          </cell>
          <cell r="C10" t="str">
            <v>Q1</v>
          </cell>
        </row>
        <row r="11">
          <cell r="A11" t="str">
            <v>1276HS</v>
          </cell>
          <cell r="B11" t="str">
            <v>Flash Content Developer--Back End</v>
          </cell>
          <cell r="C11" t="str">
            <v>Q1</v>
          </cell>
        </row>
        <row r="12">
          <cell r="A12" t="str">
            <v>1290HS</v>
          </cell>
          <cell r="B12" t="str">
            <v>Senior Product Marketing Manager, Classic Products</v>
          </cell>
          <cell r="C12" t="str">
            <v>Q1</v>
          </cell>
        </row>
        <row r="13">
          <cell r="A13" t="str">
            <v>1294HS</v>
          </cell>
          <cell r="B13" t="str">
            <v>Director of Product Managememt, Flash</v>
          </cell>
          <cell r="C13" t="str">
            <v>New</v>
          </cell>
        </row>
        <row r="14">
          <cell r="A14" t="str">
            <v>1132HS</v>
          </cell>
          <cell r="B14" t="str">
            <v>SW Engineer, Flash Platform</v>
          </cell>
          <cell r="C14" t="str">
            <v>Q1</v>
          </cell>
        </row>
        <row r="15">
          <cell r="A15" t="str">
            <v>1238HS</v>
          </cell>
          <cell r="B15" t="str">
            <v>QA Manager, Flash new product development</v>
          </cell>
          <cell r="C15" t="str">
            <v>Q2</v>
          </cell>
        </row>
        <row r="16">
          <cell r="A16" t="str">
            <v>1241HS</v>
          </cell>
          <cell r="B16" t="str">
            <v>Senior Software Engineer</v>
          </cell>
          <cell r="C16" t="str">
            <v>Q1</v>
          </cell>
        </row>
        <row r="17">
          <cell r="A17" t="str">
            <v>1244HS</v>
          </cell>
          <cell r="B17" t="str">
            <v>Senior Product Manager   Advertising Industry</v>
          </cell>
          <cell r="C17" t="str">
            <v>Q1</v>
          </cell>
        </row>
        <row r="18">
          <cell r="A18" t="str">
            <v>1258HS</v>
          </cell>
          <cell r="B18" t="str">
            <v>Senior Build/Release Engineer</v>
          </cell>
          <cell r="C18" t="str">
            <v>Q2</v>
          </cell>
        </row>
        <row r="19">
          <cell r="A19" t="str">
            <v>1272HS</v>
          </cell>
          <cell r="B19" t="str">
            <v>QA Engineer, Flash Player</v>
          </cell>
          <cell r="C19" t="str">
            <v>Q1</v>
          </cell>
        </row>
        <row r="20">
          <cell r="A20" t="str">
            <v>1291HS</v>
          </cell>
          <cell r="B20" t="str">
            <v>Senior Software Engineer, UI Lead Engineer</v>
          </cell>
          <cell r="C20" t="str">
            <v>Q1</v>
          </cell>
        </row>
        <row r="21">
          <cell r="A21" t="str">
            <v>1296HS</v>
          </cell>
          <cell r="B21" t="str">
            <v>Director of Engineering, E-Learning Applications</v>
          </cell>
          <cell r="C21" t="str">
            <v>New</v>
          </cell>
        </row>
        <row r="22">
          <cell r="A22" t="str">
            <v>1199HS</v>
          </cell>
          <cell r="B22" t="str">
            <v>Web Services, XML and J2EE Principal SW Engineer / Architect</v>
          </cell>
          <cell r="C22" t="str">
            <v>Q1</v>
          </cell>
        </row>
        <row r="23">
          <cell r="A23" t="str">
            <v>1264HS</v>
          </cell>
          <cell r="B23" t="str">
            <v>Business Lead, JRun</v>
          </cell>
          <cell r="C23" t="str">
            <v>Q1</v>
          </cell>
        </row>
        <row r="24">
          <cell r="A24" t="str">
            <v>1255HS</v>
          </cell>
          <cell r="B24" t="str">
            <v>Director of Engineering, ColdFusion</v>
          </cell>
          <cell r="C24" t="str">
            <v>Q1</v>
          </cell>
        </row>
        <row r="25">
          <cell r="A25" t="str">
            <v>1256HS</v>
          </cell>
          <cell r="B25" t="str">
            <v>Director of Engineering, JRun</v>
          </cell>
          <cell r="C25" t="str">
            <v>Q1</v>
          </cell>
        </row>
        <row r="26">
          <cell r="A26" t="str">
            <v>1277HS</v>
          </cell>
          <cell r="B26" t="str">
            <v>Sr. Financial Analyst</v>
          </cell>
          <cell r="C26" t="str">
            <v>Q1</v>
          </cell>
        </row>
        <row r="27">
          <cell r="A27" t="str">
            <v>1186HS</v>
          </cell>
          <cell r="B27" t="str">
            <v>Flash Content Specialist</v>
          </cell>
          <cell r="C27" t="str">
            <v>Q1</v>
          </cell>
        </row>
        <row r="28">
          <cell r="A28" t="str">
            <v>1236HS</v>
          </cell>
          <cell r="B28" t="str">
            <v>Art Director</v>
          </cell>
          <cell r="C28" t="str">
            <v>Q1</v>
          </cell>
        </row>
        <row r="29">
          <cell r="A29" t="str">
            <v>1301HS</v>
          </cell>
          <cell r="B29" t="str">
            <v>Web Project Manager - Tools</v>
          </cell>
          <cell r="C29" t="str">
            <v>New</v>
          </cell>
        </row>
        <row r="30">
          <cell r="A30" t="str">
            <v>1297HS</v>
          </cell>
          <cell r="B30" t="str">
            <v>Project Manager</v>
          </cell>
          <cell r="C30" t="str">
            <v>Q1</v>
          </cell>
        </row>
        <row r="31">
          <cell r="A31" t="str">
            <v>1235HS</v>
          </cell>
          <cell r="B31" t="str">
            <v>Order Administrator</v>
          </cell>
          <cell r="C31" t="str">
            <v>Q1</v>
          </cell>
        </row>
        <row r="32">
          <cell r="A32" t="str">
            <v>1245HS</v>
          </cell>
          <cell r="B32" t="str">
            <v>CRM Program Manager</v>
          </cell>
          <cell r="C32" t="str">
            <v>Q1</v>
          </cell>
        </row>
        <row r="33">
          <cell r="A33" t="str">
            <v>1247HS</v>
          </cell>
          <cell r="B33" t="str">
            <v>Pricing Manager</v>
          </cell>
          <cell r="C33" t="str">
            <v>Q1</v>
          </cell>
        </row>
        <row r="34">
          <cell r="A34" t="str">
            <v>1278HS</v>
          </cell>
          <cell r="B34" t="str">
            <v>ERP Program Manager</v>
          </cell>
          <cell r="C34" t="str">
            <v>Q1</v>
          </cell>
        </row>
        <row r="35">
          <cell r="A35" t="str">
            <v>1240HS</v>
          </cell>
          <cell r="B35" t="str">
            <v>eLearning Manager</v>
          </cell>
          <cell r="C35" t="str">
            <v>Q2</v>
          </cell>
        </row>
        <row r="36">
          <cell r="A36" t="str">
            <v>1309HS</v>
          </cell>
          <cell r="B36" t="str">
            <v>AP Assistant</v>
          </cell>
          <cell r="C36" t="str">
            <v>Q2</v>
          </cell>
        </row>
        <row r="37">
          <cell r="A37" t="str">
            <v>1312HS</v>
          </cell>
          <cell r="B37" t="str">
            <v>Financial Controller</v>
          </cell>
          <cell r="C37" t="str">
            <v>Q1</v>
          </cell>
        </row>
        <row r="38">
          <cell r="A38" t="str">
            <v>1313HS</v>
          </cell>
          <cell r="B38" t="str">
            <v>HR Coordinator</v>
          </cell>
          <cell r="C38" t="str">
            <v>Q2</v>
          </cell>
        </row>
        <row r="39">
          <cell r="A39" t="str">
            <v>1314HS</v>
          </cell>
          <cell r="B39" t="str">
            <v>Internal Sales Engineer</v>
          </cell>
          <cell r="C39" t="str">
            <v>Q1</v>
          </cell>
        </row>
        <row r="40">
          <cell r="A40" t="str">
            <v>1315HS</v>
          </cell>
          <cell r="B40" t="str">
            <v>Legal Counsel</v>
          </cell>
          <cell r="C40" t="str">
            <v>Q2</v>
          </cell>
        </row>
        <row r="41">
          <cell r="A41" t="str">
            <v>1317HS</v>
          </cell>
          <cell r="B41" t="str">
            <v>Partner Manager, Rest of Europe</v>
          </cell>
          <cell r="C41" t="str">
            <v>Q1</v>
          </cell>
        </row>
        <row r="42">
          <cell r="A42" t="str">
            <v>1318HS</v>
          </cell>
          <cell r="B42" t="str">
            <v>SE Manager</v>
          </cell>
          <cell r="C42" t="str">
            <v>Q3</v>
          </cell>
        </row>
        <row r="43">
          <cell r="A43" t="str">
            <v>1319HS</v>
          </cell>
          <cell r="B43" t="str">
            <v>Sales Engineer Tools Major Accounts</v>
          </cell>
          <cell r="C43" t="str">
            <v>Q2</v>
          </cell>
        </row>
        <row r="44">
          <cell r="A44" t="str">
            <v>1320HS</v>
          </cell>
          <cell r="B44" t="str">
            <v>Distribution Manager</v>
          </cell>
          <cell r="C44" t="str">
            <v>Q2</v>
          </cell>
        </row>
        <row r="45">
          <cell r="A45" t="str">
            <v>1322HS</v>
          </cell>
          <cell r="B45" t="str">
            <v>Sales Support</v>
          </cell>
          <cell r="C45" t="str">
            <v>Q1</v>
          </cell>
        </row>
        <row r="46">
          <cell r="A46" t="str">
            <v>1323HS</v>
          </cell>
          <cell r="B46" t="str">
            <v>Corporate Account Manager</v>
          </cell>
          <cell r="C46" t="str">
            <v>Q2</v>
          </cell>
        </row>
        <row r="47">
          <cell r="A47" t="str">
            <v>1324HS</v>
          </cell>
          <cell r="B47" t="str">
            <v>International Sales Engineer</v>
          </cell>
          <cell r="C47" t="str">
            <v>Q2</v>
          </cell>
        </row>
        <row r="48">
          <cell r="A48" t="str">
            <v>1325HS</v>
          </cell>
          <cell r="B48" t="str">
            <v>Partner Manager</v>
          </cell>
          <cell r="C48" t="str">
            <v>Q3</v>
          </cell>
        </row>
        <row r="49">
          <cell r="A49" t="str">
            <v>1326HS</v>
          </cell>
          <cell r="B49" t="str">
            <v>Sales Engineer</v>
          </cell>
          <cell r="C49" t="str">
            <v>Q2</v>
          </cell>
        </row>
        <row r="50">
          <cell r="A50" t="str">
            <v>1327HS</v>
          </cell>
          <cell r="B50" t="str">
            <v>High Level Sales Engineer</v>
          </cell>
          <cell r="C50" t="str">
            <v>Q2</v>
          </cell>
        </row>
        <row r="51">
          <cell r="A51" t="str">
            <v>1328HS</v>
          </cell>
          <cell r="B51" t="str">
            <v>Internal Sales Engineer</v>
          </cell>
          <cell r="C51" t="str">
            <v>Q2</v>
          </cell>
        </row>
        <row r="52">
          <cell r="A52" t="str">
            <v>1329HS</v>
          </cell>
          <cell r="B52" t="str">
            <v>Regional Marketing</v>
          </cell>
          <cell r="C52" t="str">
            <v>Q2</v>
          </cell>
        </row>
        <row r="53">
          <cell r="A53" t="str">
            <v>1330HS</v>
          </cell>
          <cell r="B53" t="str">
            <v>Sales Support Central</v>
          </cell>
          <cell r="C53" t="str">
            <v>Q2</v>
          </cell>
        </row>
        <row r="54">
          <cell r="A54" t="str">
            <v>1331HS</v>
          </cell>
          <cell r="B54" t="str">
            <v>Sales Engineer</v>
          </cell>
          <cell r="C54" t="str">
            <v>Q1</v>
          </cell>
        </row>
        <row r="55">
          <cell r="A55" t="str">
            <v>1332HS</v>
          </cell>
          <cell r="B55" t="str">
            <v>Regional Manager,Spain</v>
          </cell>
          <cell r="C55" t="str">
            <v>Q2</v>
          </cell>
        </row>
        <row r="56">
          <cell r="A56" t="str">
            <v>1333HS</v>
          </cell>
          <cell r="B56" t="str">
            <v>Sales Engineer, Spain</v>
          </cell>
          <cell r="C56" t="str">
            <v>Q2</v>
          </cell>
        </row>
        <row r="57">
          <cell r="A57" t="str">
            <v>1334HS</v>
          </cell>
          <cell r="B57" t="str">
            <v>Logistics Supervisor</v>
          </cell>
          <cell r="C57" t="str">
            <v>New</v>
          </cell>
        </row>
        <row r="58">
          <cell r="A58" t="str">
            <v>1335HS</v>
          </cell>
          <cell r="B58" t="str">
            <v>Product Marketing</v>
          </cell>
          <cell r="C58" t="str">
            <v>New</v>
          </cell>
        </row>
        <row r="59">
          <cell r="A59" t="str">
            <v>1336HS</v>
          </cell>
          <cell r="B59" t="str">
            <v>Corporate Marketing Manager</v>
          </cell>
          <cell r="C59" t="str">
            <v>New</v>
          </cell>
        </row>
        <row r="60">
          <cell r="A60" t="str">
            <v>1337HS</v>
          </cell>
          <cell r="B60" t="str">
            <v>Executive Assistant</v>
          </cell>
          <cell r="C60" t="str">
            <v>New</v>
          </cell>
        </row>
        <row r="61">
          <cell r="A61" t="str">
            <v>1338HS</v>
          </cell>
          <cell r="B61" t="str">
            <v>Sales Engineer</v>
          </cell>
          <cell r="C61" t="str">
            <v>New</v>
          </cell>
        </row>
        <row r="62">
          <cell r="A62" t="str">
            <v>1280HS</v>
          </cell>
          <cell r="B62" t="str">
            <v>Higher Education Field Sales Account Manager</v>
          </cell>
          <cell r="C62" t="str">
            <v>Q1</v>
          </cell>
        </row>
        <row r="63">
          <cell r="A63" t="str">
            <v>1282HS</v>
          </cell>
          <cell r="B63" t="str">
            <v>Major Account Field Manager</v>
          </cell>
          <cell r="C63" t="str">
            <v>Q1</v>
          </cell>
        </row>
        <row r="64">
          <cell r="A64" t="str">
            <v>1283HS</v>
          </cell>
          <cell r="B64" t="str">
            <v>Major Account Field Manager</v>
          </cell>
          <cell r="C64" t="str">
            <v>Q1</v>
          </cell>
        </row>
        <row r="65">
          <cell r="A65" t="str">
            <v>1288HS</v>
          </cell>
          <cell r="B65" t="str">
            <v>Strategic Sales Manager , IBM</v>
          </cell>
          <cell r="C65" t="str">
            <v>Q1</v>
          </cell>
        </row>
        <row r="66">
          <cell r="A66" t="str">
            <v>1262HS</v>
          </cell>
          <cell r="B66" t="str">
            <v>Vice President of IT Engineering</v>
          </cell>
          <cell r="C66" t="str">
            <v>Q2</v>
          </cell>
        </row>
        <row r="67">
          <cell r="A67" t="str">
            <v>1267HS</v>
          </cell>
          <cell r="B67" t="str">
            <v>Sr. Network Engineer</v>
          </cell>
          <cell r="C67" t="str">
            <v>Q1</v>
          </cell>
        </row>
        <row r="68">
          <cell r="A68" t="str">
            <v>1300HS</v>
          </cell>
          <cell r="B68" t="str">
            <v>Quality Assurance Manager, Macromedia Web/IT</v>
          </cell>
          <cell r="C68" t="str">
            <v>New</v>
          </cell>
        </row>
      </sheetData>
      <sheetData sheetId="10">
        <row r="2">
          <cell r="A2" t="str">
            <v>120</v>
          </cell>
          <cell r="B2" t="str">
            <v>Tech Support - COGS</v>
          </cell>
          <cell r="C2" t="str">
            <v>N/A</v>
          </cell>
          <cell r="D2" t="str">
            <v>S &amp; FO Other</v>
          </cell>
        </row>
        <row r="3">
          <cell r="A3" t="str">
            <v>150</v>
          </cell>
          <cell r="B3" t="str">
            <v>Inactive - Professional Services</v>
          </cell>
          <cell r="C3" t="str">
            <v>N/A</v>
          </cell>
        </row>
        <row r="4">
          <cell r="A4" t="str">
            <v>151</v>
          </cell>
          <cell r="B4" t="str">
            <v>Professional Services - DWAAP</v>
          </cell>
          <cell r="C4" t="str">
            <v>N/A</v>
          </cell>
          <cell r="D4" t="str">
            <v>S &amp; FO Other</v>
          </cell>
        </row>
        <row r="5">
          <cell r="A5" t="str">
            <v>152</v>
          </cell>
          <cell r="B5" t="str">
            <v>COGS Product</v>
          </cell>
          <cell r="C5" t="str">
            <v>N/A</v>
          </cell>
        </row>
        <row r="6">
          <cell r="A6" t="str">
            <v>153</v>
          </cell>
          <cell r="B6" t="str">
            <v>Curriculum Development</v>
          </cell>
          <cell r="C6" t="str">
            <v>N/A</v>
          </cell>
          <cell r="D6" t="str">
            <v>S &amp; FO Other</v>
          </cell>
        </row>
        <row r="7">
          <cell r="A7" t="str">
            <v>160</v>
          </cell>
          <cell r="B7" t="str">
            <v>Macromedia University</v>
          </cell>
          <cell r="C7" t="str">
            <v>N/A</v>
          </cell>
        </row>
        <row r="8">
          <cell r="A8" t="str">
            <v>161</v>
          </cell>
          <cell r="B8" t="str">
            <v>Training - Operations</v>
          </cell>
          <cell r="C8" t="str">
            <v>Stephen Elop</v>
          </cell>
          <cell r="D8" t="str">
            <v>Edu Svcs</v>
          </cell>
        </row>
        <row r="9">
          <cell r="A9" t="str">
            <v>162</v>
          </cell>
          <cell r="B9" t="str">
            <v>Curriculum Dev &amp; Dev Cert</v>
          </cell>
          <cell r="C9" t="str">
            <v>Stephen Elop</v>
          </cell>
          <cell r="D9" t="str">
            <v>Edu Svcs</v>
          </cell>
        </row>
        <row r="10">
          <cell r="A10" t="str">
            <v>165</v>
          </cell>
          <cell r="B10" t="str">
            <v>Instructor Readiness</v>
          </cell>
          <cell r="C10" t="str">
            <v>Stephen Elop</v>
          </cell>
          <cell r="D10" t="str">
            <v>Edu Svcs</v>
          </cell>
        </row>
        <row r="11">
          <cell r="A11" t="str">
            <v>170</v>
          </cell>
          <cell r="B11" t="str">
            <v>Premier Support - Newton</v>
          </cell>
          <cell r="C11" t="str">
            <v>Stephen Elop</v>
          </cell>
          <cell r="D11" t="str">
            <v>Ops - Tech/CS</v>
          </cell>
        </row>
        <row r="12">
          <cell r="A12" t="str">
            <v>200</v>
          </cell>
          <cell r="B12" t="str">
            <v>Customer Service</v>
          </cell>
          <cell r="C12" t="str">
            <v>Stephen Elop</v>
          </cell>
          <cell r="D12" t="str">
            <v>Ops - Tech/CS</v>
          </cell>
        </row>
        <row r="13">
          <cell r="A13" t="str">
            <v>202</v>
          </cell>
          <cell r="B13" t="str">
            <v>WW Sales - Ops</v>
          </cell>
          <cell r="C13" t="str">
            <v>Stephen Elop</v>
          </cell>
          <cell r="D13" t="str">
            <v>Sales Ops</v>
          </cell>
        </row>
        <row r="14">
          <cell r="A14" t="str">
            <v>203</v>
          </cell>
          <cell r="B14" t="str">
            <v>Worldwide Sales &amp; Field Ops HQ</v>
          </cell>
          <cell r="C14" t="str">
            <v>Stephen Elop</v>
          </cell>
          <cell r="D14" t="str">
            <v>Sales Ops</v>
          </cell>
        </row>
        <row r="15">
          <cell r="A15" t="str">
            <v>204</v>
          </cell>
          <cell r="B15" t="str">
            <v>Customer Service - TX</v>
          </cell>
          <cell r="C15" t="str">
            <v>Stephen Elop</v>
          </cell>
          <cell r="D15" t="str">
            <v>Ops - Tech/CS</v>
          </cell>
        </row>
        <row r="16">
          <cell r="A16" t="str">
            <v>212</v>
          </cell>
          <cell r="B16" t="str">
            <v>ESD Online Sales</v>
          </cell>
          <cell r="C16" t="str">
            <v>Stephen Elop</v>
          </cell>
          <cell r="D16" t="str">
            <v>Sales - NA</v>
          </cell>
        </row>
        <row r="17">
          <cell r="A17" t="str">
            <v>213</v>
          </cell>
          <cell r="B17" t="str">
            <v>Strategic Sales - NBR</v>
          </cell>
          <cell r="C17" t="str">
            <v>Stephen Elop</v>
          </cell>
          <cell r="D17" t="str">
            <v>Sales - NA</v>
          </cell>
        </row>
        <row r="18">
          <cell r="A18" t="str">
            <v>214</v>
          </cell>
          <cell r="B18" t="str">
            <v>Dir Sls/OB Telesales - TX - Inactive</v>
          </cell>
          <cell r="C18" t="str">
            <v>Stephen Elop</v>
          </cell>
          <cell r="D18" t="str">
            <v>Sales - NA</v>
          </cell>
        </row>
        <row r="19">
          <cell r="A19" t="str">
            <v>215</v>
          </cell>
          <cell r="B19" t="str">
            <v>Outsource</v>
          </cell>
          <cell r="C19" t="str">
            <v>Stephen Elop</v>
          </cell>
          <cell r="D19" t="str">
            <v>Sales - NA</v>
          </cell>
        </row>
        <row r="20">
          <cell r="A20" t="str">
            <v>218</v>
          </cell>
          <cell r="B20" t="str">
            <v>Technical Support</v>
          </cell>
          <cell r="C20" t="str">
            <v>Stephen Elop</v>
          </cell>
          <cell r="D20" t="str">
            <v>Sales - Europe</v>
          </cell>
        </row>
        <row r="21">
          <cell r="A21" t="str">
            <v>220</v>
          </cell>
          <cell r="B21" t="str">
            <v>National SE/Specialists</v>
          </cell>
          <cell r="C21" t="str">
            <v>Stephen Elop</v>
          </cell>
          <cell r="D21" t="str">
            <v>Sales - NA</v>
          </cell>
        </row>
        <row r="22">
          <cell r="A22" t="str">
            <v>221</v>
          </cell>
          <cell r="B22" t="str">
            <v>Regional SE - West</v>
          </cell>
          <cell r="C22" t="str">
            <v>Stephen Elop</v>
          </cell>
          <cell r="D22" t="str">
            <v>Sales - NA</v>
          </cell>
        </row>
        <row r="23">
          <cell r="A23" t="str">
            <v>222</v>
          </cell>
          <cell r="B23" t="str">
            <v>Regional SE - East</v>
          </cell>
          <cell r="C23" t="str">
            <v>Stephen Elop</v>
          </cell>
          <cell r="D23" t="str">
            <v>Sales - NA</v>
          </cell>
        </row>
        <row r="24">
          <cell r="A24" t="str">
            <v>223</v>
          </cell>
          <cell r="B24" t="str">
            <v>NA Sales Management</v>
          </cell>
          <cell r="C24" t="str">
            <v>Stephen Elop</v>
          </cell>
          <cell r="D24" t="str">
            <v>Sales - NA</v>
          </cell>
        </row>
        <row r="25">
          <cell r="A25" t="str">
            <v>224</v>
          </cell>
          <cell r="B25" t="str">
            <v>Flash Bus Dev</v>
          </cell>
          <cell r="C25" t="str">
            <v>Stephen Elop</v>
          </cell>
          <cell r="D25" t="str">
            <v>Biz Dev</v>
          </cell>
        </row>
        <row r="26">
          <cell r="A26" t="str">
            <v>225</v>
          </cell>
          <cell r="B26" t="str">
            <v>WW Sales HQ</v>
          </cell>
          <cell r="C26" t="str">
            <v>Stephen Elop</v>
          </cell>
          <cell r="D26" t="str">
            <v>Sales Ops</v>
          </cell>
        </row>
        <row r="27">
          <cell r="A27" t="str">
            <v>226</v>
          </cell>
          <cell r="B27" t="str">
            <v>eBS Business Development</v>
          </cell>
          <cell r="C27" t="str">
            <v>N/A</v>
          </cell>
          <cell r="D27" t="str">
            <v>S &amp; FO Other</v>
          </cell>
        </row>
        <row r="28">
          <cell r="A28" t="str">
            <v>227</v>
          </cell>
          <cell r="B28" t="str">
            <v>Corporate Sales - West</v>
          </cell>
          <cell r="C28" t="str">
            <v>Stephen Elop</v>
          </cell>
          <cell r="D28" t="str">
            <v>Sales - NA</v>
          </cell>
        </row>
        <row r="29">
          <cell r="A29" t="str">
            <v>228</v>
          </cell>
          <cell r="B29" t="str">
            <v>Strategic Sales - Inside</v>
          </cell>
          <cell r="C29" t="str">
            <v>Stephen Elop</v>
          </cell>
          <cell r="D29" t="str">
            <v>Sales - NA</v>
          </cell>
        </row>
        <row r="30">
          <cell r="A30" t="str">
            <v>229</v>
          </cell>
          <cell r="B30" t="str">
            <v>Sales Adjustments</v>
          </cell>
          <cell r="C30" t="str">
            <v>N/A</v>
          </cell>
          <cell r="D30" t="str">
            <v>S &amp; FO Other</v>
          </cell>
        </row>
        <row r="31">
          <cell r="A31" t="str">
            <v>231</v>
          </cell>
          <cell r="B31" t="str">
            <v>Field Sales - West</v>
          </cell>
          <cell r="C31" t="str">
            <v>Stephen Elop</v>
          </cell>
          <cell r="D31" t="str">
            <v>Sales - NA</v>
          </cell>
        </row>
        <row r="32">
          <cell r="A32" t="str">
            <v>232</v>
          </cell>
          <cell r="B32" t="str">
            <v>US Sales - Central</v>
          </cell>
          <cell r="C32" t="str">
            <v>Stephen Elop</v>
          </cell>
          <cell r="D32" t="str">
            <v>S &amp; FO Other</v>
          </cell>
        </row>
        <row r="33">
          <cell r="A33" t="str">
            <v>233</v>
          </cell>
          <cell r="B33" t="str">
            <v>Macromedia Canada</v>
          </cell>
          <cell r="C33" t="str">
            <v>N/A</v>
          </cell>
          <cell r="D33" t="str">
            <v>S &amp; FO Other</v>
          </cell>
        </row>
        <row r="34">
          <cell r="A34" t="str">
            <v>234</v>
          </cell>
          <cell r="B34" t="str">
            <v>Strategic Sales - Field</v>
          </cell>
          <cell r="C34" t="str">
            <v>Stephen Elop</v>
          </cell>
          <cell r="D34" t="str">
            <v>Sales - NA</v>
          </cell>
        </row>
        <row r="35">
          <cell r="A35" t="str">
            <v>236</v>
          </cell>
          <cell r="B35" t="str">
            <v>Web Publishing Bus Dev</v>
          </cell>
          <cell r="C35" t="str">
            <v>Stephen Elop</v>
          </cell>
          <cell r="D35" t="str">
            <v>S &amp; FO Other</v>
          </cell>
        </row>
        <row r="36">
          <cell r="A36" t="str">
            <v>240</v>
          </cell>
          <cell r="B36" t="str">
            <v>LA HQ</v>
          </cell>
          <cell r="C36" t="str">
            <v>Stephen Elop</v>
          </cell>
          <cell r="D36" t="str">
            <v>Sales - LA</v>
          </cell>
        </row>
        <row r="37">
          <cell r="A37" t="str">
            <v>241</v>
          </cell>
          <cell r="B37" t="str">
            <v>South Asia</v>
          </cell>
          <cell r="C37" t="str">
            <v>Stephen Elop</v>
          </cell>
          <cell r="D37" t="str">
            <v>Sales - APAC</v>
          </cell>
        </row>
        <row r="38">
          <cell r="A38" t="str">
            <v>242</v>
          </cell>
          <cell r="B38" t="str">
            <v>India</v>
          </cell>
          <cell r="C38" t="str">
            <v>Stephen Elop</v>
          </cell>
          <cell r="D38" t="str">
            <v>Sales - APAC</v>
          </cell>
        </row>
        <row r="39">
          <cell r="A39" t="str">
            <v>243</v>
          </cell>
          <cell r="B39" t="str">
            <v>Singapore</v>
          </cell>
          <cell r="C39" t="str">
            <v>Stephen Elop</v>
          </cell>
          <cell r="D39" t="str">
            <v>Sales - APAC</v>
          </cell>
        </row>
        <row r="40">
          <cell r="A40" t="str">
            <v>244</v>
          </cell>
          <cell r="B40" t="str">
            <v>Greater China</v>
          </cell>
          <cell r="C40" t="str">
            <v>Stephen Elop</v>
          </cell>
          <cell r="D40" t="str">
            <v>Sales - APAC</v>
          </cell>
        </row>
        <row r="41">
          <cell r="A41" t="str">
            <v>245</v>
          </cell>
          <cell r="B41" t="str">
            <v>Asia Pacific HQ</v>
          </cell>
          <cell r="C41" t="str">
            <v>Stephen Elop</v>
          </cell>
          <cell r="D41" t="str">
            <v>Sales - APAC</v>
          </cell>
        </row>
        <row r="42">
          <cell r="A42" t="str">
            <v>246</v>
          </cell>
          <cell r="B42" t="str">
            <v>Korea</v>
          </cell>
          <cell r="C42" t="str">
            <v>Stephen Elop</v>
          </cell>
          <cell r="D42" t="str">
            <v>Sales - APAC</v>
          </cell>
        </row>
        <row r="43">
          <cell r="A43" t="str">
            <v>247</v>
          </cell>
          <cell r="B43" t="str">
            <v>China</v>
          </cell>
          <cell r="C43" t="str">
            <v>Stephen Elop</v>
          </cell>
          <cell r="D43" t="str">
            <v>Sales - APAC</v>
          </cell>
        </row>
        <row r="44">
          <cell r="A44" t="str">
            <v>248</v>
          </cell>
          <cell r="B44" t="str">
            <v>Hong Kong</v>
          </cell>
          <cell r="C44" t="str">
            <v>Stephen Elop</v>
          </cell>
          <cell r="D44" t="str">
            <v>Sales - APAC</v>
          </cell>
        </row>
        <row r="45">
          <cell r="A45" t="str">
            <v>249</v>
          </cell>
          <cell r="B45" t="str">
            <v>Canada</v>
          </cell>
          <cell r="C45" t="str">
            <v>Stephen Elop</v>
          </cell>
          <cell r="D45" t="str">
            <v>Sales - Canada</v>
          </cell>
        </row>
        <row r="46">
          <cell r="A46" t="str">
            <v>250</v>
          </cell>
          <cell r="B46" t="str">
            <v>Europe - Headquarters</v>
          </cell>
          <cell r="C46" t="str">
            <v>Stephen Elop</v>
          </cell>
          <cell r="D46" t="str">
            <v>Sales - Europe</v>
          </cell>
        </row>
        <row r="47">
          <cell r="A47" t="str">
            <v>251</v>
          </cell>
          <cell r="B47" t="str">
            <v>Europe - UK</v>
          </cell>
          <cell r="C47" t="str">
            <v>Stephen Elop</v>
          </cell>
          <cell r="D47" t="str">
            <v>Sales - Europe</v>
          </cell>
        </row>
        <row r="48">
          <cell r="A48" t="str">
            <v>252</v>
          </cell>
          <cell r="B48" t="str">
            <v>Macromedia SARL (France)</v>
          </cell>
          <cell r="C48" t="str">
            <v>Stephen Elop</v>
          </cell>
          <cell r="D48" t="str">
            <v>Sales - Europe</v>
          </cell>
        </row>
        <row r="49">
          <cell r="A49" t="str">
            <v>253</v>
          </cell>
          <cell r="B49" t="str">
            <v>Macromedia Germany</v>
          </cell>
          <cell r="C49" t="str">
            <v>Stephen Elop</v>
          </cell>
          <cell r="D49" t="str">
            <v>Sales - Europe</v>
          </cell>
        </row>
        <row r="50">
          <cell r="A50" t="str">
            <v>254</v>
          </cell>
          <cell r="B50" t="str">
            <v>Macromedia Sweden</v>
          </cell>
          <cell r="C50" t="str">
            <v>Stephen Elop</v>
          </cell>
          <cell r="D50" t="str">
            <v>Sales - Europe</v>
          </cell>
        </row>
        <row r="51">
          <cell r="A51" t="str">
            <v>255</v>
          </cell>
          <cell r="B51" t="str">
            <v>Macromedia Switzerland</v>
          </cell>
          <cell r="C51" t="str">
            <v>Stephen Elop</v>
          </cell>
          <cell r="D51" t="str">
            <v>Sales - Europe</v>
          </cell>
        </row>
        <row r="52">
          <cell r="A52" t="str">
            <v>256</v>
          </cell>
          <cell r="B52" t="str">
            <v>Macromedia Belgium</v>
          </cell>
          <cell r="C52" t="str">
            <v>Stephen Elop</v>
          </cell>
          <cell r="D52" t="str">
            <v>Sales - Europe</v>
          </cell>
        </row>
        <row r="53">
          <cell r="A53" t="str">
            <v>257</v>
          </cell>
          <cell r="B53" t="str">
            <v>Professional Serv- Consulting - Inactive</v>
          </cell>
          <cell r="C53" t="str">
            <v>Stephen Elop</v>
          </cell>
          <cell r="D53" t="str">
            <v>Ops - Tech/CS</v>
          </cell>
        </row>
        <row r="54">
          <cell r="A54" t="str">
            <v>258</v>
          </cell>
          <cell r="B54" t="str">
            <v>Macromedia Italy</v>
          </cell>
          <cell r="C54" t="str">
            <v>Stephen Elop</v>
          </cell>
          <cell r="D54" t="str">
            <v>Sales - Europe</v>
          </cell>
        </row>
        <row r="55">
          <cell r="A55" t="str">
            <v>259</v>
          </cell>
          <cell r="B55" t="str">
            <v>Macromedia Spain</v>
          </cell>
          <cell r="C55" t="str">
            <v>Stephen Elop</v>
          </cell>
          <cell r="D55" t="str">
            <v>Sales - Europe</v>
          </cell>
        </row>
        <row r="56">
          <cell r="A56" t="str">
            <v>260</v>
          </cell>
          <cell r="B56" t="str">
            <v>Macromedia KK (Japan)</v>
          </cell>
          <cell r="C56" t="str">
            <v>Stephen Elop</v>
          </cell>
          <cell r="D56" t="str">
            <v>Sales - Japan</v>
          </cell>
        </row>
        <row r="57">
          <cell r="A57" t="str">
            <v>261</v>
          </cell>
          <cell r="B57" t="str">
            <v>eBS US Consulting - West</v>
          </cell>
          <cell r="C57" t="str">
            <v>N/A</v>
          </cell>
          <cell r="D57" t="str">
            <v>S &amp; FO Other</v>
          </cell>
        </row>
        <row r="58">
          <cell r="A58" t="str">
            <v>262</v>
          </cell>
          <cell r="B58" t="str">
            <v>eBS US Consulting - Cntl</v>
          </cell>
          <cell r="C58" t="str">
            <v>N/A</v>
          </cell>
          <cell r="D58" t="str">
            <v>S &amp; FO Other</v>
          </cell>
        </row>
        <row r="59">
          <cell r="A59" t="str">
            <v>263</v>
          </cell>
          <cell r="B59" t="str">
            <v>eBS US Consulting - East</v>
          </cell>
          <cell r="C59" t="str">
            <v>N/A</v>
          </cell>
          <cell r="D59" t="str">
            <v>S &amp; FO Other</v>
          </cell>
        </row>
        <row r="60">
          <cell r="A60" t="str">
            <v>264</v>
          </cell>
          <cell r="B60" t="str">
            <v>Product Enablement - UK</v>
          </cell>
          <cell r="C60" t="str">
            <v>N/A</v>
          </cell>
          <cell r="D60" t="str">
            <v>S &amp; FO Other</v>
          </cell>
        </row>
        <row r="61">
          <cell r="A61" t="str">
            <v>266</v>
          </cell>
          <cell r="B61" t="str">
            <v>Alliance Marketing</v>
          </cell>
          <cell r="C61" t="str">
            <v>Stephen Elop</v>
          </cell>
          <cell r="D61" t="str">
            <v>Alliance Mktg</v>
          </cell>
        </row>
        <row r="62">
          <cell r="A62" t="str">
            <v>268</v>
          </cell>
          <cell r="B62" t="str">
            <v>Business Development</v>
          </cell>
          <cell r="C62" t="str">
            <v>Stephen Elop</v>
          </cell>
          <cell r="D62" t="str">
            <v>Biz Dev</v>
          </cell>
        </row>
        <row r="63">
          <cell r="A63" t="str">
            <v>269</v>
          </cell>
          <cell r="B63" t="str">
            <v>5OEM</v>
          </cell>
          <cell r="C63" t="str">
            <v>Stephen Elop</v>
          </cell>
          <cell r="D63" t="str">
            <v>Biz Dev</v>
          </cell>
        </row>
        <row r="64">
          <cell r="A64" t="str">
            <v>271</v>
          </cell>
          <cell r="B64" t="str">
            <v>Client Product Support</v>
          </cell>
          <cell r="C64" t="str">
            <v>Stephen Elop</v>
          </cell>
          <cell r="D64" t="str">
            <v>Ops - Tech/CS</v>
          </cell>
        </row>
        <row r="65">
          <cell r="A65" t="str">
            <v>272</v>
          </cell>
          <cell r="B65" t="str">
            <v>Tech Support - HQ</v>
          </cell>
          <cell r="C65" t="str">
            <v>Stephen Elop</v>
          </cell>
          <cell r="D65" t="str">
            <v>Ops - Tech/CS</v>
          </cell>
        </row>
        <row r="66">
          <cell r="A66" t="str">
            <v>273</v>
          </cell>
          <cell r="B66" t="str">
            <v>Technical Support - Newton</v>
          </cell>
          <cell r="C66" t="str">
            <v>Stephen Elop</v>
          </cell>
          <cell r="D66" t="str">
            <v>Ops - Tech/CS</v>
          </cell>
        </row>
        <row r="67">
          <cell r="A67" t="str">
            <v>274</v>
          </cell>
          <cell r="B67" t="str">
            <v>Tech Support - DAG</v>
          </cell>
          <cell r="C67" t="str">
            <v>Stephen Elop</v>
          </cell>
          <cell r="D67" t="str">
            <v>Ops - Tech/CS</v>
          </cell>
        </row>
        <row r="68">
          <cell r="A68" t="str">
            <v>275</v>
          </cell>
          <cell r="B68" t="str">
            <v>NA Channel Sales &amp; Marketing</v>
          </cell>
          <cell r="C68" t="str">
            <v>Stephen Elop</v>
          </cell>
          <cell r="D68" t="str">
            <v>Sales - NA</v>
          </cell>
        </row>
        <row r="69">
          <cell r="A69" t="str">
            <v>276</v>
          </cell>
          <cell r="B69" t="str">
            <v>Government Sales</v>
          </cell>
          <cell r="C69" t="str">
            <v>Stephen Elop</v>
          </cell>
          <cell r="D69" t="str">
            <v>Sales - NA</v>
          </cell>
        </row>
        <row r="70">
          <cell r="A70" t="str">
            <v>279</v>
          </cell>
          <cell r="B70" t="str">
            <v>Tech Support - Japan</v>
          </cell>
          <cell r="C70" t="str">
            <v>Stephen Elop</v>
          </cell>
          <cell r="D70" t="str">
            <v>Sales - Japan</v>
          </cell>
        </row>
        <row r="71">
          <cell r="A71" t="str">
            <v>280</v>
          </cell>
          <cell r="B71" t="str">
            <v>Database Management</v>
          </cell>
          <cell r="C71" t="str">
            <v>N/A</v>
          </cell>
          <cell r="D71" t="str">
            <v>S &amp; FO Other</v>
          </cell>
        </row>
        <row r="72">
          <cell r="A72" t="str">
            <v>284</v>
          </cell>
          <cell r="B72" t="str">
            <v>CLM- F/A Adjusted LIfe   R&amp;D</v>
          </cell>
          <cell r="C72" t="str">
            <v>N/A</v>
          </cell>
          <cell r="D72" t="str">
            <v>S &amp; FO Other</v>
          </cell>
        </row>
        <row r="73">
          <cell r="A73" t="str">
            <v>286</v>
          </cell>
          <cell r="B73" t="str">
            <v>MDF</v>
          </cell>
          <cell r="C73" t="str">
            <v>Stephen Elop</v>
          </cell>
          <cell r="D73" t="str">
            <v>Sales - Europe</v>
          </cell>
        </row>
        <row r="74">
          <cell r="A74" t="str">
            <v>291</v>
          </cell>
          <cell r="B74" t="str">
            <v>Australia/New Zealand</v>
          </cell>
          <cell r="C74" t="str">
            <v>Stephen Elop</v>
          </cell>
          <cell r="D74" t="str">
            <v>Sales - APAC</v>
          </cell>
        </row>
        <row r="75">
          <cell r="A75" t="str">
            <v>292</v>
          </cell>
          <cell r="B75" t="str">
            <v>Marketing - KK</v>
          </cell>
          <cell r="C75" t="str">
            <v>Stephen Elop</v>
          </cell>
          <cell r="D75" t="str">
            <v>Sales - Japan</v>
          </cell>
        </row>
        <row r="76">
          <cell r="A76" t="str">
            <v>293</v>
          </cell>
          <cell r="B76" t="str">
            <v>Intl Mktg Asia Pac</v>
          </cell>
          <cell r="C76" t="str">
            <v>Stephen Elop</v>
          </cell>
          <cell r="D76" t="str">
            <v>Sales - APAC</v>
          </cell>
        </row>
        <row r="77">
          <cell r="A77" t="str">
            <v>294</v>
          </cell>
          <cell r="B77" t="str">
            <v>InterAmericas</v>
          </cell>
          <cell r="C77" t="str">
            <v>Stephen Elop</v>
          </cell>
          <cell r="D77" t="str">
            <v>Sales - LA</v>
          </cell>
        </row>
        <row r="78">
          <cell r="A78" t="str">
            <v>295</v>
          </cell>
          <cell r="B78" t="str">
            <v>Education Sales</v>
          </cell>
          <cell r="C78" t="str">
            <v>Stephen Elop</v>
          </cell>
          <cell r="D78" t="str">
            <v>Sales - NA</v>
          </cell>
        </row>
        <row r="79">
          <cell r="A79">
            <v>296</v>
          </cell>
          <cell r="B79" t="str">
            <v>Mexico</v>
          </cell>
          <cell r="C79" t="str">
            <v>Stephen Elop</v>
          </cell>
          <cell r="D79" t="str">
            <v>Sales - LA</v>
          </cell>
        </row>
        <row r="80">
          <cell r="A80" t="str">
            <v>297</v>
          </cell>
          <cell r="B80" t="str">
            <v>Adjustment - Inactive</v>
          </cell>
          <cell r="C80" t="str">
            <v>N/A</v>
          </cell>
          <cell r="D80" t="str">
            <v>S &amp; FO Other</v>
          </cell>
        </row>
        <row r="81">
          <cell r="A81" t="str">
            <v>298</v>
          </cell>
          <cell r="B81" t="str">
            <v>Brazil</v>
          </cell>
          <cell r="C81" t="str">
            <v>Stephen Elop</v>
          </cell>
          <cell r="D81" t="str">
            <v>Sales - LA</v>
          </cell>
        </row>
        <row r="82">
          <cell r="A82" t="str">
            <v>299</v>
          </cell>
          <cell r="B82" t="str">
            <v>Adjustment - Inactive</v>
          </cell>
          <cell r="C82" t="str">
            <v>N/A</v>
          </cell>
          <cell r="D82" t="str">
            <v>S &amp; FO Other</v>
          </cell>
        </row>
        <row r="83">
          <cell r="A83" t="str">
            <v>300</v>
          </cell>
          <cell r="B83" t="str">
            <v>Web Team</v>
          </cell>
          <cell r="C83" t="str">
            <v>Stephen Elop</v>
          </cell>
          <cell r="D83" t="str">
            <v>Corp Mktg</v>
          </cell>
        </row>
        <row r="84">
          <cell r="A84" t="str">
            <v>301</v>
          </cell>
          <cell r="B84" t="str">
            <v>ESD Online Sales - Inactive</v>
          </cell>
          <cell r="C84" t="str">
            <v>Stephen Elop</v>
          </cell>
          <cell r="D84" t="str">
            <v>Sales - NA</v>
          </cell>
        </row>
        <row r="85">
          <cell r="A85" t="str">
            <v>302</v>
          </cell>
          <cell r="B85" t="str">
            <v>Solutions Marketing - GELC</v>
          </cell>
          <cell r="C85" t="str">
            <v>Stephen Elop</v>
          </cell>
          <cell r="D85" t="str">
            <v>Solutions Mktg</v>
          </cell>
        </row>
        <row r="86">
          <cell r="A86" t="str">
            <v>303</v>
          </cell>
          <cell r="B86" t="str">
            <v>Corporate Solutions</v>
          </cell>
          <cell r="C86" t="str">
            <v>Stephen Elop</v>
          </cell>
          <cell r="D86" t="str">
            <v>Solutions Mktg</v>
          </cell>
        </row>
        <row r="87">
          <cell r="A87" t="str">
            <v>304</v>
          </cell>
          <cell r="B87" t="str">
            <v>GELC Management</v>
          </cell>
          <cell r="C87" t="str">
            <v>Stephen Elop</v>
          </cell>
          <cell r="D87" t="str">
            <v>Solutions Mktg</v>
          </cell>
        </row>
        <row r="88">
          <cell r="A88" t="str">
            <v>305</v>
          </cell>
          <cell r="B88" t="str">
            <v>Community Marketing</v>
          </cell>
          <cell r="C88" t="str">
            <v>Stephen Elop</v>
          </cell>
          <cell r="D88" t="str">
            <v>Dev Rel Mktg</v>
          </cell>
        </row>
        <row r="89">
          <cell r="A89" t="str">
            <v>306</v>
          </cell>
          <cell r="B89" t="str">
            <v>Developer Relations</v>
          </cell>
          <cell r="C89" t="str">
            <v>Stephen Elop</v>
          </cell>
          <cell r="D89" t="str">
            <v>Dev Rel Mktg</v>
          </cell>
        </row>
        <row r="90">
          <cell r="A90" t="str">
            <v>307</v>
          </cell>
          <cell r="B90" t="str">
            <v>WW Field Programs &amp; Support - Inactive</v>
          </cell>
          <cell r="C90" t="str">
            <v>Stephen Elop</v>
          </cell>
          <cell r="D90" t="str">
            <v>S &amp; FO Other</v>
          </cell>
        </row>
        <row r="91">
          <cell r="A91" t="str">
            <v>308</v>
          </cell>
          <cell r="B91" t="str">
            <v>Europe Marketing</v>
          </cell>
          <cell r="C91" t="str">
            <v>Stephen Elop</v>
          </cell>
          <cell r="D91" t="str">
            <v>Sales - Europe</v>
          </cell>
        </row>
        <row r="92">
          <cell r="A92" t="str">
            <v>330</v>
          </cell>
          <cell r="B92" t="str">
            <v>Events Team</v>
          </cell>
          <cell r="C92" t="str">
            <v>Stephen Elop</v>
          </cell>
          <cell r="D92" t="str">
            <v>Corp Mktg</v>
          </cell>
        </row>
        <row r="93">
          <cell r="A93" t="str">
            <v>337</v>
          </cell>
          <cell r="B93" t="str">
            <v>Creative Services</v>
          </cell>
          <cell r="C93" t="str">
            <v>Stephen Elop</v>
          </cell>
          <cell r="D93" t="str">
            <v>Corp Mktg</v>
          </cell>
        </row>
        <row r="94">
          <cell r="A94" t="str">
            <v>338</v>
          </cell>
          <cell r="B94" t="str">
            <v>Services Marketing - Inactive</v>
          </cell>
          <cell r="C94" t="str">
            <v>Stephen Elop</v>
          </cell>
          <cell r="D94" t="str">
            <v>Edu Svcs</v>
          </cell>
        </row>
        <row r="95">
          <cell r="A95" t="str">
            <v>339</v>
          </cell>
          <cell r="B95" t="str">
            <v>Training - Inactive</v>
          </cell>
          <cell r="C95" t="str">
            <v>Stephen Elop</v>
          </cell>
          <cell r="D95" t="str">
            <v>S &amp; FO Other</v>
          </cell>
        </row>
        <row r="96">
          <cell r="A96" t="str">
            <v>341</v>
          </cell>
          <cell r="B96" t="str">
            <v>Seminars</v>
          </cell>
          <cell r="C96" t="str">
            <v>Stephen Elop</v>
          </cell>
          <cell r="D96" t="str">
            <v>Mktg - NA</v>
          </cell>
        </row>
        <row r="97">
          <cell r="A97" t="str">
            <v>342</v>
          </cell>
          <cell r="B97" t="str">
            <v>Mktg Collat - Pass-thru</v>
          </cell>
          <cell r="C97" t="str">
            <v>Stephen Elop</v>
          </cell>
          <cell r="D97" t="str">
            <v>Corp Mktg</v>
          </cell>
        </row>
        <row r="98">
          <cell r="A98" t="str">
            <v>343</v>
          </cell>
          <cell r="B98" t="str">
            <v>Macromedia Online - CM</v>
          </cell>
          <cell r="C98" t="str">
            <v>Stephen Elop</v>
          </cell>
          <cell r="D98" t="str">
            <v>Corp Mktg</v>
          </cell>
        </row>
        <row r="99">
          <cell r="A99" t="str">
            <v>345</v>
          </cell>
          <cell r="B99" t="str">
            <v>Channel Marketing</v>
          </cell>
          <cell r="C99" t="str">
            <v>Stephen Elop</v>
          </cell>
          <cell r="D99" t="str">
            <v>Sales - NA</v>
          </cell>
        </row>
        <row r="100">
          <cell r="A100" t="str">
            <v>346</v>
          </cell>
          <cell r="B100" t="str">
            <v>TradeShows</v>
          </cell>
          <cell r="C100" t="str">
            <v>Stephen Elop</v>
          </cell>
          <cell r="D100" t="str">
            <v>Corp Mktg</v>
          </cell>
        </row>
        <row r="101">
          <cell r="A101" t="str">
            <v>348</v>
          </cell>
          <cell r="B101" t="str">
            <v>PR - Customer</v>
          </cell>
          <cell r="C101" t="str">
            <v>Stephen Elop</v>
          </cell>
          <cell r="D101" t="str">
            <v>Corp Mktg</v>
          </cell>
        </row>
        <row r="102">
          <cell r="A102" t="str">
            <v>349</v>
          </cell>
          <cell r="B102" t="str">
            <v>PR - Product</v>
          </cell>
          <cell r="C102" t="str">
            <v>Stephen Elop</v>
          </cell>
          <cell r="D102" t="str">
            <v>Corp Mktg</v>
          </cell>
        </row>
        <row r="103">
          <cell r="A103" t="str">
            <v>350</v>
          </cell>
          <cell r="B103" t="str">
            <v>Cross Product Strategy</v>
          </cell>
          <cell r="C103" t="str">
            <v>Kevin Lynch</v>
          </cell>
          <cell r="D103" t="str">
            <v>Marketing</v>
          </cell>
        </row>
        <row r="104">
          <cell r="A104" t="str">
            <v>357</v>
          </cell>
          <cell r="B104" t="str">
            <v>Demo Marketing</v>
          </cell>
          <cell r="C104" t="str">
            <v>Stephen Elop</v>
          </cell>
          <cell r="D104" t="str">
            <v>Corp Mktg</v>
          </cell>
        </row>
        <row r="105">
          <cell r="A105" t="str">
            <v>358</v>
          </cell>
          <cell r="B105" t="str">
            <v>WP Marketing Web/Vectors - Inactive</v>
          </cell>
          <cell r="C105" t="str">
            <v>Stephen Elop</v>
          </cell>
          <cell r="D105" t="str">
            <v>Cust Mktg</v>
          </cell>
        </row>
        <row r="106">
          <cell r="A106" t="str">
            <v>359</v>
          </cell>
          <cell r="B106" t="str">
            <v>WP Marketing Authoring/Aria - Inactive</v>
          </cell>
          <cell r="C106" t="str">
            <v>Stephen Elop</v>
          </cell>
          <cell r="D106" t="str">
            <v>Cust Mktg</v>
          </cell>
        </row>
        <row r="107">
          <cell r="A107" t="str">
            <v>361</v>
          </cell>
          <cell r="B107" t="str">
            <v>DTG Marketing</v>
          </cell>
          <cell r="C107" t="str">
            <v>Dominic Gallello</v>
          </cell>
          <cell r="D107" t="str">
            <v>Marketing</v>
          </cell>
        </row>
        <row r="108">
          <cell r="A108" t="str">
            <v>362</v>
          </cell>
          <cell r="B108" t="str">
            <v>Flash Economy</v>
          </cell>
          <cell r="C108" t="str">
            <v>Dominic Gallello</v>
          </cell>
          <cell r="D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Paul Madar</v>
          </cell>
          <cell r="D109" t="str">
            <v>Marketing</v>
          </cell>
        </row>
        <row r="110">
          <cell r="A110" t="str">
            <v>364</v>
          </cell>
          <cell r="B110" t="str">
            <v>Marketing Management</v>
          </cell>
          <cell r="C110" t="str">
            <v>Stephen Elop</v>
          </cell>
          <cell r="D110" t="str">
            <v>Corp Mktg</v>
          </cell>
        </row>
        <row r="111">
          <cell r="A111" t="str">
            <v>366</v>
          </cell>
          <cell r="B111" t="str">
            <v>Direct Marketing</v>
          </cell>
          <cell r="C111" t="str">
            <v>Stephen Elop</v>
          </cell>
          <cell r="D111" t="str">
            <v>Corp Mktg</v>
          </cell>
        </row>
        <row r="112">
          <cell r="A112" t="str">
            <v>367</v>
          </cell>
          <cell r="B112" t="str">
            <v>Marcom Management - Inactive</v>
          </cell>
          <cell r="C112" t="str">
            <v>Stephen Elop</v>
          </cell>
          <cell r="D112" t="str">
            <v>Cust Mktg</v>
          </cell>
        </row>
        <row r="113">
          <cell r="A113" t="str">
            <v>368</v>
          </cell>
          <cell r="B113" t="str">
            <v>Web Publishing Prod Mgmt</v>
          </cell>
          <cell r="C113" t="str">
            <v>N/A</v>
          </cell>
          <cell r="D113" t="str">
            <v>S &amp; FO Other</v>
          </cell>
        </row>
        <row r="114">
          <cell r="A114" t="str">
            <v>369</v>
          </cell>
          <cell r="B114" t="str">
            <v>Ad Agency Marketing</v>
          </cell>
          <cell r="C114" t="str">
            <v>Stephen Elop</v>
          </cell>
          <cell r="D114" t="str">
            <v>Corp Mktg</v>
          </cell>
        </row>
        <row r="115">
          <cell r="A115" t="str">
            <v>370</v>
          </cell>
          <cell r="B115" t="str">
            <v>International Web</v>
          </cell>
          <cell r="C115" t="str">
            <v>Stephen Elop</v>
          </cell>
          <cell r="D115" t="str">
            <v>Corp Mktg</v>
          </cell>
        </row>
        <row r="116">
          <cell r="A116" t="str">
            <v>371</v>
          </cell>
          <cell r="B116" t="str">
            <v>International Marketing</v>
          </cell>
          <cell r="C116" t="str">
            <v>Stephen Elop</v>
          </cell>
          <cell r="D116" t="str">
            <v>Corp Mktg</v>
          </cell>
        </row>
        <row r="117">
          <cell r="A117" t="str">
            <v>372</v>
          </cell>
          <cell r="B117" t="str">
            <v>Research/Reporting/Metrics - Inactive</v>
          </cell>
          <cell r="C117" t="str">
            <v>Kevin Lynch</v>
          </cell>
          <cell r="D117" t="str">
            <v>Marketing</v>
          </cell>
        </row>
        <row r="118">
          <cell r="A118" t="str">
            <v>381</v>
          </cell>
          <cell r="B118" t="str">
            <v>Marketing Communications</v>
          </cell>
          <cell r="C118" t="str">
            <v>Dominic Gallello</v>
          </cell>
          <cell r="D118" t="str">
            <v>Marketing</v>
          </cell>
        </row>
        <row r="119">
          <cell r="A119" t="str">
            <v>382</v>
          </cell>
          <cell r="B119" t="str">
            <v>FW-FH-Dir-Studio</v>
          </cell>
          <cell r="C119" t="str">
            <v>Dominic Gallello</v>
          </cell>
          <cell r="D119" t="str">
            <v>Marketing</v>
          </cell>
        </row>
        <row r="120">
          <cell r="A120" t="str">
            <v>383</v>
          </cell>
          <cell r="B120" t="str">
            <v>FAST</v>
          </cell>
          <cell r="C120" t="str">
            <v>Dominic Gallello</v>
          </cell>
          <cell r="D120" t="str">
            <v>Marketing</v>
          </cell>
        </row>
        <row r="121">
          <cell r="A121" t="str">
            <v>384</v>
          </cell>
          <cell r="B121" t="str">
            <v>Tin Can Marketing</v>
          </cell>
          <cell r="C121" t="str">
            <v>Dominic Gallello</v>
          </cell>
          <cell r="D121" t="str">
            <v>Marketing</v>
          </cell>
        </row>
        <row r="122">
          <cell r="A122" t="str">
            <v>389</v>
          </cell>
          <cell r="B122" t="str">
            <v>Marketing Adjustments</v>
          </cell>
          <cell r="C122" t="str">
            <v>N/A</v>
          </cell>
          <cell r="D122" t="str">
            <v>Marketing</v>
          </cell>
        </row>
        <row r="123">
          <cell r="A123" t="str">
            <v>391</v>
          </cell>
          <cell r="B123" t="str">
            <v>Developer Conference</v>
          </cell>
          <cell r="C123" t="str">
            <v>Stephen Elop</v>
          </cell>
          <cell r="D123" t="str">
            <v>Corp Mktg</v>
          </cell>
        </row>
        <row r="124">
          <cell r="A124" t="str">
            <v>395</v>
          </cell>
          <cell r="B124" t="str">
            <v>MX Corporate Marketing</v>
          </cell>
          <cell r="C124" t="str">
            <v>Stephen Elop</v>
          </cell>
          <cell r="D124" t="str">
            <v>Corp Mktg</v>
          </cell>
        </row>
        <row r="125">
          <cell r="A125" t="str">
            <v>399</v>
          </cell>
          <cell r="B125" t="str">
            <v>Adjustment - Inactive</v>
          </cell>
          <cell r="C125" t="str">
            <v>N/A</v>
          </cell>
          <cell r="D125" t="str">
            <v>Marketing</v>
          </cell>
        </row>
        <row r="126">
          <cell r="A126" t="str">
            <v>401</v>
          </cell>
          <cell r="B126" t="str">
            <v>Flash Remoting</v>
          </cell>
          <cell r="C126" t="str">
            <v>Paul Madar</v>
          </cell>
          <cell r="D126" t="str">
            <v>R &amp; D</v>
          </cell>
        </row>
        <row r="127">
          <cell r="A127" t="str">
            <v>402</v>
          </cell>
          <cell r="B127" t="str">
            <v>Trinity Rangers</v>
          </cell>
          <cell r="C127" t="str">
            <v>Dominic Gallello</v>
          </cell>
          <cell r="D127" t="str">
            <v>R &amp; D</v>
          </cell>
        </row>
        <row r="128">
          <cell r="A128" t="str">
            <v>403</v>
          </cell>
          <cell r="B128" t="str">
            <v>Communications NBO</v>
          </cell>
          <cell r="C128" t="str">
            <v>Kevin Lynch</v>
          </cell>
          <cell r="D128" t="str">
            <v>R &amp; D</v>
          </cell>
        </row>
        <row r="129">
          <cell r="A129" t="str">
            <v>404</v>
          </cell>
          <cell r="B129" t="str">
            <v>.Net+ NBO</v>
          </cell>
          <cell r="C129" t="str">
            <v>Kevin Lynch</v>
          </cell>
          <cell r="D129" t="str">
            <v>R &amp; D</v>
          </cell>
        </row>
        <row r="130">
          <cell r="A130" t="str">
            <v>405</v>
          </cell>
          <cell r="B130" t="str">
            <v>Thin Rich Client NBO</v>
          </cell>
          <cell r="C130" t="str">
            <v>Kevin Lynch</v>
          </cell>
          <cell r="D130" t="str">
            <v>R &amp; D</v>
          </cell>
        </row>
        <row r="131">
          <cell r="A131" t="str">
            <v>406</v>
          </cell>
          <cell r="B131" t="str">
            <v>IMD Production</v>
          </cell>
          <cell r="C131" t="str">
            <v>Dominic Gallello</v>
          </cell>
          <cell r="D131" t="str">
            <v>R &amp; D</v>
          </cell>
        </row>
        <row r="132">
          <cell r="A132">
            <v>410</v>
          </cell>
          <cell r="B132" t="str">
            <v>Server New Product</v>
          </cell>
          <cell r="C132" t="str">
            <v>Paul Madar</v>
          </cell>
          <cell r="D132" t="str">
            <v>R &amp; D</v>
          </cell>
        </row>
        <row r="133">
          <cell r="A133">
            <v>430</v>
          </cell>
          <cell r="B133" t="str">
            <v>Dreamweaver Localization</v>
          </cell>
          <cell r="C133" t="str">
            <v>Dominic Gallello</v>
          </cell>
          <cell r="D133" t="str">
            <v>R &amp; D</v>
          </cell>
        </row>
        <row r="134">
          <cell r="A134">
            <v>440</v>
          </cell>
          <cell r="B134" t="str">
            <v>Player Core QA</v>
          </cell>
          <cell r="C134" t="str">
            <v>Dominic Gallello</v>
          </cell>
          <cell r="D134" t="str">
            <v>R &amp; D</v>
          </cell>
        </row>
        <row r="135">
          <cell r="A135">
            <v>450</v>
          </cell>
          <cell r="B135" t="str">
            <v>Tin Can QA</v>
          </cell>
          <cell r="C135" t="str">
            <v>Dominic Gallello</v>
          </cell>
          <cell r="D135" t="str">
            <v>R &amp; D</v>
          </cell>
        </row>
        <row r="136">
          <cell r="A136" t="str">
            <v>496</v>
          </cell>
          <cell r="B136" t="str">
            <v>CLM F/A Adjusted Life R&amp;D</v>
          </cell>
          <cell r="C136" t="str">
            <v>N/A</v>
          </cell>
          <cell r="D136" t="str">
            <v>R &amp; D</v>
          </cell>
        </row>
        <row r="137">
          <cell r="A137" t="str">
            <v>497</v>
          </cell>
          <cell r="B137" t="str">
            <v>Tutorial Devlopmnt Group</v>
          </cell>
          <cell r="C137" t="str">
            <v>Dominic Gallello</v>
          </cell>
          <cell r="D137" t="str">
            <v>R &amp; D</v>
          </cell>
        </row>
        <row r="138">
          <cell r="A138" t="str">
            <v>498</v>
          </cell>
          <cell r="B138" t="str">
            <v>IMD-Web Content - Inactive</v>
          </cell>
          <cell r="C138" t="str">
            <v>Paul Madar</v>
          </cell>
          <cell r="D138" t="str">
            <v>R &amp; D</v>
          </cell>
        </row>
        <row r="139">
          <cell r="A139" t="str">
            <v>500</v>
          </cell>
          <cell r="B139" t="str">
            <v>IMD - Flash Group</v>
          </cell>
          <cell r="C139" t="str">
            <v>Dominic Gallello</v>
          </cell>
          <cell r="D139" t="str">
            <v>R &amp; D</v>
          </cell>
        </row>
        <row r="140">
          <cell r="A140" t="str">
            <v>501</v>
          </cell>
          <cell r="B140" t="str">
            <v>Frameworks</v>
          </cell>
          <cell r="C140" t="str">
            <v>Dominic Gallello</v>
          </cell>
          <cell r="D140" t="str">
            <v>R &amp; D</v>
          </cell>
        </row>
        <row r="141">
          <cell r="A141" t="str">
            <v>502</v>
          </cell>
          <cell r="B141" t="str">
            <v>Flash Localization</v>
          </cell>
          <cell r="C141" t="str">
            <v>Dominic Gallello</v>
          </cell>
          <cell r="D141" t="str">
            <v>R &amp; D</v>
          </cell>
        </row>
        <row r="142">
          <cell r="A142" t="str">
            <v>503</v>
          </cell>
          <cell r="B142" t="str">
            <v>Flash QA/Build/Release</v>
          </cell>
          <cell r="C142" t="str">
            <v>Dominic Gallello</v>
          </cell>
          <cell r="D142" t="str">
            <v>R &amp; D</v>
          </cell>
        </row>
        <row r="143">
          <cell r="A143" t="str">
            <v>505</v>
          </cell>
          <cell r="B143" t="str">
            <v>Trinity</v>
          </cell>
          <cell r="C143" t="str">
            <v>Dominic Gallello</v>
          </cell>
          <cell r="D143" t="str">
            <v>R &amp; D</v>
          </cell>
        </row>
        <row r="144">
          <cell r="A144" t="str">
            <v>506</v>
          </cell>
          <cell r="B144" t="str">
            <v>Engineering Services - Server</v>
          </cell>
          <cell r="C144" t="str">
            <v>Paul Madar</v>
          </cell>
          <cell r="D144" t="str">
            <v>R &amp; D</v>
          </cell>
        </row>
        <row r="145">
          <cell r="A145" t="str">
            <v>508</v>
          </cell>
          <cell r="B145" t="str">
            <v>Tools Management</v>
          </cell>
          <cell r="C145" t="str">
            <v>Dominic Gallello</v>
          </cell>
          <cell r="D145" t="str">
            <v>R &amp; D</v>
          </cell>
        </row>
        <row r="146">
          <cell r="A146" t="str">
            <v>509</v>
          </cell>
          <cell r="B146" t="str">
            <v>IMD - Dream Tools Group</v>
          </cell>
          <cell r="C146" t="str">
            <v>Dominic Gallello</v>
          </cell>
          <cell r="D146" t="str">
            <v>R &amp; D</v>
          </cell>
        </row>
        <row r="147">
          <cell r="A147" t="str">
            <v>510</v>
          </cell>
          <cell r="B147" t="str">
            <v>IMD - Server Group</v>
          </cell>
          <cell r="C147" t="str">
            <v>Paul Madar</v>
          </cell>
          <cell r="D147" t="str">
            <v>R &amp; D</v>
          </cell>
        </row>
        <row r="148">
          <cell r="A148" t="str">
            <v>512</v>
          </cell>
          <cell r="B148" t="str">
            <v>Authorware R&amp;D</v>
          </cell>
          <cell r="C148" t="str">
            <v>N/A</v>
          </cell>
          <cell r="D148" t="str">
            <v>R &amp; D</v>
          </cell>
        </row>
        <row r="149">
          <cell r="A149" t="str">
            <v>513</v>
          </cell>
          <cell r="B149" t="str">
            <v>PRISM</v>
          </cell>
          <cell r="C149" t="str">
            <v>Dominic Gallello</v>
          </cell>
          <cell r="D149" t="str">
            <v>R &amp; D</v>
          </cell>
        </row>
        <row r="150">
          <cell r="A150" t="str">
            <v>514</v>
          </cell>
          <cell r="B150" t="str">
            <v>Cold Fusion Development</v>
          </cell>
          <cell r="C150" t="str">
            <v>Paul Madar</v>
          </cell>
          <cell r="D150" t="str">
            <v>R &amp; D</v>
          </cell>
        </row>
        <row r="151">
          <cell r="A151" t="str">
            <v>515</v>
          </cell>
          <cell r="B151" t="str">
            <v>JRun Development</v>
          </cell>
          <cell r="C151" t="str">
            <v>Paul Madar</v>
          </cell>
          <cell r="D151" t="str">
            <v>R &amp; D</v>
          </cell>
        </row>
        <row r="152">
          <cell r="A152" t="str">
            <v>516</v>
          </cell>
          <cell r="B152" t="str">
            <v>Gemba R&amp;D</v>
          </cell>
          <cell r="C152" t="str">
            <v>N/A</v>
          </cell>
          <cell r="D152" t="str">
            <v>R &amp; D</v>
          </cell>
        </row>
        <row r="153">
          <cell r="A153" t="str">
            <v>517</v>
          </cell>
          <cell r="B153" t="str">
            <v>Spectra Development</v>
          </cell>
          <cell r="C153" t="str">
            <v>Paul Madar</v>
          </cell>
          <cell r="D153" t="str">
            <v>R &amp; D</v>
          </cell>
        </row>
        <row r="154">
          <cell r="A154" t="str">
            <v>519</v>
          </cell>
          <cell r="B154" t="str">
            <v>Tin Can Development</v>
          </cell>
          <cell r="C154" t="str">
            <v>Dominic Gallello</v>
          </cell>
          <cell r="D154" t="str">
            <v>R &amp; D</v>
          </cell>
        </row>
        <row r="155">
          <cell r="A155" t="str">
            <v>520</v>
          </cell>
          <cell r="B155" t="str">
            <v>MM Ventures - Inactive</v>
          </cell>
          <cell r="C155" t="str">
            <v>Betsey Nelson</v>
          </cell>
          <cell r="D155" t="str">
            <v>R &amp; D</v>
          </cell>
        </row>
        <row r="156">
          <cell r="A156" t="str">
            <v>523</v>
          </cell>
          <cell r="B156" t="str">
            <v>Player</v>
          </cell>
          <cell r="C156" t="str">
            <v>Dominic Gallello</v>
          </cell>
          <cell r="D156" t="str">
            <v>R &amp; D</v>
          </cell>
        </row>
        <row r="157">
          <cell r="A157" t="str">
            <v>524</v>
          </cell>
          <cell r="B157" t="str">
            <v>HomeSite Development/QA</v>
          </cell>
          <cell r="C157" t="str">
            <v>Dominic Gallello</v>
          </cell>
          <cell r="D157" t="str">
            <v>R &amp; D</v>
          </cell>
        </row>
        <row r="158">
          <cell r="A158" t="str">
            <v>525</v>
          </cell>
          <cell r="B158" t="str">
            <v>Dreamweaver Development</v>
          </cell>
          <cell r="C158" t="str">
            <v>Dominic Gallello</v>
          </cell>
          <cell r="D158" t="str">
            <v>R &amp; D</v>
          </cell>
        </row>
        <row r="159">
          <cell r="A159" t="str">
            <v>526</v>
          </cell>
          <cell r="B159" t="str">
            <v>Dreamweaver QA</v>
          </cell>
          <cell r="C159" t="str">
            <v>Dominic Gallello</v>
          </cell>
          <cell r="D159" t="str">
            <v>R &amp; D</v>
          </cell>
        </row>
        <row r="160">
          <cell r="A160" t="str">
            <v>527</v>
          </cell>
          <cell r="B160" t="str">
            <v>Kawa R&amp;D - Inactive</v>
          </cell>
          <cell r="C160" t="str">
            <v>Dominic Gallello</v>
          </cell>
          <cell r="D160" t="str">
            <v>R &amp; D</v>
          </cell>
        </row>
        <row r="161">
          <cell r="A161" t="str">
            <v>528</v>
          </cell>
          <cell r="B161" t="str">
            <v>UltraDev Development</v>
          </cell>
          <cell r="C161" t="str">
            <v>Dominic Gallello</v>
          </cell>
          <cell r="D161" t="str">
            <v>R &amp; D</v>
          </cell>
        </row>
        <row r="162">
          <cell r="A162" t="str">
            <v>529</v>
          </cell>
          <cell r="B162" t="str">
            <v>Dreamweaver/UltraDev Mgmt</v>
          </cell>
          <cell r="C162" t="str">
            <v>Dominic Gallello</v>
          </cell>
          <cell r="D162" t="str">
            <v>R &amp; D</v>
          </cell>
        </row>
        <row r="163">
          <cell r="A163" t="str">
            <v>530</v>
          </cell>
          <cell r="B163" t="str">
            <v>Cross BU Management</v>
          </cell>
          <cell r="C163" t="str">
            <v>Kevin Lynch</v>
          </cell>
          <cell r="D163" t="str">
            <v>R &amp; D</v>
          </cell>
        </row>
        <row r="164">
          <cell r="A164" t="str">
            <v>532</v>
          </cell>
          <cell r="B164" t="str">
            <v>Ringo Development</v>
          </cell>
          <cell r="C164" t="str">
            <v>Dominic Gallello</v>
          </cell>
          <cell r="D164" t="str">
            <v>R &amp; D</v>
          </cell>
        </row>
        <row r="165">
          <cell r="A165" t="str">
            <v>534</v>
          </cell>
          <cell r="B165" t="str">
            <v>Beta Team</v>
          </cell>
          <cell r="C165" t="str">
            <v>Dominic Gallello</v>
          </cell>
          <cell r="D165" t="str">
            <v>R &amp; D</v>
          </cell>
        </row>
        <row r="166">
          <cell r="A166" t="str">
            <v>535</v>
          </cell>
          <cell r="B166" t="str">
            <v>Dreamweaver Exchange</v>
          </cell>
          <cell r="C166" t="str">
            <v>Dominic Gallello</v>
          </cell>
          <cell r="D166" t="str">
            <v>R &amp; D</v>
          </cell>
        </row>
        <row r="167">
          <cell r="A167" t="str">
            <v>536</v>
          </cell>
          <cell r="B167" t="str">
            <v>Tools Localization</v>
          </cell>
          <cell r="C167" t="str">
            <v>Dominic Gallello</v>
          </cell>
          <cell r="D167" t="str">
            <v>R &amp; D</v>
          </cell>
        </row>
        <row r="168">
          <cell r="A168" t="str">
            <v>537</v>
          </cell>
          <cell r="B168" t="str">
            <v>Localizations - Japan</v>
          </cell>
          <cell r="C168" t="str">
            <v>Stephen Elop</v>
          </cell>
          <cell r="D168" t="str">
            <v>Sales - Japan</v>
          </cell>
        </row>
        <row r="169">
          <cell r="A169" t="str">
            <v>538</v>
          </cell>
          <cell r="B169" t="str">
            <v>Ringo QA</v>
          </cell>
          <cell r="C169" t="str">
            <v>Dominic Gallello</v>
          </cell>
          <cell r="D169" t="str">
            <v>R &amp; D</v>
          </cell>
        </row>
        <row r="170">
          <cell r="A170" t="str">
            <v>542</v>
          </cell>
          <cell r="B170" t="str">
            <v>Director QA</v>
          </cell>
          <cell r="C170" t="str">
            <v>Dominic Gallello</v>
          </cell>
          <cell r="D170" t="str">
            <v>R &amp; D</v>
          </cell>
        </row>
        <row r="171">
          <cell r="A171" t="str">
            <v>543</v>
          </cell>
          <cell r="B171" t="str">
            <v>Director Management</v>
          </cell>
          <cell r="C171" t="str">
            <v>Dominic Gallello</v>
          </cell>
          <cell r="D171" t="str">
            <v>R &amp; D</v>
          </cell>
        </row>
        <row r="172">
          <cell r="A172" t="str">
            <v>547</v>
          </cell>
          <cell r="B172" t="str">
            <v>Director Development</v>
          </cell>
          <cell r="C172" t="str">
            <v>Dominic Gallello</v>
          </cell>
          <cell r="D172" t="str">
            <v>R &amp; D</v>
          </cell>
        </row>
        <row r="173">
          <cell r="A173" t="str">
            <v>550</v>
          </cell>
          <cell r="B173" t="str">
            <v>Enterprise Development</v>
          </cell>
          <cell r="C173" t="str">
            <v>Paul Madar</v>
          </cell>
          <cell r="D173" t="str">
            <v>R &amp; D</v>
          </cell>
        </row>
        <row r="174">
          <cell r="A174" t="str">
            <v>551</v>
          </cell>
          <cell r="B174" t="str">
            <v>Flash for Applications</v>
          </cell>
          <cell r="C174" t="str">
            <v>Dominic Gallello</v>
          </cell>
          <cell r="D174" t="str">
            <v>R &amp; D</v>
          </cell>
        </row>
        <row r="175">
          <cell r="A175" t="str">
            <v>552</v>
          </cell>
          <cell r="B175" t="str">
            <v>Flash</v>
          </cell>
          <cell r="C175" t="str">
            <v>Dominic Gallello</v>
          </cell>
          <cell r="D175" t="str">
            <v>R &amp; D</v>
          </cell>
        </row>
        <row r="176">
          <cell r="A176" t="str">
            <v>553</v>
          </cell>
          <cell r="B176" t="str">
            <v>Generator Authoring</v>
          </cell>
          <cell r="C176" t="str">
            <v>Dominic Gallello</v>
          </cell>
          <cell r="D176" t="str">
            <v>R &amp; D</v>
          </cell>
        </row>
        <row r="177">
          <cell r="A177" t="str">
            <v>555</v>
          </cell>
          <cell r="B177" t="str">
            <v>ColdFusion QA</v>
          </cell>
          <cell r="C177" t="str">
            <v>Paul Madar</v>
          </cell>
          <cell r="D177" t="str">
            <v>R &amp; D</v>
          </cell>
        </row>
        <row r="178">
          <cell r="A178" t="str">
            <v>556</v>
          </cell>
          <cell r="B178" t="str">
            <v>JRun QA</v>
          </cell>
          <cell r="C178" t="str">
            <v>Paul Madar</v>
          </cell>
          <cell r="D178" t="str">
            <v>R &amp; D</v>
          </cell>
        </row>
        <row r="179">
          <cell r="A179" t="str">
            <v>557</v>
          </cell>
          <cell r="B179" t="str">
            <v>Spectra QA</v>
          </cell>
          <cell r="C179" t="str">
            <v>Paul Madar</v>
          </cell>
          <cell r="D179" t="str">
            <v>R &amp; D</v>
          </cell>
        </row>
        <row r="180">
          <cell r="A180" t="str">
            <v>560</v>
          </cell>
          <cell r="B180" t="str">
            <v>Cross Product Resources-Texas</v>
          </cell>
          <cell r="C180" t="str">
            <v>Dominic Gallello</v>
          </cell>
          <cell r="D180" t="str">
            <v>R &amp; D</v>
          </cell>
        </row>
        <row r="181">
          <cell r="A181" t="str">
            <v>561</v>
          </cell>
          <cell r="B181" t="str">
            <v>Studio Dev/QA</v>
          </cell>
          <cell r="C181" t="str">
            <v>Dominic Gallello</v>
          </cell>
          <cell r="D181" t="str">
            <v>R &amp; D</v>
          </cell>
        </row>
        <row r="182">
          <cell r="A182" t="str">
            <v>562</v>
          </cell>
          <cell r="B182" t="str">
            <v>FreeHand R&amp;D - TX</v>
          </cell>
          <cell r="C182" t="str">
            <v>Dominic Gallello</v>
          </cell>
          <cell r="D182" t="str">
            <v>R &amp; D</v>
          </cell>
        </row>
        <row r="183">
          <cell r="A183" t="str">
            <v>563</v>
          </cell>
          <cell r="B183" t="str">
            <v>Educational Development R&amp;D -</v>
          </cell>
          <cell r="C183" t="str">
            <v>Stephen Elop</v>
          </cell>
          <cell r="D183" t="str">
            <v>R &amp; D</v>
          </cell>
        </row>
        <row r="184">
          <cell r="A184" t="str">
            <v>565</v>
          </cell>
          <cell r="B184" t="str">
            <v>FreeHand SQA - Texas</v>
          </cell>
          <cell r="C184" t="str">
            <v>Dominic Gallello</v>
          </cell>
          <cell r="D184" t="str">
            <v>R &amp; D</v>
          </cell>
        </row>
        <row r="185">
          <cell r="A185" t="str">
            <v>566</v>
          </cell>
          <cell r="B185" t="str">
            <v>Instructional Media - TX</v>
          </cell>
          <cell r="C185" t="str">
            <v>Kevin Lynch</v>
          </cell>
          <cell r="D185" t="str">
            <v>R &amp; D</v>
          </cell>
        </row>
        <row r="186">
          <cell r="A186" t="str">
            <v>567</v>
          </cell>
          <cell r="B186" t="str">
            <v>Localization - TX</v>
          </cell>
          <cell r="C186" t="str">
            <v>Dominic Gallello</v>
          </cell>
          <cell r="D186" t="str">
            <v>R &amp; D</v>
          </cell>
        </row>
        <row r="187">
          <cell r="A187" t="str">
            <v>568</v>
          </cell>
          <cell r="B187" t="str">
            <v>Texas Testing Resources</v>
          </cell>
          <cell r="C187" t="str">
            <v>Dominic Gallello</v>
          </cell>
          <cell r="D187" t="str">
            <v>R &amp; D</v>
          </cell>
        </row>
        <row r="188">
          <cell r="A188" t="str">
            <v>569</v>
          </cell>
          <cell r="B188" t="str">
            <v>Fireworks Development</v>
          </cell>
          <cell r="C188" t="str">
            <v>Dominic Gallello</v>
          </cell>
          <cell r="D188" t="str">
            <v>R &amp; D</v>
          </cell>
        </row>
        <row r="189">
          <cell r="A189" t="str">
            <v>571</v>
          </cell>
          <cell r="B189" t="str">
            <v>R&amp;D Adjustments</v>
          </cell>
          <cell r="C189" t="str">
            <v>N/A</v>
          </cell>
          <cell r="D189" t="str">
            <v>R &amp; D</v>
          </cell>
        </row>
        <row r="190">
          <cell r="A190" t="str">
            <v>575</v>
          </cell>
          <cell r="B190" t="str">
            <v>Usability</v>
          </cell>
          <cell r="C190" t="str">
            <v>Dominic Gallello</v>
          </cell>
          <cell r="D190" t="str">
            <v>R &amp; D</v>
          </cell>
        </row>
        <row r="191">
          <cell r="A191" t="str">
            <v>579</v>
          </cell>
          <cell r="B191" t="str">
            <v>Adjustment - Inactive</v>
          </cell>
          <cell r="C191" t="str">
            <v>N/A</v>
          </cell>
          <cell r="D191" t="str">
            <v>R &amp; D</v>
          </cell>
        </row>
        <row r="192">
          <cell r="A192" t="str">
            <v>582</v>
          </cell>
          <cell r="B192" t="str">
            <v>Whirlwind R&amp;D - MN</v>
          </cell>
          <cell r="C192" t="str">
            <v>Dominic Gallello</v>
          </cell>
          <cell r="D192" t="str">
            <v>R &amp; D</v>
          </cell>
        </row>
        <row r="193">
          <cell r="A193" t="str">
            <v>583</v>
          </cell>
          <cell r="B193" t="str">
            <v>Whirlwind R&amp;D - CA</v>
          </cell>
          <cell r="C193" t="str">
            <v>Dominic Gallello</v>
          </cell>
          <cell r="D193" t="str">
            <v>R &amp; D</v>
          </cell>
        </row>
        <row r="194">
          <cell r="A194" t="str">
            <v>584</v>
          </cell>
          <cell r="B194" t="str">
            <v>ARIA &amp; LM</v>
          </cell>
          <cell r="C194" t="str">
            <v>Stephen Elop</v>
          </cell>
          <cell r="D194" t="str">
            <v>R &amp; D</v>
          </cell>
        </row>
        <row r="195">
          <cell r="A195" t="str">
            <v>585</v>
          </cell>
          <cell r="B195" t="str">
            <v>Server Group Management</v>
          </cell>
          <cell r="C195" t="str">
            <v>Paul Madar</v>
          </cell>
          <cell r="D195" t="str">
            <v>R &amp; D</v>
          </cell>
        </row>
        <row r="196">
          <cell r="A196" t="str">
            <v>588</v>
          </cell>
          <cell r="B196" t="str">
            <v>Localization - Server Group</v>
          </cell>
          <cell r="C196" t="str">
            <v>Paul Madar</v>
          </cell>
          <cell r="D196" t="str">
            <v>R &amp; D</v>
          </cell>
        </row>
        <row r="197">
          <cell r="A197" t="str">
            <v>589</v>
          </cell>
          <cell r="B197" t="str">
            <v>Adjustment</v>
          </cell>
          <cell r="C197" t="str">
            <v>N/A</v>
          </cell>
          <cell r="D197" t="str">
            <v>R &amp; D</v>
          </cell>
        </row>
        <row r="198">
          <cell r="A198" t="str">
            <v>800</v>
          </cell>
          <cell r="B198" t="str">
            <v>Office of the President</v>
          </cell>
          <cell r="C198" t="str">
            <v>Betsey Nelson</v>
          </cell>
          <cell r="D198" t="str">
            <v>G &amp; A</v>
          </cell>
        </row>
        <row r="199">
          <cell r="A199" t="str">
            <v>801</v>
          </cell>
          <cell r="B199" t="str">
            <v>Finance - Newton - Inactive</v>
          </cell>
          <cell r="C199" t="str">
            <v>Betsey Nelson</v>
          </cell>
          <cell r="D199" t="str">
            <v>G &amp; A</v>
          </cell>
        </row>
        <row r="200">
          <cell r="A200" t="str">
            <v>802</v>
          </cell>
          <cell r="B200" t="str">
            <v>Finance - Revenue</v>
          </cell>
          <cell r="C200" t="str">
            <v>Betsey Nelson</v>
          </cell>
          <cell r="D200" t="str">
            <v>G &amp; A</v>
          </cell>
        </row>
        <row r="201">
          <cell r="A201" t="str">
            <v>803</v>
          </cell>
          <cell r="B201" t="str">
            <v>Finance - Accounting</v>
          </cell>
          <cell r="C201" t="str">
            <v>Betsey Nelson</v>
          </cell>
          <cell r="D201" t="str">
            <v>G &amp; A</v>
          </cell>
        </row>
        <row r="202">
          <cell r="A202" t="str">
            <v>804</v>
          </cell>
          <cell r="B202" t="str">
            <v>Finance - Projects</v>
          </cell>
          <cell r="C202" t="str">
            <v>N/A</v>
          </cell>
          <cell r="D202" t="str">
            <v>G &amp; A</v>
          </cell>
        </row>
        <row r="203">
          <cell r="A203" t="str">
            <v>809</v>
          </cell>
          <cell r="B203" t="str">
            <v>Purchasing - Inactive</v>
          </cell>
          <cell r="C203" t="str">
            <v>Betsey Nelson</v>
          </cell>
          <cell r="D203" t="str">
            <v>G &amp; A</v>
          </cell>
        </row>
        <row r="204">
          <cell r="A204" t="str">
            <v>810</v>
          </cell>
          <cell r="B204" t="str">
            <v>G&amp;A -Finance</v>
          </cell>
          <cell r="C204" t="str">
            <v>Betsey Nelson</v>
          </cell>
          <cell r="D204" t="str">
            <v>G &amp; A</v>
          </cell>
        </row>
        <row r="205">
          <cell r="A205" t="str">
            <v>811</v>
          </cell>
          <cell r="B205" t="str">
            <v>Corporate Development</v>
          </cell>
          <cell r="C205" t="str">
            <v>Betsey Nelson</v>
          </cell>
          <cell r="D205" t="str">
            <v>G &amp; A</v>
          </cell>
        </row>
        <row r="206">
          <cell r="A206" t="str">
            <v>815</v>
          </cell>
          <cell r="B206" t="str">
            <v>G&amp;A -Operations</v>
          </cell>
          <cell r="C206" t="str">
            <v>Stephen Elop</v>
          </cell>
          <cell r="D206" t="str">
            <v>Ops - G&amp;A</v>
          </cell>
        </row>
        <row r="207">
          <cell r="A207" t="str">
            <v>820</v>
          </cell>
          <cell r="B207" t="str">
            <v>G&amp;A -Human Resources</v>
          </cell>
          <cell r="C207" t="str">
            <v>Betsey Nelson</v>
          </cell>
          <cell r="D207" t="str">
            <v>G &amp; A</v>
          </cell>
        </row>
        <row r="208">
          <cell r="A208" t="str">
            <v>821</v>
          </cell>
          <cell r="B208" t="str">
            <v>G &amp; A -Recruiting</v>
          </cell>
          <cell r="C208" t="str">
            <v>Betsey Nelson</v>
          </cell>
          <cell r="D208" t="str">
            <v>G &amp; A</v>
          </cell>
        </row>
        <row r="209">
          <cell r="A209" t="str">
            <v>822</v>
          </cell>
          <cell r="B209" t="str">
            <v>G&amp;A -Human Resources</v>
          </cell>
          <cell r="C209" t="str">
            <v>Betsey Nelson</v>
          </cell>
          <cell r="D209" t="str">
            <v>G &amp; A</v>
          </cell>
        </row>
        <row r="210">
          <cell r="A210" t="str">
            <v>824</v>
          </cell>
          <cell r="B210" t="str">
            <v>G&amp;A -Finance</v>
          </cell>
          <cell r="C210" t="str">
            <v>Betsey Nelson</v>
          </cell>
          <cell r="D210" t="str">
            <v>G &amp; A</v>
          </cell>
        </row>
        <row r="211">
          <cell r="A211" t="str">
            <v>825</v>
          </cell>
          <cell r="B211" t="str">
            <v>G&amp;A -Investor Relations</v>
          </cell>
          <cell r="C211" t="str">
            <v>Betsey Nelson</v>
          </cell>
          <cell r="D211" t="str">
            <v>G &amp; A</v>
          </cell>
        </row>
        <row r="212">
          <cell r="A212" t="str">
            <v>829</v>
          </cell>
          <cell r="B212" t="str">
            <v>Adjustment - G&amp;A</v>
          </cell>
          <cell r="C212" t="str">
            <v>N/A</v>
          </cell>
          <cell r="D212" t="str">
            <v>G &amp; A</v>
          </cell>
        </row>
        <row r="213">
          <cell r="A213" t="str">
            <v>830</v>
          </cell>
          <cell r="B213" t="str">
            <v>G&amp;A -Legal</v>
          </cell>
          <cell r="C213" t="str">
            <v>Betsey Nelson</v>
          </cell>
          <cell r="D213" t="str">
            <v>G &amp; A</v>
          </cell>
        </row>
        <row r="214">
          <cell r="A214" t="str">
            <v>835</v>
          </cell>
          <cell r="B214" t="str">
            <v>Order Services</v>
          </cell>
          <cell r="C214" t="str">
            <v>Stephen Elop</v>
          </cell>
          <cell r="D214" t="str">
            <v>Ops - G&amp;A</v>
          </cell>
        </row>
        <row r="215">
          <cell r="A215" t="str">
            <v>836</v>
          </cell>
          <cell r="B215" t="str">
            <v>Credit</v>
          </cell>
          <cell r="C215" t="str">
            <v>Betsey Nelson</v>
          </cell>
          <cell r="D215" t="str">
            <v>G &amp; A</v>
          </cell>
        </row>
        <row r="216">
          <cell r="A216">
            <v>844</v>
          </cell>
          <cell r="B216" t="str">
            <v>Global Projects Office</v>
          </cell>
          <cell r="C216" t="str">
            <v>Stephen Elop</v>
          </cell>
          <cell r="D216" t="str">
            <v>Ops - G&amp;A</v>
          </cell>
        </row>
        <row r="217">
          <cell r="A217" t="str">
            <v>845</v>
          </cell>
          <cell r="B217" t="str">
            <v>Security</v>
          </cell>
          <cell r="C217" t="str">
            <v>Stephen Elop</v>
          </cell>
          <cell r="D217" t="str">
            <v>Ops - G&amp;A</v>
          </cell>
        </row>
        <row r="218">
          <cell r="A218" t="str">
            <v>850</v>
          </cell>
          <cell r="B218" t="str">
            <v>Tax &amp; Treasury</v>
          </cell>
          <cell r="C218" t="str">
            <v>Betsey Nelson</v>
          </cell>
          <cell r="D218" t="str">
            <v>G &amp; A</v>
          </cell>
        </row>
        <row r="219">
          <cell r="A219" t="str">
            <v>875</v>
          </cell>
          <cell r="B219" t="str">
            <v>Finance - Accounting</v>
          </cell>
          <cell r="C219" t="str">
            <v>Betsey Nelson</v>
          </cell>
          <cell r="D219" t="str">
            <v>G &amp; A</v>
          </cell>
        </row>
        <row r="220">
          <cell r="A220" t="str">
            <v>880</v>
          </cell>
          <cell r="B220" t="str">
            <v>Field Readiness - Inactive</v>
          </cell>
          <cell r="C220" t="str">
            <v>Stephen Elop</v>
          </cell>
          <cell r="D220" t="str">
            <v>Edu Svcs</v>
          </cell>
        </row>
        <row r="221">
          <cell r="A221" t="str">
            <v>881</v>
          </cell>
          <cell r="B221" t="str">
            <v>WP Management (TX) - Inactive</v>
          </cell>
          <cell r="C221" t="str">
            <v>Kevin Lynch</v>
          </cell>
          <cell r="D221" t="str">
            <v>G &amp; A</v>
          </cell>
        </row>
        <row r="222">
          <cell r="A222" t="str">
            <v>882</v>
          </cell>
          <cell r="B222" t="str">
            <v>CLM F/A Adjusted Life- G&amp;A</v>
          </cell>
          <cell r="C222" t="str">
            <v>N/A</v>
          </cell>
          <cell r="D222" t="str">
            <v>G &amp; A</v>
          </cell>
        </row>
        <row r="223">
          <cell r="A223" t="str">
            <v>899</v>
          </cell>
          <cell r="B223" t="str">
            <v>Korea Transfer Price Cost - BV</v>
          </cell>
          <cell r="C223" t="str">
            <v>N/A</v>
          </cell>
          <cell r="D223" t="str">
            <v>G &amp; A</v>
          </cell>
        </row>
        <row r="224">
          <cell r="A224" t="str">
            <v>900</v>
          </cell>
          <cell r="B224" t="str">
            <v>1750 Alameda</v>
          </cell>
          <cell r="C224" t="str">
            <v>Jim Morgensen</v>
          </cell>
          <cell r="D224" t="str">
            <v>Facilities</v>
          </cell>
        </row>
        <row r="225">
          <cell r="A225" t="str">
            <v>901</v>
          </cell>
          <cell r="B225" t="str">
            <v>450 Rhode Island - Inactive</v>
          </cell>
          <cell r="C225" t="str">
            <v>Jim Morgensen</v>
          </cell>
          <cell r="D225" t="str">
            <v>Facilities</v>
          </cell>
        </row>
        <row r="226">
          <cell r="A226" t="str">
            <v>902</v>
          </cell>
          <cell r="B226" t="str">
            <v>Time 4/Minneapolis</v>
          </cell>
          <cell r="C226" t="str">
            <v>Jim Morgensen</v>
          </cell>
          <cell r="D226" t="str">
            <v>Facilities</v>
          </cell>
        </row>
        <row r="227">
          <cell r="A227" t="str">
            <v>903</v>
          </cell>
          <cell r="B227" t="str">
            <v>Pleasanton - Inactive</v>
          </cell>
          <cell r="C227" t="str">
            <v>Jim Morgensen</v>
          </cell>
          <cell r="D227" t="str">
            <v>Facilities</v>
          </cell>
        </row>
        <row r="228">
          <cell r="A228" t="str">
            <v>904</v>
          </cell>
          <cell r="B228" t="str">
            <v>606 Townsend - Concourse</v>
          </cell>
          <cell r="C228" t="str">
            <v>Jim Morgensen</v>
          </cell>
          <cell r="D228" t="str">
            <v>Facilities</v>
          </cell>
        </row>
        <row r="229">
          <cell r="A229" t="str">
            <v>905</v>
          </cell>
          <cell r="B229" t="str">
            <v>Facilities- New Jersey</v>
          </cell>
          <cell r="C229" t="str">
            <v>Jim Morgensen</v>
          </cell>
          <cell r="D229" t="str">
            <v>Facilities</v>
          </cell>
        </row>
        <row r="230">
          <cell r="A230" t="str">
            <v>906</v>
          </cell>
          <cell r="B230" t="str">
            <v>Facilties - SF REAF</v>
          </cell>
          <cell r="C230" t="str">
            <v>Jim Morgensen</v>
          </cell>
          <cell r="D230" t="str">
            <v>Facilities</v>
          </cell>
        </row>
        <row r="231">
          <cell r="A231" t="str">
            <v>907</v>
          </cell>
          <cell r="B231" t="str">
            <v>Facilities - Nashua</v>
          </cell>
          <cell r="C231" t="str">
            <v>Jim Morgensen</v>
          </cell>
          <cell r="D231" t="str">
            <v>Facilities</v>
          </cell>
        </row>
        <row r="232">
          <cell r="A232" t="str">
            <v>908</v>
          </cell>
          <cell r="B232" t="str">
            <v>Facilities - Riverside</v>
          </cell>
          <cell r="C232" t="str">
            <v>Jim Morgensen</v>
          </cell>
          <cell r="D232" t="str">
            <v>Facilities</v>
          </cell>
        </row>
        <row r="233">
          <cell r="A233" t="str">
            <v>909</v>
          </cell>
          <cell r="B233" t="str">
            <v>Facilities - Chicago</v>
          </cell>
          <cell r="C233" t="str">
            <v>Jim Morgensen</v>
          </cell>
          <cell r="D233" t="str">
            <v>Facilities</v>
          </cell>
        </row>
        <row r="234">
          <cell r="A234" t="str">
            <v>910</v>
          </cell>
          <cell r="B234" t="str">
            <v>Facilities - SF</v>
          </cell>
          <cell r="C234" t="str">
            <v>Jim Morgensen</v>
          </cell>
          <cell r="D234" t="str">
            <v>Facilities</v>
          </cell>
        </row>
        <row r="235">
          <cell r="A235" t="str">
            <v>912</v>
          </cell>
          <cell r="B235" t="str">
            <v>650 Townsend 4th</v>
          </cell>
          <cell r="C235" t="str">
            <v>Jim Morgensen</v>
          </cell>
          <cell r="D235" t="str">
            <v>Facilities</v>
          </cell>
        </row>
        <row r="236">
          <cell r="A236" t="str">
            <v>915</v>
          </cell>
          <cell r="B236" t="str">
            <v>Facilities - RWS</v>
          </cell>
          <cell r="C236" t="str">
            <v>Jim Morgensen</v>
          </cell>
          <cell r="D236" t="str">
            <v>Facilities</v>
          </cell>
        </row>
        <row r="237">
          <cell r="A237" t="str">
            <v>916</v>
          </cell>
          <cell r="B237" t="str">
            <v>eBS Facilities</v>
          </cell>
          <cell r="C237" t="str">
            <v>Jim Morgensen</v>
          </cell>
          <cell r="D237" t="str">
            <v>Facilities</v>
          </cell>
        </row>
        <row r="238">
          <cell r="A238" t="str">
            <v>917</v>
          </cell>
          <cell r="B238" t="str">
            <v>Facilities - Exec. Suites - A</v>
          </cell>
          <cell r="C238" t="str">
            <v>Jim Morgensen</v>
          </cell>
          <cell r="D238" t="str">
            <v>Facilities</v>
          </cell>
        </row>
        <row r="239">
          <cell r="A239" t="str">
            <v>919</v>
          </cell>
          <cell r="B239" t="str">
            <v>Facilities - Exec. Suites - AL</v>
          </cell>
          <cell r="C239" t="str">
            <v>Jim Morgensen</v>
          </cell>
          <cell r="D239" t="str">
            <v>Facilities</v>
          </cell>
        </row>
        <row r="240">
          <cell r="A240" t="str">
            <v>920</v>
          </cell>
          <cell r="B240" t="str">
            <v>Facilities - Texas</v>
          </cell>
          <cell r="C240" t="str">
            <v>Jim Morgensen</v>
          </cell>
          <cell r="D240" t="str">
            <v>Facilities</v>
          </cell>
        </row>
        <row r="241">
          <cell r="A241" t="str">
            <v>921</v>
          </cell>
          <cell r="B241" t="str">
            <v>Maryland IT Offices</v>
          </cell>
          <cell r="C241" t="str">
            <v>Jim Morgensen</v>
          </cell>
          <cell r="D241" t="str">
            <v>Facilities</v>
          </cell>
        </row>
        <row r="242">
          <cell r="A242" t="str">
            <v>922</v>
          </cell>
          <cell r="B242" t="str">
            <v>IT Strategic Consulting</v>
          </cell>
          <cell r="C242" t="str">
            <v>Tim Keefe</v>
          </cell>
          <cell r="D242" t="str">
            <v>IT</v>
          </cell>
        </row>
        <row r="243">
          <cell r="A243" t="str">
            <v>923</v>
          </cell>
          <cell r="B243" t="str">
            <v>IT Macromedia Online</v>
          </cell>
          <cell r="C243" t="str">
            <v>Tim Keefe</v>
          </cell>
          <cell r="D243" t="str">
            <v>IT</v>
          </cell>
        </row>
        <row r="244">
          <cell r="A244" t="str">
            <v>924</v>
          </cell>
          <cell r="B244" t="str">
            <v>IT Enterprise Engineering</v>
          </cell>
          <cell r="C244" t="str">
            <v>Tim Keefe</v>
          </cell>
          <cell r="D244" t="str">
            <v>IT</v>
          </cell>
        </row>
        <row r="245">
          <cell r="A245" t="str">
            <v>925</v>
          </cell>
          <cell r="B245" t="str">
            <v>IT Minnesota</v>
          </cell>
          <cell r="C245" t="str">
            <v>Tim Keefe</v>
          </cell>
          <cell r="D245" t="str">
            <v>IT</v>
          </cell>
        </row>
        <row r="246">
          <cell r="A246" t="str">
            <v>933</v>
          </cell>
          <cell r="B246" t="str">
            <v>IT Applications Engineering</v>
          </cell>
          <cell r="C246" t="str">
            <v>Tim Keefe</v>
          </cell>
          <cell r="D246" t="str">
            <v>IT</v>
          </cell>
        </row>
        <row r="247">
          <cell r="A247" t="str">
            <v>934</v>
          </cell>
          <cell r="B247" t="str">
            <v>IT Operations-E. Coast &amp; EMEA</v>
          </cell>
          <cell r="C247" t="str">
            <v>Tim Keefe</v>
          </cell>
          <cell r="D247" t="str">
            <v>IT</v>
          </cell>
        </row>
        <row r="248">
          <cell r="A248" t="str">
            <v>936</v>
          </cell>
          <cell r="B248" t="str">
            <v>IT Operations-W. Coast &amp; APAC</v>
          </cell>
          <cell r="C248" t="str">
            <v>Tim Keefe</v>
          </cell>
          <cell r="D248" t="str">
            <v>IT</v>
          </cell>
        </row>
        <row r="249">
          <cell r="A249" t="str">
            <v>938</v>
          </cell>
          <cell r="B249" t="str">
            <v>IT Administration - CIO</v>
          </cell>
          <cell r="C249" t="str">
            <v>Tim Keefe</v>
          </cell>
          <cell r="D249" t="str">
            <v>IT</v>
          </cell>
        </row>
        <row r="250">
          <cell r="A250" t="str">
            <v>940</v>
          </cell>
          <cell r="B250" t="str">
            <v>IT Operations - Texas</v>
          </cell>
          <cell r="C250" t="str">
            <v>Tim Keefe</v>
          </cell>
          <cell r="D250" t="str">
            <v>IT</v>
          </cell>
        </row>
        <row r="251">
          <cell r="A251" t="str">
            <v>941</v>
          </cell>
          <cell r="B251" t="str">
            <v>eBS IT</v>
          </cell>
          <cell r="C251" t="str">
            <v>N/A</v>
          </cell>
          <cell r="D251" t="str">
            <v>IT</v>
          </cell>
        </row>
        <row r="252">
          <cell r="A252" t="str">
            <v>950</v>
          </cell>
          <cell r="B252" t="str">
            <v>Purchasing</v>
          </cell>
          <cell r="C252" t="str">
            <v>Jim Morgensen</v>
          </cell>
          <cell r="D252" t="str">
            <v>Facilities</v>
          </cell>
        </row>
        <row r="253">
          <cell r="A253" t="str">
            <v>951</v>
          </cell>
          <cell r="B253" t="str">
            <v>Travel Mgmt</v>
          </cell>
          <cell r="C253" t="str">
            <v>Jim Morgensen</v>
          </cell>
          <cell r="D253" t="str">
            <v>Facilities</v>
          </cell>
        </row>
        <row r="254">
          <cell r="A254" t="str">
            <v>952</v>
          </cell>
          <cell r="B254" t="str">
            <v>United Prop Operations</v>
          </cell>
          <cell r="C254" t="str">
            <v>Jim Morgensen</v>
          </cell>
          <cell r="D254" t="str">
            <v>Facilities</v>
          </cell>
        </row>
        <row r="255">
          <cell r="A255" t="str">
            <v>953</v>
          </cell>
          <cell r="B255" t="str">
            <v>Corporate Functions</v>
          </cell>
          <cell r="C255" t="str">
            <v>Jim Morgensen</v>
          </cell>
          <cell r="D255" t="str">
            <v>Facilities</v>
          </cell>
        </row>
        <row r="256">
          <cell r="A256" t="str">
            <v>954</v>
          </cell>
          <cell r="B256" t="str">
            <v>Strategy and Planning</v>
          </cell>
          <cell r="C256" t="str">
            <v>Jim Morgensen</v>
          </cell>
          <cell r="D256" t="str">
            <v>Facilities</v>
          </cell>
        </row>
        <row r="257">
          <cell r="A257" t="str">
            <v>955</v>
          </cell>
          <cell r="B257" t="str">
            <v>UP Manage Not Pay</v>
          </cell>
          <cell r="C257" t="str">
            <v>Jim Morgensen</v>
          </cell>
          <cell r="D257" t="str">
            <v>Facilities</v>
          </cell>
        </row>
      </sheetData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U Original"/>
      <sheetName val="BS IS CF Ltd"/>
      <sheetName val="Biossence Overhead"/>
      <sheetName val="Project Cost - Hooton Park"/>
      <sheetName val="Project Cost - New Projects"/>
      <sheetName val="Assumptions Ltd."/>
      <sheetName val="Ctrls per plant"/>
      <sheetName val="Scenarios"/>
      <sheetName val="Input"/>
      <sheetName val="At A Glance"/>
      <sheetName val="S&amp;U Modified"/>
      <sheetName val="Summary"/>
      <sheetName val="IS"/>
      <sheetName val="BS"/>
      <sheetName val="CFS"/>
      <sheetName val="Scen"/>
      <sheetName val="BIOS 1 ROC 75"/>
      <sheetName val="BIOS 2 ROC 75"/>
      <sheetName val="BIOS 1 ROC zero"/>
      <sheetName val="BIOS 2 ROC zero"/>
      <sheetName val="Consolidated incl BT"/>
      <sheetName val="reconciliation"/>
      <sheetName val="Vendor vs Buyer for IB"/>
      <sheetName val="result of the 2nd BT letter"/>
      <sheetName val="result of the 3rd BT letter"/>
      <sheetName val="NE figures on the 3rd BT letter"/>
      <sheetName val="NE sum_5 Jul"/>
      <sheetName val="summary from NE"/>
      <sheetName val="Consolidated incl BT_v14"/>
      <sheetName val="NO NGN - Down Case"/>
      <sheetName val="Debt"/>
      <sheetName val="GTS-CE with BT improvements"/>
      <sheetName val="Opcos Assumps&gt;&gt;"/>
      <sheetName val="Sum"/>
      <sheetName val="Scen_Novera"/>
      <sheetName val="Scen_Energis"/>
      <sheetName val="Scen_Datanet"/>
      <sheetName val="Scen_Nextra"/>
      <sheetName val="Scen_Telecom"/>
      <sheetName val="Opcos sum&gt;&gt;"/>
      <sheetName val="Sum_Novera"/>
      <sheetName val="Sum_Energis"/>
      <sheetName val="Sum_Datanet"/>
      <sheetName val="Sum_Nextra"/>
      <sheetName val="Sum_Telecom"/>
      <sheetName val="C&amp;D"/>
      <sheetName val="Return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L27">
            <v>4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 - reason"/>
      <sheetName val="CB - region"/>
      <sheetName val="Cumm - Region"/>
      <sheetName val="Data Oct_May"/>
      <sheetName val="Data by country"/>
      <sheetName val="Data Reason split"/>
      <sheetName val="Data I_D split"/>
      <sheetName val="all country codes"/>
      <sheetName val="Total Oct-Mar PL 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ad</v>
          </cell>
          <cell r="I1" t="str">
            <v>EUR</v>
          </cell>
        </row>
        <row r="2">
          <cell r="H2" t="str">
            <v>ae</v>
          </cell>
          <cell r="I2" t="str">
            <v>EUR</v>
          </cell>
        </row>
        <row r="3">
          <cell r="H3" t="str">
            <v>af</v>
          </cell>
          <cell r="I3" t="str">
            <v>APAC</v>
          </cell>
        </row>
        <row r="4">
          <cell r="H4" t="str">
            <v>ag</v>
          </cell>
          <cell r="I4" t="str">
            <v>LA</v>
          </cell>
        </row>
        <row r="5">
          <cell r="H5" t="str">
            <v>ai</v>
          </cell>
        </row>
        <row r="6">
          <cell r="H6" t="str">
            <v>al</v>
          </cell>
        </row>
        <row r="7">
          <cell r="H7" t="str">
            <v>am</v>
          </cell>
        </row>
        <row r="8">
          <cell r="H8" t="str">
            <v>an</v>
          </cell>
          <cell r="I8" t="str">
            <v>EUR</v>
          </cell>
        </row>
        <row r="9">
          <cell r="H9" t="str">
            <v>ao</v>
          </cell>
          <cell r="I9" t="str">
            <v>EUR</v>
          </cell>
        </row>
        <row r="10">
          <cell r="H10" t="str">
            <v>aq</v>
          </cell>
        </row>
        <row r="11">
          <cell r="H11" t="str">
            <v>ar</v>
          </cell>
          <cell r="I11" t="str">
            <v>LA</v>
          </cell>
        </row>
        <row r="12">
          <cell r="H12" t="str">
            <v>arpa</v>
          </cell>
        </row>
        <row r="13">
          <cell r="H13" t="str">
            <v>as</v>
          </cell>
        </row>
        <row r="14">
          <cell r="H14" t="str">
            <v>at</v>
          </cell>
          <cell r="I14" t="str">
            <v>EUR</v>
          </cell>
        </row>
        <row r="15">
          <cell r="H15" t="str">
            <v>au</v>
          </cell>
          <cell r="I15" t="str">
            <v>APAC</v>
          </cell>
        </row>
        <row r="16">
          <cell r="H16" t="str">
            <v>aw</v>
          </cell>
          <cell r="I16" t="str">
            <v>APAC</v>
          </cell>
        </row>
        <row r="17">
          <cell r="H17" t="str">
            <v>az</v>
          </cell>
        </row>
        <row r="18">
          <cell r="H18" t="str">
            <v>ba</v>
          </cell>
        </row>
        <row r="19">
          <cell r="H19" t="str">
            <v>bb</v>
          </cell>
          <cell r="I19" t="str">
            <v>APAC</v>
          </cell>
        </row>
        <row r="20">
          <cell r="H20" t="str">
            <v>bd</v>
          </cell>
          <cell r="I20" t="str">
            <v>apac</v>
          </cell>
        </row>
        <row r="21">
          <cell r="H21" t="str">
            <v>be</v>
          </cell>
          <cell r="I21" t="str">
            <v>EUR</v>
          </cell>
        </row>
        <row r="22">
          <cell r="H22" t="str">
            <v>bf</v>
          </cell>
        </row>
        <row r="23">
          <cell r="H23" t="str">
            <v>bg</v>
          </cell>
          <cell r="I23" t="str">
            <v>EUR</v>
          </cell>
        </row>
        <row r="24">
          <cell r="H24" t="str">
            <v>bh</v>
          </cell>
        </row>
        <row r="25">
          <cell r="H25" t="str">
            <v>bi</v>
          </cell>
        </row>
        <row r="26">
          <cell r="H26" t="str">
            <v>bj</v>
          </cell>
        </row>
        <row r="27">
          <cell r="H27" t="str">
            <v>bm</v>
          </cell>
        </row>
        <row r="28">
          <cell r="H28" t="str">
            <v>bn</v>
          </cell>
        </row>
        <row r="29">
          <cell r="H29" t="str">
            <v>bo</v>
          </cell>
          <cell r="I29" t="str">
            <v>LA</v>
          </cell>
        </row>
        <row r="30">
          <cell r="H30" t="str">
            <v>br</v>
          </cell>
          <cell r="I30" t="str">
            <v>LA</v>
          </cell>
        </row>
        <row r="31">
          <cell r="H31" t="str">
            <v>bs</v>
          </cell>
        </row>
        <row r="32">
          <cell r="H32" t="str">
            <v>bt</v>
          </cell>
        </row>
        <row r="33">
          <cell r="H33" t="str">
            <v>bv</v>
          </cell>
        </row>
        <row r="34">
          <cell r="H34" t="str">
            <v>bw</v>
          </cell>
        </row>
        <row r="35">
          <cell r="H35" t="str">
            <v>by</v>
          </cell>
        </row>
        <row r="36">
          <cell r="H36" t="str">
            <v>bz</v>
          </cell>
        </row>
        <row r="37">
          <cell r="H37" t="str">
            <v>ca</v>
          </cell>
          <cell r="I37" t="str">
            <v>NA</v>
          </cell>
        </row>
        <row r="38">
          <cell r="H38" t="str">
            <v>cc</v>
          </cell>
        </row>
        <row r="39">
          <cell r="H39" t="str">
            <v>cf</v>
          </cell>
        </row>
        <row r="40">
          <cell r="H40" t="str">
            <v>cd</v>
          </cell>
        </row>
        <row r="41">
          <cell r="H41" t="str">
            <v>cg</v>
          </cell>
        </row>
        <row r="42">
          <cell r="H42" t="str">
            <v>ch</v>
          </cell>
          <cell r="I42" t="str">
            <v>EUR</v>
          </cell>
        </row>
        <row r="43">
          <cell r="H43" t="str">
            <v>ci</v>
          </cell>
          <cell r="I43" t="str">
            <v>eur</v>
          </cell>
        </row>
        <row r="44">
          <cell r="H44" t="str">
            <v>ck</v>
          </cell>
        </row>
        <row r="45">
          <cell r="H45" t="str">
            <v>cl</v>
          </cell>
          <cell r="I45" t="str">
            <v>LA</v>
          </cell>
        </row>
        <row r="46">
          <cell r="H46" t="str">
            <v>cm</v>
          </cell>
        </row>
        <row r="47">
          <cell r="H47" t="str">
            <v>cn</v>
          </cell>
          <cell r="I47" t="str">
            <v>apac</v>
          </cell>
        </row>
        <row r="48">
          <cell r="H48" t="str">
            <v>co</v>
          </cell>
          <cell r="I48" t="str">
            <v>la</v>
          </cell>
        </row>
        <row r="49">
          <cell r="H49" t="str">
            <v>com</v>
          </cell>
        </row>
        <row r="50">
          <cell r="H50" t="str">
            <v>cr</v>
          </cell>
          <cell r="I50" t="str">
            <v>la</v>
          </cell>
        </row>
        <row r="51">
          <cell r="H51" t="str">
            <v>cs</v>
          </cell>
        </row>
        <row r="52">
          <cell r="H52" t="str">
            <v>cu</v>
          </cell>
          <cell r="I52" t="str">
            <v>la</v>
          </cell>
        </row>
        <row r="53">
          <cell r="H53" t="str">
            <v>cv</v>
          </cell>
        </row>
        <row r="54">
          <cell r="H54" t="str">
            <v>cx</v>
          </cell>
        </row>
        <row r="55">
          <cell r="H55" t="str">
            <v>cy</v>
          </cell>
          <cell r="I55" t="str">
            <v>eur</v>
          </cell>
        </row>
        <row r="56">
          <cell r="H56" t="str">
            <v>cz</v>
          </cell>
          <cell r="I56" t="str">
            <v>eur</v>
          </cell>
        </row>
        <row r="57">
          <cell r="H57" t="str">
            <v>de</v>
          </cell>
          <cell r="I57" t="str">
            <v>eur</v>
          </cell>
        </row>
        <row r="58">
          <cell r="H58" t="str">
            <v>dj</v>
          </cell>
        </row>
        <row r="59">
          <cell r="H59" t="str">
            <v>dk</v>
          </cell>
          <cell r="I59" t="str">
            <v>eur</v>
          </cell>
        </row>
        <row r="60">
          <cell r="H60" t="str">
            <v>dm</v>
          </cell>
        </row>
        <row r="61">
          <cell r="H61" t="str">
            <v>do</v>
          </cell>
          <cell r="I61" t="str">
            <v>la</v>
          </cell>
        </row>
        <row r="62">
          <cell r="H62" t="str">
            <v>dz</v>
          </cell>
          <cell r="I62" t="str">
            <v>eur</v>
          </cell>
        </row>
        <row r="63">
          <cell r="H63" t="str">
            <v>ec</v>
          </cell>
          <cell r="I63" t="str">
            <v>la</v>
          </cell>
        </row>
        <row r="64">
          <cell r="H64" t="str">
            <v>edu</v>
          </cell>
        </row>
        <row r="65">
          <cell r="H65" t="str">
            <v>ee</v>
          </cell>
        </row>
        <row r="66">
          <cell r="H66" t="str">
            <v>eg</v>
          </cell>
          <cell r="I66" t="str">
            <v>eur</v>
          </cell>
        </row>
        <row r="67">
          <cell r="H67" t="str">
            <v>eh</v>
          </cell>
        </row>
        <row r="68">
          <cell r="H68" t="str">
            <v>er</v>
          </cell>
        </row>
        <row r="69">
          <cell r="H69" t="str">
            <v>es</v>
          </cell>
          <cell r="I69" t="str">
            <v>eur</v>
          </cell>
        </row>
        <row r="70">
          <cell r="H70" t="str">
            <v>et</v>
          </cell>
          <cell r="I70" t="str">
            <v>eur</v>
          </cell>
        </row>
        <row r="71">
          <cell r="H71" t="str">
            <v>fi</v>
          </cell>
          <cell r="I71" t="str">
            <v>eur</v>
          </cell>
        </row>
        <row r="72">
          <cell r="H72" t="str">
            <v>fj</v>
          </cell>
        </row>
        <row r="73">
          <cell r="H73" t="str">
            <v>fk</v>
          </cell>
          <cell r="I73" t="str">
            <v>LA</v>
          </cell>
        </row>
        <row r="74">
          <cell r="H74" t="str">
            <v>fm</v>
          </cell>
          <cell r="I74" t="str">
            <v>APAC</v>
          </cell>
        </row>
        <row r="75">
          <cell r="H75" t="str">
            <v>fo</v>
          </cell>
        </row>
        <row r="76">
          <cell r="H76" t="str">
            <v>fr</v>
          </cell>
          <cell r="I76" t="str">
            <v>eur</v>
          </cell>
        </row>
        <row r="77">
          <cell r="H77" t="str">
            <v>fx</v>
          </cell>
          <cell r="I77" t="str">
            <v>eur</v>
          </cell>
        </row>
        <row r="78">
          <cell r="H78" t="str">
            <v>ga</v>
          </cell>
          <cell r="I78" t="str">
            <v>EUR</v>
          </cell>
        </row>
        <row r="79">
          <cell r="H79" t="str">
            <v>gb</v>
          </cell>
          <cell r="I79" t="str">
            <v>eur</v>
          </cell>
        </row>
        <row r="80">
          <cell r="H80" t="str">
            <v>gd</v>
          </cell>
          <cell r="I80" t="str">
            <v>la</v>
          </cell>
        </row>
        <row r="81">
          <cell r="H81" t="str">
            <v>ge</v>
          </cell>
          <cell r="I81" t="str">
            <v>eur</v>
          </cell>
        </row>
        <row r="82">
          <cell r="H82" t="str">
            <v>gf</v>
          </cell>
          <cell r="I82" t="str">
            <v xml:space="preserve">APAC </v>
          </cell>
        </row>
        <row r="83">
          <cell r="H83" t="str">
            <v>gh</v>
          </cell>
          <cell r="I83" t="str">
            <v>EUR</v>
          </cell>
        </row>
        <row r="84">
          <cell r="H84" t="str">
            <v>gi</v>
          </cell>
          <cell r="I84" t="str">
            <v>EUR</v>
          </cell>
        </row>
        <row r="85">
          <cell r="H85" t="str">
            <v>gl</v>
          </cell>
          <cell r="I85" t="str">
            <v>EUR</v>
          </cell>
        </row>
        <row r="86">
          <cell r="H86" t="str">
            <v>gm</v>
          </cell>
          <cell r="I86" t="str">
            <v>EUR</v>
          </cell>
        </row>
        <row r="87">
          <cell r="H87" t="str">
            <v>gn</v>
          </cell>
          <cell r="I87" t="str">
            <v>LA</v>
          </cell>
        </row>
        <row r="88">
          <cell r="H88" t="str">
            <v>gov</v>
          </cell>
        </row>
        <row r="89">
          <cell r="H89" t="str">
            <v>gp</v>
          </cell>
        </row>
        <row r="90">
          <cell r="H90" t="str">
            <v>gq</v>
          </cell>
          <cell r="I90" t="str">
            <v>apac</v>
          </cell>
        </row>
        <row r="91">
          <cell r="H91" t="str">
            <v>gr</v>
          </cell>
          <cell r="I91" t="str">
            <v>eur</v>
          </cell>
        </row>
        <row r="92">
          <cell r="H92" t="str">
            <v>gs</v>
          </cell>
          <cell r="I92" t="str">
            <v>APAC</v>
          </cell>
        </row>
        <row r="93">
          <cell r="H93" t="str">
            <v>gt</v>
          </cell>
          <cell r="I93" t="str">
            <v>la</v>
          </cell>
        </row>
        <row r="94">
          <cell r="H94" t="str">
            <v>gu</v>
          </cell>
        </row>
        <row r="95">
          <cell r="H95" t="str">
            <v>gw</v>
          </cell>
        </row>
        <row r="96">
          <cell r="H96" t="str">
            <v>gy</v>
          </cell>
          <cell r="I96" t="str">
            <v>APAC</v>
          </cell>
        </row>
        <row r="97">
          <cell r="H97" t="str">
            <v>hk</v>
          </cell>
          <cell r="I97" t="str">
            <v>apac</v>
          </cell>
        </row>
        <row r="98">
          <cell r="H98" t="str">
            <v>hm</v>
          </cell>
        </row>
        <row r="99">
          <cell r="H99" t="str">
            <v>hn</v>
          </cell>
          <cell r="I99" t="str">
            <v>la</v>
          </cell>
        </row>
        <row r="100">
          <cell r="H100" t="str">
            <v>hr</v>
          </cell>
          <cell r="I100" t="str">
            <v>eur</v>
          </cell>
        </row>
        <row r="101">
          <cell r="H101" t="str">
            <v>ht</v>
          </cell>
          <cell r="I101" t="str">
            <v>la</v>
          </cell>
        </row>
        <row r="102">
          <cell r="H102" t="str">
            <v>hu</v>
          </cell>
          <cell r="I102" t="str">
            <v>eur</v>
          </cell>
        </row>
        <row r="103">
          <cell r="H103" t="str">
            <v>id</v>
          </cell>
          <cell r="I103" t="str">
            <v>apac</v>
          </cell>
        </row>
        <row r="104">
          <cell r="H104" t="str">
            <v>ie</v>
          </cell>
          <cell r="I104" t="str">
            <v>eur</v>
          </cell>
        </row>
        <row r="105">
          <cell r="H105" t="str">
            <v>il</v>
          </cell>
          <cell r="I105" t="str">
            <v>eur</v>
          </cell>
        </row>
        <row r="106">
          <cell r="H106" t="str">
            <v>in</v>
          </cell>
          <cell r="I106" t="str">
            <v>apac</v>
          </cell>
        </row>
        <row r="107">
          <cell r="H107" t="str">
            <v>int</v>
          </cell>
        </row>
        <row r="108">
          <cell r="H108" t="str">
            <v>io</v>
          </cell>
        </row>
        <row r="109">
          <cell r="H109" t="str">
            <v>iq</v>
          </cell>
          <cell r="I109" t="str">
            <v>eur</v>
          </cell>
        </row>
        <row r="110">
          <cell r="H110" t="str">
            <v>ir</v>
          </cell>
          <cell r="I110" t="str">
            <v>eur</v>
          </cell>
        </row>
        <row r="111">
          <cell r="H111" t="str">
            <v>is</v>
          </cell>
          <cell r="I111" t="str">
            <v>eur</v>
          </cell>
        </row>
        <row r="112">
          <cell r="H112" t="str">
            <v>it</v>
          </cell>
          <cell r="I112" t="str">
            <v>eur</v>
          </cell>
        </row>
        <row r="113">
          <cell r="H113" t="str">
            <v>jm</v>
          </cell>
          <cell r="I113" t="str">
            <v>la</v>
          </cell>
        </row>
        <row r="114">
          <cell r="H114" t="str">
            <v>jo</v>
          </cell>
          <cell r="I114" t="str">
            <v>eur</v>
          </cell>
        </row>
        <row r="115">
          <cell r="H115" t="str">
            <v>jp</v>
          </cell>
          <cell r="I115" t="str">
            <v>JPN</v>
          </cell>
        </row>
        <row r="116">
          <cell r="H116" t="str">
            <v>ke</v>
          </cell>
          <cell r="I116" t="str">
            <v>eur</v>
          </cell>
        </row>
        <row r="117">
          <cell r="H117" t="str">
            <v>kg</v>
          </cell>
        </row>
        <row r="118">
          <cell r="H118" t="str">
            <v>kh</v>
          </cell>
          <cell r="I118" t="str">
            <v>apac</v>
          </cell>
        </row>
        <row r="119">
          <cell r="H119" t="str">
            <v>ki</v>
          </cell>
        </row>
        <row r="120">
          <cell r="H120" t="str">
            <v>km</v>
          </cell>
        </row>
        <row r="121">
          <cell r="H121" t="str">
            <v>kn</v>
          </cell>
        </row>
        <row r="122">
          <cell r="H122" t="str">
            <v>kp</v>
          </cell>
          <cell r="I122" t="str">
            <v>apac</v>
          </cell>
        </row>
        <row r="123">
          <cell r="H123" t="str">
            <v>kr</v>
          </cell>
          <cell r="I123" t="str">
            <v>apac</v>
          </cell>
        </row>
        <row r="124">
          <cell r="H124" t="str">
            <v>kw</v>
          </cell>
          <cell r="I124" t="str">
            <v>eur</v>
          </cell>
        </row>
        <row r="125">
          <cell r="H125" t="str">
            <v>ky</v>
          </cell>
          <cell r="I125" t="str">
            <v>la</v>
          </cell>
        </row>
        <row r="126">
          <cell r="H126" t="str">
            <v>kz</v>
          </cell>
        </row>
        <row r="127">
          <cell r="H127" t="str">
            <v>la</v>
          </cell>
          <cell r="I127" t="str">
            <v>apac</v>
          </cell>
        </row>
        <row r="128">
          <cell r="H128" t="str">
            <v>lb</v>
          </cell>
          <cell r="I128" t="str">
            <v>eur</v>
          </cell>
        </row>
        <row r="129">
          <cell r="H129" t="str">
            <v>lc</v>
          </cell>
        </row>
        <row r="130">
          <cell r="H130" t="str">
            <v>li</v>
          </cell>
          <cell r="I130" t="str">
            <v>eur</v>
          </cell>
        </row>
        <row r="131">
          <cell r="H131" t="str">
            <v>lk</v>
          </cell>
          <cell r="I131" t="str">
            <v>apac</v>
          </cell>
        </row>
        <row r="132">
          <cell r="H132" t="str">
            <v>lr</v>
          </cell>
        </row>
        <row r="133">
          <cell r="H133" t="str">
            <v>ls</v>
          </cell>
        </row>
        <row r="134">
          <cell r="H134" t="str">
            <v>lt</v>
          </cell>
          <cell r="I134" t="str">
            <v>eur</v>
          </cell>
        </row>
        <row r="135">
          <cell r="H135" t="str">
            <v>lu</v>
          </cell>
          <cell r="I135" t="str">
            <v>eur</v>
          </cell>
        </row>
        <row r="136">
          <cell r="H136" t="str">
            <v>lv</v>
          </cell>
        </row>
        <row r="137">
          <cell r="H137" t="str">
            <v>ly</v>
          </cell>
          <cell r="I137" t="str">
            <v>eur</v>
          </cell>
        </row>
        <row r="138">
          <cell r="H138" t="str">
            <v>ma</v>
          </cell>
          <cell r="I138" t="str">
            <v>eur</v>
          </cell>
        </row>
        <row r="139">
          <cell r="H139" t="str">
            <v>mc</v>
          </cell>
          <cell r="I139" t="str">
            <v>eur</v>
          </cell>
        </row>
        <row r="140">
          <cell r="H140" t="str">
            <v>md</v>
          </cell>
        </row>
        <row r="141">
          <cell r="H141" t="str">
            <v>mg</v>
          </cell>
        </row>
        <row r="142">
          <cell r="H142" t="str">
            <v>mh</v>
          </cell>
        </row>
        <row r="143">
          <cell r="H143" t="str">
            <v>mil</v>
          </cell>
        </row>
        <row r="144">
          <cell r="H144" t="str">
            <v>mk</v>
          </cell>
        </row>
        <row r="145">
          <cell r="H145" t="str">
            <v>ml</v>
          </cell>
        </row>
        <row r="146">
          <cell r="H146" t="str">
            <v>mm</v>
          </cell>
        </row>
        <row r="147">
          <cell r="H147" t="str">
            <v>mn</v>
          </cell>
          <cell r="I147" t="str">
            <v>apac</v>
          </cell>
        </row>
        <row r="148">
          <cell r="H148" t="str">
            <v>mo</v>
          </cell>
        </row>
        <row r="149">
          <cell r="H149" t="str">
            <v>mp</v>
          </cell>
        </row>
        <row r="150">
          <cell r="H150" t="str">
            <v>mq</v>
          </cell>
        </row>
        <row r="151">
          <cell r="H151" t="str">
            <v>mr</v>
          </cell>
        </row>
        <row r="152">
          <cell r="H152" t="str">
            <v>ms</v>
          </cell>
        </row>
        <row r="153">
          <cell r="H153" t="str">
            <v>mt</v>
          </cell>
        </row>
        <row r="154">
          <cell r="H154" t="str">
            <v>mu</v>
          </cell>
        </row>
        <row r="155">
          <cell r="H155" t="str">
            <v>mv</v>
          </cell>
        </row>
        <row r="156">
          <cell r="H156" t="str">
            <v>mw</v>
          </cell>
        </row>
        <row r="157">
          <cell r="H157" t="str">
            <v>mx</v>
          </cell>
          <cell r="I157" t="str">
            <v>la</v>
          </cell>
        </row>
        <row r="158">
          <cell r="H158" t="str">
            <v>my</v>
          </cell>
          <cell r="I158" t="str">
            <v>apac</v>
          </cell>
        </row>
        <row r="159">
          <cell r="H159" t="str">
            <v>mz</v>
          </cell>
        </row>
        <row r="160">
          <cell r="H160" t="str">
            <v>na</v>
          </cell>
        </row>
        <row r="161">
          <cell r="H161" t="str">
            <v>nato</v>
          </cell>
        </row>
        <row r="162">
          <cell r="H162" t="str">
            <v>nc</v>
          </cell>
        </row>
        <row r="163">
          <cell r="H163" t="str">
            <v>ne</v>
          </cell>
          <cell r="I163" t="str">
            <v>eur</v>
          </cell>
        </row>
        <row r="164">
          <cell r="H164" t="str">
            <v>net</v>
          </cell>
        </row>
        <row r="165">
          <cell r="H165" t="str">
            <v>nf</v>
          </cell>
        </row>
        <row r="166">
          <cell r="H166" t="str">
            <v>ng</v>
          </cell>
          <cell r="I166" t="str">
            <v>eur</v>
          </cell>
        </row>
        <row r="167">
          <cell r="H167" t="str">
            <v>ni</v>
          </cell>
          <cell r="I167" t="str">
            <v>la</v>
          </cell>
        </row>
        <row r="168">
          <cell r="H168" t="str">
            <v>nl</v>
          </cell>
          <cell r="I168" t="str">
            <v>eur</v>
          </cell>
        </row>
        <row r="169">
          <cell r="H169" t="str">
            <v>no</v>
          </cell>
          <cell r="I169" t="str">
            <v>eur</v>
          </cell>
        </row>
        <row r="170">
          <cell r="H170" t="str">
            <v>np</v>
          </cell>
          <cell r="I170" t="str">
            <v>apac</v>
          </cell>
        </row>
        <row r="171">
          <cell r="H171" t="str">
            <v>nr</v>
          </cell>
        </row>
        <row r="172">
          <cell r="H172" t="str">
            <v>nt</v>
          </cell>
        </row>
        <row r="173">
          <cell r="H173" t="str">
            <v>nu</v>
          </cell>
        </row>
        <row r="174">
          <cell r="H174" t="str">
            <v>nz</v>
          </cell>
          <cell r="I174" t="str">
            <v>apac</v>
          </cell>
        </row>
        <row r="175">
          <cell r="H175" t="str">
            <v>om</v>
          </cell>
        </row>
        <row r="176">
          <cell r="H176" t="str">
            <v>org</v>
          </cell>
        </row>
        <row r="177">
          <cell r="H177" t="str">
            <v>pa</v>
          </cell>
          <cell r="I177" t="str">
            <v>la</v>
          </cell>
        </row>
        <row r="178">
          <cell r="H178" t="str">
            <v>pe</v>
          </cell>
          <cell r="I178" t="str">
            <v>la</v>
          </cell>
        </row>
        <row r="179">
          <cell r="H179" t="str">
            <v>pf</v>
          </cell>
          <cell r="I179" t="str">
            <v>apac</v>
          </cell>
        </row>
        <row r="180">
          <cell r="H180" t="str">
            <v>pg</v>
          </cell>
          <cell r="I180" t="str">
            <v>apac</v>
          </cell>
        </row>
        <row r="181">
          <cell r="H181" t="str">
            <v>ph</v>
          </cell>
          <cell r="I181" t="str">
            <v>apac</v>
          </cell>
        </row>
        <row r="182">
          <cell r="H182" t="str">
            <v>pk</v>
          </cell>
          <cell r="I182" t="str">
            <v>apac</v>
          </cell>
        </row>
        <row r="183">
          <cell r="H183" t="str">
            <v>pl</v>
          </cell>
          <cell r="I183" t="str">
            <v>eur</v>
          </cell>
        </row>
        <row r="184">
          <cell r="H184" t="str">
            <v>pm</v>
          </cell>
          <cell r="I184" t="str">
            <v>apac</v>
          </cell>
        </row>
        <row r="185">
          <cell r="H185" t="str">
            <v>pn</v>
          </cell>
        </row>
        <row r="186">
          <cell r="H186" t="str">
            <v>pr</v>
          </cell>
          <cell r="I186" t="str">
            <v>la</v>
          </cell>
        </row>
        <row r="187">
          <cell r="H187" t="str">
            <v>pt</v>
          </cell>
          <cell r="I187" t="str">
            <v>eur</v>
          </cell>
        </row>
        <row r="188">
          <cell r="H188" t="str">
            <v>pw</v>
          </cell>
        </row>
        <row r="189">
          <cell r="H189" t="str">
            <v>py</v>
          </cell>
          <cell r="I189" t="str">
            <v>la</v>
          </cell>
        </row>
        <row r="190">
          <cell r="H190" t="str">
            <v>qa</v>
          </cell>
        </row>
        <row r="191">
          <cell r="H191" t="str">
            <v>re</v>
          </cell>
        </row>
        <row r="192">
          <cell r="H192" t="str">
            <v>ro</v>
          </cell>
          <cell r="I192" t="str">
            <v>eur</v>
          </cell>
        </row>
        <row r="193">
          <cell r="H193" t="str">
            <v>ru</v>
          </cell>
          <cell r="I193" t="str">
            <v>eur</v>
          </cell>
        </row>
        <row r="194">
          <cell r="H194" t="str">
            <v>rw</v>
          </cell>
          <cell r="I194" t="str">
            <v>eur</v>
          </cell>
        </row>
        <row r="195">
          <cell r="H195" t="str">
            <v>sa</v>
          </cell>
          <cell r="I195" t="str">
            <v>eur</v>
          </cell>
        </row>
        <row r="196">
          <cell r="H196" t="str">
            <v>sb</v>
          </cell>
        </row>
        <row r="197">
          <cell r="H197" t="str">
            <v>sc</v>
          </cell>
        </row>
        <row r="198">
          <cell r="H198" t="str">
            <v>sd</v>
          </cell>
        </row>
        <row r="199">
          <cell r="H199" t="str">
            <v>se</v>
          </cell>
          <cell r="I199" t="str">
            <v>eur</v>
          </cell>
        </row>
        <row r="200">
          <cell r="H200" t="str">
            <v>sg</v>
          </cell>
          <cell r="I200" t="str">
            <v>Apac</v>
          </cell>
        </row>
        <row r="201">
          <cell r="H201" t="str">
            <v>sh</v>
          </cell>
        </row>
        <row r="202">
          <cell r="H202" t="str">
            <v>si</v>
          </cell>
        </row>
        <row r="203">
          <cell r="H203" t="str">
            <v>sj</v>
          </cell>
        </row>
        <row r="204">
          <cell r="H204" t="str">
            <v>sk</v>
          </cell>
        </row>
        <row r="205">
          <cell r="H205" t="str">
            <v>sl</v>
          </cell>
        </row>
        <row r="206">
          <cell r="H206" t="str">
            <v>sm</v>
          </cell>
        </row>
        <row r="207">
          <cell r="H207" t="str">
            <v>sn</v>
          </cell>
        </row>
        <row r="208">
          <cell r="H208" t="str">
            <v>so</v>
          </cell>
        </row>
        <row r="209">
          <cell r="H209" t="str">
            <v>sr</v>
          </cell>
        </row>
        <row r="210">
          <cell r="H210" t="str">
            <v>st</v>
          </cell>
        </row>
        <row r="211">
          <cell r="H211" t="str">
            <v>su</v>
          </cell>
        </row>
        <row r="212">
          <cell r="H212" t="str">
            <v>sv</v>
          </cell>
        </row>
        <row r="213">
          <cell r="H213" t="str">
            <v>sy</v>
          </cell>
        </row>
        <row r="214">
          <cell r="H214" t="str">
            <v>sz</v>
          </cell>
        </row>
        <row r="215">
          <cell r="H215" t="str">
            <v>tc</v>
          </cell>
        </row>
        <row r="216">
          <cell r="H216" t="str">
            <v>td</v>
          </cell>
          <cell r="I216" t="str">
            <v>EUR</v>
          </cell>
        </row>
        <row r="217">
          <cell r="H217" t="str">
            <v>tf</v>
          </cell>
        </row>
        <row r="218">
          <cell r="H218" t="str">
            <v>tg</v>
          </cell>
        </row>
        <row r="219">
          <cell r="H219" t="str">
            <v>th</v>
          </cell>
          <cell r="I219" t="str">
            <v>APac</v>
          </cell>
        </row>
        <row r="220">
          <cell r="H220" t="str">
            <v>tj</v>
          </cell>
        </row>
        <row r="221">
          <cell r="H221" t="str">
            <v>tk</v>
          </cell>
        </row>
        <row r="222">
          <cell r="H222" t="str">
            <v>tm</v>
          </cell>
        </row>
        <row r="223">
          <cell r="H223" t="str">
            <v>tn</v>
          </cell>
        </row>
        <row r="224">
          <cell r="H224" t="str">
            <v>to</v>
          </cell>
          <cell r="I224" t="str">
            <v>apac</v>
          </cell>
        </row>
        <row r="225">
          <cell r="H225" t="str">
            <v>tp</v>
          </cell>
        </row>
        <row r="226">
          <cell r="H226" t="str">
            <v>tr</v>
          </cell>
          <cell r="I226" t="str">
            <v>eur</v>
          </cell>
        </row>
        <row r="227">
          <cell r="H227" t="str">
            <v>tt</v>
          </cell>
          <cell r="I227" t="str">
            <v>apac</v>
          </cell>
        </row>
        <row r="228">
          <cell r="H228" t="str">
            <v>tv</v>
          </cell>
        </row>
        <row r="229">
          <cell r="H229" t="str">
            <v>tw</v>
          </cell>
          <cell r="I229" t="str">
            <v>Apac</v>
          </cell>
        </row>
        <row r="230">
          <cell r="H230" t="str">
            <v>tz</v>
          </cell>
          <cell r="I230" t="str">
            <v>EUR</v>
          </cell>
        </row>
        <row r="231">
          <cell r="H231" t="str">
            <v>ua</v>
          </cell>
          <cell r="I231" t="str">
            <v>EUR</v>
          </cell>
        </row>
        <row r="232">
          <cell r="H232" t="str">
            <v>ug</v>
          </cell>
          <cell r="I232" t="str">
            <v>EUR</v>
          </cell>
        </row>
        <row r="233">
          <cell r="H233" t="str">
            <v>uk</v>
          </cell>
          <cell r="I233" t="str">
            <v>eur</v>
          </cell>
        </row>
        <row r="234">
          <cell r="H234" t="str">
            <v>um</v>
          </cell>
          <cell r="I234" t="str">
            <v>na</v>
          </cell>
        </row>
        <row r="235">
          <cell r="H235" t="str">
            <v>us</v>
          </cell>
          <cell r="I235" t="str">
            <v>na</v>
          </cell>
        </row>
        <row r="236">
          <cell r="H236" t="str">
            <v>uy</v>
          </cell>
          <cell r="I236" t="str">
            <v>la</v>
          </cell>
        </row>
        <row r="237">
          <cell r="H237" t="str">
            <v>uz</v>
          </cell>
        </row>
        <row r="238">
          <cell r="H238" t="str">
            <v>va</v>
          </cell>
          <cell r="I238" t="str">
            <v>eur</v>
          </cell>
        </row>
        <row r="239">
          <cell r="H239" t="str">
            <v>vc</v>
          </cell>
        </row>
        <row r="240">
          <cell r="H240" t="str">
            <v>ve</v>
          </cell>
          <cell r="I240" t="str">
            <v>la</v>
          </cell>
        </row>
        <row r="241">
          <cell r="H241" t="str">
            <v>vg</v>
          </cell>
          <cell r="I241" t="str">
            <v>APAC</v>
          </cell>
        </row>
        <row r="242">
          <cell r="H242" t="str">
            <v>vi</v>
          </cell>
          <cell r="I242" t="str">
            <v>APAC</v>
          </cell>
        </row>
        <row r="243">
          <cell r="H243" t="str">
            <v>vn</v>
          </cell>
          <cell r="I243" t="str">
            <v>APAC</v>
          </cell>
        </row>
        <row r="244">
          <cell r="H244" t="str">
            <v>vu</v>
          </cell>
          <cell r="I244" t="str">
            <v>APAC</v>
          </cell>
        </row>
        <row r="245">
          <cell r="H245" t="str">
            <v>wf</v>
          </cell>
        </row>
        <row r="246">
          <cell r="H246" t="str">
            <v>ws</v>
          </cell>
          <cell r="I246" t="str">
            <v>APAC</v>
          </cell>
        </row>
        <row r="247">
          <cell r="H247" t="str">
            <v>ye</v>
          </cell>
          <cell r="I247" t="str">
            <v>EUR</v>
          </cell>
        </row>
        <row r="248">
          <cell r="H248" t="str">
            <v>yt</v>
          </cell>
          <cell r="I248" t="str">
            <v>EUR</v>
          </cell>
        </row>
        <row r="249">
          <cell r="H249" t="str">
            <v>yu</v>
          </cell>
          <cell r="I249" t="str">
            <v>EUR</v>
          </cell>
        </row>
        <row r="250">
          <cell r="H250" t="str">
            <v>za</v>
          </cell>
          <cell r="I250" t="str">
            <v>EUR</v>
          </cell>
        </row>
        <row r="251">
          <cell r="H251" t="str">
            <v>zm</v>
          </cell>
          <cell r="I251" t="str">
            <v>EUR</v>
          </cell>
        </row>
        <row r="252">
          <cell r="H252" t="str">
            <v>zr</v>
          </cell>
          <cell r="I252" t="str">
            <v>EUR</v>
          </cell>
        </row>
        <row r="253">
          <cell r="H253" t="str">
            <v>zw</v>
          </cell>
          <cell r="I253" t="str">
            <v>EUR</v>
          </cell>
        </row>
      </sheetData>
      <sheetData sheetId="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chedule"/>
      <sheetName val="debt-sugar"/>
      <sheetName val="debt -tyres"/>
      <sheetName val="debt - Corp"/>
      <sheetName val="debt-IDBI"/>
      <sheetName val="debt -ICICI"/>
      <sheetName val="debt -IFCI"/>
      <sheetName val="debt-SBI"/>
      <sheetName val="debt schedule - JKDPL"/>
      <sheetName val="debt schedule-tyres"/>
      <sheetName val="debt schedule -sugar"/>
      <sheetName val="debt schedule - Corpo"/>
      <sheetName val="P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 2013"/>
      <sheetName val="données 2"/>
      <sheetName val="coeft"/>
    </sheetNames>
    <sheetDataSet>
      <sheetData sheetId="0"/>
      <sheetData sheetId="1">
        <row r="2">
          <cell r="C2" t="str">
            <v>Risk nature</v>
          </cell>
        </row>
        <row r="3">
          <cell r="C3" t="str">
            <v>Financial failure of the Client (Payment failure)</v>
          </cell>
        </row>
        <row r="4">
          <cell r="C4" t="str">
            <v>Financial failure of the Supplier (Failure to deliver)</v>
          </cell>
        </row>
        <row r="5">
          <cell r="C5" t="str">
            <v>Financial failure of the Partner (Payment failure)</v>
          </cell>
        </row>
        <row r="6">
          <cell r="C6" t="str">
            <v>Tax adjustement</v>
          </cell>
        </row>
        <row r="7">
          <cell r="C7" t="str">
            <v>Financing cost</v>
          </cell>
        </row>
        <row r="8">
          <cell r="C8" t="str">
            <v>Financial instruments</v>
          </cell>
        </row>
        <row r="9">
          <cell r="C9" t="str">
            <v>Efficiency of the tariff revision formula</v>
          </cell>
        </row>
        <row r="10">
          <cell r="C10" t="str">
            <v>Variation of tariff in line with the budget</v>
          </cell>
        </row>
        <row r="11">
          <cell r="C11" t="str">
            <v>Impact on remuneration of a variation of volumes produced or distributed</v>
          </cell>
        </row>
        <row r="12">
          <cell r="C12" t="str">
            <v>Delays</v>
          </cell>
        </row>
        <row r="13">
          <cell r="C13" t="str">
            <v>Overcosts</v>
          </cell>
        </row>
        <row r="14">
          <cell r="C14" t="str">
            <v>Cost of supplies</v>
          </cell>
        </row>
        <row r="15">
          <cell r="C15" t="str">
            <v>Cost of labor force</v>
          </cell>
        </row>
        <row r="16">
          <cell r="C16" t="str">
            <v>Volumes (of production factors)</v>
          </cell>
        </row>
        <row r="17">
          <cell r="C17" t="str">
            <v>Economic risk on maintenance supported by the Operator</v>
          </cell>
        </row>
        <row r="18">
          <cell r="C18" t="str">
            <v>No renewal of contract  (at CGU level only) /  breach of contract (closing-down of the Client activity or site)</v>
          </cell>
        </row>
        <row r="19">
          <cell r="C19" t="str">
            <v>Expected projects</v>
          </cell>
        </row>
        <row r="20">
          <cell r="C20" t="str">
            <v>"Fitness for use"Contractual commitments not fulfilled which results in a penalty  or a bonus</v>
          </cell>
        </row>
        <row r="21">
          <cell r="C21" t="str">
            <v>"Conformance to standards"Risk of overcosts or savings resulting from the obligation to meet standards</v>
          </cell>
        </row>
        <row r="22">
          <cell r="C22" t="str">
            <v>Availibility of supplies</v>
          </cell>
        </row>
        <row r="23">
          <cell r="C23" t="str">
            <v>Natural disaster / damaged caused by external factors</v>
          </cell>
        </row>
        <row r="24">
          <cell r="C24" t="str">
            <v>Property plant and/or equipment failures</v>
          </cell>
        </row>
        <row r="25">
          <cell r="C25" t="str">
            <v>Human errors (internal)</v>
          </cell>
        </row>
        <row r="26">
          <cell r="C26" t="str">
            <v>Malicious mischief / terrorism</v>
          </cell>
        </row>
        <row r="27">
          <cell r="C27" t="str">
            <v>Inexistence / unsuitability of procedures and active - passive safety devices</v>
          </cell>
        </row>
        <row r="28">
          <cell r="C28" t="str">
            <v>Non effective procedures</v>
          </cell>
        </row>
        <row r="29">
          <cell r="C29" t="str">
            <v>Strikes</v>
          </cell>
        </row>
        <row r="30">
          <cell r="C30" t="str">
            <v>Absenteeism</v>
          </cell>
        </row>
        <row r="31">
          <cell r="C31" t="str">
            <v>Turnover</v>
          </cell>
        </row>
        <row r="32">
          <cell r="C32" t="str">
            <v>Availability of expertise</v>
          </cell>
        </row>
        <row r="33">
          <cell r="C33" t="str">
            <v>Generated pollution</v>
          </cell>
        </row>
        <row r="34">
          <cell r="C34" t="str">
            <v>Failure in meter-reading, billing or payables services</v>
          </cell>
        </row>
        <row r="35">
          <cell r="C35" t="str">
            <v>ICOFR (Internal Control Over Financial Reporting)</v>
          </cell>
        </row>
        <row r="36">
          <cell r="C36" t="str">
            <v>Internal</v>
          </cell>
        </row>
        <row r="37">
          <cell r="C37" t="str">
            <v>External</v>
          </cell>
        </row>
        <row r="38">
          <cell r="C38" t="str">
            <v>Regulation changes</v>
          </cell>
        </row>
        <row r="39">
          <cell r="C39" t="str">
            <v>Contractual</v>
          </cell>
        </row>
        <row r="40">
          <cell r="C40" t="str">
            <v>Fulfillement of contractual obligations toward our partners (given or received)</v>
          </cell>
        </row>
        <row r="41">
          <cell r="C41" t="str">
            <v>Interpretation</v>
          </cell>
        </row>
        <row r="42">
          <cell r="C42" t="str">
            <v>Discrimination</v>
          </cell>
        </row>
        <row r="43">
          <cell r="C43" t="str">
            <v>Veolia responsibility of Veolia towards his shareholdersLoss of value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OC (2)"/>
      <sheetName val="01"/>
      <sheetName val="02"/>
      <sheetName val="03"/>
      <sheetName val="04"/>
      <sheetName val="05"/>
      <sheetName val="06"/>
      <sheetName val="07"/>
      <sheetName val="08"/>
      <sheetName val="09"/>
      <sheetName val="11"/>
      <sheetName val="12"/>
    </sheetNames>
    <sheetDataSet>
      <sheetData sheetId="0"/>
      <sheetData sheetId="1">
        <row r="31">
          <cell r="F31">
            <v>3085245.4764546664</v>
          </cell>
        </row>
      </sheetData>
      <sheetData sheetId="2">
        <row r="25">
          <cell r="F25">
            <v>519949919.14233339</v>
          </cell>
        </row>
      </sheetData>
      <sheetData sheetId="3">
        <row r="24">
          <cell r="F24">
            <v>584092397.74952257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wise (2) Lac "/>
      <sheetName val="Main lac"/>
      <sheetName val="Main"/>
      <sheetName val="HO &amp; Works"/>
      <sheetName val="Quarterwise"/>
      <sheetName val="Share Div"/>
      <sheetName val="S Receipts"/>
      <sheetName val="S Receipt HO"/>
      <sheetName val="Software Services"/>
      <sheetName val="Sheet1"/>
      <sheetName val="570001"/>
      <sheetName val="5607120"/>
      <sheetName val="Exch-diff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Revenue Variance"/>
      <sheetName val="Variances by Analyst"/>
      <sheetName val="Q2 Forecast"/>
      <sheetName val="Forecast And Actuals"/>
      <sheetName val="Forecast Form"/>
      <sheetName val="Significant Assumptions"/>
    </sheetNames>
    <sheetDataSet>
      <sheetData sheetId="0"/>
      <sheetData sheetId="1" refreshError="1"/>
      <sheetData sheetId="2" refreshError="1"/>
      <sheetData sheetId="3"/>
      <sheetData sheetId="4"/>
      <sheetData sheetId="5">
        <row r="8">
          <cell r="G8" t="str">
            <v>Analyst</v>
          </cell>
        </row>
        <row r="9">
          <cell r="G9" t="str">
            <v>slarrimer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debt schedule"/>
      <sheetName val="PL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1">
          <cell r="E1" t="str">
            <v>Cap.date</v>
          </cell>
          <cell r="F1" t="str">
            <v xml:space="preserve">  APC FY start</v>
          </cell>
          <cell r="G1" t="str">
            <v xml:space="preserve">   Acquisition</v>
          </cell>
          <cell r="H1" t="str">
            <v xml:space="preserve">    Retirement</v>
          </cell>
          <cell r="I1" t="str">
            <v xml:space="preserve">      Transfer</v>
          </cell>
          <cell r="J1" t="str">
            <v xml:space="preserve"> Post-capital.</v>
          </cell>
          <cell r="K1" t="str">
            <v xml:space="preserve">   Current APC</v>
          </cell>
          <cell r="L1" t="str">
            <v xml:space="preserve"> Dep. FY start</v>
          </cell>
          <cell r="M1" t="str">
            <v xml:space="preserve"> Dep. for year</v>
          </cell>
          <cell r="N1" t="str">
            <v xml:space="preserve">    Dep.retir.</v>
          </cell>
          <cell r="O1" t="str">
            <v xml:space="preserve">  Dep.transfer</v>
          </cell>
          <cell r="P1" t="str">
            <v xml:space="preserve"> Dep.post-cap.</v>
          </cell>
          <cell r="Q1" t="str">
            <v xml:space="preserve"> Accumul. dep.</v>
          </cell>
          <cell r="R1" t="str">
            <v>Bk.val.FY strt</v>
          </cell>
          <cell r="S1" t="str">
            <v xml:space="preserve">  Curr.bk.val.</v>
          </cell>
        </row>
      </sheetData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Temporary"/>
      <sheetName val="Sheet2"/>
      <sheetName val="Sheet3"/>
      <sheetName val="REPORT Bak (2)"/>
      <sheetName val="Reasons of Low Prodn"/>
      <sheetName val="Remarks"/>
      <sheetName val="REPORT Bak"/>
      <sheetName val="DataSheet"/>
      <sheetName val="Moisture"/>
      <sheetName val="CPP"/>
      <sheetName val="DG Set"/>
      <sheetName val="Chem Comp"/>
      <sheetName val="Sheet4"/>
      <sheetName val="Sheet5"/>
      <sheetName val=" Coke Consumption"/>
      <sheetName val="Production"/>
      <sheetName val="LMWGHT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6">
          <cell r="BV36">
            <v>6378</v>
          </cell>
        </row>
      </sheetData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Investment (2)"/>
      <sheetName val="Investment"/>
      <sheetName val="DRI (300t) investment"/>
      <sheetName val="350 MBF investment"/>
      <sheetName val="SMS investment"/>
      <sheetName val="SMS ph-1"/>
      <sheetName val="Mobile equipment"/>
      <sheetName val=" 45t EAF"/>
      <sheetName val="Land requirement"/>
      <sheetName val="pay-back"/>
      <sheetName val="pay-back (1)"/>
      <sheetName val="TMT bar"/>
      <sheetName val="Billet cost"/>
      <sheetName val="MBF cost"/>
      <sheetName val="S Iron Op cost "/>
      <sheetName val="Sheet1"/>
      <sheetName val="Own Coke cost"/>
      <sheetName val="Manpower"/>
      <sheetName val="LAND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INVESTMENT ON STEEL MELTING SHOP</v>
          </cell>
        </row>
        <row r="2">
          <cell r="A2" t="str">
            <v>7.5 Lac tpa Steel</v>
          </cell>
          <cell r="D2" t="str">
            <v>Cost (in Lakhs)</v>
          </cell>
        </row>
        <row r="3">
          <cell r="A3" t="str">
            <v>15 t Induction Furnace Route</v>
          </cell>
          <cell r="D3" t="str">
            <v>Ph-1</v>
          </cell>
        </row>
        <row r="4">
          <cell r="E4" t="str">
            <v>2.5L tpa</v>
          </cell>
        </row>
        <row r="5">
          <cell r="A5" t="str">
            <v>Item</v>
          </cell>
          <cell r="B5" t="str">
            <v>UOM</v>
          </cell>
          <cell r="C5" t="str">
            <v xml:space="preserve">Rate </v>
          </cell>
          <cell r="D5" t="str">
            <v>Unit</v>
          </cell>
          <cell r="E5" t="str">
            <v>Cost</v>
          </cell>
        </row>
        <row r="6">
          <cell r="A6" t="str">
            <v>Induction furnace 12t / 6000KW</v>
          </cell>
          <cell r="B6" t="str">
            <v>Rs. Lakhs / IF</v>
          </cell>
          <cell r="C6">
            <v>200</v>
          </cell>
          <cell r="D6">
            <v>8</v>
          </cell>
          <cell r="E6">
            <v>1600</v>
          </cell>
        </row>
        <row r="7">
          <cell r="A7" t="str">
            <v>Ladle Furnace 20t/4MVA - 2+4</v>
          </cell>
          <cell r="B7" t="str">
            <v>Rs. Lakhs / LRF</v>
          </cell>
          <cell r="C7">
            <v>200</v>
          </cell>
          <cell r="D7">
            <v>2</v>
          </cell>
          <cell r="E7">
            <v>400</v>
          </cell>
        </row>
        <row r="8">
          <cell r="A8" t="str">
            <v>Solid Charge Feeding system</v>
          </cell>
          <cell r="B8" t="str">
            <v>Rs. Lakhs / system</v>
          </cell>
          <cell r="C8">
            <v>40</v>
          </cell>
          <cell r="D8">
            <v>1</v>
          </cell>
          <cell r="E8">
            <v>40</v>
          </cell>
        </row>
        <row r="9">
          <cell r="A9" t="str">
            <v>Wire feeding FAFA, ladle car</v>
          </cell>
          <cell r="C9">
            <v>120</v>
          </cell>
          <cell r="D9">
            <v>2</v>
          </cell>
          <cell r="E9">
            <v>240</v>
          </cell>
        </row>
        <row r="10">
          <cell r="A10" t="str">
            <v>Fume extraction system</v>
          </cell>
          <cell r="C10">
            <v>100</v>
          </cell>
          <cell r="D10">
            <v>2</v>
          </cell>
          <cell r="E10">
            <v>200</v>
          </cell>
        </row>
        <row r="11">
          <cell r="A11" t="str">
            <v>3 strand Billet Caster - 1 + 2</v>
          </cell>
          <cell r="C11">
            <v>400</v>
          </cell>
          <cell r="D11">
            <v>1</v>
          </cell>
          <cell r="E11">
            <v>400</v>
          </cell>
        </row>
        <row r="12">
          <cell r="A12" t="str">
            <v>Machine support structure</v>
          </cell>
          <cell r="C12">
            <v>25</v>
          </cell>
          <cell r="D12">
            <v>2</v>
          </cell>
          <cell r="E12">
            <v>50</v>
          </cell>
        </row>
        <row r="13">
          <cell r="A13" t="str">
            <v>Automatic mould level control</v>
          </cell>
          <cell r="C13">
            <v>15</v>
          </cell>
          <cell r="D13">
            <v>3</v>
          </cell>
          <cell r="E13">
            <v>45</v>
          </cell>
        </row>
        <row r="14">
          <cell r="A14" t="str">
            <v>Torch Cutter</v>
          </cell>
          <cell r="C14">
            <v>25</v>
          </cell>
          <cell r="D14">
            <v>3</v>
          </cell>
          <cell r="E14">
            <v>75</v>
          </cell>
        </row>
        <row r="15">
          <cell r="A15" t="str">
            <v>Water Comnplex</v>
          </cell>
          <cell r="E15">
            <v>85</v>
          </cell>
        </row>
        <row r="16">
          <cell r="A16" t="str">
            <v>Compressors</v>
          </cell>
          <cell r="E16">
            <v>15</v>
          </cell>
        </row>
        <row r="17">
          <cell r="A17" t="str">
            <v>Cranes</v>
          </cell>
          <cell r="E17">
            <v>300</v>
          </cell>
        </row>
        <row r="18">
          <cell r="A18" t="str">
            <v>Maintenance workshop</v>
          </cell>
          <cell r="E18">
            <v>20</v>
          </cell>
        </row>
        <row r="19">
          <cell r="A19" t="str">
            <v>Laboratory</v>
          </cell>
          <cell r="E19">
            <v>35</v>
          </cell>
        </row>
        <row r="20">
          <cell r="A20" t="str">
            <v>Misc items (Ladle, preheater etc)</v>
          </cell>
          <cell r="E20">
            <v>120</v>
          </cell>
        </row>
        <row r="21">
          <cell r="A21" t="str">
            <v>Civil, structural, shed etc</v>
          </cell>
          <cell r="E21">
            <v>500</v>
          </cell>
        </row>
        <row r="22">
          <cell r="A22" t="str">
            <v>TOTAL (Lakhs)</v>
          </cell>
          <cell r="E22">
            <v>4125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7">
          <cell r="E17">
            <v>0.623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Project "/>
      <sheetName val="Schedule"/>
      <sheetName val="Assump"/>
      <sheetName val="operations"/>
      <sheetName val="RM"/>
      <sheetName val="Capex "/>
      <sheetName val="Debt Sch."/>
      <sheetName val="Depreciation"/>
      <sheetName val="Financials"/>
      <sheetName val="Sensitivity"/>
      <sheetName val="Debt Schedule"/>
    </sheetNames>
    <sheetDataSet>
      <sheetData sheetId="0" refreshError="1"/>
      <sheetData sheetId="1"/>
      <sheetData sheetId="2">
        <row r="45">
          <cell r="D45">
            <v>41275</v>
          </cell>
        </row>
        <row r="46">
          <cell r="D46">
            <v>41364</v>
          </cell>
        </row>
      </sheetData>
      <sheetData sheetId="3">
        <row r="64">
          <cell r="C64">
            <v>320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Offer Status--May"/>
      <sheetName val="June"/>
      <sheetName val="July"/>
      <sheetName val="August"/>
      <sheetName val="October"/>
      <sheetName val="November"/>
      <sheetName val="Shockwave.com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Level</v>
          </cell>
          <cell r="B5" t="str">
            <v>Min</v>
          </cell>
          <cell r="C5" t="str">
            <v>Max</v>
          </cell>
        </row>
        <row r="6">
          <cell r="A6" t="str">
            <v>E9</v>
          </cell>
          <cell r="B6">
            <v>25000</v>
          </cell>
          <cell r="C6">
            <v>85000</v>
          </cell>
        </row>
        <row r="7">
          <cell r="A7" t="str">
            <v>E8</v>
          </cell>
          <cell r="B7">
            <v>15000</v>
          </cell>
          <cell r="C7">
            <v>60000</v>
          </cell>
        </row>
        <row r="8">
          <cell r="A8" t="str">
            <v>E7</v>
          </cell>
          <cell r="B8">
            <v>10000</v>
          </cell>
          <cell r="C8">
            <v>40000</v>
          </cell>
        </row>
        <row r="9">
          <cell r="A9" t="str">
            <v>E6</v>
          </cell>
          <cell r="B9">
            <v>75000</v>
          </cell>
          <cell r="C9">
            <v>25000</v>
          </cell>
        </row>
        <row r="10">
          <cell r="A10" t="str">
            <v>E5</v>
          </cell>
          <cell r="B10">
            <v>5000</v>
          </cell>
          <cell r="C10">
            <v>15000</v>
          </cell>
        </row>
        <row r="11">
          <cell r="A11" t="str">
            <v>E4</v>
          </cell>
          <cell r="B11">
            <v>2500</v>
          </cell>
          <cell r="C11">
            <v>7500</v>
          </cell>
        </row>
        <row r="12">
          <cell r="A12" t="str">
            <v>E3</v>
          </cell>
          <cell r="B12">
            <v>1500</v>
          </cell>
          <cell r="C12">
            <v>5000</v>
          </cell>
        </row>
        <row r="13">
          <cell r="A13" t="str">
            <v>E2</v>
          </cell>
          <cell r="B13">
            <v>1000</v>
          </cell>
          <cell r="C13">
            <v>2500</v>
          </cell>
        </row>
        <row r="14">
          <cell r="A14" t="str">
            <v>E1</v>
          </cell>
          <cell r="B14">
            <v>500</v>
          </cell>
          <cell r="C14">
            <v>1500</v>
          </cell>
        </row>
        <row r="15">
          <cell r="A15" t="str">
            <v>P9</v>
          </cell>
          <cell r="B15">
            <v>6250</v>
          </cell>
          <cell r="C15">
            <v>21250</v>
          </cell>
        </row>
        <row r="16">
          <cell r="A16" t="str">
            <v>P8</v>
          </cell>
          <cell r="B16">
            <v>3750</v>
          </cell>
          <cell r="C16">
            <v>15000</v>
          </cell>
        </row>
        <row r="17">
          <cell r="A17" t="str">
            <v>P7</v>
          </cell>
          <cell r="B17">
            <v>2500</v>
          </cell>
          <cell r="C17">
            <v>10000</v>
          </cell>
        </row>
        <row r="18">
          <cell r="A18" t="str">
            <v>P6</v>
          </cell>
          <cell r="B18">
            <v>1875</v>
          </cell>
          <cell r="C18">
            <v>6250</v>
          </cell>
        </row>
        <row r="19">
          <cell r="A19" t="str">
            <v>P5</v>
          </cell>
          <cell r="B19">
            <v>1250</v>
          </cell>
          <cell r="C19">
            <v>3750</v>
          </cell>
        </row>
        <row r="20">
          <cell r="A20" t="str">
            <v>P4</v>
          </cell>
          <cell r="B20">
            <v>625</v>
          </cell>
          <cell r="C20">
            <v>1875</v>
          </cell>
        </row>
        <row r="21">
          <cell r="A21" t="str">
            <v>P3</v>
          </cell>
          <cell r="B21">
            <v>375</v>
          </cell>
          <cell r="C21">
            <v>1250</v>
          </cell>
        </row>
        <row r="22">
          <cell r="A22" t="str">
            <v>P2</v>
          </cell>
          <cell r="B22">
            <v>250</v>
          </cell>
          <cell r="C22">
            <v>625</v>
          </cell>
        </row>
        <row r="23">
          <cell r="A23" t="str">
            <v>P1</v>
          </cell>
          <cell r="B23">
            <v>125</v>
          </cell>
          <cell r="C23">
            <v>375</v>
          </cell>
        </row>
        <row r="24">
          <cell r="A24" t="str">
            <v>T9</v>
          </cell>
          <cell r="B24">
            <v>12500</v>
          </cell>
          <cell r="C24">
            <v>42500</v>
          </cell>
        </row>
        <row r="25">
          <cell r="A25" t="str">
            <v>T8</v>
          </cell>
          <cell r="B25">
            <v>7500</v>
          </cell>
          <cell r="C25">
            <v>30000</v>
          </cell>
        </row>
        <row r="26">
          <cell r="A26" t="str">
            <v>T7</v>
          </cell>
          <cell r="B26">
            <v>5000</v>
          </cell>
          <cell r="C26">
            <v>20000</v>
          </cell>
        </row>
        <row r="27">
          <cell r="A27" t="str">
            <v>T6</v>
          </cell>
          <cell r="B27">
            <v>3750</v>
          </cell>
          <cell r="C27">
            <v>12500</v>
          </cell>
        </row>
        <row r="28">
          <cell r="A28" t="str">
            <v>T5</v>
          </cell>
          <cell r="B28">
            <v>2500</v>
          </cell>
          <cell r="C28">
            <v>7500</v>
          </cell>
        </row>
        <row r="29">
          <cell r="A29" t="str">
            <v>T4</v>
          </cell>
          <cell r="B29">
            <v>1250</v>
          </cell>
          <cell r="C29">
            <v>3750</v>
          </cell>
        </row>
        <row r="30">
          <cell r="A30" t="str">
            <v>T3</v>
          </cell>
          <cell r="B30">
            <v>750</v>
          </cell>
          <cell r="C30">
            <v>2500</v>
          </cell>
        </row>
        <row r="31">
          <cell r="A31" t="str">
            <v>T2</v>
          </cell>
          <cell r="B31">
            <v>500</v>
          </cell>
          <cell r="C31">
            <v>1250</v>
          </cell>
        </row>
        <row r="32">
          <cell r="A32" t="str">
            <v>T1</v>
          </cell>
          <cell r="B32">
            <v>250</v>
          </cell>
          <cell r="C32">
            <v>750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otal"/>
      <sheetName val="TJC-M"/>
      <sheetName val="TJC - Total"/>
      <sheetName val="TAPS-M"/>
      <sheetName val="TAPS-Rev"/>
      <sheetName val="TAPS-Rev (2)"/>
      <sheetName val="TAPS Valuation"/>
      <sheetName val="TTR-M"/>
      <sheetName val="TYA-M"/>
      <sheetName val="TYA-Rev"/>
      <sheetName val="TF-M"/>
      <sheetName val="TCS-M"/>
      <sheetName val="ACSI-M"/>
      <sheetName val="ACSI-Rev"/>
      <sheetName val="JBM SW"/>
      <sheetName val="JBMT"/>
      <sheetName val="TACO Engg."/>
      <sheetName val="KJBM"/>
      <sheetName val="TYU"/>
      <sheetName val="TJCEngg"/>
      <sheetName val="ASA"/>
      <sheetName val="debt schedul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.Summary"/>
      <sheetName val="Summary"/>
      <sheetName val="Data"/>
      <sheetName val="données 2"/>
    </sheetNames>
    <sheetDataSet>
      <sheetData sheetId="0"/>
      <sheetData sheetId="1" refreshError="1">
        <row r="1">
          <cell r="P1">
            <v>123.50116414435392</v>
          </cell>
          <cell r="Q1">
            <v>0</v>
          </cell>
          <cell r="R1">
            <v>0</v>
          </cell>
          <cell r="S1">
            <v>270.08169798769336</v>
          </cell>
          <cell r="T1">
            <v>146.27787709961754</v>
          </cell>
          <cell r="U1">
            <v>181.75756693830039</v>
          </cell>
          <cell r="V1">
            <v>123.04215865624482</v>
          </cell>
          <cell r="W1">
            <v>93.192458007650103</v>
          </cell>
          <cell r="X1">
            <v>143.76912522867124</v>
          </cell>
          <cell r="Y1">
            <v>292.65903043405956</v>
          </cell>
          <cell r="Z1">
            <v>291.66929985032436</v>
          </cell>
          <cell r="AA1">
            <v>362.08361051056045</v>
          </cell>
        </row>
      </sheetData>
      <sheetData sheetId="2"/>
      <sheetData sheetId="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mmary"/>
      <sheetName val="MarketData"/>
      <sheetName val="Definitions"/>
    </sheetNames>
    <sheetDataSet>
      <sheetData sheetId="0"/>
      <sheetData sheetId="1"/>
      <sheetData sheetId="2">
        <row r="14">
          <cell r="A14" t="str">
            <v>Table 1-1</v>
          </cell>
          <cell r="B14" t="str">
            <v>(Top)</v>
          </cell>
          <cell r="C14" t="str">
            <v>(Front Page)</v>
          </cell>
        </row>
        <row r="15">
          <cell r="A15" t="str">
            <v>Top 10 Vendors Ranked by Unit Shipments</v>
          </cell>
        </row>
        <row r="16">
          <cell r="A16" t="str">
            <v>Vendor Name</v>
          </cell>
          <cell r="B16" t="str">
            <v>2Q01</v>
          </cell>
          <cell r="C16" t="str">
            <v>3Q01</v>
          </cell>
          <cell r="D16" t="str">
            <v>4Q01</v>
          </cell>
          <cell r="E16" t="str">
            <v>1Q02</v>
          </cell>
          <cell r="F16" t="str">
            <v>2Q02</v>
          </cell>
          <cell r="G16" t="str">
            <v>2Q02/2Q01</v>
          </cell>
        </row>
        <row r="17">
          <cell r="A17" t="str">
            <v>NEC</v>
          </cell>
          <cell r="B17">
            <v>651</v>
          </cell>
          <cell r="C17">
            <v>520.9</v>
          </cell>
          <cell r="D17">
            <v>575</v>
          </cell>
          <cell r="E17">
            <v>800</v>
          </cell>
          <cell r="F17">
            <v>695.36</v>
          </cell>
          <cell r="G17">
            <v>6.8141321044546954E-2</v>
          </cell>
        </row>
        <row r="18">
          <cell r="A18" t="str">
            <v>Fujitsu</v>
          </cell>
          <cell r="B18">
            <v>610</v>
          </cell>
          <cell r="C18">
            <v>554.79999999999995</v>
          </cell>
          <cell r="D18">
            <v>580</v>
          </cell>
          <cell r="E18">
            <v>751</v>
          </cell>
          <cell r="F18">
            <v>542</v>
          </cell>
          <cell r="G18">
            <v>-0.11147540983606552</v>
          </cell>
        </row>
        <row r="19">
          <cell r="A19" t="str">
            <v>Sony</v>
          </cell>
          <cell r="B19">
            <v>368.2</v>
          </cell>
          <cell r="C19">
            <v>223</v>
          </cell>
          <cell r="D19">
            <v>450</v>
          </cell>
          <cell r="E19">
            <v>462</v>
          </cell>
          <cell r="F19">
            <v>358</v>
          </cell>
          <cell r="G19">
            <v>-2.7702335687126545E-2</v>
          </cell>
        </row>
        <row r="20">
          <cell r="A20" t="str">
            <v>Toshiba</v>
          </cell>
          <cell r="B20">
            <v>257.10000000000002</v>
          </cell>
          <cell r="C20">
            <v>214</v>
          </cell>
          <cell r="D20">
            <v>150</v>
          </cell>
          <cell r="E20">
            <v>267</v>
          </cell>
          <cell r="F20">
            <v>202</v>
          </cell>
          <cell r="G20">
            <v>-0.21431349669389355</v>
          </cell>
        </row>
        <row r="21">
          <cell r="A21" t="str">
            <v>IBM</v>
          </cell>
          <cell r="B21">
            <v>290.10000000000002</v>
          </cell>
          <cell r="C21">
            <v>217.3</v>
          </cell>
          <cell r="D21">
            <v>208.5</v>
          </cell>
          <cell r="E21">
            <v>196.5</v>
          </cell>
          <cell r="F21">
            <v>188.1</v>
          </cell>
          <cell r="G21">
            <v>-0.35160289555325752</v>
          </cell>
        </row>
        <row r="22">
          <cell r="A22" t="str">
            <v>Dell Computer</v>
          </cell>
          <cell r="B22">
            <v>177.6</v>
          </cell>
          <cell r="C22">
            <v>182.1</v>
          </cell>
          <cell r="D22">
            <v>179</v>
          </cell>
          <cell r="E22">
            <v>210.3</v>
          </cell>
          <cell r="F22">
            <v>188</v>
          </cell>
          <cell r="G22">
            <v>5.8558558558558627E-2</v>
          </cell>
        </row>
        <row r="23">
          <cell r="A23" t="str">
            <v>Hitachi</v>
          </cell>
          <cell r="B23">
            <v>144</v>
          </cell>
          <cell r="C23">
            <v>162</v>
          </cell>
          <cell r="D23">
            <v>164</v>
          </cell>
          <cell r="E23">
            <v>188.6</v>
          </cell>
          <cell r="F23">
            <v>133</v>
          </cell>
          <cell r="G23">
            <v>-7.638888888888884E-2</v>
          </cell>
        </row>
        <row r="24">
          <cell r="A24" t="str">
            <v>Sharp</v>
          </cell>
          <cell r="B24">
            <v>110</v>
          </cell>
          <cell r="C24">
            <v>84.2</v>
          </cell>
          <cell r="D24">
            <v>102.4</v>
          </cell>
          <cell r="E24">
            <v>112.5</v>
          </cell>
          <cell r="F24">
            <v>104.9</v>
          </cell>
          <cell r="G24">
            <v>-4.6363636363636274E-2</v>
          </cell>
        </row>
        <row r="25">
          <cell r="A25" t="str">
            <v>Apple Computer</v>
          </cell>
          <cell r="B25">
            <v>128</v>
          </cell>
          <cell r="C25">
            <v>97.9</v>
          </cell>
          <cell r="D25">
            <v>96</v>
          </cell>
          <cell r="E25">
            <v>131</v>
          </cell>
          <cell r="F25">
            <v>97.8</v>
          </cell>
          <cell r="G25">
            <v>-0.23593749999999999</v>
          </cell>
        </row>
        <row r="26">
          <cell r="A26" t="str">
            <v>Sotec</v>
          </cell>
          <cell r="B26">
            <v>100.1</v>
          </cell>
          <cell r="C26">
            <v>70</v>
          </cell>
          <cell r="D26">
            <v>91.5</v>
          </cell>
          <cell r="E26">
            <v>98</v>
          </cell>
          <cell r="F26">
            <v>80.5</v>
          </cell>
          <cell r="G26">
            <v>-0.19580419580419572</v>
          </cell>
        </row>
        <row r="27">
          <cell r="A27" t="str">
            <v>Others</v>
          </cell>
          <cell r="B27">
            <v>416.59</v>
          </cell>
          <cell r="C27">
            <v>264.76000000000067</v>
          </cell>
          <cell r="D27">
            <v>248.01</v>
          </cell>
          <cell r="E27">
            <v>288.66000000000003</v>
          </cell>
          <cell r="F27">
            <v>233.17</v>
          </cell>
          <cell r="G27">
            <v>-0.44028901317842595</v>
          </cell>
        </row>
        <row r="28">
          <cell r="A28" t="str">
            <v>Total</v>
          </cell>
          <cell r="B28">
            <v>3252.69</v>
          </cell>
          <cell r="C28">
            <v>2590.96</v>
          </cell>
          <cell r="D28">
            <v>2844.41</v>
          </cell>
          <cell r="E28">
            <v>3505.56</v>
          </cell>
          <cell r="F28">
            <v>2822.83</v>
          </cell>
          <cell r="G28">
            <v>-0.13215523151606823</v>
          </cell>
        </row>
        <row r="29">
          <cell r="A29" t="str">
            <v>Market Share</v>
          </cell>
        </row>
        <row r="30">
          <cell r="A30" t="str">
            <v>NEC</v>
          </cell>
          <cell r="B30">
            <v>0.20014203628381433</v>
          </cell>
          <cell r="C30">
            <v>0.20104517244573439</v>
          </cell>
          <cell r="D30">
            <v>0.20215088542087814</v>
          </cell>
          <cell r="E30">
            <v>0.22820890242928377</v>
          </cell>
          <cell r="F30">
            <v>0.24633435240521037</v>
          </cell>
        </row>
        <row r="31">
          <cell r="A31" t="str">
            <v>Fujitsu</v>
          </cell>
          <cell r="B31">
            <v>0.18753708468990282</v>
          </cell>
          <cell r="C31">
            <v>0.21412912588384225</v>
          </cell>
          <cell r="D31">
            <v>0.20390871920714665</v>
          </cell>
          <cell r="E31">
            <v>0.21423110715549015</v>
          </cell>
          <cell r="F31">
            <v>0.19200589479352281</v>
          </cell>
        </row>
        <row r="32">
          <cell r="A32" t="str">
            <v>Sony</v>
          </cell>
          <cell r="B32">
            <v>0.11319861407020035</v>
          </cell>
          <cell r="C32">
            <v>8.6068484268379292E-2</v>
          </cell>
          <cell r="D32">
            <v>0.1582050407641655</v>
          </cell>
          <cell r="E32">
            <v>0.13179064115291136</v>
          </cell>
          <cell r="F32">
            <v>0.12682308180088778</v>
          </cell>
        </row>
        <row r="33">
          <cell r="A33" t="str">
            <v>Toshiba</v>
          </cell>
          <cell r="B33">
            <v>7.904226962913774E-2</v>
          </cell>
          <cell r="C33">
            <v>8.2594868311359496E-2</v>
          </cell>
          <cell r="D33">
            <v>5.2735013588055171E-2</v>
          </cell>
          <cell r="E33">
            <v>7.6164721185773457E-2</v>
          </cell>
          <cell r="F33">
            <v>7.1559392524523258E-2</v>
          </cell>
        </row>
        <row r="34">
          <cell r="A34" t="str">
            <v>IBM</v>
          </cell>
          <cell r="B34">
            <v>8.9187718473017721E-2</v>
          </cell>
          <cell r="C34">
            <v>8.3868527495600087E-2</v>
          </cell>
          <cell r="D34">
            <v>7.3301668887396684E-2</v>
          </cell>
          <cell r="E34">
            <v>5.6053811659192827E-2</v>
          </cell>
          <cell r="F34">
            <v>6.6635256108231816E-2</v>
          </cell>
        </row>
        <row r="35">
          <cell r="A35" t="str">
            <v>Dell Computer</v>
          </cell>
          <cell r="B35">
            <v>5.4600961050699573E-2</v>
          </cell>
          <cell r="C35">
            <v>7.0282829530367116E-2</v>
          </cell>
          <cell r="D35">
            <v>6.2930449548412509E-2</v>
          </cell>
          <cell r="E35">
            <v>5.9990415226097972E-2</v>
          </cell>
          <cell r="F35">
            <v>6.6599830666387985E-2</v>
          </cell>
        </row>
        <row r="36">
          <cell r="A36" t="str">
            <v>Hitachi</v>
          </cell>
          <cell r="B36">
            <v>4.4271049500567219E-2</v>
          </cell>
          <cell r="C36">
            <v>6.2525087226356246E-2</v>
          </cell>
          <cell r="D36">
            <v>5.7656948189606989E-2</v>
          </cell>
          <cell r="E36">
            <v>5.3800248747703644E-2</v>
          </cell>
          <cell r="F36">
            <v>4.7115837652285122E-2</v>
          </cell>
        </row>
        <row r="37">
          <cell r="A37" t="str">
            <v>Sharp</v>
          </cell>
          <cell r="B37">
            <v>3.3818162812933296E-2</v>
          </cell>
          <cell r="C37">
            <v>3.2497607064562943E-2</v>
          </cell>
          <cell r="D37">
            <v>3.6000435942778998E-2</v>
          </cell>
          <cell r="E37">
            <v>3.2091876904118029E-2</v>
          </cell>
          <cell r="F37">
            <v>3.7161288494170747E-2</v>
          </cell>
        </row>
        <row r="38">
          <cell r="A38" t="str">
            <v>Apple Computer</v>
          </cell>
          <cell r="B38">
            <v>3.9352044000504197E-2</v>
          </cell>
          <cell r="C38">
            <v>3.778522246580418E-2</v>
          </cell>
          <cell r="D38">
            <v>3.3750408696355309E-2</v>
          </cell>
          <cell r="E38">
            <v>3.7369207772795218E-2</v>
          </cell>
          <cell r="F38">
            <v>3.4646082123259279E-2</v>
          </cell>
        </row>
        <row r="39">
          <cell r="A39" t="str">
            <v>Sotec</v>
          </cell>
          <cell r="B39">
            <v>3.0774528159769297E-2</v>
          </cell>
          <cell r="C39">
            <v>2.7017012999042824E-2</v>
          </cell>
          <cell r="D39">
            <v>3.2168358288713651E-2</v>
          </cell>
          <cell r="E39">
            <v>2.7955590547587263E-2</v>
          </cell>
          <cell r="F39">
            <v>2.8517480684277837E-2</v>
          </cell>
        </row>
        <row r="40">
          <cell r="A40" t="str">
            <v>Others</v>
          </cell>
          <cell r="B40">
            <v>0.12807553132945351</v>
          </cell>
          <cell r="C40">
            <v>0.10218606230895139</v>
          </cell>
          <cell r="D40">
            <v>8.7192071466490342E-2</v>
          </cell>
          <cell r="E40">
            <v>8.2343477219046279E-2</v>
          </cell>
          <cell r="F40">
            <v>8.2601502747242886E-2</v>
          </cell>
        </row>
        <row r="41">
          <cell r="A41" t="str">
            <v>Source: Gartner Dataquest (August 2002)</v>
          </cell>
        </row>
        <row r="43">
          <cell r="A43" t="str">
            <v>Table 1-2</v>
          </cell>
          <cell r="B43" t="str">
            <v>(Top)</v>
          </cell>
          <cell r="C43" t="str">
            <v>(Front Page)</v>
          </cell>
        </row>
        <row r="44">
          <cell r="A44" t="str">
            <v>Total Market Revenue by Vendor (Millions of Yen)</v>
          </cell>
        </row>
        <row r="45">
          <cell r="A45" t="str">
            <v>Vendor Name</v>
          </cell>
          <cell r="B45" t="str">
            <v>2Q01</v>
          </cell>
          <cell r="C45" t="str">
            <v>3Q01</v>
          </cell>
          <cell r="D45" t="str">
            <v>4Q01</v>
          </cell>
          <cell r="E45" t="str">
            <v>1Q02</v>
          </cell>
          <cell r="F45" t="str">
            <v>2Q02</v>
          </cell>
          <cell r="G45" t="str">
            <v>2Q02/2Q01</v>
          </cell>
        </row>
        <row r="46">
          <cell r="A46" t="str">
            <v>NEC</v>
          </cell>
          <cell r="B46">
            <v>107795.972096</v>
          </cell>
          <cell r="C46">
            <v>80805.593087999994</v>
          </cell>
          <cell r="D46">
            <v>92748.980223999999</v>
          </cell>
          <cell r="E46">
            <v>130790.24435199999</v>
          </cell>
          <cell r="F46">
            <v>118411.681792</v>
          </cell>
          <cell r="G46">
            <v>9.8479650858809054E-2</v>
          </cell>
        </row>
        <row r="47">
          <cell r="A47" t="str">
            <v>Fujitsu</v>
          </cell>
          <cell r="B47">
            <v>103981.473792</v>
          </cell>
          <cell r="C47">
            <v>88440.553472</v>
          </cell>
          <cell r="D47">
            <v>95563.513856000005</v>
          </cell>
          <cell r="E47">
            <v>123445.14969599999</v>
          </cell>
          <cell r="F47">
            <v>94140.555263999995</v>
          </cell>
          <cell r="G47">
            <v>-9.4641075656278439E-2</v>
          </cell>
        </row>
        <row r="48">
          <cell r="A48" t="str">
            <v>Sony</v>
          </cell>
          <cell r="B48">
            <v>67482.509311999995</v>
          </cell>
          <cell r="C48">
            <v>33701.988352</v>
          </cell>
          <cell r="D48">
            <v>77276.094463999994</v>
          </cell>
          <cell r="E48">
            <v>80877.682688000001</v>
          </cell>
          <cell r="F48">
            <v>62304.956416000001</v>
          </cell>
          <cell r="G48">
            <v>-7.6724368266479104E-2</v>
          </cell>
        </row>
        <row r="49">
          <cell r="A49" t="str">
            <v>Toshiba</v>
          </cell>
          <cell r="B49">
            <v>42142.298111999997</v>
          </cell>
          <cell r="C49">
            <v>33950.783488000001</v>
          </cell>
          <cell r="D49">
            <v>25025.128447999999</v>
          </cell>
          <cell r="E49">
            <v>46026.301440000003</v>
          </cell>
          <cell r="F49">
            <v>36138.090495999997</v>
          </cell>
          <cell r="G49">
            <v>-0.14247461303706888</v>
          </cell>
        </row>
        <row r="50">
          <cell r="A50" t="str">
            <v>IBM</v>
          </cell>
          <cell r="B50">
            <v>47070.199807999998</v>
          </cell>
          <cell r="C50">
            <v>32902.529024000003</v>
          </cell>
          <cell r="D50">
            <v>33920.710656000003</v>
          </cell>
          <cell r="E50">
            <v>34466.291711999998</v>
          </cell>
          <cell r="F50">
            <v>33845.870591999999</v>
          </cell>
          <cell r="G50">
            <v>-0.28094907754677523</v>
          </cell>
        </row>
        <row r="51">
          <cell r="A51" t="str">
            <v>Dell Computer</v>
          </cell>
          <cell r="B51">
            <v>20364.158975999999</v>
          </cell>
          <cell r="C51">
            <v>24732.293119999998</v>
          </cell>
          <cell r="D51">
            <v>24158.097408000001</v>
          </cell>
          <cell r="E51">
            <v>30028.627968000001</v>
          </cell>
          <cell r="F51">
            <v>30342.471679999999</v>
          </cell>
          <cell r="G51">
            <v>0.48999385222634784</v>
          </cell>
        </row>
        <row r="52">
          <cell r="A52" t="str">
            <v>Hitachi</v>
          </cell>
          <cell r="B52">
            <v>24444.796928</v>
          </cell>
          <cell r="C52">
            <v>26822.303744000001</v>
          </cell>
          <cell r="D52">
            <v>26065.659904</v>
          </cell>
          <cell r="E52">
            <v>28491.655168000001</v>
          </cell>
          <cell r="F52">
            <v>21452.759040000001</v>
          </cell>
          <cell r="G52">
            <v>-0.12239978498544224</v>
          </cell>
        </row>
        <row r="53">
          <cell r="A53" t="str">
            <v>Apple Computer</v>
          </cell>
          <cell r="B53">
            <v>26070.532095999999</v>
          </cell>
          <cell r="C53">
            <v>17969.661951999999</v>
          </cell>
          <cell r="D53">
            <v>18298.318847999999</v>
          </cell>
          <cell r="E53">
            <v>27189.180415999999</v>
          </cell>
          <cell r="F53">
            <v>19384.416256</v>
          </cell>
          <cell r="G53">
            <v>-0.25646257680432416</v>
          </cell>
        </row>
        <row r="54">
          <cell r="A54" t="str">
            <v>Sharp</v>
          </cell>
          <cell r="B54">
            <v>16893.277183999999</v>
          </cell>
          <cell r="C54">
            <v>13093.834752000001</v>
          </cell>
          <cell r="D54">
            <v>13499.070464</v>
          </cell>
          <cell r="E54">
            <v>14811.020288</v>
          </cell>
          <cell r="F54">
            <v>15684.221952</v>
          </cell>
          <cell r="G54">
            <v>-7.1570200312886745E-2</v>
          </cell>
        </row>
        <row r="55">
          <cell r="A55" t="str">
            <v>Sotec</v>
          </cell>
          <cell r="B55">
            <v>13104.216064</v>
          </cell>
          <cell r="C55">
            <v>8181.2244479999999</v>
          </cell>
          <cell r="D55">
            <v>11108.037632</v>
          </cell>
          <cell r="E55">
            <v>11119.673344000001</v>
          </cell>
          <cell r="F55">
            <v>10359.041024</v>
          </cell>
          <cell r="G55">
            <v>-0.20948792561056473</v>
          </cell>
        </row>
        <row r="56">
          <cell r="A56" t="str">
            <v>Others</v>
          </cell>
          <cell r="B56">
            <v>58766.019968000066</v>
          </cell>
          <cell r="C56">
            <v>35465.544988000067</v>
          </cell>
          <cell r="D56">
            <v>33745.476976000005</v>
          </cell>
          <cell r="E56">
            <v>38723.88436799997</v>
          </cell>
          <cell r="F56">
            <v>30651.769744000048</v>
          </cell>
          <cell r="G56">
            <v>-0.47840997636574856</v>
          </cell>
        </row>
        <row r="57">
          <cell r="A57" t="str">
            <v>Total</v>
          </cell>
          <cell r="B57">
            <v>528115.45433600002</v>
          </cell>
          <cell r="C57">
            <v>396066.310428</v>
          </cell>
          <cell r="D57">
            <v>451409.08888</v>
          </cell>
          <cell r="E57">
            <v>565969.71143999998</v>
          </cell>
          <cell r="F57">
            <v>472715.834256</v>
          </cell>
          <cell r="G57">
            <v>-0.1049005849481417</v>
          </cell>
        </row>
        <row r="58">
          <cell r="A58" t="str">
            <v>Market Share</v>
          </cell>
        </row>
        <row r="59">
          <cell r="A59" t="str">
            <v>NEC</v>
          </cell>
          <cell r="B59">
            <v>0.20411440568716543</v>
          </cell>
          <cell r="C59">
            <v>0.20402036467246931</v>
          </cell>
          <cell r="D59">
            <v>0.20546546914711294</v>
          </cell>
          <cell r="E59">
            <v>0.23109053666357804</v>
          </cell>
          <cell r="F59">
            <v>0.25049231104848918</v>
          </cell>
        </row>
        <row r="60">
          <cell r="A60" t="str">
            <v>Fujitsu</v>
          </cell>
          <cell r="B60">
            <v>0.19689155645470741</v>
          </cell>
          <cell r="C60">
            <v>0.22329733972179744</v>
          </cell>
          <cell r="D60">
            <v>0.21170046463420691</v>
          </cell>
          <cell r="E60">
            <v>0.21811264313406065</v>
          </cell>
          <cell r="F60">
            <v>0.19914830103410081</v>
          </cell>
        </row>
        <row r="61">
          <cell r="A61" t="str">
            <v>Sony</v>
          </cell>
          <cell r="B61">
            <v>0.12777984199846187</v>
          </cell>
          <cell r="C61">
            <v>8.5091782523943324E-2</v>
          </cell>
          <cell r="D61">
            <v>0.17118860999394417</v>
          </cell>
          <cell r="E61">
            <v>0.1429010794274175</v>
          </cell>
          <cell r="F61">
            <v>0.13180213545006544</v>
          </cell>
        </row>
        <row r="62">
          <cell r="A62" t="str">
            <v>Toshiba</v>
          </cell>
          <cell r="B62">
            <v>7.9797509741474121E-2</v>
          </cell>
          <cell r="C62">
            <v>8.5719947882746866E-2</v>
          </cell>
          <cell r="D62">
            <v>5.5437803678455702E-2</v>
          </cell>
          <cell r="E62">
            <v>8.1322905642591758E-2</v>
          </cell>
          <cell r="F62">
            <v>7.6447810454407919E-2</v>
          </cell>
        </row>
        <row r="63">
          <cell r="A63" t="str">
            <v>IBM</v>
          </cell>
          <cell r="B63">
            <v>8.9128616520380746E-2</v>
          </cell>
          <cell r="C63">
            <v>8.3073283835842129E-2</v>
          </cell>
          <cell r="D63">
            <v>7.5144057777306497E-2</v>
          </cell>
          <cell r="E63">
            <v>6.0897767169036686E-2</v>
          </cell>
          <cell r="F63">
            <v>7.1598766403222949E-2</v>
          </cell>
        </row>
        <row r="64">
          <cell r="A64" t="str">
            <v>Dell Computer</v>
          </cell>
          <cell r="B64">
            <v>3.8560051232743933E-2</v>
          </cell>
          <cell r="C64">
            <v>6.2444829233957347E-2</v>
          </cell>
          <cell r="D64">
            <v>5.3517082405095416E-2</v>
          </cell>
          <cell r="E64">
            <v>5.3056952273290367E-2</v>
          </cell>
          <cell r="F64">
            <v>6.4187550915774882E-2</v>
          </cell>
        </row>
        <row r="65">
          <cell r="A65" t="str">
            <v>Hitachi</v>
          </cell>
          <cell r="B65">
            <v>4.6286842635072024E-2</v>
          </cell>
          <cell r="C65">
            <v>6.7721750216561197E-2</v>
          </cell>
          <cell r="D65">
            <v>5.7742877904102513E-2</v>
          </cell>
          <cell r="E65">
            <v>5.0341307303368797E-2</v>
          </cell>
          <cell r="F65">
            <v>4.5381934526826588E-2</v>
          </cell>
        </row>
        <row r="66">
          <cell r="A66" t="str">
            <v>Apple Computer</v>
          </cell>
          <cell r="B66">
            <v>4.9365213386490456E-2</v>
          </cell>
          <cell r="C66">
            <v>4.537033693318044E-2</v>
          </cell>
          <cell r="D66">
            <v>4.0536000046876144E-2</v>
          </cell>
          <cell r="E66">
            <v>4.8039992010919477E-2</v>
          </cell>
          <cell r="F66">
            <v>4.1006488150558414E-2</v>
          </cell>
        </row>
        <row r="67">
          <cell r="A67" t="str">
            <v>Sharp</v>
          </cell>
          <cell r="B67">
            <v>3.1987848576103366E-2</v>
          </cell>
          <cell r="C67">
            <v>3.3059703406357506E-2</v>
          </cell>
          <cell r="D67">
            <v>2.9904294788332265E-2</v>
          </cell>
          <cell r="E67">
            <v>2.6169280773552767E-2</v>
          </cell>
          <cell r="F67">
            <v>3.3178964645187208E-2</v>
          </cell>
        </row>
        <row r="68">
          <cell r="A68" t="str">
            <v>Sotec</v>
          </cell>
          <cell r="B68">
            <v>2.4813165296357291E-2</v>
          </cell>
          <cell r="C68">
            <v>2.0656198804586905E-2</v>
          </cell>
          <cell r="D68">
            <v>2.4607474474119189E-2</v>
          </cell>
          <cell r="E68">
            <v>1.9647117362001851E-2</v>
          </cell>
          <cell r="F68">
            <v>2.1913886257488985E-2</v>
          </cell>
        </row>
        <row r="69">
          <cell r="A69" t="str">
            <v>Others</v>
          </cell>
          <cell r="B69">
            <v>0.11127494847104338</v>
          </cell>
          <cell r="C69">
            <v>8.9544462768557709E-2</v>
          </cell>
          <cell r="D69">
            <v>7.4755865150448284E-2</v>
          </cell>
          <cell r="E69">
            <v>6.8420418240182093E-2</v>
          </cell>
          <cell r="F69">
            <v>6.4841851113877719E-2</v>
          </cell>
        </row>
        <row r="70">
          <cell r="A70" t="str">
            <v>Source: Gartner Dataquest (August 2002)</v>
          </cell>
        </row>
        <row r="72">
          <cell r="A72" t="str">
            <v>Table 1-3</v>
          </cell>
          <cell r="B72" t="str">
            <v>(Top)</v>
          </cell>
          <cell r="C72" t="str">
            <v>(Front Page)</v>
          </cell>
        </row>
        <row r="73">
          <cell r="A73" t="str">
            <v>Total Market Shipments by Platform (Thousands of Units)</v>
          </cell>
        </row>
        <row r="74">
          <cell r="A74" t="str">
            <v>Product Type</v>
          </cell>
          <cell r="B74" t="str">
            <v>2Q01</v>
          </cell>
          <cell r="C74" t="str">
            <v>3Q01</v>
          </cell>
          <cell r="D74" t="str">
            <v>4Q01</v>
          </cell>
          <cell r="E74" t="str">
            <v>1Q02</v>
          </cell>
          <cell r="F74" t="str">
            <v>2Q02</v>
          </cell>
          <cell r="G74" t="str">
            <v>2Q02/2Q01</v>
          </cell>
        </row>
        <row r="75">
          <cell r="A75" t="str">
            <v>Small Form Factor No Slots</v>
          </cell>
          <cell r="B75">
            <v>27.9</v>
          </cell>
          <cell r="C75">
            <v>29.2</v>
          </cell>
          <cell r="D75">
            <v>24.5</v>
          </cell>
          <cell r="E75">
            <v>23.27</v>
          </cell>
          <cell r="F75">
            <v>22.59</v>
          </cell>
          <cell r="G75">
            <v>-0.19032258064516128</v>
          </cell>
        </row>
        <row r="76">
          <cell r="A76" t="str">
            <v>All-In-One</v>
          </cell>
          <cell r="B76">
            <v>97.47</v>
          </cell>
          <cell r="C76">
            <v>108.06</v>
          </cell>
          <cell r="D76">
            <v>87.25</v>
          </cell>
          <cell r="E76">
            <v>168.4</v>
          </cell>
          <cell r="F76">
            <v>119</v>
          </cell>
          <cell r="G76">
            <v>0.22088847850620708</v>
          </cell>
        </row>
        <row r="77">
          <cell r="A77" t="str">
            <v>Deskbound</v>
          </cell>
          <cell r="B77">
            <v>1428.35</v>
          </cell>
          <cell r="C77">
            <v>1198.28</v>
          </cell>
          <cell r="D77">
            <v>1265.1300000000001</v>
          </cell>
          <cell r="E77">
            <v>1505.17</v>
          </cell>
          <cell r="F77">
            <v>1141.79</v>
          </cell>
          <cell r="G77">
            <v>-0.20062309657996991</v>
          </cell>
        </row>
        <row r="78">
          <cell r="A78" t="str">
            <v>Notebook</v>
          </cell>
          <cell r="B78">
            <v>1365.2</v>
          </cell>
          <cell r="C78">
            <v>1018.62</v>
          </cell>
          <cell r="D78">
            <v>1200.45</v>
          </cell>
          <cell r="E78">
            <v>1492.61</v>
          </cell>
          <cell r="F78">
            <v>1243.4100000000001</v>
          </cell>
          <cell r="G78">
            <v>-8.9210372106651059E-2</v>
          </cell>
        </row>
        <row r="79">
          <cell r="A79" t="str">
            <v>Ultraportable</v>
          </cell>
          <cell r="B79">
            <v>333.77</v>
          </cell>
          <cell r="C79">
            <v>236.8</v>
          </cell>
          <cell r="D79">
            <v>267.08</v>
          </cell>
          <cell r="E79">
            <v>316.11</v>
          </cell>
          <cell r="F79">
            <v>296.04000000000002</v>
          </cell>
          <cell r="G79">
            <v>-0.1130419150912304</v>
          </cell>
        </row>
        <row r="80">
          <cell r="A80" t="str">
            <v>Total</v>
          </cell>
          <cell r="B80">
            <v>3252.69</v>
          </cell>
          <cell r="C80">
            <v>2590.96</v>
          </cell>
          <cell r="D80">
            <v>2844.41</v>
          </cell>
          <cell r="E80">
            <v>3505.56</v>
          </cell>
          <cell r="F80">
            <v>2822.83</v>
          </cell>
          <cell r="G80">
            <v>-0.13215523151606823</v>
          </cell>
        </row>
        <row r="81">
          <cell r="A81" t="str">
            <v>Market Share</v>
          </cell>
          <cell r="G81" t="str">
            <v/>
          </cell>
        </row>
        <row r="82">
          <cell r="A82" t="str">
            <v>Small Form Factor No Slots</v>
          </cell>
          <cell r="B82">
            <v>8.5775158407348992E-3</v>
          </cell>
          <cell r="C82">
            <v>1.1269953993886436E-2</v>
          </cell>
          <cell r="D82">
            <v>8.6133855527156782E-3</v>
          </cell>
          <cell r="E82">
            <v>6.6380264494117916E-3</v>
          </cell>
          <cell r="F82">
            <v>8.0026073125197064E-3</v>
          </cell>
        </row>
        <row r="83">
          <cell r="A83" t="str">
            <v>All-In-One</v>
          </cell>
          <cell r="B83">
            <v>2.996596663069644E-2</v>
          </cell>
          <cell r="C83">
            <v>4.1706548923950967E-2</v>
          </cell>
          <cell r="D83">
            <v>3.0674199570385426E-2</v>
          </cell>
          <cell r="E83">
            <v>4.8037973961364236E-2</v>
          </cell>
          <cell r="F83">
            <v>4.2156275794149843E-2</v>
          </cell>
        </row>
        <row r="84">
          <cell r="A84" t="str">
            <v>Deskbound</v>
          </cell>
          <cell r="B84">
            <v>0.43912884412593878</v>
          </cell>
          <cell r="C84">
            <v>0.46248494766418624</v>
          </cell>
          <cell r="D84">
            <v>0.44477765160437494</v>
          </cell>
          <cell r="E84">
            <v>0.42936649208685634</v>
          </cell>
          <cell r="F84">
            <v>0.40448415242859115</v>
          </cell>
        </row>
        <row r="85">
          <cell r="A85" t="str">
            <v>Notebook</v>
          </cell>
          <cell r="B85">
            <v>0.41971414429287757</v>
          </cell>
          <cell r="C85">
            <v>0.39314385401550006</v>
          </cell>
          <cell r="D85">
            <v>0.42203831374520556</v>
          </cell>
          <cell r="E85">
            <v>0.42578361231871653</v>
          </cell>
          <cell r="F85">
            <v>0.44048348643028457</v>
          </cell>
        </row>
        <row r="86">
          <cell r="A86" t="str">
            <v>Ultraportable</v>
          </cell>
          <cell r="B86">
            <v>0.10261352910975223</v>
          </cell>
          <cell r="C86">
            <v>9.13946954024763E-2</v>
          </cell>
          <cell r="D86">
            <v>9.3896449527318487E-2</v>
          </cell>
          <cell r="E86">
            <v>9.0173895183651126E-2</v>
          </cell>
          <cell r="F86">
            <v>0.10487347803445479</v>
          </cell>
        </row>
        <row r="87">
          <cell r="A87" t="str">
            <v>Source: Gartner Dataquest (August 2002)</v>
          </cell>
        </row>
        <row r="89">
          <cell r="A89" t="str">
            <v>Table 1-4</v>
          </cell>
          <cell r="B89" t="str">
            <v>(Top)</v>
          </cell>
          <cell r="C89" t="str">
            <v>(Front Page)</v>
          </cell>
        </row>
        <row r="90">
          <cell r="A90" t="str">
            <v>Total Market Shipments by CPU Type (Thousands of Units)</v>
          </cell>
        </row>
        <row r="91">
          <cell r="A91" t="str">
            <v>CPU Type</v>
          </cell>
          <cell r="B91" t="str">
            <v>2Q01</v>
          </cell>
          <cell r="C91" t="str">
            <v>3Q01</v>
          </cell>
          <cell r="D91" t="str">
            <v>4Q01</v>
          </cell>
          <cell r="E91" t="str">
            <v>1Q02</v>
          </cell>
          <cell r="F91" t="str">
            <v>2Q02</v>
          </cell>
          <cell r="G91" t="str">
            <v>2Q02/2Q01</v>
          </cell>
        </row>
        <row r="92">
          <cell r="A92" t="str">
            <v>486DX4/Pentium</v>
          </cell>
          <cell r="B92">
            <v>0.90000000286100001</v>
          </cell>
          <cell r="C92">
            <v>0.62999999809270002</v>
          </cell>
          <cell r="D92">
            <v>0.85000000953669996</v>
          </cell>
          <cell r="E92">
            <v>0.60000000190729996</v>
          </cell>
          <cell r="F92">
            <v>0.39999999237060002</v>
          </cell>
          <cell r="G92">
            <v>-0.55555556544550611</v>
          </cell>
        </row>
        <row r="93">
          <cell r="A93" t="str">
            <v>Pentium II</v>
          </cell>
          <cell r="B93">
            <v>1</v>
          </cell>
          <cell r="C93">
            <v>0.80000001525879993</v>
          </cell>
          <cell r="D93">
            <v>0.5</v>
          </cell>
          <cell r="E93">
            <v>0.2499999917969</v>
          </cell>
          <cell r="F93">
            <v>0.1000000019073</v>
          </cell>
          <cell r="G93">
            <v>-0.89999999809270004</v>
          </cell>
        </row>
        <row r="94">
          <cell r="A94" t="str">
            <v>Pentium III</v>
          </cell>
          <cell r="B94">
            <v>1409.90999975776</v>
          </cell>
          <cell r="C94">
            <v>1114.5199972227799</v>
          </cell>
          <cell r="D94">
            <v>990.60000156736305</v>
          </cell>
          <cell r="E94">
            <v>1165.5600023406098</v>
          </cell>
          <cell r="F94">
            <v>560.31000020647002</v>
          </cell>
          <cell r="G94">
            <v>-0.60259165457175401</v>
          </cell>
        </row>
        <row r="95">
          <cell r="A95" t="str">
            <v>Pentium 4</v>
          </cell>
          <cell r="B95">
            <v>42.330000367760704</v>
          </cell>
          <cell r="C95">
            <v>55.640000207424201</v>
          </cell>
          <cell r="D95">
            <v>421.87999431514697</v>
          </cell>
          <cell r="E95">
            <v>597.33000390195798</v>
          </cell>
          <cell r="F95">
            <v>655.55499784701999</v>
          </cell>
          <cell r="G95">
            <v>14.486770426449194</v>
          </cell>
        </row>
        <row r="96">
          <cell r="A96" t="str">
            <v>Celeron</v>
          </cell>
          <cell r="B96">
            <v>932.90000012421592</v>
          </cell>
          <cell r="C96">
            <v>738.86999765181497</v>
          </cell>
          <cell r="D96">
            <v>739.01999657559304</v>
          </cell>
          <cell r="E96">
            <v>887.76999581897201</v>
          </cell>
          <cell r="F96">
            <v>740.38500787186604</v>
          </cell>
          <cell r="G96">
            <v>-0.20636187397011085</v>
          </cell>
        </row>
        <row r="97">
          <cell r="A97" t="str">
            <v>K6/K6-2/K6-3</v>
          </cell>
          <cell r="B97">
            <v>63.709999766379603</v>
          </cell>
          <cell r="C97">
            <v>11.5</v>
          </cell>
          <cell r="D97">
            <v>6</v>
          </cell>
          <cell r="E97">
            <v>4.0000000610352</v>
          </cell>
          <cell r="F97">
            <v>0</v>
          </cell>
          <cell r="G97">
            <v>-1</v>
          </cell>
        </row>
        <row r="98">
          <cell r="A98" t="str">
            <v>Athlon</v>
          </cell>
          <cell r="B98">
            <v>133.11999983072198</v>
          </cell>
          <cell r="C98">
            <v>124.550000284791</v>
          </cell>
          <cell r="D98">
            <v>150.02000154042202</v>
          </cell>
          <cell r="E98">
            <v>152.89999972057299</v>
          </cell>
          <cell r="F98">
            <v>118.740000730514</v>
          </cell>
          <cell r="G98">
            <v>-0.10802282991657053</v>
          </cell>
        </row>
        <row r="99">
          <cell r="A99" t="str">
            <v>Duron</v>
          </cell>
          <cell r="B99">
            <v>466.44000264024697</v>
          </cell>
          <cell r="C99">
            <v>386.06999764478201</v>
          </cell>
          <cell r="D99">
            <v>379.24000043618599</v>
          </cell>
          <cell r="E99">
            <v>520.04999961233102</v>
          </cell>
          <cell r="F99">
            <v>576.58999519526901</v>
          </cell>
          <cell r="G99">
            <v>0.23615039861831466</v>
          </cell>
        </row>
        <row r="100">
          <cell r="A100" t="str">
            <v>Crusoe</v>
          </cell>
          <cell r="B100">
            <v>74.379998624801601</v>
          </cell>
          <cell r="C100">
            <v>60.480000042438498</v>
          </cell>
          <cell r="D100">
            <v>60.299999272525305</v>
          </cell>
          <cell r="E100">
            <v>46.099999758124405</v>
          </cell>
          <cell r="F100">
            <v>72.949999319374598</v>
          </cell>
          <cell r="G100">
            <v>-1.922558929639695E-2</v>
          </cell>
        </row>
        <row r="101">
          <cell r="A101" t="str">
            <v>PPC-G3/G4</v>
          </cell>
          <cell r="B101">
            <v>128.00000053405699</v>
          </cell>
          <cell r="C101">
            <v>97.900001281738298</v>
          </cell>
          <cell r="D101">
            <v>96.000001602172901</v>
          </cell>
          <cell r="E101">
            <v>130.99999942779499</v>
          </cell>
          <cell r="F101">
            <v>97.799999694824209</v>
          </cell>
          <cell r="G101">
            <v>-0.23593750557209925</v>
          </cell>
        </row>
        <row r="102">
          <cell r="A102" t="str">
            <v>Total</v>
          </cell>
          <cell r="B102">
            <v>3252.6900016488044</v>
          </cell>
          <cell r="C102">
            <v>2590.9599943491203</v>
          </cell>
          <cell r="D102">
            <v>2844.4099953189461</v>
          </cell>
          <cell r="E102">
            <v>3505.5600006351028</v>
          </cell>
          <cell r="F102">
            <v>2822.8300008596161</v>
          </cell>
          <cell r="G102">
            <v>-0.1321552316917044</v>
          </cell>
        </row>
        <row r="103">
          <cell r="A103" t="str">
            <v>Market Share</v>
          </cell>
        </row>
        <row r="104">
          <cell r="A104" t="str">
            <v>486DX4/Pentium</v>
          </cell>
          <cell r="B104">
            <v>2.7669406011786724E-4</v>
          </cell>
          <cell r="C104">
            <v>2.4315311678556559E-4</v>
          </cell>
          <cell r="D104">
            <v>2.9883174751022093E-4</v>
          </cell>
          <cell r="E104">
            <v>1.711566773350329E-4</v>
          </cell>
          <cell r="F104">
            <v>1.4170176462939351E-4</v>
          </cell>
        </row>
        <row r="105">
          <cell r="A105" t="str">
            <v>Pentium II</v>
          </cell>
          <cell r="B105">
            <v>3.0743784359809733E-4</v>
          </cell>
          <cell r="C105">
            <v>3.0876586940886729E-4</v>
          </cell>
          <cell r="D105">
            <v>1.7578337891613777E-4</v>
          </cell>
          <cell r="E105">
            <v>7.131527965620541E-5</v>
          </cell>
          <cell r="F105">
            <v>3.5425442508704992E-5</v>
          </cell>
        </row>
        <row r="106">
          <cell r="A106" t="str">
            <v>Pentium III</v>
          </cell>
          <cell r="B106">
            <v>0.43345968999291967</v>
          </cell>
          <cell r="C106">
            <v>0.43015716169047236</v>
          </cell>
          <cell r="D106">
            <v>0.34826203085968493</v>
          </cell>
          <cell r="E106">
            <v>0.33248896100179293</v>
          </cell>
          <cell r="F106">
            <v>0.19849229320782436</v>
          </cell>
        </row>
        <row r="107">
          <cell r="A107" t="str">
            <v>Pentium 4</v>
          </cell>
          <cell r="B107">
            <v>1.3013844032571017E-2</v>
          </cell>
          <cell r="C107">
            <v>2.1474665887846571E-2</v>
          </cell>
          <cell r="D107">
            <v>0.14831898179567507</v>
          </cell>
          <cell r="E107">
            <v>0.17039503069231154</v>
          </cell>
          <cell r="F107">
            <v>0.23223325444585347</v>
          </cell>
        </row>
        <row r="108">
          <cell r="A108" t="str">
            <v>Celeron</v>
          </cell>
          <cell r="B108">
            <v>0.28680876433085367</v>
          </cell>
          <cell r="C108">
            <v>0.28517229106712927</v>
          </cell>
          <cell r="D108">
            <v>0.25981486416930061</v>
          </cell>
          <cell r="E108">
            <v>0.25324627039849112</v>
          </cell>
          <cell r="F108">
            <v>0.26228466030416353</v>
          </cell>
        </row>
        <row r="109">
          <cell r="A109" t="str">
            <v>K6/K6-2/K6-3</v>
          </cell>
          <cell r="B109">
            <v>1.9586864943811028E-2</v>
          </cell>
          <cell r="C109">
            <v>4.4385092880945606E-3</v>
          </cell>
          <cell r="D109">
            <v>2.1094005469936535E-3</v>
          </cell>
          <cell r="E109">
            <v>1.1410445293506656E-3</v>
          </cell>
          <cell r="F109">
            <v>0</v>
          </cell>
        </row>
        <row r="110">
          <cell r="A110" t="str">
            <v>Athlon</v>
          </cell>
          <cell r="B110">
            <v>4.0926125687736244E-2</v>
          </cell>
          <cell r="C110">
            <v>4.8070985486628262E-2</v>
          </cell>
          <cell r="D110">
            <v>5.2742045551559154E-2</v>
          </cell>
          <cell r="E110">
            <v>4.3616426389185205E-2</v>
          </cell>
          <cell r="F110">
            <v>4.2064169891334213E-2</v>
          </cell>
        </row>
        <row r="111">
          <cell r="A111" t="str">
            <v>Duron</v>
          </cell>
          <cell r="B111">
            <v>0.14340130857960834</v>
          </cell>
          <cell r="C111">
            <v>0.14900654525226173</v>
          </cell>
          <cell r="D111">
            <v>0.13332817739366068</v>
          </cell>
          <cell r="E111">
            <v>0.14835004949797279</v>
          </cell>
          <cell r="F111">
            <v>0.20425955336300244</v>
          </cell>
        </row>
        <row r="112">
          <cell r="A112" t="str">
            <v>Crusoe</v>
          </cell>
          <cell r="B112">
            <v>2.2867226384038448E-2</v>
          </cell>
          <cell r="C112">
            <v>2.3342699298462843E-2</v>
          </cell>
          <cell r="D112">
            <v>2.1199475241530298E-2</v>
          </cell>
          <cell r="E112">
            <v>1.3150537931107287E-2</v>
          </cell>
          <cell r="F112">
            <v>2.5842859576084874E-2</v>
          </cell>
        </row>
        <row r="113">
          <cell r="A113" t="str">
            <v>PPC-G3/G4</v>
          </cell>
          <cell r="B113">
            <v>3.9352044144745787E-2</v>
          </cell>
          <cell r="C113">
            <v>3.7785223042909981E-2</v>
          </cell>
          <cell r="D113">
            <v>3.3750409315169184E-2</v>
          </cell>
          <cell r="E113">
            <v>3.7369207602797182E-2</v>
          </cell>
          <cell r="F113">
            <v>3.4646082004598885E-2</v>
          </cell>
        </row>
        <row r="114">
          <cell r="A114" t="str">
            <v>Source: Gartner Dataquest (August 2002)</v>
          </cell>
        </row>
        <row r="116">
          <cell r="A116" t="str">
            <v>Table 1-5</v>
          </cell>
          <cell r="B116" t="str">
            <v>(Top)</v>
          </cell>
          <cell r="C116" t="str">
            <v>(Front Page)</v>
          </cell>
        </row>
        <row r="117">
          <cell r="A117" t="str">
            <v>Total Market Shipments by Distribution Channels (Thousands of Units)</v>
          </cell>
        </row>
        <row r="118">
          <cell r="A118" t="str">
            <v>Distribution Channel</v>
          </cell>
          <cell r="B118" t="str">
            <v>2Q01</v>
          </cell>
          <cell r="C118" t="str">
            <v>3Q01</v>
          </cell>
          <cell r="D118" t="str">
            <v>4Q01</v>
          </cell>
          <cell r="E118" t="str">
            <v>1Q02</v>
          </cell>
          <cell r="F118" t="str">
            <v>2Q02</v>
          </cell>
          <cell r="G118" t="str">
            <v>2Q02/2Q01</v>
          </cell>
        </row>
        <row r="119">
          <cell r="A119" t="str">
            <v>Vendor Direct</v>
          </cell>
          <cell r="B119">
            <v>718.97655202865599</v>
          </cell>
          <cell r="C119">
            <v>682.59855062103202</v>
          </cell>
          <cell r="D119">
            <v>638.21884947967499</v>
          </cell>
          <cell r="E119">
            <v>746.30694962310702</v>
          </cell>
          <cell r="F119">
            <v>579.53454996490393</v>
          </cell>
          <cell r="G119">
            <v>-0.19394513168795857</v>
          </cell>
        </row>
        <row r="120">
          <cell r="A120" t="str">
            <v>VAR/Dealer</v>
          </cell>
          <cell r="B120">
            <v>982.21185375976506</v>
          </cell>
          <cell r="C120">
            <v>929.66355310058498</v>
          </cell>
          <cell r="D120">
            <v>830.67904928588803</v>
          </cell>
          <cell r="E120">
            <v>1122.7942996521001</v>
          </cell>
          <cell r="F120">
            <v>828.04225390625004</v>
          </cell>
          <cell r="G120">
            <v>-0.15696165675803653</v>
          </cell>
        </row>
        <row r="121">
          <cell r="A121" t="str">
            <v>Indirect Retail</v>
          </cell>
          <cell r="B121">
            <v>1551.50159901809</v>
          </cell>
          <cell r="C121">
            <v>978.6979001064301</v>
          </cell>
          <cell r="D121">
            <v>1375.5120995674101</v>
          </cell>
          <cell r="E121">
            <v>1636.4587499961799</v>
          </cell>
          <cell r="F121">
            <v>1415.2531999526</v>
          </cell>
          <cell r="G121">
            <v>-8.7817118043396536E-2</v>
          </cell>
        </row>
        <row r="122">
          <cell r="A122" t="str">
            <v>Total</v>
          </cell>
          <cell r="B122">
            <v>3252.6900048065108</v>
          </cell>
          <cell r="C122">
            <v>2590.9600038280469</v>
          </cell>
          <cell r="D122">
            <v>2844.4099983329734</v>
          </cell>
          <cell r="E122">
            <v>3505.5599992713869</v>
          </cell>
          <cell r="F122">
            <v>2822.8300038237539</v>
          </cell>
          <cell r="G122">
            <v>-0.13215523162291865</v>
          </cell>
        </row>
        <row r="123">
          <cell r="A123" t="str">
            <v>Market Share</v>
          </cell>
        </row>
        <row r="124">
          <cell r="A124" t="str">
            <v>Vendor Direct</v>
          </cell>
          <cell r="B124">
            <v>0.22104060053869934</v>
          </cell>
          <cell r="C124">
            <v>0.26345391268584545</v>
          </cell>
          <cell r="D124">
            <v>0.22437653146125791</v>
          </cell>
          <cell r="E124">
            <v>0.21289236235529363</v>
          </cell>
          <cell r="F124">
            <v>0.20530267468458144</v>
          </cell>
        </row>
        <row r="125">
          <cell r="A125" t="str">
            <v>VAR/Dealer</v>
          </cell>
          <cell r="B125">
            <v>0.30196909398324073</v>
          </cell>
          <cell r="C125">
            <v>0.35881046088208296</v>
          </cell>
          <cell r="D125">
            <v>0.29203913984718272</v>
          </cell>
          <cell r="E125">
            <v>0.32028956853839824</v>
          </cell>
          <cell r="F125">
            <v>0.2933376267024933</v>
          </cell>
        </row>
        <row r="126">
          <cell r="A126" t="str">
            <v>Indirect Retail</v>
          </cell>
          <cell r="B126">
            <v>0.47699030547805998</v>
          </cell>
          <cell r="C126">
            <v>0.37773562643207165</v>
          </cell>
          <cell r="D126">
            <v>0.48358432869155926</v>
          </cell>
          <cell r="E126">
            <v>0.46681806910630819</v>
          </cell>
          <cell r="F126">
            <v>0.50135969861292529</v>
          </cell>
        </row>
        <row r="127">
          <cell r="A127" t="str">
            <v>Source: Gartner Dataquest (August 2002)</v>
          </cell>
        </row>
        <row r="129">
          <cell r="A129" t="str">
            <v>Table 1-6</v>
          </cell>
          <cell r="B129" t="str">
            <v>(Top)</v>
          </cell>
          <cell r="C129" t="str">
            <v>(Front Page)</v>
          </cell>
        </row>
        <row r="130">
          <cell r="A130" t="str">
            <v>Total Market Shipments by Major Maket (Thousands of Units)</v>
          </cell>
        </row>
        <row r="131">
          <cell r="A131" t="str">
            <v>Major Market</v>
          </cell>
          <cell r="B131" t="str">
            <v>2Q01</v>
          </cell>
          <cell r="C131" t="str">
            <v>3Q01</v>
          </cell>
          <cell r="D131" t="str">
            <v>4Q01</v>
          </cell>
          <cell r="E131" t="str">
            <v>1Q02</v>
          </cell>
          <cell r="F131" t="str">
            <v>2Q02</v>
          </cell>
          <cell r="G131" t="str">
            <v>2Q02/2Q01</v>
          </cell>
        </row>
        <row r="132">
          <cell r="A132" t="str">
            <v>Business</v>
          </cell>
          <cell r="B132">
            <v>1417.0590590095499</v>
          </cell>
          <cell r="C132">
            <v>1313.4165573043799</v>
          </cell>
          <cell r="D132">
            <v>1144.1927861099198</v>
          </cell>
          <cell r="E132">
            <v>1530.0913090858398</v>
          </cell>
          <cell r="F132">
            <v>1165.2827426605199</v>
          </cell>
          <cell r="G132">
            <v>-0.17767524560691805</v>
          </cell>
        </row>
        <row r="133">
          <cell r="A133" t="str">
            <v>Government</v>
          </cell>
          <cell r="B133">
            <v>137.96702177751001</v>
          </cell>
          <cell r="C133">
            <v>146.892644441127</v>
          </cell>
          <cell r="D133">
            <v>120.930823853969</v>
          </cell>
          <cell r="E133">
            <v>181.270470690488</v>
          </cell>
          <cell r="F133">
            <v>130.856514735221</v>
          </cell>
          <cell r="G133">
            <v>-5.1537729456504811E-2</v>
          </cell>
        </row>
        <row r="134">
          <cell r="A134" t="str">
            <v>Education</v>
          </cell>
          <cell r="B134">
            <v>157.67240081182098</v>
          </cell>
          <cell r="C134">
            <v>155.45018000459601</v>
          </cell>
          <cell r="D134">
            <v>139.68956625437698</v>
          </cell>
          <cell r="E134">
            <v>184.41782306849902</v>
          </cell>
          <cell r="F134">
            <v>138.15270177412</v>
          </cell>
          <cell r="G134">
            <v>-0.12379908555459473</v>
          </cell>
        </row>
        <row r="135">
          <cell r="A135" t="str">
            <v>Home</v>
          </cell>
          <cell r="B135">
            <v>1539.99151829528</v>
          </cell>
          <cell r="C135">
            <v>975.20061679887704</v>
          </cell>
          <cell r="D135">
            <v>1439.5968374679001</v>
          </cell>
          <cell r="E135">
            <v>1609.7803957777001</v>
          </cell>
          <cell r="F135">
            <v>1388.5380231409001</v>
          </cell>
          <cell r="G135">
            <v>-9.8346967080723879E-2</v>
          </cell>
        </row>
        <row r="136">
          <cell r="A136" t="str">
            <v>Total</v>
          </cell>
          <cell r="B136">
            <v>3252.6899998941608</v>
          </cell>
          <cell r="C136">
            <v>2590.9599985489799</v>
          </cell>
          <cell r="D136">
            <v>2844.4100136861662</v>
          </cell>
          <cell r="E136">
            <v>3505.559998622527</v>
          </cell>
          <cell r="F136">
            <v>2822.8299823107609</v>
          </cell>
          <cell r="G136">
            <v>-0.13215523692617104</v>
          </cell>
        </row>
        <row r="137">
          <cell r="A137" t="str">
            <v>Market Share</v>
          </cell>
        </row>
        <row r="138">
          <cell r="A138" t="str">
            <v>Business</v>
          </cell>
          <cell r="B138">
            <v>0.43565758158805773</v>
          </cell>
          <cell r="C138">
            <v>0.5069227460246144</v>
          </cell>
          <cell r="D138">
            <v>0.40226014555022677</v>
          </cell>
          <cell r="E138">
            <v>0.43647557300034034</v>
          </cell>
          <cell r="F138">
            <v>0.4128065629041614</v>
          </cell>
        </row>
        <row r="139">
          <cell r="A139" t="str">
            <v>Government</v>
          </cell>
          <cell r="B139">
            <v>4.2416283685810609E-2</v>
          </cell>
          <cell r="C139">
            <v>5.6694292665032099E-2</v>
          </cell>
          <cell r="D139">
            <v>4.2515257389791949E-2</v>
          </cell>
          <cell r="E139">
            <v>5.1709418969213571E-2</v>
          </cell>
          <cell r="F139">
            <v>4.6356498816872496E-2</v>
          </cell>
        </row>
        <row r="140">
          <cell r="A140" t="str">
            <v>Education</v>
          </cell>
          <cell r="B140">
            <v>4.8474462926670382E-2</v>
          </cell>
          <cell r="C140">
            <v>5.9997136231996269E-2</v>
          </cell>
          <cell r="D140">
            <v>4.9110207593928625E-2</v>
          </cell>
          <cell r="E140">
            <v>5.2607236259246473E-2</v>
          </cell>
          <cell r="F140">
            <v>4.8941205329351284E-2</v>
          </cell>
        </row>
        <row r="141">
          <cell r="A141" t="str">
            <v>Home</v>
          </cell>
          <cell r="B141">
            <v>0.47345167179946129</v>
          </cell>
          <cell r="C141">
            <v>0.37638582507835722</v>
          </cell>
          <cell r="D141">
            <v>0.50611438946605247</v>
          </cell>
          <cell r="E141">
            <v>0.45920777177119959</v>
          </cell>
          <cell r="F141">
            <v>0.49189573294961486</v>
          </cell>
        </row>
        <row r="142">
          <cell r="A142" t="str">
            <v>Source: Gartner Dataquest (August 2002)</v>
          </cell>
        </row>
        <row r="144">
          <cell r="A144" t="str">
            <v>Table 1-7</v>
          </cell>
          <cell r="B144" t="str">
            <v>(Top)</v>
          </cell>
          <cell r="C144" t="str">
            <v>(Front Page)</v>
          </cell>
        </row>
        <row r="145">
          <cell r="A145" t="str">
            <v>Total Market Shipments by Price Range (Thousands of Units)</v>
          </cell>
        </row>
        <row r="146">
          <cell r="A146" t="str">
            <v>Price Range</v>
          </cell>
          <cell r="B146" t="str">
            <v>2Q01</v>
          </cell>
          <cell r="C146" t="str">
            <v>3Q01</v>
          </cell>
          <cell r="D146" t="str">
            <v>4Q01</v>
          </cell>
          <cell r="E146" t="str">
            <v>1Q02</v>
          </cell>
          <cell r="F146" t="str">
            <v>2Q02</v>
          </cell>
          <cell r="G146" t="str">
            <v>2Q02/2Q01</v>
          </cell>
        </row>
        <row r="147">
          <cell r="A147" t="str">
            <v>Less than 100,000 yens</v>
          </cell>
          <cell r="B147">
            <v>200.01000002288802</v>
          </cell>
          <cell r="C147">
            <v>116.219999909162</v>
          </cell>
          <cell r="D147">
            <v>130.6</v>
          </cell>
          <cell r="E147">
            <v>136.20000000023802</v>
          </cell>
          <cell r="F147">
            <v>78.409999992370601</v>
          </cell>
          <cell r="G147">
            <v>-0.60796960160293079</v>
          </cell>
        </row>
        <row r="148">
          <cell r="A148" t="str">
            <v>100,000-129,999 yens</v>
          </cell>
          <cell r="B148">
            <v>143.399999999806</v>
          </cell>
          <cell r="C148">
            <v>197.42000004959101</v>
          </cell>
          <cell r="D148">
            <v>135.34999999713901</v>
          </cell>
          <cell r="E148">
            <v>141.840000038385</v>
          </cell>
          <cell r="F148">
            <v>132.015000001907</v>
          </cell>
          <cell r="G148">
            <v>-7.939330542478662E-2</v>
          </cell>
        </row>
        <row r="149">
          <cell r="A149" t="str">
            <v>120,000-149,999 yens</v>
          </cell>
          <cell r="B149">
            <v>515.28000028103497</v>
          </cell>
          <cell r="C149">
            <v>559.96499983716001</v>
          </cell>
          <cell r="D149">
            <v>457.849999990463</v>
          </cell>
          <cell r="E149">
            <v>392.95799999642304</v>
          </cell>
          <cell r="F149">
            <v>328.94999990224795</v>
          </cell>
          <cell r="G149">
            <v>-0.36160922270835694</v>
          </cell>
        </row>
        <row r="150">
          <cell r="A150" t="str">
            <v>150,000-199,999 yens</v>
          </cell>
          <cell r="B150">
            <v>1263.06999986445</v>
          </cell>
          <cell r="C150">
            <v>832.08499980521196</v>
          </cell>
          <cell r="D150">
            <v>1179.01999989366</v>
          </cell>
          <cell r="E150">
            <v>1651.74200026893</v>
          </cell>
          <cell r="F150">
            <v>1296.8749996628701</v>
          </cell>
          <cell r="G150">
            <v>2.6764153848993333E-2</v>
          </cell>
        </row>
        <row r="151">
          <cell r="A151" t="str">
            <v>200,000-249,999 yens</v>
          </cell>
          <cell r="B151">
            <v>698.53999970614893</v>
          </cell>
          <cell r="C151">
            <v>600.96999906492204</v>
          </cell>
          <cell r="D151">
            <v>604.14999960702596</v>
          </cell>
          <cell r="E151">
            <v>704.89000094614903</v>
          </cell>
          <cell r="F151">
            <v>630.759999887302</v>
          </cell>
          <cell r="G151">
            <v>-9.7030950049187714E-2</v>
          </cell>
        </row>
        <row r="152">
          <cell r="A152" t="str">
            <v>250,000-299,999 yens</v>
          </cell>
          <cell r="B152">
            <v>326.63999998855496</v>
          </cell>
          <cell r="C152">
            <v>219.15000000572198</v>
          </cell>
          <cell r="D152">
            <v>212.119999914228</v>
          </cell>
          <cell r="E152">
            <v>348.58000031852697</v>
          </cell>
          <cell r="F152">
            <v>238.57999987164098</v>
          </cell>
          <cell r="G152">
            <v>-0.26959343656624879</v>
          </cell>
        </row>
        <row r="153">
          <cell r="A153" t="str">
            <v>300,000-349,999 yens</v>
          </cell>
          <cell r="B153">
            <v>55.1099999818802</v>
          </cell>
          <cell r="C153">
            <v>30.840000021457701</v>
          </cell>
          <cell r="D153">
            <v>91.239999998092699</v>
          </cell>
          <cell r="E153">
            <v>68.050000039517897</v>
          </cell>
          <cell r="F153">
            <v>69.049999953270003</v>
          </cell>
          <cell r="G153">
            <v>0.25294864772224979</v>
          </cell>
        </row>
        <row r="154">
          <cell r="A154" t="str">
            <v>350,000-399,999 yens</v>
          </cell>
          <cell r="B154">
            <v>38.760000009536697</v>
          </cell>
          <cell r="C154">
            <v>23.909999999523198</v>
          </cell>
          <cell r="D154">
            <v>21.9</v>
          </cell>
          <cell r="E154">
            <v>30.7</v>
          </cell>
          <cell r="F154">
            <v>32.020000099182099</v>
          </cell>
          <cell r="G154">
            <v>-0.17389060651951127</v>
          </cell>
        </row>
        <row r="155">
          <cell r="A155" t="str">
            <v>Over 400,000 yens</v>
          </cell>
          <cell r="B155">
            <v>11.879999980926499</v>
          </cell>
          <cell r="C155">
            <v>10.400000030517599</v>
          </cell>
          <cell r="D155">
            <v>12.180000000476801</v>
          </cell>
          <cell r="E155">
            <v>30.6</v>
          </cell>
          <cell r="F155">
            <v>16.170000085830701</v>
          </cell>
          <cell r="G155">
            <v>0.36111112052119987</v>
          </cell>
        </row>
        <row r="156">
          <cell r="A156" t="str">
            <v>Total</v>
          </cell>
          <cell r="B156">
            <v>3252.6899998352264</v>
          </cell>
          <cell r="C156">
            <v>2590.9599987232682</v>
          </cell>
          <cell r="D156">
            <v>2844.4099994010858</v>
          </cell>
          <cell r="E156">
            <v>3505.5600016081694</v>
          </cell>
          <cell r="F156">
            <v>2822.8299994566219</v>
          </cell>
          <cell r="G156">
            <v>-0.13215523163916032</v>
          </cell>
        </row>
        <row r="157">
          <cell r="A157" t="str">
            <v>Market Share</v>
          </cell>
        </row>
        <row r="158">
          <cell r="A158" t="str">
            <v>Less than 100,000 yens</v>
          </cell>
          <cell r="B158">
            <v>6.1490643139376966E-2</v>
          </cell>
          <cell r="C158">
            <v>4.4855960712026056E-2</v>
          </cell>
          <cell r="D158">
            <v>4.591461850700107E-2</v>
          </cell>
          <cell r="E158">
            <v>3.8852565620829914E-2</v>
          </cell>
          <cell r="F158">
            <v>2.7777088952386102E-2</v>
          </cell>
        </row>
        <row r="159">
          <cell r="A159" t="str">
            <v>100,000-129,999 yens</v>
          </cell>
          <cell r="B159">
            <v>4.4086586796488539E-2</v>
          </cell>
          <cell r="C159">
            <v>7.6195695860558438E-2</v>
          </cell>
          <cell r="D159">
            <v>4.7584560603301941E-2</v>
          </cell>
          <cell r="E159">
            <v>4.0461438393100145E-2</v>
          </cell>
          <cell r="F159">
            <v>4.6766897059801374E-2</v>
          </cell>
        </row>
        <row r="160">
          <cell r="A160" t="str">
            <v>120,000-149,999 yens</v>
          </cell>
          <cell r="B160">
            <v>0.1584165722239555</v>
          </cell>
          <cell r="C160">
            <v>0.21612259552949123</v>
          </cell>
          <cell r="D160">
            <v>0.16096483983914667</v>
          </cell>
          <cell r="E160">
            <v>0.11209564229856407</v>
          </cell>
          <cell r="F160">
            <v>0.11653199093305969</v>
          </cell>
        </row>
        <row r="161">
          <cell r="A161" t="str">
            <v>150,000-199,999 yens</v>
          </cell>
          <cell r="B161">
            <v>0.38831551728828573</v>
          </cell>
          <cell r="C161">
            <v>0.32114930381605022</v>
          </cell>
          <cell r="D161">
            <v>0.41450423818715043</v>
          </cell>
          <cell r="E161">
            <v>0.47117778600600085</v>
          </cell>
          <cell r="F161">
            <v>0.4594236988810913</v>
          </cell>
        </row>
        <row r="162">
          <cell r="A162" t="str">
            <v>200,000-249,999 yens</v>
          </cell>
          <cell r="B162">
            <v>0.21475763129641476</v>
          </cell>
          <cell r="C162">
            <v>0.23194877549674964</v>
          </cell>
          <cell r="D162">
            <v>0.21239905630138931</v>
          </cell>
          <cell r="E162">
            <v>0.2010777167193778</v>
          </cell>
          <cell r="F162">
            <v>0.2234495169771894</v>
          </cell>
        </row>
        <row r="163">
          <cell r="A163" t="str">
            <v>250,000-299,999 yens</v>
          </cell>
          <cell r="B163">
            <v>0.10042149728535513</v>
          </cell>
          <cell r="C163">
            <v>8.4582548597319604E-2</v>
          </cell>
          <cell r="D163">
            <v>7.4574340534202754E-2</v>
          </cell>
          <cell r="E163">
            <v>9.9436324056246791E-2</v>
          </cell>
          <cell r="F163">
            <v>8.4518019121791327E-2</v>
          </cell>
        </row>
        <row r="164">
          <cell r="A164" t="str">
            <v>300,000-349,999 yens</v>
          </cell>
          <cell r="B164">
            <v>1.6942899564567154E-2</v>
          </cell>
          <cell r="C164">
            <v>1.1902924026868242E-2</v>
          </cell>
          <cell r="D164">
            <v>3.2076950937911214E-2</v>
          </cell>
          <cell r="E164">
            <v>1.941201976525864E-2</v>
          </cell>
          <cell r="F164">
            <v>2.4461267581314398E-2</v>
          </cell>
        </row>
        <row r="165">
          <cell r="A165" t="str">
            <v>350,000-399,999 yens</v>
          </cell>
          <cell r="B165">
            <v>1.191629082743827E-2</v>
          </cell>
          <cell r="C165">
            <v>9.2282397301792322E-3</v>
          </cell>
          <cell r="D165">
            <v>7.699311985477208E-3</v>
          </cell>
          <cell r="E165">
            <v>8.7575166267062684E-3</v>
          </cell>
          <cell r="F165">
            <v>1.1343226515711452E-2</v>
          </cell>
        </row>
        <row r="166">
          <cell r="A166" t="str">
            <v>Over 400,000 yens</v>
          </cell>
          <cell r="B166">
            <v>3.6523615781178997E-3</v>
          </cell>
          <cell r="C166">
            <v>4.0139562307570723E-3</v>
          </cell>
          <cell r="D166">
            <v>4.2820831044193351E-3</v>
          </cell>
          <cell r="E166">
            <v>8.7289905139156954E-3</v>
          </cell>
          <cell r="F166">
            <v>5.728293977654811E-3</v>
          </cell>
        </row>
        <row r="167">
          <cell r="A167" t="str">
            <v>Note: Above data are based on street price.</v>
          </cell>
        </row>
        <row r="168">
          <cell r="A168" t="str">
            <v>Source: Gartner Dataquest (August 2002)</v>
          </cell>
        </row>
      </sheetData>
      <sheetData sheetId="3">
        <row r="11">
          <cell r="A11" t="str">
            <v>Table 2-1</v>
          </cell>
          <cell r="B11" t="str">
            <v>(Top)</v>
          </cell>
          <cell r="C11" t="str">
            <v>(Front Page)</v>
          </cell>
        </row>
        <row r="12">
          <cell r="A12" t="str">
            <v>Quarterly Exchange Rate</v>
          </cell>
        </row>
        <row r="13">
          <cell r="B13" t="str">
            <v>2Q01</v>
          </cell>
          <cell r="C13" t="str">
            <v>3Q01</v>
          </cell>
          <cell r="D13" t="str">
            <v>4Q01</v>
          </cell>
          <cell r="E13" t="str">
            <v>1Q02</v>
          </cell>
          <cell r="F13" t="str">
            <v>2Q02</v>
          </cell>
        </row>
        <row r="14">
          <cell r="A14" t="str">
            <v>Yen/US $</v>
          </cell>
          <cell r="B14">
            <v>122.63</v>
          </cell>
          <cell r="C14">
            <v>121.4933</v>
          </cell>
          <cell r="D14">
            <v>123.8167</v>
          </cell>
          <cell r="E14">
            <v>132.46</v>
          </cell>
          <cell r="F14">
            <v>126.81333333333301</v>
          </cell>
        </row>
        <row r="15">
          <cell r="A15" t="str">
            <v>Source: Gartner Dataquest (August 2002)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Factset"/>
      <sheetName val="Options"/>
      <sheetName val="Converts"/>
      <sheetName val="PALM"/>
      <sheetName val="HAND"/>
      <sheetName val="RC for TI"/>
      <sheetName val="PSG % of Value - TI"/>
      <sheetName val="Relative DEV - TI"/>
      <sheetName val="Balance Sheet Contr. - TI"/>
      <sheetName val="PRojected Equity Val"/>
      <sheetName val="Template (4)"/>
      <sheetName val="Template (5)"/>
      <sheetName val="SV-T (2)"/>
      <sheetName val="Relative Sum of Parts"/>
      <sheetName val="Heat PF Ownership"/>
      <sheetName val="Heat PF Ownership (2)"/>
      <sheetName val="Heat PF HW Asset Ownership"/>
      <sheetName val="Hardware Val. Metrics"/>
      <sheetName val="Valuation Implications"/>
      <sheetName val="Valuation Implications (2)"/>
      <sheetName val="PSG PSI BS"/>
      <sheetName val="Template (2)"/>
      <sheetName val="PSGPSI Valuation Matrix"/>
      <sheetName val="PrintManagerCode"/>
      <sheetName val="PSGPSI Valuation Matrix (2)"/>
      <sheetName val="12-15-02"/>
      <sheetName val="8-20-02"/>
      <sheetName val="PSG3"/>
      <sheetName val="PSG3 (2)"/>
      <sheetName val="HAND Cash Balance MAtrix (FY)"/>
      <sheetName val="HAND Cash Balance Matrix (CY)"/>
      <sheetName val="PALM Cash Balance MAtrix (FY)"/>
      <sheetName val="Costs Compare"/>
      <sheetName val="Market"/>
      <sheetName val="Market2"/>
      <sheetName val="Combo"/>
      <sheetName val="TM"/>
      <sheetName val="TM (2)"/>
      <sheetName val="TM Cheetah"/>
      <sheetName val="RC"/>
      <sheetName val="RC (FY)"/>
      <sheetName val="PSI"/>
      <sheetName val="SI"/>
      <sheetName val="PF P&amp;L"/>
      <sheetName val="PF P&amp;L (2)"/>
      <sheetName val="AVGO PF P&amp;L"/>
      <sheetName val="Undervalued Today"/>
      <sheetName val="AVGO Implied Price"/>
      <sheetName val="Template (3)"/>
      <sheetName val="PF B-S (2)"/>
      <sheetName val="PF P&amp;L (4)"/>
      <sheetName val="OpTable"/>
      <sheetName val="OpDil"/>
      <sheetName val="PalmCash"/>
      <sheetName val="HandCash"/>
      <sheetName val="PF Cash"/>
      <sheetName val="ER"/>
      <sheetName val="PFR - Yr"/>
      <sheetName val="Ownership Sensitivity"/>
      <sheetName val="Ownership Sensitivity (2)"/>
      <sheetName val="PFRpsi"/>
      <sheetName val="Sens"/>
      <sheetName val="Own"/>
      <sheetName val="END"/>
      <sheetName val="PSG"/>
      <sheetName val="PPSI"/>
      <sheetName val="PF B-S"/>
      <sheetName val="PF P&amp;L (3)"/>
      <sheetName val="PFE - Yr"/>
      <sheetName val="PFE - 1H02"/>
      <sheetName val="PFE - 2H02"/>
      <sheetName val="PFE - 1H03"/>
      <sheetName val="PFE - 2H03"/>
      <sheetName val="PFR -AV Mult"/>
      <sheetName val="PFR - 1H02"/>
      <sheetName val="PFR - 2H02"/>
      <sheetName val="PFR - 1H03"/>
      <sheetName val="PFR - 2H03"/>
      <sheetName val="SV-T"/>
      <sheetName val="DEVR-T"/>
      <sheetName val="DEV-T"/>
      <sheetName val="AdditionalPrintCode"/>
      <sheetName val="MainPrintCode"/>
      <sheetName val="DEV-NewCo"/>
      <sheetName val="PI"/>
      <sheetName val="PIR"/>
      <sheetName val="Template"/>
      <sheetName val="Co D"/>
      <sheetName val="AvantGo"/>
      <sheetName val="Co F"/>
      <sheetName val="Co G"/>
    </sheetNames>
    <sheetDataSet>
      <sheetData sheetId="0" refreshError="1"/>
      <sheetData sheetId="1" refreshError="1">
        <row r="11">
          <cell r="F11" t="str">
            <v>Peace</v>
          </cell>
        </row>
        <row r="14">
          <cell r="F14" t="str">
            <v>Harmony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Links"/>
      <sheetName val="Lead"/>
      <sheetName val="TJC - Total"/>
      <sheetName val="ExcelEVA Model-Samtel"/>
      <sheetName val="Net"/>
      <sheetName val="entitlements"/>
      <sheetName val="COA in Acct Group"/>
      <sheetName val="F-B"/>
      <sheetName val="F-B-21"/>
      <sheetName val="F-B-3"/>
      <sheetName val="F-B-4"/>
      <sheetName val="Lead Sheets"/>
      <sheetName val="Control"/>
      <sheetName val="INDEPENDENT"/>
      <sheetName val="Company"/>
      <sheetName val="Original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A_in_Acct_Group"/>
      <sheetName val="BS"/>
      <sheetName val="Checks &amp; Inputs"/>
      <sheetName val="IS"/>
      <sheetName val="PF ann. 3CD"/>
      <sheetName val="accs"/>
      <sheetName val="Parameters"/>
      <sheetName val="FA (2)"/>
      <sheetName val="BSPL"/>
      <sheetName val="PL"/>
      <sheetName val="std.wt."/>
      <sheetName val="EAST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OCAOCL"/>
      <sheetName val="std_wt_"/>
      <sheetName val="std_wt_1"/>
      <sheetName val="Assumptions"/>
      <sheetName val="PM"/>
      <sheetName val="b"/>
      <sheetName val="Detailed P&amp;L"/>
      <sheetName val="Conditions"/>
      <sheetName val="Liability Mgm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wwww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Assumptions"/>
      <sheetName val="Q-Comparision"/>
      <sheetName val="Tax"/>
      <sheetName val="SI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sublead"/>
      <sheetName val="Section conclusion"/>
      <sheetName val="Tickmark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TPL"/>
      <sheetName val="Process List"/>
      <sheetName val="rptTypeI"/>
      <sheetName val="TPLTypeI"/>
      <sheetName val="rtvTypeI"/>
      <sheetName val="rptTypeII"/>
      <sheetName val="TPLTypeII"/>
      <sheetName val="rptTypeIII"/>
      <sheetName val="TPLTypeIII"/>
      <sheetName val="rptTypeIV"/>
      <sheetName val="TPLTypeIV"/>
      <sheetName val="rptTypeV"/>
      <sheetName val="TPLTypeV"/>
      <sheetName val="rptTypeVIRev"/>
      <sheetName val="TPLTypeVIRev"/>
      <sheetName val="rptTypeVIUnits"/>
      <sheetName val="TPLTypeVIUnits"/>
      <sheetName val="rptTypeA1"/>
      <sheetName val="TPLTypeA1"/>
      <sheetName val="rptTypeA2"/>
      <sheetName val="TPLTypeA2"/>
      <sheetName val="rptTypeA3"/>
      <sheetName val="TPLTypeA3"/>
      <sheetName val="rptTypeA4"/>
      <sheetName val="TPLTypeA4"/>
      <sheetName val="dynTypeII"/>
      <sheetName val="dynTypeIII"/>
      <sheetName val="dynTypeIV"/>
      <sheetName val="dynTypeV"/>
      <sheetName val="Retrieve_Sheet"/>
      <sheetName val="dynTypeVIRev"/>
      <sheetName val="dynTypeVIUnits"/>
      <sheetName val="dynTypeA1"/>
      <sheetName val="dynTypeA2"/>
      <sheetName val="dynTypeA3"/>
      <sheetName val="dynType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Summary"/>
      <sheetName val="Assumptions"/>
      <sheetName val="COP &amp; MoF"/>
      <sheetName val="Capex"/>
      <sheetName val="Process Flow &amp; RM"/>
      <sheetName val="Debt"/>
      <sheetName val="Input - Output"/>
      <sheetName val="WC"/>
      <sheetName val="Depreciation"/>
      <sheetName val="tax"/>
      <sheetName val="P&amp;L"/>
      <sheetName val="CF"/>
      <sheetName val="BS"/>
      <sheetName val="IRR"/>
      <sheetName val="BEP"/>
      <sheetName val="Ratios"/>
      <sheetName val="CF (Current)"/>
      <sheetName val="BS (Current)"/>
      <sheetName val="P&amp;L (Current)"/>
      <sheetName val=" P&amp;L(Consolidated)"/>
      <sheetName val="Consolidated CF"/>
      <sheetName val="BS(Consolidaed)"/>
    </sheetNames>
    <sheetDataSet>
      <sheetData sheetId="0">
        <row r="10">
          <cell r="F10">
            <v>1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23">
          <cell r="D23">
            <v>0.18864999999999998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hares"/>
      <sheetName val="Sensitivity"/>
      <sheetName val="Sheet1"/>
      <sheetName val="Input"/>
      <sheetName val="P&amp;M Cost"/>
      <sheetName val="project cost comparison"/>
      <sheetName val="ProjCost"/>
      <sheetName val="Funding"/>
      <sheetName val="P&amp;L"/>
      <sheetName val="BS"/>
      <sheetName val="CF"/>
      <sheetName val="Ratio"/>
      <sheetName val="P-C-R-Float"/>
      <sheetName val="P-C-R-Processing"/>
      <sheetName val="WC"/>
      <sheetName val="Debt-IDC-FCL"/>
      <sheetName val="Debt-IDC-RTL"/>
      <sheetName val="Pref Shares"/>
      <sheetName val="Mezzanine"/>
      <sheetName val="Depreci"/>
      <sheetName val="Build-Civil Cost"/>
      <sheetName val="Chart1"/>
      <sheetName val="Cost Comparison"/>
      <sheetName val="Sheet2"/>
      <sheetName val="Financials"/>
      <sheetName val="Input-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etailed OCF Bridge 1"/>
      <sheetName val="Detailed OCF Bridge 2"/>
      <sheetName val="Normative Inflation assumptions"/>
      <sheetName val="Automatic Light OCF Bridge"/>
      <sheetName val="Bridge1 Vector"/>
      <sheetName val="Bridge2 Vector"/>
      <sheetName val="2000-01"/>
    </sheetNames>
    <sheetDataSet>
      <sheetData sheetId="0">
        <row r="1">
          <cell r="L1" t="str">
            <v>U12101_France</v>
          </cell>
        </row>
        <row r="2">
          <cell r="L2" t="str">
            <v>U12102_VWNA</v>
          </cell>
        </row>
        <row r="3">
          <cell r="L3" t="str">
            <v>U12103_China</v>
          </cell>
        </row>
        <row r="4">
          <cell r="L4" t="str">
            <v>U12104_Others_Asia</v>
          </cell>
        </row>
        <row r="5">
          <cell r="L5" t="str">
            <v>U12105_Australia</v>
          </cell>
        </row>
        <row r="6">
          <cell r="L6" t="str">
            <v>U12106_United_Kingdom</v>
          </cell>
        </row>
        <row r="7">
          <cell r="L7" t="str">
            <v>U12107_Germany</v>
          </cell>
        </row>
        <row r="8">
          <cell r="L8" t="str">
            <v>U12108_Central_and_Eastern_European_Countries</v>
          </cell>
        </row>
        <row r="9">
          <cell r="L9" t="str">
            <v>U12111_MENAG</v>
          </cell>
        </row>
        <row r="10">
          <cell r="L10" t="str">
            <v>U12114_Israël</v>
          </cell>
        </row>
        <row r="11">
          <cell r="L11" t="str">
            <v>U12119_Aquiris</v>
          </cell>
        </row>
        <row r="12">
          <cell r="L12" t="str">
            <v>U12115_Headquarters</v>
          </cell>
        </row>
        <row r="13">
          <cell r="L13" t="str">
            <v>U12113_Sade</v>
          </cell>
        </row>
        <row r="14">
          <cell r="L14" t="str">
            <v>U12112_VWST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  <sheetName val="Input"/>
    </sheetNames>
    <sheetDataSet>
      <sheetData sheetId="0"/>
      <sheetData sheetId="1"/>
      <sheetData sheetId="2">
        <row r="9">
          <cell r="N9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Assumption"/>
      <sheetName val="Proj PL"/>
      <sheetName val="Proj BS"/>
      <sheetName val="Debt"/>
      <sheetName val="CC_Interest"/>
      <sheetName val="Proj CF"/>
      <sheetName val="Repay"/>
      <sheetName val="DSCR"/>
      <sheetName val="Ratios"/>
      <sheetName val="BP1"/>
      <sheetName val="Amal-Data"/>
      <sheetName val="Amal_BS."/>
      <sheetName val="Amal_F Flow"/>
      <sheetName val="Amal_PL."/>
      <sheetName val="Seg (2)"/>
      <sheetName val="Segment_PL"/>
      <sheetName val="Seg"/>
      <sheetName val="cash_flow"/>
      <sheetName val="Consol_PL_Seg"/>
      <sheetName val="Consol_BS_Seg"/>
      <sheetName val="Unitwise Loan"/>
      <sheetName val="Fund Flow"/>
      <sheetName val="CMA osml"/>
      <sheetName val="Sheet4"/>
      <sheetName val="Per"/>
      <sheetName val="Sheet7"/>
      <sheetName val="Sheet6"/>
      <sheetName val="TL reduced by 30 crore"/>
      <sheetName val="TL reduced by 40 crore"/>
      <sheetName val="D.SCR"/>
      <sheetName val="Irr for the Company"/>
      <sheetName val="Unitwise Loan(1)"/>
      <sheetName val="Department(1)"/>
      <sheetName val="2"/>
      <sheetName val="Hargaon_Units_BS"/>
      <sheetName val="Hargaon_Units_PL"/>
      <sheetName val="Hargaon_Units_C_Flow"/>
      <sheetName val="HS_BS (1)"/>
      <sheetName val="HS_PL(1)"/>
      <sheetName val="HS_C_Flow( (1)"/>
      <sheetName val="HS_BS"/>
      <sheetName val="HS_ PL"/>
      <sheetName val="HS-P L Details"/>
      <sheetName val="HS(Intt &amp; Loan)"/>
      <sheetName val="HD_BS (8)"/>
      <sheetName val="HD_PL(8)"/>
      <sheetName val="HD_C_Flow(8)"/>
      <sheetName val="HD-P L Details"/>
      <sheetName val="H_Power_BS (6)"/>
      <sheetName val="H_Power_PL(6)"/>
      <sheetName val="H_Power_C_Flow(6)"/>
      <sheetName val="H_Power_P L Details"/>
      <sheetName val="NSSM_UNITS_BS"/>
      <sheetName val="NSSM_UNITS_PL"/>
      <sheetName val="NSSM_Units_C_Flow("/>
      <sheetName val="NS_BS (2)"/>
      <sheetName val="NS_PL(2)"/>
      <sheetName val="NS_C_Flow(2)"/>
      <sheetName val="NS_PL"/>
      <sheetName val="NS- P L Details"/>
      <sheetName val="ND_BS (9)"/>
      <sheetName val="ND_PL(9)"/>
      <sheetName val="ND_C_Flow (9)"/>
      <sheetName val="ND_P L Details"/>
      <sheetName val="N_Power_BS (7)"/>
      <sheetName val="N_Power_PL(7)"/>
      <sheetName val="N_Power_C_Flow(7)"/>
      <sheetName val="N_Power_P L Details"/>
      <sheetName val="RS_BS (3)"/>
      <sheetName val="RS_PL(3)"/>
      <sheetName val="RS_C_Flow(3)"/>
      <sheetName val="RS_PL"/>
      <sheetName val="RS_BS"/>
      <sheetName val="RS- P L Details"/>
      <sheetName val="HATTA UNITS _BS"/>
      <sheetName val="HATTA UNITS_PL"/>
      <sheetName val="Sheet3"/>
      <sheetName val="BEP Hatta sugar"/>
      <sheetName val="Hata_Units_C_Flow"/>
      <sheetName val="Hata_Units_BS"/>
      <sheetName val="Hata_Units_PL"/>
      <sheetName val="Hata Sugar_BS (4)"/>
      <sheetName val="Hata_Sugar_PL(4)"/>
      <sheetName val="Hata Sugar_C_Flow(4)"/>
      <sheetName val="Hata_Sugar  P L Details"/>
      <sheetName val="Hata Power_BS (5)"/>
      <sheetName val="BEP Hatta power"/>
      <sheetName val="Hata Power_PL(5)"/>
      <sheetName val="Hata Power_C_Flow(5)"/>
      <sheetName val="Hata Power_P L Details"/>
      <sheetName val="Hata Intt"/>
      <sheetName val="HD_ PL"/>
      <sheetName val="ND_PL"/>
      <sheetName val="AC_BS (10)"/>
      <sheetName val="AC_PL(10)"/>
      <sheetName val="AC_C_Flow(10)"/>
      <sheetName val="N_Power_P"/>
      <sheetName val="Sheet1"/>
      <sheetName val="Amal_P&amp;L"/>
      <sheetName val="Consol_P&amp;L"/>
      <sheetName val="Amal_BS"/>
      <sheetName val="Consol_BS"/>
      <sheetName val="Consol_BS (2)"/>
      <sheetName val="Department"/>
      <sheetName val="RS-B Details (2)"/>
      <sheetName val="HS-B Details"/>
      <sheetName val="HD_BS"/>
      <sheetName val="H_Power_BSDetails"/>
      <sheetName val="NS_BS"/>
      <sheetName val="RS-B Details"/>
      <sheetName val="ND_BS"/>
      <sheetName val="N_Power_BSDetails"/>
      <sheetName val="Hata Sugar_BS "/>
      <sheetName val="Hata Power_BS"/>
      <sheetName val="Hata Power_BS (x)"/>
      <sheetName val="Hata Power_BS (xx)"/>
      <sheetName val="Hata Power_BS (xxx)"/>
      <sheetName val="AC_BS"/>
      <sheetName val="Hata Sugar_PL"/>
      <sheetName val="X"/>
      <sheetName val="Hata Power_PL"/>
      <sheetName val="AC_PL"/>
      <sheetName val="HU_BS"/>
      <sheetName val="HU_PL"/>
      <sheetName val="COST"/>
      <sheetName val="Sheet2"/>
      <sheetName val="I.TAX"/>
      <sheetName val="DTA"/>
      <sheetName val="Summary (P L &amp; B S)"/>
      <sheetName val="Irr for the project"/>
      <sheetName val="decrease in sale"/>
      <sheetName val="increase in cost"/>
      <sheetName val="both"/>
      <sheetName val="Current Ratio"/>
      <sheetName val="DSCR1"/>
      <sheetName val="Ratio"/>
      <sheetName val="Input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po-log - curr. rate"/>
      <sheetName val="TRIALBALANCE"/>
      <sheetName val="Links"/>
      <sheetName val="Rev Working"/>
      <sheetName val="SC revtrgt"/>
      <sheetName val="sum"/>
      <sheetName val="GT1 RD"/>
      <sheetName val="Company"/>
      <sheetName val="Input"/>
      <sheetName val="Proj PL"/>
      <sheetName val="www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F"/>
      <sheetName val="CapCost"/>
      <sheetName val="Phasing"/>
      <sheetName val="Debt"/>
      <sheetName val="Dep"/>
      <sheetName val="Adv Dep"/>
      <sheetName val="WC"/>
      <sheetName val="Div"/>
      <sheetName val="Tax"/>
      <sheetName val="Tariff"/>
      <sheetName val="P&amp;L"/>
      <sheetName val="FF"/>
      <sheetName val="BS"/>
      <sheetName val="Ratios"/>
      <sheetName val="Summary"/>
      <sheetName val="Valuation"/>
      <sheetName val="Module1"/>
    </sheetNames>
    <sheetDataSet>
      <sheetData sheetId="0" refreshError="1">
        <row r="242">
          <cell r="H242">
            <v>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bs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Freehold Land "/>
      <sheetName val="Determination of Threshold"/>
      <sheetName val="Checks _ Inputs"/>
      <sheetName val="Sheet9"/>
      <sheetName val="wwww"/>
      <sheetName val="PF ann. 3CD"/>
      <sheetName val="Company"/>
      <sheetName val="InputPO_Del"/>
      <sheetName val="Capital_by_Years_Valuation"/>
      <sheetName val="ReportsParameters"/>
      <sheetName val="Data"/>
      <sheetName val="Journal Vouchers"/>
      <sheetName val="BANKINT"/>
      <sheetName val="contb"/>
      <sheetName val="Checks_&amp;_Inputs"/>
      <sheetName val="Excess_Cash"/>
      <sheetName val="Checks___Inputs"/>
      <sheetName val="Int-Dep &amp; Tax"/>
      <sheetName val="Uplinking Exp"/>
      <sheetName val="Lookup"/>
      <sheetName val="grpng"/>
      <sheetName val="Checks_&amp;_Inputs1"/>
      <sheetName val="Excess_Cash1"/>
      <sheetName val="Checks___Inputs1"/>
      <sheetName val="raw material"/>
      <sheetName val="proposallinked"/>
      <sheetName val="WORKRES"/>
      <sheetName val="Validation"/>
      <sheetName val="Space"/>
      <sheetName val="Sales"/>
      <sheetName val="List_ratios"/>
      <sheetName val="Liability Mgmt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Annex 1 &amp; 2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hecks_&amp;_Inputs"/>
      <sheetName val="Parameters"/>
      <sheetName val="Net"/>
      <sheetName val="ExcelEVA Model-Samtel"/>
      <sheetName val="entitlements"/>
      <sheetName val="Lead Sheets"/>
      <sheetName val="Control"/>
      <sheetName val="INDEPENDENT"/>
      <sheetName val="accs"/>
      <sheetName val="COA in Acct Group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Interface"/>
      <sheetName val="assmp"/>
      <sheetName val="PC"/>
      <sheetName val="Drdn"/>
      <sheetName val="Int"/>
      <sheetName val="I-O"/>
      <sheetName val="OC"/>
      <sheetName val="rm"/>
      <sheetName val="Rev"/>
      <sheetName val="Cost-tn "/>
      <sheetName val="procost"/>
      <sheetName val="Dep CA"/>
      <sheetName val="Dep IT"/>
      <sheetName val="WC"/>
      <sheetName val="Tax"/>
      <sheetName val="P&amp;L"/>
      <sheetName val="CFS"/>
      <sheetName val="BS"/>
      <sheetName val="ratios"/>
      <sheetName val="report"/>
    </sheetNames>
    <sheetDataSet>
      <sheetData sheetId="0" refreshError="1"/>
      <sheetData sheetId="1" refreshError="1">
        <row r="8">
          <cell r="E8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XL4Poppy"/>
      <sheetName val="BS"/>
      <sheetName val="Checks &amp; Inputs"/>
      <sheetName val="IS"/>
      <sheetName val="INDEPENDENT"/>
      <sheetName val="FA"/>
      <sheetName val="Inc_Statment_inputs"/>
      <sheetName val="Checks_&amp;_Inputs"/>
      <sheetName val="Net"/>
      <sheetName val="data.exp"/>
      <sheetName val="Info"/>
      <sheetName val="Setting"/>
      <sheetName val="Inc_Statment_inputs1"/>
      <sheetName val="Inc_Statment_inputs2"/>
      <sheetName val="REV_1702"/>
      <sheetName val="PF ann. 3C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NOTES"/>
      <sheetName val="Company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FE"/>
      <sheetName val="DCF (2)"/>
      <sheetName val="DCF Inputs"/>
      <sheetName val="DCF"/>
      <sheetName val="SV - Sensitivity"/>
      <sheetName val="SV-T"/>
      <sheetName val="__FDSCACHE__"/>
      <sheetName val="Mgmt Case"/>
      <sheetName val="Base Case (Post DD)"/>
      <sheetName val="2004 Estimate Calibration"/>
      <sheetName val="Silberpfeil Det Base Case NEW"/>
      <sheetName val="Silberpfeil Base Case NEW"/>
      <sheetName val="Integration Costs"/>
      <sheetName val="Summary Synergies"/>
      <sheetName val="Case Comparison"/>
      <sheetName val="DEV-T"/>
      <sheetName val="eBay"/>
      <sheetName val="PFE - 2004"/>
      <sheetName val="TM"/>
      <sheetName val="SI"/>
      <sheetName val="KM"/>
      <sheetName val="ER"/>
      <sheetName val="RC"/>
      <sheetName val="PF P&amp;L"/>
      <sheetName val="DEVR-T"/>
      <sheetName val="AdditionalPrintCode"/>
      <sheetName val="MainPrintCode"/>
      <sheetName val="IA"/>
      <sheetName val="OM"/>
      <sheetName val="PI"/>
      <sheetName val="PIR"/>
      <sheetName val="PFR"/>
      <sheetName val="DEV-NewCo"/>
      <sheetName val="PFR -AV Mult"/>
      <sheetName val="PF B-S"/>
      <sheetName val="Co H"/>
      <sheetName val="Co I"/>
      <sheetName val="Template"/>
      <sheetName val="Options"/>
      <sheetName val="Converts"/>
      <sheetName val="Factset"/>
      <sheetName val="Macro Defs"/>
      <sheetName val="eBay Base Case (Pre-DD)"/>
      <sheetName val="Schumacher (Old Business)"/>
      <sheetName val="Schumacher (New Business)"/>
      <sheetName val="Base Case"/>
      <sheetName val="Core Business"/>
      <sheetName val="C2C Sensitivty"/>
      <sheetName val="Silberpfeil Base Case OLD"/>
      <sheetName val="Silberpfeil Det Base Case OLD"/>
    </sheetNames>
    <sheetDataSet>
      <sheetData sheetId="0">
        <row r="22">
          <cell r="L22">
            <v>1.2217249999999999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Sheet5"/>
      <sheetName val="Sheet6"/>
      <sheetName val="Sheet1"/>
      <sheetName val="Sheet7"/>
      <sheetName val="March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B1">
            <v>2936863.0824899413</v>
          </cell>
        </row>
        <row r="2">
          <cell r="BB2">
            <v>2936863.0631775302</v>
          </cell>
        </row>
        <row r="3">
          <cell r="BB3">
            <v>1.9312411081045866E-2</v>
          </cell>
        </row>
        <row r="4">
          <cell r="AV4">
            <v>365</v>
          </cell>
          <cell r="BF4">
            <v>38095875.609999999</v>
          </cell>
        </row>
        <row r="5">
          <cell r="AV5">
            <v>365</v>
          </cell>
          <cell r="AX5">
            <v>366</v>
          </cell>
          <cell r="BB5">
            <v>39172</v>
          </cell>
        </row>
        <row r="6">
          <cell r="D6" t="str">
            <v>Place</v>
          </cell>
          <cell r="E6" t="str">
            <v>Floor</v>
          </cell>
          <cell r="F6" t="str">
            <v>Block</v>
          </cell>
          <cell r="G6" t="str">
            <v>Lab No.</v>
          </cell>
          <cell r="AV6" t="str">
            <v>Days</v>
          </cell>
          <cell r="AX6" t="str">
            <v>Days</v>
          </cell>
          <cell r="AZ6" t="str">
            <v>Ex Rate %</v>
          </cell>
          <cell r="BA6">
            <v>39172</v>
          </cell>
          <cell r="BB6" t="str">
            <v>PY 2006-07</v>
          </cell>
          <cell r="BC6">
            <v>38807</v>
          </cell>
          <cell r="BF6" t="str">
            <v>H2 ADDITIONS</v>
          </cell>
          <cell r="BJ6" t="str">
            <v>PROVISIONS</v>
          </cell>
        </row>
        <row r="8">
          <cell r="AX8">
            <v>1</v>
          </cell>
        </row>
        <row r="9">
          <cell r="AX9">
            <v>61</v>
          </cell>
        </row>
        <row r="10">
          <cell r="AX10">
            <v>366</v>
          </cell>
          <cell r="AZ10">
            <v>6.3299999999999995E-2</v>
          </cell>
          <cell r="BA10">
            <v>0</v>
          </cell>
          <cell r="BB10">
            <v>0</v>
          </cell>
        </row>
        <row r="11">
          <cell r="AX11">
            <v>366</v>
          </cell>
          <cell r="AZ11">
            <v>6.3299999999999995E-2</v>
          </cell>
          <cell r="BA11">
            <v>0</v>
          </cell>
          <cell r="BB11">
            <v>0</v>
          </cell>
        </row>
        <row r="12">
          <cell r="AX12">
            <v>366</v>
          </cell>
          <cell r="AZ12">
            <v>6.3299999999999995E-2</v>
          </cell>
          <cell r="BA12">
            <v>212</v>
          </cell>
          <cell r="BB12">
            <v>6502.0719452054791</v>
          </cell>
        </row>
        <row r="13">
          <cell r="AX13">
            <v>366</v>
          </cell>
          <cell r="AZ13">
            <v>6.3299999999999995E-2</v>
          </cell>
          <cell r="BA13">
            <v>214</v>
          </cell>
          <cell r="BB13">
            <v>6561.5566027397253</v>
          </cell>
        </row>
        <row r="14">
          <cell r="AX14">
            <v>317</v>
          </cell>
        </row>
        <row r="15">
          <cell r="AX15">
            <v>1</v>
          </cell>
        </row>
        <row r="17">
          <cell r="AX17">
            <v>310</v>
          </cell>
        </row>
        <row r="18">
          <cell r="AX18">
            <v>366</v>
          </cell>
          <cell r="AZ18">
            <v>6.3299999999999995E-2</v>
          </cell>
          <cell r="BA18">
            <v>201</v>
          </cell>
          <cell r="BB18">
            <v>3999.9963698630131</v>
          </cell>
        </row>
        <row r="19">
          <cell r="AX19">
            <v>366</v>
          </cell>
        </row>
        <row r="20">
          <cell r="AX20">
            <v>280</v>
          </cell>
        </row>
        <row r="21">
          <cell r="AX21">
            <v>366</v>
          </cell>
          <cell r="AZ21">
            <v>0.1</v>
          </cell>
          <cell r="BA21">
            <v>325</v>
          </cell>
          <cell r="BB21">
            <v>15582.993150684932</v>
          </cell>
        </row>
        <row r="22">
          <cell r="AX22">
            <v>153</v>
          </cell>
        </row>
        <row r="23">
          <cell r="AX23">
            <v>366</v>
          </cell>
          <cell r="AZ23">
            <v>0.16209999999999999</v>
          </cell>
          <cell r="BA23">
            <v>187</v>
          </cell>
          <cell r="BB23">
            <v>11184.971057534247</v>
          </cell>
        </row>
        <row r="24">
          <cell r="AX24">
            <v>188</v>
          </cell>
        </row>
        <row r="25">
          <cell r="AX25">
            <v>188</v>
          </cell>
        </row>
        <row r="26">
          <cell r="AV26">
            <v>365</v>
          </cell>
          <cell r="AX26">
            <v>365</v>
          </cell>
        </row>
        <row r="27">
          <cell r="AX27">
            <v>62</v>
          </cell>
        </row>
        <row r="28">
          <cell r="AX28">
            <v>366</v>
          </cell>
          <cell r="AZ28">
            <v>0.1</v>
          </cell>
          <cell r="BA28">
            <v>184</v>
          </cell>
          <cell r="BB28">
            <v>6250.5052054794523</v>
          </cell>
        </row>
        <row r="29">
          <cell r="AX29">
            <v>336</v>
          </cell>
        </row>
        <row r="30">
          <cell r="AX30">
            <v>107</v>
          </cell>
        </row>
        <row r="31">
          <cell r="AX31">
            <v>336</v>
          </cell>
        </row>
        <row r="32">
          <cell r="AX32">
            <v>366</v>
          </cell>
          <cell r="AZ32">
            <v>6.3299999999999995E-2</v>
          </cell>
          <cell r="BA32">
            <v>229</v>
          </cell>
          <cell r="BB32">
            <v>3062.9612671232876</v>
          </cell>
        </row>
        <row r="33">
          <cell r="AX33">
            <v>366</v>
          </cell>
          <cell r="AZ33">
            <v>0.1</v>
          </cell>
          <cell r="BA33">
            <v>365</v>
          </cell>
          <cell r="BB33">
            <v>13749.668</v>
          </cell>
          <cell r="BC33">
            <v>23</v>
          </cell>
        </row>
        <row r="34">
          <cell r="AX34">
            <v>366</v>
          </cell>
          <cell r="AZ34">
            <v>0.1</v>
          </cell>
          <cell r="BA34">
            <v>365</v>
          </cell>
          <cell r="BB34">
            <v>10854.5</v>
          </cell>
          <cell r="BC34">
            <v>21</v>
          </cell>
        </row>
        <row r="35">
          <cell r="AX35">
            <v>22</v>
          </cell>
        </row>
        <row r="36">
          <cell r="AX36">
            <v>71</v>
          </cell>
        </row>
        <row r="37">
          <cell r="AX37">
            <v>248</v>
          </cell>
        </row>
        <row r="38">
          <cell r="AV38">
            <v>365</v>
          </cell>
          <cell r="AX38">
            <v>366</v>
          </cell>
          <cell r="BA38">
            <v>365</v>
          </cell>
          <cell r="BB38">
            <v>424740</v>
          </cell>
          <cell r="BC38">
            <v>125</v>
          </cell>
        </row>
        <row r="39">
          <cell r="AX39">
            <v>366</v>
          </cell>
          <cell r="AZ39">
            <v>6.3299999999999995E-2</v>
          </cell>
          <cell r="BA39">
            <v>16</v>
          </cell>
          <cell r="BB39">
            <v>137.94058520547944</v>
          </cell>
        </row>
        <row r="40">
          <cell r="AX40">
            <v>41</v>
          </cell>
        </row>
        <row r="41">
          <cell r="AX41">
            <v>336</v>
          </cell>
        </row>
        <row r="42">
          <cell r="AX42">
            <v>60</v>
          </cell>
        </row>
        <row r="43">
          <cell r="AX43">
            <v>366</v>
          </cell>
          <cell r="AZ43">
            <v>6.3299999999999995E-2</v>
          </cell>
          <cell r="BA43">
            <v>247</v>
          </cell>
          <cell r="BB43">
            <v>1204.759417808219</v>
          </cell>
        </row>
        <row r="44">
          <cell r="AX44">
            <v>366</v>
          </cell>
          <cell r="AZ44">
            <v>6.3299999999999995E-2</v>
          </cell>
          <cell r="BA44">
            <v>247</v>
          </cell>
          <cell r="BB44">
            <v>963.80753424657541</v>
          </cell>
        </row>
        <row r="45">
          <cell r="E45" t="str">
            <v>FF</v>
          </cell>
          <cell r="AX45">
            <v>336</v>
          </cell>
        </row>
        <row r="46">
          <cell r="AX46">
            <v>276</v>
          </cell>
        </row>
        <row r="47">
          <cell r="AX47">
            <v>366</v>
          </cell>
          <cell r="AZ47">
            <v>6.3299999999999995E-2</v>
          </cell>
          <cell r="BA47">
            <v>212</v>
          </cell>
          <cell r="BB47">
            <v>1640.610440547945</v>
          </cell>
        </row>
        <row r="48">
          <cell r="AX48">
            <v>366</v>
          </cell>
          <cell r="AZ48">
            <v>6.3299999999999995E-2</v>
          </cell>
          <cell r="BA48">
            <v>229</v>
          </cell>
          <cell r="BB48">
            <v>1742.4625684931505</v>
          </cell>
        </row>
        <row r="49">
          <cell r="AX49">
            <v>366</v>
          </cell>
          <cell r="AZ49">
            <v>0.1</v>
          </cell>
          <cell r="BA49">
            <v>365</v>
          </cell>
          <cell r="BB49">
            <v>7960.5</v>
          </cell>
          <cell r="BC49">
            <v>11</v>
          </cell>
        </row>
        <row r="50">
          <cell r="AX50">
            <v>366</v>
          </cell>
          <cell r="AZ50">
            <v>6.3299999999999995E-2</v>
          </cell>
          <cell r="BA50">
            <v>151</v>
          </cell>
          <cell r="BB50">
            <v>1062.1497205479452</v>
          </cell>
        </row>
        <row r="51">
          <cell r="AX51">
            <v>153</v>
          </cell>
        </row>
        <row r="52">
          <cell r="AX52">
            <v>72</v>
          </cell>
        </row>
        <row r="53">
          <cell r="AX53">
            <v>153</v>
          </cell>
        </row>
        <row r="54">
          <cell r="AX54">
            <v>128</v>
          </cell>
        </row>
        <row r="55">
          <cell r="AX55">
            <v>32</v>
          </cell>
        </row>
        <row r="56">
          <cell r="AX56">
            <v>366</v>
          </cell>
        </row>
        <row r="57">
          <cell r="AX57">
            <v>366</v>
          </cell>
          <cell r="AZ57">
            <v>0.16209999999999999</v>
          </cell>
          <cell r="BA57">
            <v>175</v>
          </cell>
          <cell r="BB57">
            <v>3934.5333904109593</v>
          </cell>
        </row>
        <row r="58">
          <cell r="AX58">
            <v>12</v>
          </cell>
        </row>
        <row r="59">
          <cell r="AX59">
            <v>123</v>
          </cell>
        </row>
        <row r="60">
          <cell r="AX60">
            <v>366</v>
          </cell>
          <cell r="AZ60">
            <v>6.3299999999999995E-2</v>
          </cell>
          <cell r="BA60">
            <v>193</v>
          </cell>
          <cell r="BB60">
            <v>1049.3145616438355</v>
          </cell>
        </row>
        <row r="61">
          <cell r="AX61">
            <v>1</v>
          </cell>
        </row>
        <row r="62">
          <cell r="AX62">
            <v>41</v>
          </cell>
        </row>
        <row r="63">
          <cell r="AX63">
            <v>276</v>
          </cell>
        </row>
        <row r="64">
          <cell r="AX64">
            <v>69</v>
          </cell>
        </row>
        <row r="65">
          <cell r="AX65">
            <v>1</v>
          </cell>
        </row>
        <row r="66">
          <cell r="AX66">
            <v>130</v>
          </cell>
        </row>
        <row r="67">
          <cell r="AX67">
            <v>366</v>
          </cell>
        </row>
        <row r="68">
          <cell r="AX68">
            <v>336</v>
          </cell>
        </row>
        <row r="69">
          <cell r="AX69">
            <v>336</v>
          </cell>
        </row>
        <row r="70">
          <cell r="AX70">
            <v>337</v>
          </cell>
        </row>
        <row r="71">
          <cell r="AX71">
            <v>366</v>
          </cell>
          <cell r="AZ71">
            <v>0.16209999999999999</v>
          </cell>
          <cell r="BA71">
            <v>44</v>
          </cell>
          <cell r="BB71">
            <v>654.61753424657525</v>
          </cell>
        </row>
        <row r="72">
          <cell r="AX72">
            <v>337</v>
          </cell>
        </row>
        <row r="73">
          <cell r="AX73">
            <v>366</v>
          </cell>
          <cell r="AZ73">
            <v>6.3299999999999995E-2</v>
          </cell>
          <cell r="BA73">
            <v>219</v>
          </cell>
          <cell r="BB73">
            <v>970.16111999999987</v>
          </cell>
        </row>
        <row r="74">
          <cell r="AX74">
            <v>336</v>
          </cell>
        </row>
        <row r="75">
          <cell r="AX75">
            <v>244</v>
          </cell>
        </row>
        <row r="76">
          <cell r="AX76">
            <v>5</v>
          </cell>
        </row>
        <row r="77">
          <cell r="AX77">
            <v>280</v>
          </cell>
        </row>
        <row r="78">
          <cell r="AX78">
            <v>60</v>
          </cell>
        </row>
        <row r="79">
          <cell r="AX79">
            <v>366</v>
          </cell>
          <cell r="AZ79">
            <v>6.3299999999999995E-2</v>
          </cell>
          <cell r="BA79">
            <v>206</v>
          </cell>
          <cell r="BB79">
            <v>703.470415890411</v>
          </cell>
        </row>
        <row r="80">
          <cell r="AV80">
            <v>364</v>
          </cell>
        </row>
        <row r="81">
          <cell r="AX81">
            <v>32</v>
          </cell>
        </row>
        <row r="82">
          <cell r="AX82">
            <v>217</v>
          </cell>
        </row>
        <row r="83">
          <cell r="AX83">
            <v>366</v>
          </cell>
        </row>
        <row r="84">
          <cell r="AX84">
            <v>366</v>
          </cell>
          <cell r="AZ84">
            <v>0.1</v>
          </cell>
          <cell r="BA84">
            <v>15</v>
          </cell>
          <cell r="BB84">
            <v>91.894520547945206</v>
          </cell>
        </row>
        <row r="85">
          <cell r="AX85">
            <v>288</v>
          </cell>
        </row>
        <row r="86">
          <cell r="AX86">
            <v>366</v>
          </cell>
        </row>
        <row r="87">
          <cell r="AX87">
            <v>366</v>
          </cell>
          <cell r="AZ87">
            <v>0.1</v>
          </cell>
          <cell r="BA87">
            <v>247</v>
          </cell>
          <cell r="BB87">
            <v>1753.4293150684935</v>
          </cell>
        </row>
        <row r="88">
          <cell r="AX88">
            <v>41</v>
          </cell>
        </row>
        <row r="89">
          <cell r="AX89">
            <v>69</v>
          </cell>
        </row>
        <row r="90">
          <cell r="AX90">
            <v>366</v>
          </cell>
          <cell r="AZ90">
            <v>0.1</v>
          </cell>
          <cell r="BA90">
            <v>78</v>
          </cell>
          <cell r="BB90">
            <v>414.14794520547946</v>
          </cell>
        </row>
        <row r="91">
          <cell r="AX91">
            <v>290</v>
          </cell>
        </row>
        <row r="92">
          <cell r="AX92">
            <v>366</v>
          </cell>
          <cell r="AZ92">
            <v>0.16209999999999999</v>
          </cell>
          <cell r="BA92">
            <v>168</v>
          </cell>
          <cell r="BB92">
            <v>1566.8186301369863</v>
          </cell>
        </row>
        <row r="93">
          <cell r="AX93">
            <v>230</v>
          </cell>
        </row>
        <row r="94">
          <cell r="AX94">
            <v>337</v>
          </cell>
        </row>
        <row r="95">
          <cell r="AX95">
            <v>122</v>
          </cell>
        </row>
        <row r="96">
          <cell r="AX96">
            <v>60</v>
          </cell>
        </row>
        <row r="97">
          <cell r="AX97">
            <v>103</v>
          </cell>
        </row>
        <row r="98">
          <cell r="AX98">
            <v>366</v>
          </cell>
          <cell r="AZ98">
            <v>0.1</v>
          </cell>
          <cell r="BA98">
            <v>201</v>
          </cell>
          <cell r="BB98">
            <v>1002.7421917808221</v>
          </cell>
        </row>
        <row r="99">
          <cell r="AX99">
            <v>276</v>
          </cell>
        </row>
        <row r="100">
          <cell r="AX100">
            <v>366</v>
          </cell>
        </row>
        <row r="101">
          <cell r="BJ101" t="str">
            <v>PROVISION</v>
          </cell>
        </row>
        <row r="102">
          <cell r="AX102">
            <v>366</v>
          </cell>
        </row>
        <row r="103">
          <cell r="AX103">
            <v>214</v>
          </cell>
        </row>
        <row r="104">
          <cell r="AX104">
            <v>366</v>
          </cell>
          <cell r="AZ104">
            <v>0.1</v>
          </cell>
          <cell r="BA104">
            <v>331</v>
          </cell>
          <cell r="BB104">
            <v>1415.2290410958906</v>
          </cell>
        </row>
        <row r="105">
          <cell r="E105" t="str">
            <v>FF</v>
          </cell>
          <cell r="AX105">
            <v>336</v>
          </cell>
        </row>
        <row r="106">
          <cell r="AX106">
            <v>366</v>
          </cell>
          <cell r="AZ106">
            <v>6.3299999999999995E-2</v>
          </cell>
          <cell r="BA106">
            <v>16</v>
          </cell>
          <cell r="BB106">
            <v>21.976372602739723</v>
          </cell>
        </row>
        <row r="107">
          <cell r="AX107">
            <v>280</v>
          </cell>
        </row>
        <row r="108">
          <cell r="AX108">
            <v>276</v>
          </cell>
        </row>
        <row r="109">
          <cell r="AX109">
            <v>366</v>
          </cell>
          <cell r="AZ109">
            <v>6.3299999999999995E-2</v>
          </cell>
          <cell r="BA109">
            <v>58</v>
          </cell>
          <cell r="BB109">
            <v>70.712169863013699</v>
          </cell>
        </row>
        <row r="110">
          <cell r="AX110">
            <v>366</v>
          </cell>
          <cell r="AZ110">
            <v>0.1</v>
          </cell>
          <cell r="BA110">
            <v>70</v>
          </cell>
          <cell r="BB110">
            <v>181.42465753424656</v>
          </cell>
        </row>
        <row r="111">
          <cell r="AX111">
            <v>61</v>
          </cell>
        </row>
        <row r="112">
          <cell r="AX112">
            <v>366</v>
          </cell>
          <cell r="AZ112">
            <v>0.1</v>
          </cell>
          <cell r="BA112">
            <v>365</v>
          </cell>
          <cell r="BB112">
            <v>1300</v>
          </cell>
          <cell r="BC112">
            <v>13</v>
          </cell>
        </row>
        <row r="113">
          <cell r="AX113">
            <v>366</v>
          </cell>
          <cell r="AZ113">
            <v>0.1</v>
          </cell>
          <cell r="BA113">
            <v>59</v>
          </cell>
          <cell r="BB113">
            <v>141.92328767123288</v>
          </cell>
        </row>
        <row r="114">
          <cell r="AX114">
            <v>122</v>
          </cell>
        </row>
        <row r="115">
          <cell r="AX115">
            <v>361</v>
          </cell>
        </row>
        <row r="116">
          <cell r="AX116">
            <v>276</v>
          </cell>
        </row>
        <row r="117">
          <cell r="AX117">
            <v>366</v>
          </cell>
          <cell r="AZ117">
            <v>0.1</v>
          </cell>
          <cell r="BA117">
            <v>337</v>
          </cell>
          <cell r="BB117">
            <v>969.82136986301373</v>
          </cell>
        </row>
        <row r="118">
          <cell r="AX118">
            <v>336</v>
          </cell>
        </row>
        <row r="119">
          <cell r="AX119">
            <v>249</v>
          </cell>
        </row>
        <row r="120">
          <cell r="AV120">
            <v>365</v>
          </cell>
          <cell r="AX120">
            <v>1</v>
          </cell>
        </row>
        <row r="121">
          <cell r="AV121">
            <v>365</v>
          </cell>
          <cell r="AX121">
            <v>1</v>
          </cell>
        </row>
        <row r="122">
          <cell r="AV122">
            <v>365</v>
          </cell>
          <cell r="AX122">
            <v>1</v>
          </cell>
        </row>
        <row r="123">
          <cell r="AV123">
            <v>365</v>
          </cell>
          <cell r="AX123">
            <v>1</v>
          </cell>
        </row>
        <row r="124">
          <cell r="AV124">
            <v>365</v>
          </cell>
          <cell r="AX124">
            <v>1</v>
          </cell>
        </row>
        <row r="125">
          <cell r="AV125">
            <v>365</v>
          </cell>
          <cell r="AX125">
            <v>1</v>
          </cell>
        </row>
        <row r="126">
          <cell r="AV126">
            <v>365</v>
          </cell>
          <cell r="AX126">
            <v>1</v>
          </cell>
        </row>
        <row r="127">
          <cell r="AV127">
            <v>365</v>
          </cell>
          <cell r="AX127">
            <v>1</v>
          </cell>
        </row>
        <row r="128">
          <cell r="AV128">
            <v>365</v>
          </cell>
          <cell r="AX128">
            <v>1</v>
          </cell>
        </row>
        <row r="129">
          <cell r="AV129">
            <v>365</v>
          </cell>
          <cell r="AX129">
            <v>1</v>
          </cell>
        </row>
        <row r="130">
          <cell r="AV130">
            <v>365</v>
          </cell>
          <cell r="AX130">
            <v>1</v>
          </cell>
        </row>
        <row r="131">
          <cell r="AV131">
            <v>365</v>
          </cell>
          <cell r="AX131">
            <v>1</v>
          </cell>
        </row>
        <row r="132">
          <cell r="AX132">
            <v>366</v>
          </cell>
          <cell r="AZ132">
            <v>0.1</v>
          </cell>
          <cell r="BA132">
            <v>31</v>
          </cell>
          <cell r="BB132">
            <v>60.505205479452066</v>
          </cell>
        </row>
        <row r="133">
          <cell r="AX133">
            <v>181</v>
          </cell>
        </row>
        <row r="134">
          <cell r="AX134">
            <v>366</v>
          </cell>
        </row>
        <row r="135">
          <cell r="AX135">
            <v>153</v>
          </cell>
        </row>
        <row r="136">
          <cell r="AX136">
            <v>280</v>
          </cell>
        </row>
        <row r="137">
          <cell r="AX137">
            <v>366</v>
          </cell>
        </row>
        <row r="138">
          <cell r="AV138">
            <v>365</v>
          </cell>
          <cell r="AX138">
            <v>221</v>
          </cell>
        </row>
        <row r="139">
          <cell r="AX139">
            <v>314</v>
          </cell>
        </row>
        <row r="140">
          <cell r="AV140">
            <v>365</v>
          </cell>
          <cell r="AX140">
            <v>366</v>
          </cell>
          <cell r="AZ140">
            <v>6.3299999999999995E-2</v>
          </cell>
          <cell r="BA140">
            <v>73</v>
          </cell>
          <cell r="BB140">
            <v>56.969999999999992</v>
          </cell>
        </row>
        <row r="141">
          <cell r="AX141">
            <v>366</v>
          </cell>
          <cell r="AZ141">
            <v>0.1</v>
          </cell>
          <cell r="BA141">
            <v>158</v>
          </cell>
          <cell r="BB141">
            <v>300.67616438356168</v>
          </cell>
        </row>
        <row r="142">
          <cell r="AV142">
            <v>365</v>
          </cell>
          <cell r="AX142">
            <v>366</v>
          </cell>
          <cell r="AZ142">
            <v>6.3299999999999995E-2</v>
          </cell>
          <cell r="BA142">
            <v>162</v>
          </cell>
          <cell r="BB142">
            <v>127.69084109589039</v>
          </cell>
        </row>
        <row r="143">
          <cell r="AX143">
            <v>366</v>
          </cell>
          <cell r="AZ143">
            <v>0.1</v>
          </cell>
          <cell r="BA143">
            <v>341</v>
          </cell>
          <cell r="BB143">
            <v>792.98849315068492</v>
          </cell>
        </row>
        <row r="144">
          <cell r="AV144">
            <v>365</v>
          </cell>
          <cell r="AX144">
            <v>256</v>
          </cell>
        </row>
        <row r="145">
          <cell r="AX145">
            <v>366</v>
          </cell>
          <cell r="AZ145">
            <v>0.16209999999999999</v>
          </cell>
          <cell r="BA145">
            <v>61</v>
          </cell>
          <cell r="BB145">
            <v>159.8350410958904</v>
          </cell>
        </row>
        <row r="146">
          <cell r="AX146">
            <v>366</v>
          </cell>
          <cell r="AZ146">
            <v>0.1</v>
          </cell>
          <cell r="BA146">
            <v>121</v>
          </cell>
          <cell r="BB146">
            <v>190.71589041095893</v>
          </cell>
        </row>
        <row r="147">
          <cell r="AX147">
            <v>366</v>
          </cell>
          <cell r="AZ147">
            <v>0.1</v>
          </cell>
          <cell r="BA147">
            <v>92</v>
          </cell>
          <cell r="BB147">
            <v>136.46246575342465</v>
          </cell>
        </row>
        <row r="148">
          <cell r="AX148">
            <v>366</v>
          </cell>
          <cell r="AZ148">
            <v>0.1</v>
          </cell>
          <cell r="BA148">
            <v>1</v>
          </cell>
          <cell r="BB148">
            <v>1.3572602739726027</v>
          </cell>
        </row>
        <row r="149">
          <cell r="AX149">
            <v>366</v>
          </cell>
          <cell r="AZ149">
            <v>0.1</v>
          </cell>
          <cell r="BA149">
            <v>341</v>
          </cell>
          <cell r="BB149">
            <v>669.48109589041098</v>
          </cell>
        </row>
        <row r="150">
          <cell r="AV150">
            <v>365</v>
          </cell>
          <cell r="AX150">
            <v>307</v>
          </cell>
        </row>
        <row r="151">
          <cell r="AV151">
            <v>365</v>
          </cell>
          <cell r="AX151">
            <v>239</v>
          </cell>
        </row>
        <row r="152">
          <cell r="AV152">
            <v>365</v>
          </cell>
          <cell r="AX152">
            <v>215</v>
          </cell>
        </row>
        <row r="153">
          <cell r="AV153">
            <v>365</v>
          </cell>
          <cell r="AX153">
            <v>276</v>
          </cell>
        </row>
        <row r="154">
          <cell r="AV154">
            <v>365</v>
          </cell>
          <cell r="AX154">
            <v>252</v>
          </cell>
        </row>
        <row r="155">
          <cell r="AX155">
            <v>366</v>
          </cell>
        </row>
        <row r="156">
          <cell r="AX156">
            <v>188</v>
          </cell>
        </row>
        <row r="157">
          <cell r="AX157">
            <v>245</v>
          </cell>
        </row>
        <row r="158">
          <cell r="AX158">
            <v>366</v>
          </cell>
          <cell r="AZ158">
            <v>0.1</v>
          </cell>
          <cell r="BA158">
            <v>365</v>
          </cell>
          <cell r="BB158">
            <v>623.40000000000009</v>
          </cell>
          <cell r="BC158">
            <v>0</v>
          </cell>
        </row>
        <row r="159">
          <cell r="AX159">
            <v>153</v>
          </cell>
        </row>
        <row r="160">
          <cell r="AX160">
            <v>366</v>
          </cell>
        </row>
        <row r="161">
          <cell r="AV161">
            <v>365</v>
          </cell>
          <cell r="AX161">
            <v>221</v>
          </cell>
        </row>
        <row r="162">
          <cell r="AX162">
            <v>1</v>
          </cell>
        </row>
        <row r="163">
          <cell r="AX163">
            <v>252</v>
          </cell>
        </row>
        <row r="164">
          <cell r="AV164">
            <v>365</v>
          </cell>
          <cell r="AX164">
            <v>217</v>
          </cell>
        </row>
        <row r="165">
          <cell r="AX165">
            <v>366</v>
          </cell>
          <cell r="AZ165">
            <v>0.1</v>
          </cell>
          <cell r="BA165">
            <v>301</v>
          </cell>
          <cell r="BB165">
            <v>412.32876712328766</v>
          </cell>
        </row>
        <row r="166">
          <cell r="AX166">
            <v>184</v>
          </cell>
        </row>
        <row r="167">
          <cell r="AV167">
            <v>365</v>
          </cell>
          <cell r="AX167">
            <v>274</v>
          </cell>
        </row>
        <row r="168">
          <cell r="D168" t="str">
            <v>CO</v>
          </cell>
          <cell r="AV168">
            <v>365</v>
          </cell>
          <cell r="AX168">
            <v>366</v>
          </cell>
          <cell r="AZ168">
            <v>9.5000000000000001E-2</v>
          </cell>
          <cell r="BA168">
            <v>152</v>
          </cell>
          <cell r="BB168">
            <v>98323.502904109584</v>
          </cell>
        </row>
        <row r="169">
          <cell r="AX169">
            <v>307</v>
          </cell>
        </row>
        <row r="170">
          <cell r="AV170">
            <v>365</v>
          </cell>
          <cell r="AX170">
            <v>366</v>
          </cell>
          <cell r="AZ170">
            <v>0.16209999999999999</v>
          </cell>
          <cell r="BA170">
            <v>243</v>
          </cell>
          <cell r="BB170">
            <v>321.05792465753422</v>
          </cell>
        </row>
        <row r="171">
          <cell r="AX171">
            <v>366</v>
          </cell>
          <cell r="AZ171">
            <v>0.1</v>
          </cell>
          <cell r="BA171">
            <v>289</v>
          </cell>
          <cell r="BB171">
            <v>302.85616438356163</v>
          </cell>
        </row>
        <row r="172">
          <cell r="AX172">
            <v>366</v>
          </cell>
          <cell r="AZ172">
            <v>0.1</v>
          </cell>
          <cell r="BA172">
            <v>325</v>
          </cell>
          <cell r="BB172">
            <v>348.19520547945211</v>
          </cell>
        </row>
        <row r="173">
          <cell r="AV173">
            <v>365</v>
          </cell>
          <cell r="AX173">
            <v>365</v>
          </cell>
        </row>
        <row r="174">
          <cell r="AX174">
            <v>366</v>
          </cell>
          <cell r="AZ174">
            <v>0.1</v>
          </cell>
          <cell r="BA174">
            <v>365</v>
          </cell>
          <cell r="BB174">
            <v>410</v>
          </cell>
          <cell r="BC174">
            <v>8</v>
          </cell>
        </row>
        <row r="175">
          <cell r="AX175">
            <v>273</v>
          </cell>
        </row>
        <row r="176">
          <cell r="AX176">
            <v>136</v>
          </cell>
        </row>
        <row r="177">
          <cell r="AX177">
            <v>8</v>
          </cell>
        </row>
        <row r="178">
          <cell r="AX178">
            <v>366</v>
          </cell>
          <cell r="AZ178">
            <v>0.1</v>
          </cell>
          <cell r="BA178">
            <v>365</v>
          </cell>
          <cell r="BB178">
            <v>358.02</v>
          </cell>
          <cell r="BC178">
            <v>3</v>
          </cell>
        </row>
        <row r="179">
          <cell r="AX179">
            <v>366</v>
          </cell>
          <cell r="AZ179">
            <v>0.1</v>
          </cell>
          <cell r="BA179">
            <v>312</v>
          </cell>
          <cell r="BB179">
            <v>278.40657534246577</v>
          </cell>
        </row>
        <row r="180">
          <cell r="AV180">
            <v>365</v>
          </cell>
          <cell r="AX180">
            <v>366</v>
          </cell>
          <cell r="AZ180">
            <v>0.16209999999999999</v>
          </cell>
          <cell r="BA180">
            <v>338</v>
          </cell>
          <cell r="BB180">
            <v>360.26169863013695</v>
          </cell>
        </row>
        <row r="181">
          <cell r="AX181">
            <v>366</v>
          </cell>
          <cell r="AZ181">
            <v>0.1</v>
          </cell>
          <cell r="BA181">
            <v>169</v>
          </cell>
          <cell r="BB181">
            <v>123.7172602739726</v>
          </cell>
        </row>
        <row r="182">
          <cell r="AX182">
            <v>179</v>
          </cell>
        </row>
        <row r="183">
          <cell r="AX183">
            <v>366</v>
          </cell>
          <cell r="AZ183">
            <v>0.1</v>
          </cell>
          <cell r="BA183">
            <v>2</v>
          </cell>
          <cell r="BB183">
            <v>1.1178082191780823</v>
          </cell>
        </row>
        <row r="184">
          <cell r="AX184">
            <v>336</v>
          </cell>
        </row>
        <row r="185">
          <cell r="AX185">
            <v>1</v>
          </cell>
        </row>
        <row r="186">
          <cell r="AV186">
            <v>365</v>
          </cell>
          <cell r="AX186">
            <v>366</v>
          </cell>
          <cell r="AZ186">
            <v>0.16209999999999999</v>
          </cell>
          <cell r="BA186">
            <v>178</v>
          </cell>
          <cell r="BB186">
            <v>142.2927123287671</v>
          </cell>
        </row>
        <row r="187">
          <cell r="AX187">
            <v>273</v>
          </cell>
        </row>
        <row r="188">
          <cell r="AX188">
            <v>366</v>
          </cell>
          <cell r="AZ188">
            <v>0.1</v>
          </cell>
          <cell r="BA188">
            <v>329</v>
          </cell>
          <cell r="BB188">
            <v>211.82191780821918</v>
          </cell>
        </row>
        <row r="189">
          <cell r="AV189">
            <v>365</v>
          </cell>
          <cell r="AX189">
            <v>276</v>
          </cell>
        </row>
        <row r="190">
          <cell r="AX190">
            <v>366</v>
          </cell>
          <cell r="AZ190">
            <v>0.1</v>
          </cell>
          <cell r="BA190">
            <v>212</v>
          </cell>
          <cell r="BB190">
            <v>116.16438356164383</v>
          </cell>
        </row>
        <row r="191">
          <cell r="AX191">
            <v>274</v>
          </cell>
        </row>
        <row r="192">
          <cell r="AX192">
            <v>366</v>
          </cell>
          <cell r="AZ192">
            <v>0.1</v>
          </cell>
          <cell r="BA192">
            <v>61</v>
          </cell>
          <cell r="BB192">
            <v>28.043287671232878</v>
          </cell>
        </row>
        <row r="193">
          <cell r="AV193">
            <v>365</v>
          </cell>
          <cell r="AX193">
            <v>366</v>
          </cell>
          <cell r="AZ193">
            <v>6.3299999999999995E-2</v>
          </cell>
          <cell r="BA193">
            <v>365</v>
          </cell>
          <cell r="BB193">
            <v>135430.34999999998</v>
          </cell>
          <cell r="BC193">
            <v>76</v>
          </cell>
        </row>
        <row r="194">
          <cell r="AX194">
            <v>366</v>
          </cell>
          <cell r="AZ194">
            <v>0.1</v>
          </cell>
          <cell r="BA194">
            <v>92</v>
          </cell>
          <cell r="BB194">
            <v>43.076164383561647</v>
          </cell>
        </row>
        <row r="195">
          <cell r="AV195">
            <v>365</v>
          </cell>
          <cell r="AX195">
            <v>366</v>
          </cell>
          <cell r="AZ195">
            <v>0.16209999999999999</v>
          </cell>
          <cell r="BA195">
            <v>175</v>
          </cell>
          <cell r="BB195">
            <v>112.69280821917808</v>
          </cell>
        </row>
        <row r="196">
          <cell r="AX196">
            <v>341</v>
          </cell>
        </row>
        <row r="197">
          <cell r="AX197">
            <v>119</v>
          </cell>
        </row>
        <row r="198">
          <cell r="AX198">
            <v>366</v>
          </cell>
          <cell r="AZ198">
            <v>0.1</v>
          </cell>
          <cell r="BA198">
            <v>365</v>
          </cell>
          <cell r="BB198">
            <v>153.70000000000002</v>
          </cell>
          <cell r="BC198">
            <v>50</v>
          </cell>
        </row>
        <row r="199">
          <cell r="AX199">
            <v>350</v>
          </cell>
        </row>
        <row r="200">
          <cell r="AX200">
            <v>366</v>
          </cell>
          <cell r="AZ200">
            <v>0.1</v>
          </cell>
          <cell r="BA200">
            <v>45</v>
          </cell>
          <cell r="BB200">
            <v>8.1739726027397257</v>
          </cell>
        </row>
        <row r="201">
          <cell r="AX201">
            <v>153</v>
          </cell>
        </row>
        <row r="202">
          <cell r="AX202">
            <v>366</v>
          </cell>
          <cell r="AZ202">
            <v>0.1</v>
          </cell>
          <cell r="BA202">
            <v>365</v>
          </cell>
          <cell r="BB202">
            <v>52</v>
          </cell>
          <cell r="BC202">
            <v>37</v>
          </cell>
        </row>
        <row r="203">
          <cell r="AX203">
            <v>153</v>
          </cell>
        </row>
        <row r="204">
          <cell r="AX204">
            <v>179</v>
          </cell>
        </row>
        <row r="205">
          <cell r="AV205">
            <v>365</v>
          </cell>
          <cell r="AX205">
            <v>70</v>
          </cell>
        </row>
        <row r="206">
          <cell r="D206" t="str">
            <v>Utilities</v>
          </cell>
          <cell r="E206" t="str">
            <v>UTILITY</v>
          </cell>
          <cell r="AV206">
            <v>365</v>
          </cell>
          <cell r="AX206">
            <v>130</v>
          </cell>
        </row>
        <row r="207">
          <cell r="AV207">
            <v>365</v>
          </cell>
          <cell r="AX207">
            <v>130</v>
          </cell>
        </row>
        <row r="208">
          <cell r="AV208">
            <v>365</v>
          </cell>
          <cell r="AX208">
            <v>307</v>
          </cell>
        </row>
        <row r="209">
          <cell r="AV209">
            <v>365</v>
          </cell>
          <cell r="AX209">
            <v>267</v>
          </cell>
        </row>
        <row r="210">
          <cell r="AV210">
            <v>365</v>
          </cell>
          <cell r="AX210">
            <v>263</v>
          </cell>
        </row>
        <row r="211">
          <cell r="AV211">
            <v>365</v>
          </cell>
          <cell r="AX211">
            <v>366</v>
          </cell>
        </row>
        <row r="212">
          <cell r="D212" t="str">
            <v>Utilities</v>
          </cell>
          <cell r="E212" t="str">
            <v>UTILITY</v>
          </cell>
          <cell r="AV212">
            <v>365</v>
          </cell>
          <cell r="AX212">
            <v>130</v>
          </cell>
        </row>
        <row r="213">
          <cell r="AV213">
            <v>365</v>
          </cell>
          <cell r="AX213">
            <v>123</v>
          </cell>
        </row>
        <row r="214">
          <cell r="AV214">
            <v>365</v>
          </cell>
          <cell r="AX214">
            <v>130</v>
          </cell>
        </row>
        <row r="215">
          <cell r="AV215">
            <v>365</v>
          </cell>
          <cell r="AX215">
            <v>119</v>
          </cell>
        </row>
        <row r="216">
          <cell r="AV216">
            <v>365</v>
          </cell>
          <cell r="AX216">
            <v>312</v>
          </cell>
        </row>
        <row r="217">
          <cell r="AV217">
            <v>365</v>
          </cell>
          <cell r="AX217">
            <v>366</v>
          </cell>
        </row>
        <row r="218">
          <cell r="AV218">
            <v>365</v>
          </cell>
          <cell r="AX218">
            <v>26</v>
          </cell>
        </row>
        <row r="219">
          <cell r="AV219">
            <v>365</v>
          </cell>
          <cell r="AX219">
            <v>136</v>
          </cell>
        </row>
        <row r="220">
          <cell r="D220" t="str">
            <v>CO</v>
          </cell>
          <cell r="AV220">
            <v>365</v>
          </cell>
          <cell r="AX220">
            <v>366</v>
          </cell>
          <cell r="AZ220">
            <v>9.5000000000000001E-2</v>
          </cell>
          <cell r="BA220">
            <v>330</v>
          </cell>
          <cell r="BB220">
            <v>150576.54082191779</v>
          </cell>
        </row>
        <row r="221">
          <cell r="AV221">
            <v>365</v>
          </cell>
          <cell r="AX221">
            <v>366</v>
          </cell>
        </row>
        <row r="222">
          <cell r="AV222">
            <v>365</v>
          </cell>
          <cell r="AX222">
            <v>366</v>
          </cell>
        </row>
        <row r="223">
          <cell r="AV223">
            <v>365</v>
          </cell>
          <cell r="AX223">
            <v>366</v>
          </cell>
        </row>
        <row r="224">
          <cell r="AV224">
            <v>365</v>
          </cell>
          <cell r="AX224">
            <v>72</v>
          </cell>
        </row>
        <row r="225">
          <cell r="AV225">
            <v>365</v>
          </cell>
          <cell r="AX225">
            <v>336</v>
          </cell>
        </row>
        <row r="226">
          <cell r="AV226">
            <v>365</v>
          </cell>
          <cell r="AX226">
            <v>136</v>
          </cell>
        </row>
        <row r="227">
          <cell r="AV227">
            <v>365</v>
          </cell>
          <cell r="AX227">
            <v>276</v>
          </cell>
        </row>
        <row r="228">
          <cell r="AV228">
            <v>365</v>
          </cell>
          <cell r="AX228">
            <v>71</v>
          </cell>
        </row>
        <row r="229">
          <cell r="AV229">
            <v>365</v>
          </cell>
          <cell r="AX229">
            <v>147</v>
          </cell>
        </row>
        <row r="230">
          <cell r="AV230">
            <v>365</v>
          </cell>
          <cell r="AX230">
            <v>366</v>
          </cell>
        </row>
        <row r="231">
          <cell r="AV231">
            <v>365</v>
          </cell>
          <cell r="AX231">
            <v>366</v>
          </cell>
        </row>
        <row r="232">
          <cell r="AV232">
            <v>365</v>
          </cell>
          <cell r="AX232">
            <v>215</v>
          </cell>
        </row>
        <row r="233">
          <cell r="AV233">
            <v>365</v>
          </cell>
          <cell r="AX233">
            <v>256</v>
          </cell>
        </row>
        <row r="234">
          <cell r="AV234">
            <v>365</v>
          </cell>
          <cell r="AX234">
            <v>245</v>
          </cell>
        </row>
        <row r="235">
          <cell r="AV235">
            <v>365</v>
          </cell>
          <cell r="AX235">
            <v>42</v>
          </cell>
        </row>
        <row r="236">
          <cell r="AV236">
            <v>365</v>
          </cell>
          <cell r="AX236">
            <v>281</v>
          </cell>
        </row>
        <row r="237">
          <cell r="AV237">
            <v>365</v>
          </cell>
          <cell r="AX237">
            <v>33</v>
          </cell>
        </row>
        <row r="238">
          <cell r="AV238">
            <v>365</v>
          </cell>
          <cell r="AX238">
            <v>128</v>
          </cell>
        </row>
        <row r="239">
          <cell r="AV239">
            <v>365</v>
          </cell>
          <cell r="AX239">
            <v>130</v>
          </cell>
        </row>
        <row r="240">
          <cell r="AV240">
            <v>365</v>
          </cell>
          <cell r="AX240">
            <v>281</v>
          </cell>
        </row>
        <row r="241">
          <cell r="AV241">
            <v>365</v>
          </cell>
          <cell r="AX241">
            <v>155</v>
          </cell>
        </row>
        <row r="242">
          <cell r="AV242">
            <v>365</v>
          </cell>
          <cell r="AX242">
            <v>366</v>
          </cell>
        </row>
        <row r="243">
          <cell r="AV243">
            <v>365</v>
          </cell>
          <cell r="AX243">
            <v>130</v>
          </cell>
        </row>
        <row r="244">
          <cell r="AV244">
            <v>365</v>
          </cell>
          <cell r="AX244">
            <v>366</v>
          </cell>
        </row>
        <row r="245">
          <cell r="AV245">
            <v>365</v>
          </cell>
          <cell r="AX245">
            <v>123</v>
          </cell>
        </row>
        <row r="246">
          <cell r="AV246">
            <v>365</v>
          </cell>
          <cell r="AX246">
            <v>130</v>
          </cell>
        </row>
        <row r="247">
          <cell r="AV247">
            <v>365</v>
          </cell>
          <cell r="AX247">
            <v>130</v>
          </cell>
        </row>
        <row r="248">
          <cell r="AV248">
            <v>365</v>
          </cell>
          <cell r="AX248">
            <v>336</v>
          </cell>
        </row>
        <row r="249">
          <cell r="AV249">
            <v>365</v>
          </cell>
          <cell r="AX249">
            <v>1</v>
          </cell>
        </row>
        <row r="250">
          <cell r="AV250">
            <v>365</v>
          </cell>
          <cell r="AX250">
            <v>1</v>
          </cell>
        </row>
        <row r="251">
          <cell r="D251" t="str">
            <v>CO</v>
          </cell>
          <cell r="AV251">
            <v>365</v>
          </cell>
          <cell r="AX251">
            <v>366</v>
          </cell>
          <cell r="AZ251">
            <v>9.5000000000000001E-2</v>
          </cell>
          <cell r="BA251">
            <v>159</v>
          </cell>
          <cell r="BB251">
            <v>58401.102945205472</v>
          </cell>
        </row>
        <row r="252">
          <cell r="AV252">
            <v>365</v>
          </cell>
          <cell r="AX252">
            <v>267</v>
          </cell>
        </row>
        <row r="253">
          <cell r="AV253">
            <v>365</v>
          </cell>
          <cell r="AX253">
            <v>168</v>
          </cell>
        </row>
        <row r="254">
          <cell r="AV254">
            <v>365</v>
          </cell>
          <cell r="AX254">
            <v>366</v>
          </cell>
        </row>
        <row r="255">
          <cell r="AV255">
            <v>365</v>
          </cell>
          <cell r="AX255">
            <v>366</v>
          </cell>
        </row>
        <row r="256">
          <cell r="AV256">
            <v>365</v>
          </cell>
          <cell r="AX256">
            <v>130</v>
          </cell>
        </row>
        <row r="257">
          <cell r="AV257">
            <v>365</v>
          </cell>
          <cell r="AX257">
            <v>245</v>
          </cell>
        </row>
        <row r="258">
          <cell r="D258" t="str">
            <v>R&amp;D</v>
          </cell>
          <cell r="AV258">
            <v>365</v>
          </cell>
          <cell r="AX258">
            <v>366</v>
          </cell>
          <cell r="AZ258">
            <v>9.5000000000000001E-2</v>
          </cell>
          <cell r="BA258">
            <v>345</v>
          </cell>
          <cell r="BB258">
            <v>119549.91041095891</v>
          </cell>
        </row>
        <row r="259">
          <cell r="AV259">
            <v>365</v>
          </cell>
          <cell r="AX259">
            <v>130</v>
          </cell>
        </row>
        <row r="260">
          <cell r="AV260">
            <v>365</v>
          </cell>
          <cell r="AX260">
            <v>1</v>
          </cell>
        </row>
        <row r="261">
          <cell r="AV261">
            <v>365</v>
          </cell>
          <cell r="AX261">
            <v>366</v>
          </cell>
        </row>
        <row r="262">
          <cell r="AV262">
            <v>365</v>
          </cell>
          <cell r="AX262">
            <v>130</v>
          </cell>
        </row>
        <row r="263">
          <cell r="AV263">
            <v>365</v>
          </cell>
          <cell r="AX263">
            <v>130</v>
          </cell>
        </row>
        <row r="264">
          <cell r="AV264">
            <v>365</v>
          </cell>
          <cell r="AX264">
            <v>366</v>
          </cell>
        </row>
        <row r="265">
          <cell r="D265" t="str">
            <v>R&amp;D</v>
          </cell>
          <cell r="AV265">
            <v>365</v>
          </cell>
          <cell r="AX265">
            <v>366</v>
          </cell>
          <cell r="AZ265">
            <v>9.5000000000000001E-2</v>
          </cell>
          <cell r="BA265">
            <v>37</v>
          </cell>
          <cell r="BB265">
            <v>12076.856260273973</v>
          </cell>
        </row>
        <row r="266">
          <cell r="D266" t="str">
            <v>R&amp;D</v>
          </cell>
          <cell r="AV266">
            <v>365</v>
          </cell>
          <cell r="AX266">
            <v>366</v>
          </cell>
          <cell r="AZ266">
            <v>9.5000000000000001E-2</v>
          </cell>
          <cell r="BA266">
            <v>37</v>
          </cell>
          <cell r="BB266">
            <v>12076.856260273973</v>
          </cell>
        </row>
        <row r="267">
          <cell r="AV267">
            <v>365</v>
          </cell>
          <cell r="AX267">
            <v>336</v>
          </cell>
        </row>
        <row r="268">
          <cell r="AV268">
            <v>365</v>
          </cell>
          <cell r="AX268">
            <v>1</v>
          </cell>
        </row>
        <row r="269">
          <cell r="AV269">
            <v>365</v>
          </cell>
          <cell r="AX269">
            <v>366</v>
          </cell>
        </row>
        <row r="270">
          <cell r="AV270">
            <v>365</v>
          </cell>
          <cell r="AX270">
            <v>281</v>
          </cell>
        </row>
        <row r="271">
          <cell r="AV271">
            <v>365</v>
          </cell>
          <cell r="AX271">
            <v>130</v>
          </cell>
        </row>
        <row r="272">
          <cell r="AV272">
            <v>365</v>
          </cell>
          <cell r="AX272">
            <v>231</v>
          </cell>
        </row>
        <row r="273">
          <cell r="AV273">
            <v>365</v>
          </cell>
          <cell r="AX273">
            <v>130</v>
          </cell>
        </row>
        <row r="274">
          <cell r="AV274">
            <v>365</v>
          </cell>
          <cell r="AX274">
            <v>123</v>
          </cell>
        </row>
        <row r="275">
          <cell r="AV275">
            <v>365</v>
          </cell>
          <cell r="AX275">
            <v>366</v>
          </cell>
        </row>
        <row r="276">
          <cell r="E276" t="str">
            <v>FF</v>
          </cell>
          <cell r="F276" t="str">
            <v>Intermediate</v>
          </cell>
          <cell r="AV276">
            <v>305</v>
          </cell>
        </row>
        <row r="277">
          <cell r="E277" t="str">
            <v>Mezzanine</v>
          </cell>
          <cell r="F277" t="str">
            <v>Intermediate</v>
          </cell>
          <cell r="AV277">
            <v>305</v>
          </cell>
        </row>
        <row r="278">
          <cell r="E278" t="str">
            <v>FF</v>
          </cell>
          <cell r="F278" t="str">
            <v>Intermediate</v>
          </cell>
          <cell r="AV278">
            <v>305</v>
          </cell>
        </row>
        <row r="279">
          <cell r="E279" t="str">
            <v>FF</v>
          </cell>
          <cell r="F279" t="str">
            <v>Intermediate</v>
          </cell>
          <cell r="AV279">
            <v>305</v>
          </cell>
        </row>
        <row r="280">
          <cell r="E280" t="str">
            <v>FF</v>
          </cell>
          <cell r="F280" t="str">
            <v>Intermediate</v>
          </cell>
          <cell r="AV280">
            <v>305</v>
          </cell>
        </row>
        <row r="281">
          <cell r="AV281">
            <v>365</v>
          </cell>
          <cell r="AX281">
            <v>123</v>
          </cell>
        </row>
        <row r="282">
          <cell r="AV282">
            <v>365</v>
          </cell>
          <cell r="AX282">
            <v>112</v>
          </cell>
        </row>
        <row r="283">
          <cell r="E283" t="str">
            <v>FF</v>
          </cell>
          <cell r="F283" t="str">
            <v>Pharma</v>
          </cell>
          <cell r="AV283">
            <v>289</v>
          </cell>
        </row>
        <row r="284">
          <cell r="E284" t="str">
            <v>FF</v>
          </cell>
          <cell r="F284" t="str">
            <v>Pharma</v>
          </cell>
          <cell r="AV284">
            <v>289</v>
          </cell>
        </row>
        <row r="285">
          <cell r="E285" t="str">
            <v>FF</v>
          </cell>
          <cell r="F285" t="str">
            <v>Pharma</v>
          </cell>
          <cell r="AV285">
            <v>289</v>
          </cell>
        </row>
        <row r="286">
          <cell r="E286" t="str">
            <v>Mezzanine</v>
          </cell>
          <cell r="F286" t="str">
            <v>Intermediate</v>
          </cell>
          <cell r="AV286">
            <v>289</v>
          </cell>
        </row>
        <row r="287">
          <cell r="E287" t="str">
            <v>FF</v>
          </cell>
          <cell r="F287" t="str">
            <v>Intermediate</v>
          </cell>
          <cell r="AV287">
            <v>289</v>
          </cell>
        </row>
        <row r="288">
          <cell r="E288" t="str">
            <v>FF</v>
          </cell>
          <cell r="F288" t="str">
            <v>Intermediate</v>
          </cell>
          <cell r="AV288">
            <v>289</v>
          </cell>
        </row>
        <row r="289">
          <cell r="E289" t="str">
            <v>FF</v>
          </cell>
          <cell r="F289" t="str">
            <v>Intermediate</v>
          </cell>
          <cell r="AV289">
            <v>289</v>
          </cell>
        </row>
        <row r="290">
          <cell r="E290" t="str">
            <v>FF</v>
          </cell>
          <cell r="F290" t="str">
            <v>Intermediate</v>
          </cell>
          <cell r="AV290">
            <v>289</v>
          </cell>
        </row>
        <row r="291">
          <cell r="E291" t="str">
            <v>FF</v>
          </cell>
          <cell r="F291" t="str">
            <v>Intermediate</v>
          </cell>
          <cell r="AV291">
            <v>289</v>
          </cell>
        </row>
        <row r="292">
          <cell r="E292" t="str">
            <v>FF</v>
          </cell>
          <cell r="F292" t="str">
            <v>Intermediate</v>
          </cell>
          <cell r="AV292">
            <v>289</v>
          </cell>
        </row>
        <row r="293">
          <cell r="E293" t="str">
            <v>FF</v>
          </cell>
          <cell r="F293" t="str">
            <v>Intermediate</v>
          </cell>
          <cell r="AV293">
            <v>289</v>
          </cell>
        </row>
        <row r="294">
          <cell r="E294" t="str">
            <v>FF</v>
          </cell>
          <cell r="F294" t="str">
            <v>Intermediate</v>
          </cell>
          <cell r="AV294">
            <v>289</v>
          </cell>
        </row>
        <row r="295">
          <cell r="E295" t="str">
            <v>Mezzanine</v>
          </cell>
          <cell r="F295" t="str">
            <v>Intermediate</v>
          </cell>
          <cell r="AV295">
            <v>289</v>
          </cell>
        </row>
        <row r="296">
          <cell r="E296" t="str">
            <v>FF</v>
          </cell>
          <cell r="F296" t="str">
            <v>Intermediate</v>
          </cell>
          <cell r="AV296">
            <v>289</v>
          </cell>
        </row>
        <row r="297">
          <cell r="E297" t="str">
            <v>FF</v>
          </cell>
          <cell r="F297" t="str">
            <v>Intermediate</v>
          </cell>
          <cell r="AV297">
            <v>289</v>
          </cell>
        </row>
        <row r="298">
          <cell r="E298" t="str">
            <v>FF</v>
          </cell>
          <cell r="F298" t="str">
            <v>Intermediate</v>
          </cell>
          <cell r="AV298">
            <v>289</v>
          </cell>
        </row>
        <row r="299">
          <cell r="E299" t="str">
            <v>FF</v>
          </cell>
          <cell r="F299" t="str">
            <v>Intermediate</v>
          </cell>
          <cell r="AV299">
            <v>289</v>
          </cell>
        </row>
        <row r="300">
          <cell r="E300" t="str">
            <v>FF</v>
          </cell>
          <cell r="F300" t="str">
            <v>Intermediate</v>
          </cell>
          <cell r="AV300">
            <v>289</v>
          </cell>
        </row>
        <row r="301">
          <cell r="E301" t="str">
            <v>FF</v>
          </cell>
          <cell r="F301" t="str">
            <v>Intermediate</v>
          </cell>
          <cell r="AV301">
            <v>289</v>
          </cell>
        </row>
        <row r="302">
          <cell r="E302" t="str">
            <v>FF</v>
          </cell>
          <cell r="F302" t="str">
            <v>Intermediate</v>
          </cell>
          <cell r="AV302">
            <v>289</v>
          </cell>
        </row>
        <row r="303">
          <cell r="E303" t="str">
            <v>FF</v>
          </cell>
          <cell r="F303" t="str">
            <v>Intermediate</v>
          </cell>
          <cell r="AV303">
            <v>289</v>
          </cell>
        </row>
        <row r="304">
          <cell r="E304" t="str">
            <v>Tech Area</v>
          </cell>
          <cell r="F304" t="str">
            <v>Pharma</v>
          </cell>
          <cell r="AV304">
            <v>289</v>
          </cell>
        </row>
        <row r="305">
          <cell r="E305" t="str">
            <v>Tech Area</v>
          </cell>
          <cell r="F305" t="str">
            <v>Pharma</v>
          </cell>
          <cell r="AV305">
            <v>289</v>
          </cell>
        </row>
        <row r="306">
          <cell r="E306" t="str">
            <v>Tech Area</v>
          </cell>
          <cell r="F306" t="str">
            <v>Pharma</v>
          </cell>
          <cell r="AV306">
            <v>289</v>
          </cell>
        </row>
        <row r="307">
          <cell r="E307" t="str">
            <v>Tech Area</v>
          </cell>
          <cell r="F307" t="str">
            <v>Pharma</v>
          </cell>
          <cell r="AV307">
            <v>289</v>
          </cell>
        </row>
        <row r="308">
          <cell r="E308" t="str">
            <v>Tech Area</v>
          </cell>
          <cell r="F308" t="str">
            <v>Pharma</v>
          </cell>
          <cell r="AV308">
            <v>289</v>
          </cell>
        </row>
        <row r="309">
          <cell r="E309" t="str">
            <v>Mezzanine</v>
          </cell>
          <cell r="F309" t="str">
            <v>Intermediate</v>
          </cell>
          <cell r="AV309">
            <v>289</v>
          </cell>
        </row>
        <row r="310">
          <cell r="E310" t="str">
            <v>FF</v>
          </cell>
          <cell r="F310" t="str">
            <v>Intermediate</v>
          </cell>
          <cell r="AV310">
            <v>289</v>
          </cell>
        </row>
        <row r="311">
          <cell r="E311" t="str">
            <v>FF</v>
          </cell>
          <cell r="F311" t="str">
            <v>Pharma</v>
          </cell>
          <cell r="AV311">
            <v>289</v>
          </cell>
        </row>
        <row r="312">
          <cell r="E312" t="str">
            <v>FF</v>
          </cell>
          <cell r="F312" t="str">
            <v>Pharma</v>
          </cell>
          <cell r="AV312">
            <v>289</v>
          </cell>
        </row>
        <row r="313">
          <cell r="E313" t="str">
            <v>FF</v>
          </cell>
          <cell r="F313" t="str">
            <v>Pharma</v>
          </cell>
          <cell r="AV313">
            <v>289</v>
          </cell>
        </row>
        <row r="314">
          <cell r="AV314">
            <v>365</v>
          </cell>
          <cell r="AX314">
            <v>366</v>
          </cell>
        </row>
        <row r="315">
          <cell r="AV315">
            <v>365</v>
          </cell>
          <cell r="AX315">
            <v>139</v>
          </cell>
        </row>
        <row r="316">
          <cell r="AV316">
            <v>365</v>
          </cell>
          <cell r="AX316">
            <v>184</v>
          </cell>
        </row>
        <row r="317">
          <cell r="AV317">
            <v>365</v>
          </cell>
          <cell r="AX317">
            <v>137</v>
          </cell>
        </row>
        <row r="318">
          <cell r="AV318">
            <v>365</v>
          </cell>
          <cell r="AX318">
            <v>33</v>
          </cell>
        </row>
        <row r="319">
          <cell r="AV319">
            <v>365</v>
          </cell>
          <cell r="AX319">
            <v>116</v>
          </cell>
        </row>
        <row r="320">
          <cell r="AV320">
            <v>365</v>
          </cell>
          <cell r="AX320">
            <v>276</v>
          </cell>
        </row>
        <row r="321">
          <cell r="AV321">
            <v>365</v>
          </cell>
          <cell r="AX321">
            <v>130</v>
          </cell>
        </row>
        <row r="322">
          <cell r="E322" t="str">
            <v>FF</v>
          </cell>
          <cell r="F322" t="str">
            <v>Pharma</v>
          </cell>
          <cell r="AV322">
            <v>289</v>
          </cell>
        </row>
        <row r="323">
          <cell r="E323" t="str">
            <v>FF</v>
          </cell>
          <cell r="F323" t="str">
            <v>Pharma</v>
          </cell>
          <cell r="AV323">
            <v>289</v>
          </cell>
        </row>
        <row r="324">
          <cell r="E324" t="str">
            <v>FF</v>
          </cell>
          <cell r="F324" t="str">
            <v>Intermediate</v>
          </cell>
          <cell r="AV324">
            <v>289</v>
          </cell>
        </row>
        <row r="325">
          <cell r="AV325">
            <v>289</v>
          </cell>
        </row>
        <row r="326">
          <cell r="AV326">
            <v>365</v>
          </cell>
          <cell r="AX326">
            <v>273</v>
          </cell>
        </row>
        <row r="327">
          <cell r="AV327">
            <v>365</v>
          </cell>
          <cell r="AX327">
            <v>336</v>
          </cell>
        </row>
        <row r="328">
          <cell r="AV328">
            <v>365</v>
          </cell>
          <cell r="AX328">
            <v>366</v>
          </cell>
        </row>
        <row r="329">
          <cell r="AV329">
            <v>365</v>
          </cell>
          <cell r="AX329">
            <v>88</v>
          </cell>
        </row>
        <row r="330">
          <cell r="E330" t="str">
            <v>FF</v>
          </cell>
          <cell r="F330" t="str">
            <v>Intermediate</v>
          </cell>
          <cell r="AV330">
            <v>305</v>
          </cell>
        </row>
        <row r="331">
          <cell r="E331" t="str">
            <v>FF</v>
          </cell>
          <cell r="F331" t="str">
            <v>Intermediate</v>
          </cell>
          <cell r="AV331">
            <v>305</v>
          </cell>
        </row>
        <row r="332">
          <cell r="E332" t="str">
            <v>FF</v>
          </cell>
          <cell r="F332" t="str">
            <v>Intermediate</v>
          </cell>
          <cell r="AV332">
            <v>305</v>
          </cell>
        </row>
        <row r="333">
          <cell r="E333" t="str">
            <v>FF</v>
          </cell>
          <cell r="F333" t="str">
            <v>Intermediate</v>
          </cell>
          <cell r="AV333">
            <v>305</v>
          </cell>
        </row>
        <row r="334">
          <cell r="E334" t="str">
            <v>FF</v>
          </cell>
          <cell r="F334" t="str">
            <v>Intermediate</v>
          </cell>
          <cell r="AV334">
            <v>305</v>
          </cell>
        </row>
        <row r="335">
          <cell r="E335" t="str">
            <v>Mezzanine</v>
          </cell>
          <cell r="F335" t="str">
            <v>Intermediate</v>
          </cell>
          <cell r="AV335">
            <v>305</v>
          </cell>
        </row>
        <row r="336">
          <cell r="E336" t="str">
            <v>Mezzanine</v>
          </cell>
          <cell r="F336" t="str">
            <v>Intermediate</v>
          </cell>
          <cell r="AV336">
            <v>305</v>
          </cell>
        </row>
        <row r="337">
          <cell r="E337" t="str">
            <v>FF</v>
          </cell>
          <cell r="F337" t="str">
            <v>Intermediate</v>
          </cell>
          <cell r="AV337">
            <v>305</v>
          </cell>
        </row>
        <row r="338">
          <cell r="E338" t="str">
            <v>FF</v>
          </cell>
          <cell r="F338" t="str">
            <v>Pharma</v>
          </cell>
          <cell r="AV338">
            <v>305</v>
          </cell>
        </row>
        <row r="339">
          <cell r="E339" t="str">
            <v>FF</v>
          </cell>
          <cell r="F339" t="str">
            <v>Intermediate</v>
          </cell>
          <cell r="AV339">
            <v>305</v>
          </cell>
        </row>
        <row r="340">
          <cell r="AV340">
            <v>365</v>
          </cell>
          <cell r="AX340">
            <v>307</v>
          </cell>
        </row>
        <row r="341">
          <cell r="AV341">
            <v>365</v>
          </cell>
          <cell r="AX341">
            <v>76</v>
          </cell>
        </row>
        <row r="342">
          <cell r="E342" t="str">
            <v>FF</v>
          </cell>
          <cell r="AV342">
            <v>289</v>
          </cell>
        </row>
        <row r="343">
          <cell r="E343" t="str">
            <v>FF</v>
          </cell>
          <cell r="AV343">
            <v>289</v>
          </cell>
        </row>
        <row r="344">
          <cell r="E344" t="str">
            <v>FF</v>
          </cell>
          <cell r="F344" t="str">
            <v>Intermediate</v>
          </cell>
          <cell r="AV344">
            <v>289</v>
          </cell>
        </row>
        <row r="345">
          <cell r="E345" t="str">
            <v>FF</v>
          </cell>
          <cell r="F345" t="str">
            <v>Intermediate</v>
          </cell>
          <cell r="AV345">
            <v>289</v>
          </cell>
        </row>
        <row r="346">
          <cell r="E346" t="str">
            <v>FF</v>
          </cell>
          <cell r="F346" t="str">
            <v>Pharma</v>
          </cell>
          <cell r="AV346">
            <v>289</v>
          </cell>
        </row>
        <row r="347">
          <cell r="E347" t="str">
            <v>FF</v>
          </cell>
          <cell r="F347" t="str">
            <v>Intermediate</v>
          </cell>
          <cell r="AV347">
            <v>289</v>
          </cell>
        </row>
        <row r="348">
          <cell r="E348" t="str">
            <v>FF</v>
          </cell>
          <cell r="F348" t="str">
            <v>Intermediate</v>
          </cell>
          <cell r="AV348">
            <v>289</v>
          </cell>
        </row>
        <row r="349">
          <cell r="E349" t="str">
            <v>FF</v>
          </cell>
          <cell r="F349" t="str">
            <v>Intermediate</v>
          </cell>
          <cell r="AV349">
            <v>289</v>
          </cell>
        </row>
        <row r="350">
          <cell r="E350" t="str">
            <v>FF</v>
          </cell>
          <cell r="F350" t="str">
            <v>Intermediate</v>
          </cell>
          <cell r="AV350">
            <v>289</v>
          </cell>
        </row>
        <row r="351">
          <cell r="E351" t="str">
            <v>FF</v>
          </cell>
          <cell r="F351" t="str">
            <v>Intermediate</v>
          </cell>
          <cell r="AV351">
            <v>289</v>
          </cell>
        </row>
        <row r="352">
          <cell r="E352" t="str">
            <v>Mezzanine</v>
          </cell>
          <cell r="F352" t="str">
            <v>Intermediate</v>
          </cell>
          <cell r="AV352">
            <v>289</v>
          </cell>
        </row>
        <row r="353">
          <cell r="E353" t="str">
            <v>Mezzanine</v>
          </cell>
          <cell r="F353" t="str">
            <v>Intermediate</v>
          </cell>
          <cell r="AV353">
            <v>289</v>
          </cell>
        </row>
        <row r="354">
          <cell r="E354" t="str">
            <v>FF</v>
          </cell>
          <cell r="F354" t="str">
            <v>Intermediate</v>
          </cell>
          <cell r="AV354">
            <v>289</v>
          </cell>
        </row>
        <row r="355">
          <cell r="E355" t="str">
            <v>FF</v>
          </cell>
          <cell r="F355" t="str">
            <v>Intermediate</v>
          </cell>
          <cell r="AV355">
            <v>289</v>
          </cell>
        </row>
        <row r="356">
          <cell r="E356" t="str">
            <v>FF</v>
          </cell>
          <cell r="F356" t="str">
            <v>Intermediate</v>
          </cell>
          <cell r="AV356">
            <v>289</v>
          </cell>
        </row>
        <row r="357">
          <cell r="E357" t="str">
            <v>Tech Area</v>
          </cell>
          <cell r="F357" t="str">
            <v>Pharma</v>
          </cell>
          <cell r="AV357">
            <v>289</v>
          </cell>
        </row>
        <row r="358">
          <cell r="E358" t="str">
            <v>FF</v>
          </cell>
          <cell r="F358" t="str">
            <v>Intermediate</v>
          </cell>
          <cell r="AV358">
            <v>289</v>
          </cell>
        </row>
        <row r="359">
          <cell r="E359" t="str">
            <v>FF</v>
          </cell>
          <cell r="F359" t="str">
            <v>Intermediate</v>
          </cell>
          <cell r="AV359">
            <v>289</v>
          </cell>
        </row>
        <row r="360">
          <cell r="E360" t="str">
            <v>FF</v>
          </cell>
          <cell r="F360" t="str">
            <v>Intermediate</v>
          </cell>
          <cell r="AV360">
            <v>289</v>
          </cell>
        </row>
        <row r="361">
          <cell r="E361" t="str">
            <v>FF</v>
          </cell>
          <cell r="F361" t="str">
            <v>Intermediate</v>
          </cell>
          <cell r="AV361">
            <v>289</v>
          </cell>
        </row>
        <row r="362">
          <cell r="E362" t="str">
            <v>FF</v>
          </cell>
          <cell r="AV362">
            <v>365</v>
          </cell>
          <cell r="AX362">
            <v>179</v>
          </cell>
        </row>
        <row r="363">
          <cell r="AV363">
            <v>365</v>
          </cell>
          <cell r="AX363">
            <v>366</v>
          </cell>
        </row>
        <row r="364">
          <cell r="AV364">
            <v>365</v>
          </cell>
          <cell r="AX364">
            <v>366</v>
          </cell>
          <cell r="AZ364">
            <v>6.3299999999999995E-2</v>
          </cell>
          <cell r="BA364">
            <v>158</v>
          </cell>
          <cell r="BB364">
            <v>219.20876712328766</v>
          </cell>
        </row>
        <row r="365">
          <cell r="E365" t="str">
            <v>FF</v>
          </cell>
          <cell r="F365" t="str">
            <v>Intermediate</v>
          </cell>
          <cell r="AV365">
            <v>305</v>
          </cell>
        </row>
        <row r="366">
          <cell r="E366" t="str">
            <v>FF</v>
          </cell>
          <cell r="F366" t="str">
            <v>Intermediate</v>
          </cell>
          <cell r="AV366">
            <v>305</v>
          </cell>
        </row>
        <row r="367">
          <cell r="E367" t="str">
            <v>FF</v>
          </cell>
          <cell r="F367" t="str">
            <v>Intermediate</v>
          </cell>
          <cell r="AV367">
            <v>305</v>
          </cell>
        </row>
        <row r="368">
          <cell r="E368" t="str">
            <v>FF</v>
          </cell>
          <cell r="F368" t="str">
            <v>Pharma</v>
          </cell>
          <cell r="AV368">
            <v>305</v>
          </cell>
        </row>
        <row r="369">
          <cell r="AV369">
            <v>365</v>
          </cell>
          <cell r="AX369">
            <v>366</v>
          </cell>
        </row>
        <row r="370">
          <cell r="E370" t="str">
            <v>FF</v>
          </cell>
          <cell r="F370" t="str">
            <v>Intermediate</v>
          </cell>
          <cell r="AV370">
            <v>289</v>
          </cell>
        </row>
        <row r="371">
          <cell r="E371" t="str">
            <v>FF</v>
          </cell>
          <cell r="F371" t="str">
            <v>Intermediate</v>
          </cell>
          <cell r="AV371">
            <v>289</v>
          </cell>
        </row>
        <row r="372">
          <cell r="E372" t="str">
            <v>Mezzanine</v>
          </cell>
          <cell r="F372" t="str">
            <v>Intermediate</v>
          </cell>
          <cell r="AV372">
            <v>289</v>
          </cell>
        </row>
        <row r="373">
          <cell r="E373" t="str">
            <v>FF</v>
          </cell>
          <cell r="F373" t="str">
            <v>Intermediate</v>
          </cell>
          <cell r="AV373">
            <v>289</v>
          </cell>
        </row>
        <row r="374">
          <cell r="E374" t="str">
            <v>Mezzanine</v>
          </cell>
          <cell r="F374" t="str">
            <v>Intermediate</v>
          </cell>
          <cell r="AV374">
            <v>289</v>
          </cell>
        </row>
        <row r="375">
          <cell r="E375" t="str">
            <v>FF</v>
          </cell>
          <cell r="F375" t="str">
            <v>Pharma</v>
          </cell>
          <cell r="AV375">
            <v>289</v>
          </cell>
        </row>
        <row r="376">
          <cell r="E376" t="str">
            <v>FF</v>
          </cell>
          <cell r="F376" t="str">
            <v>Intermediate</v>
          </cell>
          <cell r="AV376">
            <v>289</v>
          </cell>
        </row>
        <row r="377">
          <cell r="E377" t="str">
            <v>FF</v>
          </cell>
          <cell r="F377" t="str">
            <v>Intermediate</v>
          </cell>
          <cell r="AV377">
            <v>289</v>
          </cell>
        </row>
        <row r="378">
          <cell r="E378" t="str">
            <v>FF</v>
          </cell>
          <cell r="F378" t="str">
            <v>Intermediate</v>
          </cell>
          <cell r="AV378">
            <v>289</v>
          </cell>
        </row>
        <row r="379">
          <cell r="D379" t="str">
            <v>GC-IB</v>
          </cell>
          <cell r="E379" t="str">
            <v>UTILITY</v>
          </cell>
          <cell r="AV379">
            <v>305</v>
          </cell>
        </row>
        <row r="380">
          <cell r="D380" t="str">
            <v>GC-IB</v>
          </cell>
          <cell r="E380" t="str">
            <v>UTILITY</v>
          </cell>
          <cell r="AV380">
            <v>305</v>
          </cell>
        </row>
        <row r="381">
          <cell r="D381" t="str">
            <v>GC-IB</v>
          </cell>
          <cell r="E381" t="str">
            <v>UTILITY</v>
          </cell>
          <cell r="AV381">
            <v>305</v>
          </cell>
        </row>
        <row r="382">
          <cell r="D382" t="str">
            <v>GC-IB</v>
          </cell>
          <cell r="E382" t="str">
            <v>UTILITY</v>
          </cell>
          <cell r="AV382">
            <v>305</v>
          </cell>
        </row>
        <row r="383">
          <cell r="D383" t="str">
            <v>GC-IB</v>
          </cell>
          <cell r="E383" t="str">
            <v>UTILITY</v>
          </cell>
          <cell r="AV383">
            <v>305</v>
          </cell>
        </row>
        <row r="384">
          <cell r="D384" t="str">
            <v>GC-IB</v>
          </cell>
          <cell r="E384" t="str">
            <v>UTILITY</v>
          </cell>
          <cell r="AV384">
            <v>305</v>
          </cell>
        </row>
        <row r="385">
          <cell r="D385" t="str">
            <v>GC-IB</v>
          </cell>
          <cell r="E385" t="str">
            <v>UTILITY</v>
          </cell>
          <cell r="AV385">
            <v>305</v>
          </cell>
        </row>
        <row r="386">
          <cell r="D386" t="str">
            <v>GC-IB</v>
          </cell>
          <cell r="E386" t="str">
            <v>UTILITY</v>
          </cell>
          <cell r="AV386">
            <v>305</v>
          </cell>
        </row>
        <row r="387">
          <cell r="D387" t="str">
            <v>GC-IB</v>
          </cell>
          <cell r="E387" t="str">
            <v>UTILITY</v>
          </cell>
          <cell r="AV387">
            <v>305</v>
          </cell>
        </row>
        <row r="388">
          <cell r="D388" t="str">
            <v>GC-IB</v>
          </cell>
          <cell r="E388" t="str">
            <v>UTILITY</v>
          </cell>
          <cell r="AV388">
            <v>305</v>
          </cell>
        </row>
        <row r="389">
          <cell r="D389" t="str">
            <v>GC-IB</v>
          </cell>
          <cell r="E389" t="str">
            <v>UTILITY</v>
          </cell>
          <cell r="AV389">
            <v>305</v>
          </cell>
        </row>
        <row r="390">
          <cell r="D390" t="str">
            <v>GC-IB</v>
          </cell>
          <cell r="E390" t="str">
            <v>UTILITY</v>
          </cell>
          <cell r="AV390">
            <v>305</v>
          </cell>
        </row>
        <row r="391">
          <cell r="D391" t="str">
            <v>GC-IB</v>
          </cell>
          <cell r="E391" t="str">
            <v>UTILITY</v>
          </cell>
          <cell r="AV391">
            <v>305</v>
          </cell>
        </row>
        <row r="392">
          <cell r="D392" t="str">
            <v>GC-IB</v>
          </cell>
          <cell r="E392" t="str">
            <v>UTILITY</v>
          </cell>
          <cell r="AV392">
            <v>305</v>
          </cell>
        </row>
        <row r="393">
          <cell r="AV393">
            <v>305</v>
          </cell>
        </row>
        <row r="394">
          <cell r="AV394">
            <v>305</v>
          </cell>
        </row>
        <row r="395">
          <cell r="AV395">
            <v>305</v>
          </cell>
        </row>
        <row r="396">
          <cell r="AV396">
            <v>305</v>
          </cell>
        </row>
        <row r="397">
          <cell r="AV397">
            <v>305</v>
          </cell>
        </row>
        <row r="398">
          <cell r="AV398">
            <v>305</v>
          </cell>
        </row>
        <row r="399">
          <cell r="AV399">
            <v>305</v>
          </cell>
        </row>
        <row r="400">
          <cell r="AV400">
            <v>305</v>
          </cell>
        </row>
        <row r="401">
          <cell r="AV401">
            <v>305</v>
          </cell>
        </row>
        <row r="402">
          <cell r="AV402">
            <v>305</v>
          </cell>
        </row>
        <row r="403">
          <cell r="D403" t="str">
            <v>GC-IB</v>
          </cell>
          <cell r="E403" t="str">
            <v>UTILITY</v>
          </cell>
          <cell r="AV403">
            <v>305</v>
          </cell>
        </row>
        <row r="404">
          <cell r="AV404">
            <v>305</v>
          </cell>
        </row>
        <row r="405">
          <cell r="AV405">
            <v>305</v>
          </cell>
        </row>
        <row r="406">
          <cell r="AV406">
            <v>305</v>
          </cell>
        </row>
        <row r="407">
          <cell r="D407" t="str">
            <v>GC-IB</v>
          </cell>
          <cell r="E407" t="str">
            <v>UTILITY</v>
          </cell>
          <cell r="AV407">
            <v>305</v>
          </cell>
        </row>
        <row r="408">
          <cell r="AV408">
            <v>365</v>
          </cell>
          <cell r="AX408">
            <v>249</v>
          </cell>
        </row>
        <row r="409">
          <cell r="AV409">
            <v>365</v>
          </cell>
          <cell r="AX409">
            <v>150</v>
          </cell>
        </row>
        <row r="410">
          <cell r="AV410">
            <v>259</v>
          </cell>
        </row>
        <row r="411">
          <cell r="AV411">
            <v>259</v>
          </cell>
        </row>
        <row r="412">
          <cell r="AV412">
            <v>365</v>
          </cell>
          <cell r="AX412">
            <v>366</v>
          </cell>
        </row>
        <row r="413">
          <cell r="AV413">
            <v>365</v>
          </cell>
          <cell r="AX413">
            <v>124</v>
          </cell>
        </row>
        <row r="414">
          <cell r="AV414">
            <v>365</v>
          </cell>
          <cell r="AX414">
            <v>245</v>
          </cell>
        </row>
        <row r="415">
          <cell r="E415" t="str">
            <v>FF</v>
          </cell>
          <cell r="F415" t="str">
            <v>Intermediate</v>
          </cell>
          <cell r="AV415">
            <v>335</v>
          </cell>
        </row>
        <row r="416">
          <cell r="E416" t="str">
            <v>FF</v>
          </cell>
          <cell r="F416" t="str">
            <v>Intermediate</v>
          </cell>
          <cell r="AV416">
            <v>335</v>
          </cell>
        </row>
        <row r="417">
          <cell r="E417" t="str">
            <v>FF</v>
          </cell>
          <cell r="F417" t="str">
            <v>Pharma</v>
          </cell>
          <cell r="AV417">
            <v>335</v>
          </cell>
        </row>
        <row r="418">
          <cell r="E418" t="str">
            <v>FF</v>
          </cell>
          <cell r="F418" t="str">
            <v>Pharma</v>
          </cell>
          <cell r="AV418">
            <v>335</v>
          </cell>
        </row>
        <row r="419">
          <cell r="E419" t="str">
            <v>FF</v>
          </cell>
          <cell r="F419" t="str">
            <v>Pharma</v>
          </cell>
          <cell r="AV419">
            <v>335</v>
          </cell>
        </row>
        <row r="420">
          <cell r="E420" t="str">
            <v>FF</v>
          </cell>
          <cell r="F420" t="str">
            <v>Pharma</v>
          </cell>
          <cell r="AV420">
            <v>335</v>
          </cell>
        </row>
        <row r="421">
          <cell r="D421" t="str">
            <v>GC-IB</v>
          </cell>
          <cell r="E421" t="str">
            <v>UTILITY</v>
          </cell>
          <cell r="AV421">
            <v>289</v>
          </cell>
        </row>
        <row r="422">
          <cell r="AV422">
            <v>365</v>
          </cell>
          <cell r="AX422">
            <v>267</v>
          </cell>
        </row>
        <row r="423">
          <cell r="AV423">
            <v>365</v>
          </cell>
          <cell r="AX423">
            <v>336</v>
          </cell>
        </row>
        <row r="424">
          <cell r="AV424">
            <v>365</v>
          </cell>
          <cell r="AX424">
            <v>276</v>
          </cell>
        </row>
        <row r="425">
          <cell r="AV425">
            <v>365</v>
          </cell>
          <cell r="AX425">
            <v>124</v>
          </cell>
        </row>
        <row r="426">
          <cell r="D426" t="str">
            <v>Utilities</v>
          </cell>
          <cell r="E426" t="str">
            <v>UTILITY</v>
          </cell>
          <cell r="AV426">
            <v>365</v>
          </cell>
          <cell r="AX426">
            <v>130</v>
          </cell>
        </row>
        <row r="427">
          <cell r="AV427">
            <v>365</v>
          </cell>
          <cell r="AX427">
            <v>366</v>
          </cell>
          <cell r="AZ427">
            <v>6.3299999999999995E-2</v>
          </cell>
          <cell r="BA427">
            <v>4</v>
          </cell>
          <cell r="BB427">
            <v>8.0212372602739723</v>
          </cell>
        </row>
        <row r="428">
          <cell r="AV428">
            <v>365</v>
          </cell>
          <cell r="AX428">
            <v>283</v>
          </cell>
        </row>
        <row r="429">
          <cell r="AV429">
            <v>335</v>
          </cell>
        </row>
        <row r="430">
          <cell r="AV430">
            <v>335</v>
          </cell>
        </row>
        <row r="431">
          <cell r="AV431">
            <v>335</v>
          </cell>
        </row>
        <row r="432">
          <cell r="AV432">
            <v>335</v>
          </cell>
        </row>
        <row r="433">
          <cell r="AV433">
            <v>335</v>
          </cell>
        </row>
        <row r="434">
          <cell r="AV434">
            <v>335</v>
          </cell>
        </row>
        <row r="435">
          <cell r="AV435">
            <v>335</v>
          </cell>
        </row>
        <row r="436">
          <cell r="AV436">
            <v>335</v>
          </cell>
        </row>
        <row r="437">
          <cell r="AV437">
            <v>335</v>
          </cell>
        </row>
        <row r="438">
          <cell r="AV438">
            <v>335</v>
          </cell>
        </row>
        <row r="439">
          <cell r="E439" t="str">
            <v>FF</v>
          </cell>
          <cell r="F439" t="str">
            <v>Intermediate</v>
          </cell>
          <cell r="AV439">
            <v>289</v>
          </cell>
        </row>
        <row r="440">
          <cell r="E440" t="str">
            <v>FF</v>
          </cell>
          <cell r="F440" t="str">
            <v>Intermediate</v>
          </cell>
          <cell r="AV440">
            <v>289</v>
          </cell>
        </row>
        <row r="441">
          <cell r="AV441">
            <v>365</v>
          </cell>
          <cell r="AX441">
            <v>366</v>
          </cell>
          <cell r="AZ441">
            <v>0.16209999999999999</v>
          </cell>
          <cell r="BA441">
            <v>0</v>
          </cell>
          <cell r="BB441">
            <v>0</v>
          </cell>
        </row>
        <row r="442">
          <cell r="AV442">
            <v>365</v>
          </cell>
          <cell r="AX442">
            <v>130</v>
          </cell>
        </row>
        <row r="443">
          <cell r="AV443">
            <v>365</v>
          </cell>
        </row>
        <row r="444">
          <cell r="AV444">
            <v>289</v>
          </cell>
        </row>
        <row r="445">
          <cell r="AV445">
            <v>289</v>
          </cell>
        </row>
        <row r="446">
          <cell r="AV446">
            <v>289</v>
          </cell>
        </row>
        <row r="447">
          <cell r="AV447">
            <v>289</v>
          </cell>
        </row>
        <row r="448">
          <cell r="AV448">
            <v>365</v>
          </cell>
          <cell r="AX448">
            <v>276</v>
          </cell>
        </row>
        <row r="449">
          <cell r="AV449">
            <v>365</v>
          </cell>
          <cell r="AX449">
            <v>336</v>
          </cell>
        </row>
        <row r="450">
          <cell r="AV450">
            <v>365</v>
          </cell>
          <cell r="AX450">
            <v>336</v>
          </cell>
        </row>
        <row r="451">
          <cell r="AV451">
            <v>365</v>
          </cell>
          <cell r="AX451">
            <v>130</v>
          </cell>
        </row>
        <row r="452">
          <cell r="AV452">
            <v>365</v>
          </cell>
          <cell r="AX452">
            <v>249</v>
          </cell>
        </row>
        <row r="453">
          <cell r="AV453">
            <v>365</v>
          </cell>
          <cell r="AX453">
            <v>130</v>
          </cell>
        </row>
        <row r="454">
          <cell r="AV454">
            <v>365</v>
          </cell>
          <cell r="AX454">
            <v>33</v>
          </cell>
        </row>
        <row r="455">
          <cell r="AV455">
            <v>365</v>
          </cell>
          <cell r="AX455">
            <v>366</v>
          </cell>
          <cell r="AZ455">
            <v>6.3299999999999995E-2</v>
          </cell>
          <cell r="BA455">
            <v>51</v>
          </cell>
          <cell r="BB455">
            <v>110.38132602739724</v>
          </cell>
        </row>
        <row r="456">
          <cell r="AV456">
            <v>365</v>
          </cell>
          <cell r="AX456">
            <v>1</v>
          </cell>
        </row>
        <row r="457">
          <cell r="AV457">
            <v>365</v>
          </cell>
          <cell r="AX457">
            <v>336</v>
          </cell>
        </row>
        <row r="458">
          <cell r="AV458">
            <v>365</v>
          </cell>
          <cell r="AX458">
            <v>109</v>
          </cell>
        </row>
        <row r="459">
          <cell r="AV459">
            <v>365</v>
          </cell>
          <cell r="AX459">
            <v>276</v>
          </cell>
        </row>
        <row r="460">
          <cell r="AV460">
            <v>365</v>
          </cell>
          <cell r="AX460">
            <v>366</v>
          </cell>
        </row>
        <row r="461">
          <cell r="AV461">
            <v>365</v>
          </cell>
          <cell r="AX461">
            <v>221</v>
          </cell>
        </row>
        <row r="462">
          <cell r="AV462">
            <v>365</v>
          </cell>
          <cell r="AX462">
            <v>109</v>
          </cell>
        </row>
        <row r="463">
          <cell r="E463" t="str">
            <v>FF</v>
          </cell>
          <cell r="F463" t="str">
            <v>Pharma</v>
          </cell>
          <cell r="AV463">
            <v>335</v>
          </cell>
        </row>
        <row r="464">
          <cell r="E464" t="str">
            <v>FF</v>
          </cell>
          <cell r="F464" t="str">
            <v>Pharma</v>
          </cell>
          <cell r="AV464">
            <v>335</v>
          </cell>
        </row>
        <row r="465">
          <cell r="E465" t="str">
            <v>FF</v>
          </cell>
          <cell r="F465" t="str">
            <v>Intermediate</v>
          </cell>
          <cell r="AV465">
            <v>335</v>
          </cell>
        </row>
        <row r="466">
          <cell r="E466" t="str">
            <v>FF</v>
          </cell>
          <cell r="F466" t="str">
            <v>Intermediate</v>
          </cell>
          <cell r="AV466">
            <v>335</v>
          </cell>
        </row>
        <row r="467">
          <cell r="AV467">
            <v>365</v>
          </cell>
          <cell r="AX467">
            <v>336</v>
          </cell>
        </row>
        <row r="468">
          <cell r="AV468">
            <v>365</v>
          </cell>
          <cell r="AX468">
            <v>246</v>
          </cell>
        </row>
        <row r="469">
          <cell r="AV469">
            <v>365</v>
          </cell>
          <cell r="AX469">
            <v>242</v>
          </cell>
        </row>
        <row r="470">
          <cell r="D470" t="str">
            <v>R&amp;D</v>
          </cell>
          <cell r="AV470">
            <v>365</v>
          </cell>
          <cell r="AX470">
            <v>366</v>
          </cell>
          <cell r="AZ470">
            <v>9.5000000000000001E-2</v>
          </cell>
          <cell r="BA470">
            <v>0</v>
          </cell>
          <cell r="BB470">
            <v>0</v>
          </cell>
        </row>
        <row r="471">
          <cell r="D471" t="str">
            <v>GC - IA</v>
          </cell>
          <cell r="E471" t="str">
            <v>GF</v>
          </cell>
          <cell r="F471" t="str">
            <v>Intermediate</v>
          </cell>
          <cell r="AV471">
            <v>335</v>
          </cell>
        </row>
        <row r="472">
          <cell r="D472" t="str">
            <v>GC-IB</v>
          </cell>
          <cell r="E472" t="str">
            <v>GF</v>
          </cell>
          <cell r="F472" t="str">
            <v>Intermediate</v>
          </cell>
          <cell r="AV472">
            <v>335</v>
          </cell>
        </row>
        <row r="473">
          <cell r="AV473">
            <v>365</v>
          </cell>
          <cell r="AX473">
            <v>153</v>
          </cell>
        </row>
        <row r="474">
          <cell r="AV474">
            <v>365</v>
          </cell>
          <cell r="AX474">
            <v>267</v>
          </cell>
        </row>
        <row r="475">
          <cell r="E475" t="str">
            <v>FF</v>
          </cell>
          <cell r="F475" t="str">
            <v>Intermediate</v>
          </cell>
          <cell r="AV475">
            <v>335</v>
          </cell>
        </row>
        <row r="476">
          <cell r="D476" t="str">
            <v>GC - IA</v>
          </cell>
          <cell r="E476" t="str">
            <v>GF</v>
          </cell>
          <cell r="F476" t="str">
            <v>Intermediate</v>
          </cell>
          <cell r="AV476">
            <v>305</v>
          </cell>
        </row>
        <row r="477">
          <cell r="D477" t="str">
            <v>GC - IA</v>
          </cell>
          <cell r="E477" t="str">
            <v>GF</v>
          </cell>
          <cell r="F477" t="str">
            <v>Intermediate</v>
          </cell>
          <cell r="AV477">
            <v>305</v>
          </cell>
        </row>
        <row r="478">
          <cell r="F478" t="str">
            <v>Zone-2</v>
          </cell>
          <cell r="AV478">
            <v>305</v>
          </cell>
        </row>
        <row r="479">
          <cell r="AV479">
            <v>365</v>
          </cell>
          <cell r="AX479">
            <v>366</v>
          </cell>
          <cell r="AZ479">
            <v>6.3299999999999995E-2</v>
          </cell>
          <cell r="BA479">
            <v>212</v>
          </cell>
          <cell r="BB479">
            <v>426.4859178082192</v>
          </cell>
        </row>
        <row r="480">
          <cell r="D480" t="str">
            <v>R&amp;D</v>
          </cell>
          <cell r="AV480">
            <v>365</v>
          </cell>
          <cell r="AX480">
            <v>245</v>
          </cell>
        </row>
        <row r="481">
          <cell r="AV481">
            <v>365</v>
          </cell>
          <cell r="AX481">
            <v>306</v>
          </cell>
        </row>
        <row r="482">
          <cell r="AV482">
            <v>365</v>
          </cell>
          <cell r="AX482">
            <v>33</v>
          </cell>
        </row>
        <row r="483">
          <cell r="AV483">
            <v>365</v>
          </cell>
          <cell r="AX483">
            <v>366</v>
          </cell>
        </row>
        <row r="484">
          <cell r="E484" t="str">
            <v>FF</v>
          </cell>
          <cell r="AV484">
            <v>365</v>
          </cell>
          <cell r="AX484">
            <v>266</v>
          </cell>
        </row>
        <row r="485">
          <cell r="AV485">
            <v>365</v>
          </cell>
          <cell r="AX485">
            <v>244</v>
          </cell>
        </row>
        <row r="486">
          <cell r="AV486">
            <v>365</v>
          </cell>
          <cell r="AX486">
            <v>123</v>
          </cell>
        </row>
        <row r="487">
          <cell r="AV487">
            <v>365</v>
          </cell>
          <cell r="AX487">
            <v>48</v>
          </cell>
        </row>
        <row r="488">
          <cell r="AV488">
            <v>365</v>
          </cell>
          <cell r="AX488">
            <v>275</v>
          </cell>
        </row>
        <row r="489">
          <cell r="D489" t="str">
            <v>GC-IB</v>
          </cell>
          <cell r="E489" t="str">
            <v>Intermediate</v>
          </cell>
          <cell r="AV489">
            <v>305</v>
          </cell>
        </row>
        <row r="490">
          <cell r="D490" t="str">
            <v>GC-IB</v>
          </cell>
          <cell r="E490" t="str">
            <v>Intermediate</v>
          </cell>
          <cell r="AV490">
            <v>305</v>
          </cell>
        </row>
        <row r="491">
          <cell r="D491" t="str">
            <v>GC-IB</v>
          </cell>
          <cell r="E491" t="str">
            <v>Intermediate</v>
          </cell>
          <cell r="AV491">
            <v>305</v>
          </cell>
        </row>
        <row r="492">
          <cell r="D492" t="str">
            <v>GC-IB</v>
          </cell>
          <cell r="E492" t="str">
            <v>Intermediate</v>
          </cell>
          <cell r="AV492">
            <v>305</v>
          </cell>
        </row>
        <row r="493">
          <cell r="AV493">
            <v>305</v>
          </cell>
        </row>
        <row r="494">
          <cell r="AV494">
            <v>305</v>
          </cell>
        </row>
        <row r="495">
          <cell r="AV495">
            <v>305</v>
          </cell>
        </row>
        <row r="496">
          <cell r="AV496">
            <v>305</v>
          </cell>
        </row>
        <row r="497">
          <cell r="AV497">
            <v>305</v>
          </cell>
        </row>
        <row r="498">
          <cell r="AV498">
            <v>365</v>
          </cell>
          <cell r="AX498">
            <v>366</v>
          </cell>
          <cell r="AZ498">
            <v>0.16209999999999999</v>
          </cell>
          <cell r="BA498">
            <v>206</v>
          </cell>
          <cell r="BB498">
            <v>631.25736986301365</v>
          </cell>
        </row>
        <row r="499">
          <cell r="AV499">
            <v>365</v>
          </cell>
          <cell r="AX499">
            <v>366</v>
          </cell>
        </row>
        <row r="500">
          <cell r="D500" t="str">
            <v>CO</v>
          </cell>
          <cell r="AV500">
            <v>365</v>
          </cell>
          <cell r="AX500">
            <v>22</v>
          </cell>
        </row>
        <row r="501">
          <cell r="E501" t="str">
            <v>FF</v>
          </cell>
          <cell r="F501" t="str">
            <v>Intermediate</v>
          </cell>
          <cell r="AV501">
            <v>305</v>
          </cell>
        </row>
        <row r="502">
          <cell r="E502" t="str">
            <v>FF</v>
          </cell>
          <cell r="F502" t="str">
            <v>Intermediate</v>
          </cell>
          <cell r="AV502">
            <v>305</v>
          </cell>
        </row>
        <row r="503">
          <cell r="E503" t="str">
            <v>FF</v>
          </cell>
          <cell r="F503" t="str">
            <v>Intermediate</v>
          </cell>
          <cell r="AV503">
            <v>305</v>
          </cell>
        </row>
        <row r="504">
          <cell r="E504" t="str">
            <v>Tech Area</v>
          </cell>
          <cell r="F504" t="str">
            <v>Pharma</v>
          </cell>
          <cell r="AV504">
            <v>305</v>
          </cell>
        </row>
        <row r="505">
          <cell r="E505" t="str">
            <v>FF</v>
          </cell>
          <cell r="F505" t="str">
            <v>Intermediate</v>
          </cell>
          <cell r="AV505">
            <v>305</v>
          </cell>
        </row>
        <row r="506">
          <cell r="E506" t="str">
            <v>FF</v>
          </cell>
          <cell r="F506" t="str">
            <v>Intermediate</v>
          </cell>
          <cell r="AV506">
            <v>305</v>
          </cell>
        </row>
        <row r="507">
          <cell r="E507" t="str">
            <v>FF</v>
          </cell>
          <cell r="F507" t="str">
            <v>Intermediate</v>
          </cell>
          <cell r="AV507">
            <v>305</v>
          </cell>
        </row>
        <row r="508">
          <cell r="E508" t="str">
            <v>Mezzanine</v>
          </cell>
          <cell r="F508" t="str">
            <v>Intermediate</v>
          </cell>
          <cell r="AV508">
            <v>305</v>
          </cell>
        </row>
        <row r="509">
          <cell r="E509" t="str">
            <v>FF</v>
          </cell>
          <cell r="F509" t="str">
            <v>Intermediate</v>
          </cell>
          <cell r="AV509">
            <v>305</v>
          </cell>
        </row>
        <row r="510">
          <cell r="E510" t="str">
            <v>FF</v>
          </cell>
          <cell r="F510" t="str">
            <v>Intermediate</v>
          </cell>
          <cell r="AV510">
            <v>305</v>
          </cell>
        </row>
        <row r="511">
          <cell r="E511" t="str">
            <v>Mezzanine</v>
          </cell>
          <cell r="F511" t="str">
            <v>Intermediate</v>
          </cell>
          <cell r="AV511">
            <v>305</v>
          </cell>
        </row>
        <row r="512">
          <cell r="E512" t="str">
            <v>Tech Area</v>
          </cell>
          <cell r="F512" t="str">
            <v>Pharma</v>
          </cell>
          <cell r="AV512">
            <v>305</v>
          </cell>
        </row>
        <row r="513">
          <cell r="E513" t="str">
            <v>Tech Area</v>
          </cell>
          <cell r="F513" t="str">
            <v>Pharma</v>
          </cell>
          <cell r="AV513">
            <v>305</v>
          </cell>
        </row>
        <row r="514">
          <cell r="E514" t="str">
            <v>Tech Area</v>
          </cell>
          <cell r="F514" t="str">
            <v>Pharma</v>
          </cell>
          <cell r="AV514">
            <v>305</v>
          </cell>
        </row>
        <row r="515">
          <cell r="E515" t="str">
            <v>Tech Area</v>
          </cell>
          <cell r="F515" t="str">
            <v>Pharma</v>
          </cell>
          <cell r="AV515">
            <v>305</v>
          </cell>
        </row>
        <row r="516">
          <cell r="E516" t="str">
            <v>Mezzanine</v>
          </cell>
          <cell r="F516" t="str">
            <v>Intermediate</v>
          </cell>
          <cell r="AV516">
            <v>305</v>
          </cell>
        </row>
        <row r="517">
          <cell r="E517" t="str">
            <v>FF</v>
          </cell>
          <cell r="F517" t="str">
            <v>Intermediate</v>
          </cell>
          <cell r="AV517">
            <v>305</v>
          </cell>
        </row>
        <row r="518">
          <cell r="E518" t="str">
            <v>FF</v>
          </cell>
          <cell r="F518" t="str">
            <v>Intermediate</v>
          </cell>
          <cell r="AV518">
            <v>305</v>
          </cell>
        </row>
        <row r="519">
          <cell r="E519" t="str">
            <v>FF</v>
          </cell>
          <cell r="F519" t="str">
            <v>Intermediate</v>
          </cell>
          <cell r="AV519">
            <v>305</v>
          </cell>
        </row>
        <row r="520">
          <cell r="E520" t="str">
            <v>Tech Area</v>
          </cell>
          <cell r="F520" t="str">
            <v>Pharma</v>
          </cell>
          <cell r="AV520">
            <v>305</v>
          </cell>
        </row>
        <row r="521">
          <cell r="E521" t="str">
            <v>FF</v>
          </cell>
          <cell r="F521" t="str">
            <v>Intermediate</v>
          </cell>
          <cell r="AV521">
            <v>305</v>
          </cell>
        </row>
        <row r="522">
          <cell r="E522" t="str">
            <v>Mezzanine</v>
          </cell>
          <cell r="F522" t="str">
            <v>Intermediate</v>
          </cell>
          <cell r="AV522">
            <v>305</v>
          </cell>
        </row>
        <row r="523">
          <cell r="E523" t="str">
            <v>FF</v>
          </cell>
          <cell r="F523" t="str">
            <v>Intermediate</v>
          </cell>
          <cell r="AV523">
            <v>305</v>
          </cell>
        </row>
        <row r="524">
          <cell r="E524" t="str">
            <v>FF</v>
          </cell>
          <cell r="F524" t="str">
            <v>Intermediate</v>
          </cell>
          <cell r="AV524">
            <v>305</v>
          </cell>
        </row>
        <row r="525">
          <cell r="AV525">
            <v>305</v>
          </cell>
        </row>
        <row r="526">
          <cell r="AV526">
            <v>305</v>
          </cell>
        </row>
        <row r="527">
          <cell r="AV527">
            <v>365</v>
          </cell>
          <cell r="AX527">
            <v>366</v>
          </cell>
          <cell r="AZ527">
            <v>6.3299999999999995E-2</v>
          </cell>
          <cell r="BA527">
            <v>169</v>
          </cell>
          <cell r="BB527">
            <v>395.66835616438357</v>
          </cell>
        </row>
        <row r="528">
          <cell r="AV528">
            <v>365</v>
          </cell>
          <cell r="AX528">
            <v>286</v>
          </cell>
        </row>
        <row r="529">
          <cell r="AV529">
            <v>365</v>
          </cell>
          <cell r="AX529">
            <v>1</v>
          </cell>
        </row>
        <row r="530">
          <cell r="AV530">
            <v>365</v>
          </cell>
          <cell r="AX530">
            <v>366</v>
          </cell>
        </row>
        <row r="531">
          <cell r="AV531">
            <v>365</v>
          </cell>
          <cell r="AX531">
            <v>1</v>
          </cell>
        </row>
        <row r="532">
          <cell r="AV532">
            <v>365</v>
          </cell>
          <cell r="AX532">
            <v>184</v>
          </cell>
        </row>
        <row r="533">
          <cell r="AV533">
            <v>289</v>
          </cell>
        </row>
        <row r="534">
          <cell r="AV534">
            <v>289</v>
          </cell>
        </row>
        <row r="535">
          <cell r="AV535">
            <v>289</v>
          </cell>
        </row>
        <row r="536">
          <cell r="AV536">
            <v>289</v>
          </cell>
        </row>
        <row r="537">
          <cell r="AV537">
            <v>289</v>
          </cell>
        </row>
        <row r="538">
          <cell r="AV538">
            <v>289</v>
          </cell>
        </row>
        <row r="539">
          <cell r="AV539">
            <v>289</v>
          </cell>
        </row>
        <row r="540">
          <cell r="AV540">
            <v>289</v>
          </cell>
        </row>
        <row r="541">
          <cell r="AV541">
            <v>289</v>
          </cell>
        </row>
        <row r="542">
          <cell r="AV542">
            <v>289</v>
          </cell>
        </row>
        <row r="543">
          <cell r="AV543">
            <v>289</v>
          </cell>
        </row>
        <row r="544">
          <cell r="AV544">
            <v>289</v>
          </cell>
        </row>
        <row r="545">
          <cell r="AV545">
            <v>289</v>
          </cell>
        </row>
        <row r="546">
          <cell r="AV546">
            <v>289</v>
          </cell>
        </row>
        <row r="547">
          <cell r="D547" t="str">
            <v>CO</v>
          </cell>
          <cell r="AV547">
            <v>365</v>
          </cell>
          <cell r="AX547">
            <v>275</v>
          </cell>
        </row>
        <row r="548">
          <cell r="E548" t="str">
            <v>FF</v>
          </cell>
          <cell r="F548" t="str">
            <v>Intermediate</v>
          </cell>
          <cell r="AV548">
            <v>305</v>
          </cell>
        </row>
        <row r="549">
          <cell r="E549" t="str">
            <v>FF</v>
          </cell>
          <cell r="F549" t="str">
            <v>Intermediate</v>
          </cell>
          <cell r="AV549">
            <v>305</v>
          </cell>
        </row>
        <row r="550">
          <cell r="E550" t="str">
            <v>FF</v>
          </cell>
          <cell r="F550" t="str">
            <v>Intermediate</v>
          </cell>
          <cell r="AV550">
            <v>305</v>
          </cell>
        </row>
        <row r="551">
          <cell r="E551" t="str">
            <v>FF</v>
          </cell>
          <cell r="F551" t="str">
            <v>Intermediate</v>
          </cell>
          <cell r="AV551">
            <v>305</v>
          </cell>
        </row>
        <row r="552">
          <cell r="E552" t="str">
            <v>FF</v>
          </cell>
          <cell r="F552" t="str">
            <v>Intermediate</v>
          </cell>
          <cell r="AV552">
            <v>305</v>
          </cell>
        </row>
        <row r="553">
          <cell r="E553" t="str">
            <v>Tech Area</v>
          </cell>
          <cell r="F553" t="str">
            <v>Pharma</v>
          </cell>
          <cell r="AV553">
            <v>305</v>
          </cell>
        </row>
        <row r="554">
          <cell r="E554" t="str">
            <v>Tech Area</v>
          </cell>
          <cell r="F554" t="str">
            <v>Pharma</v>
          </cell>
          <cell r="AV554">
            <v>305</v>
          </cell>
        </row>
        <row r="555">
          <cell r="E555" t="str">
            <v>Tech Area</v>
          </cell>
          <cell r="F555" t="str">
            <v>Pharma</v>
          </cell>
          <cell r="AV555">
            <v>305</v>
          </cell>
        </row>
        <row r="556">
          <cell r="E556" t="str">
            <v>Tech Area</v>
          </cell>
          <cell r="F556" t="str">
            <v>Pharma</v>
          </cell>
          <cell r="AV556">
            <v>305</v>
          </cell>
        </row>
        <row r="557">
          <cell r="E557" t="str">
            <v>Tech Area</v>
          </cell>
          <cell r="F557" t="str">
            <v>Pharma</v>
          </cell>
          <cell r="AV557">
            <v>305</v>
          </cell>
        </row>
        <row r="558">
          <cell r="AV558">
            <v>365</v>
          </cell>
          <cell r="AX558">
            <v>94</v>
          </cell>
        </row>
        <row r="559">
          <cell r="E559" t="str">
            <v>FF</v>
          </cell>
          <cell r="F559" t="str">
            <v>Intermediate</v>
          </cell>
          <cell r="AV559">
            <v>305</v>
          </cell>
        </row>
        <row r="560">
          <cell r="AV560">
            <v>365</v>
          </cell>
          <cell r="AX560">
            <v>366</v>
          </cell>
          <cell r="AZ560">
            <v>6.3299999999999995E-2</v>
          </cell>
          <cell r="BA560">
            <v>170</v>
          </cell>
          <cell r="BB560">
            <v>427.72763835616433</v>
          </cell>
        </row>
        <row r="561">
          <cell r="E561" t="str">
            <v>SF</v>
          </cell>
          <cell r="AV561">
            <v>365</v>
          </cell>
          <cell r="AX561">
            <v>21</v>
          </cell>
        </row>
        <row r="562">
          <cell r="AV562">
            <v>365</v>
          </cell>
          <cell r="AX562">
            <v>267</v>
          </cell>
        </row>
        <row r="563">
          <cell r="AV563">
            <v>335</v>
          </cell>
        </row>
        <row r="564">
          <cell r="AV564">
            <v>335</v>
          </cell>
        </row>
        <row r="565">
          <cell r="AV565">
            <v>335</v>
          </cell>
        </row>
        <row r="566">
          <cell r="AV566">
            <v>335</v>
          </cell>
        </row>
        <row r="567">
          <cell r="AV567">
            <v>335</v>
          </cell>
        </row>
        <row r="568">
          <cell r="D568" t="str">
            <v>GC- IC</v>
          </cell>
          <cell r="E568" t="str">
            <v>Intermediate</v>
          </cell>
          <cell r="AV568">
            <v>335</v>
          </cell>
        </row>
        <row r="569">
          <cell r="D569" t="str">
            <v>GC- IC</v>
          </cell>
          <cell r="E569" t="str">
            <v>Intermediate</v>
          </cell>
          <cell r="AV569">
            <v>335</v>
          </cell>
        </row>
        <row r="570">
          <cell r="AV570">
            <v>335</v>
          </cell>
        </row>
        <row r="571">
          <cell r="D571" t="str">
            <v>GC- IC</v>
          </cell>
          <cell r="E571" t="str">
            <v>Intermediate</v>
          </cell>
          <cell r="AV571">
            <v>335</v>
          </cell>
        </row>
        <row r="572">
          <cell r="AV572">
            <v>289</v>
          </cell>
        </row>
        <row r="573">
          <cell r="AV573">
            <v>289</v>
          </cell>
        </row>
        <row r="574">
          <cell r="AV574">
            <v>289</v>
          </cell>
        </row>
        <row r="575">
          <cell r="AV575">
            <v>289</v>
          </cell>
        </row>
        <row r="576">
          <cell r="D576" t="str">
            <v>GC-IB</v>
          </cell>
          <cell r="E576" t="str">
            <v>Pharma</v>
          </cell>
          <cell r="AV576">
            <v>289</v>
          </cell>
        </row>
        <row r="577">
          <cell r="AV577">
            <v>289</v>
          </cell>
        </row>
        <row r="578">
          <cell r="AV578">
            <v>289</v>
          </cell>
        </row>
        <row r="579">
          <cell r="AV579">
            <v>289</v>
          </cell>
        </row>
        <row r="580">
          <cell r="D580" t="str">
            <v>GC-IB</v>
          </cell>
          <cell r="E580" t="str">
            <v>Pharma</v>
          </cell>
          <cell r="AV580">
            <v>289</v>
          </cell>
        </row>
        <row r="581">
          <cell r="D581" t="str">
            <v>GC-IB</v>
          </cell>
          <cell r="E581" t="str">
            <v>Pharma</v>
          </cell>
          <cell r="AV581">
            <v>289</v>
          </cell>
        </row>
        <row r="582">
          <cell r="D582" t="str">
            <v>GC-IB</v>
          </cell>
          <cell r="E582" t="str">
            <v>Pharma</v>
          </cell>
          <cell r="AV582">
            <v>289</v>
          </cell>
        </row>
        <row r="583">
          <cell r="D583" t="str">
            <v>GC-IB</v>
          </cell>
          <cell r="E583" t="str">
            <v>Pharma</v>
          </cell>
          <cell r="AV583">
            <v>289</v>
          </cell>
        </row>
        <row r="584">
          <cell r="AV584">
            <v>289</v>
          </cell>
        </row>
        <row r="585">
          <cell r="AV585">
            <v>365</v>
          </cell>
          <cell r="AX585">
            <v>366</v>
          </cell>
        </row>
        <row r="586">
          <cell r="AV586">
            <v>365</v>
          </cell>
          <cell r="AX586">
            <v>276</v>
          </cell>
        </row>
        <row r="587">
          <cell r="AV587">
            <v>365</v>
          </cell>
          <cell r="AX587">
            <v>184</v>
          </cell>
        </row>
        <row r="588">
          <cell r="AV588">
            <v>365</v>
          </cell>
          <cell r="AX588">
            <v>130</v>
          </cell>
        </row>
        <row r="589">
          <cell r="AV589">
            <v>365</v>
          </cell>
          <cell r="AX589">
            <v>130</v>
          </cell>
        </row>
        <row r="590">
          <cell r="AV590">
            <v>365</v>
          </cell>
          <cell r="AX590">
            <v>62</v>
          </cell>
        </row>
        <row r="591">
          <cell r="AV591">
            <v>365</v>
          </cell>
          <cell r="AX591">
            <v>155</v>
          </cell>
        </row>
        <row r="592">
          <cell r="AV592">
            <v>365</v>
          </cell>
          <cell r="AX592">
            <v>130</v>
          </cell>
        </row>
        <row r="593">
          <cell r="AV593">
            <v>289</v>
          </cell>
        </row>
        <row r="594">
          <cell r="AV594">
            <v>289</v>
          </cell>
        </row>
        <row r="595">
          <cell r="AV595">
            <v>289</v>
          </cell>
        </row>
        <row r="596">
          <cell r="AV596">
            <v>289</v>
          </cell>
        </row>
        <row r="597">
          <cell r="AV597">
            <v>289</v>
          </cell>
        </row>
        <row r="598">
          <cell r="D598" t="str">
            <v>GC-IB</v>
          </cell>
          <cell r="E598" t="str">
            <v>UTILITY</v>
          </cell>
          <cell r="AV598">
            <v>289</v>
          </cell>
        </row>
        <row r="599">
          <cell r="AV599">
            <v>365</v>
          </cell>
          <cell r="AX599">
            <v>130</v>
          </cell>
        </row>
        <row r="600">
          <cell r="AV600">
            <v>365</v>
          </cell>
          <cell r="AX600">
            <v>180</v>
          </cell>
        </row>
        <row r="601">
          <cell r="AV601">
            <v>365</v>
          </cell>
          <cell r="AX601">
            <v>366</v>
          </cell>
          <cell r="AZ601">
            <v>0.16209999999999999</v>
          </cell>
          <cell r="BA601">
            <v>30</v>
          </cell>
          <cell r="BB601">
            <v>121.24191780821916</v>
          </cell>
        </row>
        <row r="602">
          <cell r="AV602">
            <v>365</v>
          </cell>
          <cell r="AX602">
            <v>54</v>
          </cell>
        </row>
        <row r="603">
          <cell r="AV603">
            <v>365</v>
          </cell>
          <cell r="AX603">
            <v>153</v>
          </cell>
        </row>
        <row r="604">
          <cell r="AV604">
            <v>305</v>
          </cell>
        </row>
        <row r="605">
          <cell r="E605" t="str">
            <v>GF</v>
          </cell>
          <cell r="F605" t="str">
            <v>Intermediate</v>
          </cell>
          <cell r="AV605">
            <v>305</v>
          </cell>
        </row>
        <row r="606">
          <cell r="AV606">
            <v>365</v>
          </cell>
          <cell r="AX606">
            <v>5</v>
          </cell>
        </row>
        <row r="607">
          <cell r="AV607">
            <v>365</v>
          </cell>
          <cell r="AX607">
            <v>197</v>
          </cell>
        </row>
        <row r="608">
          <cell r="AV608">
            <v>365</v>
          </cell>
          <cell r="AX608">
            <v>130</v>
          </cell>
        </row>
        <row r="609">
          <cell r="D609" t="str">
            <v>GC-IB</v>
          </cell>
          <cell r="E609" t="str">
            <v>GF</v>
          </cell>
          <cell r="F609" t="str">
            <v>Pharma</v>
          </cell>
          <cell r="AV609">
            <v>289</v>
          </cell>
        </row>
        <row r="610">
          <cell r="AV610">
            <v>289</v>
          </cell>
        </row>
        <row r="611">
          <cell r="AV611">
            <v>365</v>
          </cell>
          <cell r="AX611">
            <v>33</v>
          </cell>
        </row>
        <row r="612">
          <cell r="AV612">
            <v>365</v>
          </cell>
          <cell r="AX612">
            <v>306</v>
          </cell>
        </row>
        <row r="613">
          <cell r="AV613">
            <v>365</v>
          </cell>
          <cell r="AX613">
            <v>130</v>
          </cell>
        </row>
        <row r="614">
          <cell r="AV614">
            <v>365</v>
          </cell>
          <cell r="AX614">
            <v>130</v>
          </cell>
        </row>
        <row r="615">
          <cell r="AV615">
            <v>365</v>
          </cell>
          <cell r="AX615">
            <v>33</v>
          </cell>
        </row>
        <row r="616">
          <cell r="AV616">
            <v>365</v>
          </cell>
          <cell r="AX616">
            <v>18</v>
          </cell>
        </row>
        <row r="617">
          <cell r="AV617">
            <v>365</v>
          </cell>
          <cell r="AX617">
            <v>176</v>
          </cell>
        </row>
        <row r="618">
          <cell r="AV618">
            <v>365</v>
          </cell>
          <cell r="AX618">
            <v>366</v>
          </cell>
        </row>
        <row r="619">
          <cell r="AV619">
            <v>365</v>
          </cell>
          <cell r="AX619">
            <v>336</v>
          </cell>
        </row>
        <row r="620">
          <cell r="AV620">
            <v>365</v>
          </cell>
          <cell r="AX620">
            <v>366</v>
          </cell>
        </row>
        <row r="621">
          <cell r="AV621">
            <v>365</v>
          </cell>
          <cell r="AX621">
            <v>1</v>
          </cell>
        </row>
        <row r="622">
          <cell r="AV622">
            <v>365</v>
          </cell>
          <cell r="AX622">
            <v>1</v>
          </cell>
        </row>
        <row r="623">
          <cell r="AV623">
            <v>365</v>
          </cell>
          <cell r="AX623">
            <v>365</v>
          </cell>
        </row>
        <row r="624">
          <cell r="AV624">
            <v>365</v>
          </cell>
          <cell r="AX624">
            <v>365</v>
          </cell>
          <cell r="BA624">
            <v>365</v>
          </cell>
        </row>
        <row r="625">
          <cell r="AV625">
            <v>365</v>
          </cell>
          <cell r="AX625">
            <v>54</v>
          </cell>
        </row>
        <row r="626">
          <cell r="AV626">
            <v>365</v>
          </cell>
          <cell r="AX626">
            <v>317</v>
          </cell>
        </row>
        <row r="627">
          <cell r="AV627">
            <v>365</v>
          </cell>
          <cell r="AX627">
            <v>336</v>
          </cell>
        </row>
        <row r="628">
          <cell r="AV628">
            <v>365</v>
          </cell>
          <cell r="AX628">
            <v>267</v>
          </cell>
        </row>
        <row r="629">
          <cell r="AV629">
            <v>365</v>
          </cell>
          <cell r="AX629">
            <v>366</v>
          </cell>
        </row>
        <row r="630">
          <cell r="AV630">
            <v>365</v>
          </cell>
          <cell r="AX630">
            <v>130</v>
          </cell>
        </row>
        <row r="631">
          <cell r="AV631">
            <v>365</v>
          </cell>
          <cell r="AX631">
            <v>280</v>
          </cell>
        </row>
        <row r="632">
          <cell r="AV632">
            <v>365</v>
          </cell>
          <cell r="AX632">
            <v>80</v>
          </cell>
        </row>
        <row r="633">
          <cell r="AV633">
            <v>365</v>
          </cell>
          <cell r="AX633">
            <v>366</v>
          </cell>
        </row>
        <row r="634">
          <cell r="AV634">
            <v>365</v>
          </cell>
          <cell r="AX634">
            <v>366</v>
          </cell>
        </row>
        <row r="635">
          <cell r="E635" t="str">
            <v>SF</v>
          </cell>
          <cell r="AV635">
            <v>365</v>
          </cell>
          <cell r="AX635">
            <v>21</v>
          </cell>
        </row>
        <row r="636">
          <cell r="AV636">
            <v>365</v>
          </cell>
          <cell r="AX636">
            <v>336</v>
          </cell>
        </row>
        <row r="637">
          <cell r="AV637">
            <v>365</v>
          </cell>
          <cell r="AX637">
            <v>336</v>
          </cell>
        </row>
        <row r="638">
          <cell r="D638" t="str">
            <v>GC- IC</v>
          </cell>
          <cell r="E638" t="str">
            <v>Near OCB</v>
          </cell>
          <cell r="AV638">
            <v>335</v>
          </cell>
        </row>
        <row r="639">
          <cell r="AV639">
            <v>365</v>
          </cell>
          <cell r="AX639">
            <v>280</v>
          </cell>
        </row>
        <row r="640">
          <cell r="AV640">
            <v>365</v>
          </cell>
          <cell r="AX640">
            <v>33</v>
          </cell>
        </row>
        <row r="641">
          <cell r="E641" t="str">
            <v>Tech Area</v>
          </cell>
          <cell r="F641" t="str">
            <v>Pharma</v>
          </cell>
          <cell r="AV641">
            <v>335</v>
          </cell>
        </row>
        <row r="642">
          <cell r="E642" t="str">
            <v>Mezzanine</v>
          </cell>
          <cell r="F642" t="str">
            <v>Intermediate</v>
          </cell>
          <cell r="AV642">
            <v>335</v>
          </cell>
        </row>
        <row r="643">
          <cell r="E643" t="str">
            <v>FF</v>
          </cell>
          <cell r="F643" t="str">
            <v>Intermediate</v>
          </cell>
          <cell r="AV643">
            <v>335</v>
          </cell>
        </row>
        <row r="644">
          <cell r="E644" t="str">
            <v>FF</v>
          </cell>
          <cell r="F644" t="str">
            <v>Intermediate</v>
          </cell>
          <cell r="AV644">
            <v>335</v>
          </cell>
        </row>
        <row r="645">
          <cell r="E645" t="str">
            <v>FF</v>
          </cell>
          <cell r="F645" t="str">
            <v>Intermediate</v>
          </cell>
          <cell r="AV645">
            <v>335</v>
          </cell>
        </row>
        <row r="646">
          <cell r="E646" t="str">
            <v>FF</v>
          </cell>
          <cell r="F646" t="str">
            <v>Intermediate</v>
          </cell>
          <cell r="AV646">
            <v>335</v>
          </cell>
        </row>
        <row r="647">
          <cell r="E647" t="str">
            <v>FF</v>
          </cell>
          <cell r="F647" t="str">
            <v>Intermediate</v>
          </cell>
          <cell r="AV647">
            <v>335</v>
          </cell>
        </row>
        <row r="648">
          <cell r="E648" t="str">
            <v>FF</v>
          </cell>
          <cell r="F648" t="str">
            <v>Intermediate</v>
          </cell>
          <cell r="AV648">
            <v>335</v>
          </cell>
        </row>
        <row r="649">
          <cell r="AV649">
            <v>365</v>
          </cell>
          <cell r="AX649">
            <v>252</v>
          </cell>
        </row>
        <row r="650">
          <cell r="AV650">
            <v>365</v>
          </cell>
          <cell r="AX650">
            <v>306</v>
          </cell>
        </row>
        <row r="651">
          <cell r="AV651">
            <v>365</v>
          </cell>
          <cell r="AX651">
            <v>267</v>
          </cell>
        </row>
        <row r="652">
          <cell r="AV652">
            <v>289</v>
          </cell>
        </row>
        <row r="653">
          <cell r="D653" t="str">
            <v>GC-IB</v>
          </cell>
          <cell r="E653" t="str">
            <v>Pharma</v>
          </cell>
          <cell r="AV653">
            <v>289</v>
          </cell>
        </row>
        <row r="654">
          <cell r="D654" t="str">
            <v>GC-IB</v>
          </cell>
          <cell r="E654" t="str">
            <v>Pharma</v>
          </cell>
          <cell r="AV654">
            <v>289</v>
          </cell>
        </row>
        <row r="655">
          <cell r="D655" t="str">
            <v>GC-IB</v>
          </cell>
          <cell r="E655" t="str">
            <v>Pharma</v>
          </cell>
          <cell r="AV655">
            <v>289</v>
          </cell>
        </row>
        <row r="656">
          <cell r="D656" t="str">
            <v>GC-IB</v>
          </cell>
          <cell r="E656" t="str">
            <v>Pharma</v>
          </cell>
          <cell r="AV656">
            <v>289</v>
          </cell>
        </row>
        <row r="657">
          <cell r="AV657">
            <v>365</v>
          </cell>
          <cell r="AX657">
            <v>92</v>
          </cell>
        </row>
        <row r="658">
          <cell r="AV658">
            <v>365</v>
          </cell>
          <cell r="AX658">
            <v>131</v>
          </cell>
        </row>
        <row r="659">
          <cell r="AV659">
            <v>365</v>
          </cell>
          <cell r="AX659">
            <v>283</v>
          </cell>
        </row>
        <row r="660">
          <cell r="D660" t="str">
            <v>Solvent Recivery Block</v>
          </cell>
          <cell r="E660" t="str">
            <v>SF</v>
          </cell>
          <cell r="AV660">
            <v>335</v>
          </cell>
        </row>
        <row r="661">
          <cell r="D661" t="str">
            <v>Solvent Recivery Block</v>
          </cell>
          <cell r="E661" t="str">
            <v>FF</v>
          </cell>
          <cell r="AV661">
            <v>335</v>
          </cell>
        </row>
        <row r="662">
          <cell r="E662" t="str">
            <v>SF</v>
          </cell>
          <cell r="AV662">
            <v>335</v>
          </cell>
        </row>
        <row r="663">
          <cell r="E663" t="str">
            <v>SF</v>
          </cell>
          <cell r="AV663">
            <v>335</v>
          </cell>
        </row>
        <row r="664">
          <cell r="D664" t="str">
            <v>Solvent Recivery Block</v>
          </cell>
          <cell r="E664" t="str">
            <v>FF</v>
          </cell>
          <cell r="AV664">
            <v>335</v>
          </cell>
        </row>
        <row r="665">
          <cell r="D665" t="str">
            <v>Solvent Recivery Block</v>
          </cell>
          <cell r="E665" t="str">
            <v>SF</v>
          </cell>
          <cell r="AV665">
            <v>335</v>
          </cell>
        </row>
        <row r="666">
          <cell r="D666" t="str">
            <v>Solvent Recivery Block</v>
          </cell>
          <cell r="E666" t="str">
            <v>FF</v>
          </cell>
          <cell r="AV666">
            <v>335</v>
          </cell>
        </row>
        <row r="667">
          <cell r="D667" t="str">
            <v>Solvent Recivery Block</v>
          </cell>
          <cell r="E667" t="str">
            <v>SF</v>
          </cell>
          <cell r="AV667">
            <v>335</v>
          </cell>
        </row>
        <row r="668">
          <cell r="D668" t="str">
            <v>Solvent Recivery Block</v>
          </cell>
          <cell r="E668" t="str">
            <v>GF</v>
          </cell>
          <cell r="AV668">
            <v>335</v>
          </cell>
        </row>
        <row r="669">
          <cell r="D669" t="str">
            <v>Solvent Recivery Block</v>
          </cell>
          <cell r="E669" t="str">
            <v>GF</v>
          </cell>
          <cell r="AV669">
            <v>335</v>
          </cell>
        </row>
        <row r="670">
          <cell r="AV670">
            <v>365</v>
          </cell>
          <cell r="AX670">
            <v>366</v>
          </cell>
          <cell r="AZ670">
            <v>6.3299999999999995E-2</v>
          </cell>
          <cell r="BA670">
            <v>123</v>
          </cell>
          <cell r="BB670">
            <v>485.94681616438356</v>
          </cell>
        </row>
        <row r="671">
          <cell r="D671" t="str">
            <v>GC-IB</v>
          </cell>
          <cell r="E671" t="str">
            <v>GF</v>
          </cell>
          <cell r="F671" t="str">
            <v>Intermediate</v>
          </cell>
          <cell r="AV671">
            <v>335</v>
          </cell>
        </row>
        <row r="672">
          <cell r="D672" t="str">
            <v>GC - IA</v>
          </cell>
          <cell r="E672" t="str">
            <v>GF</v>
          </cell>
          <cell r="F672" t="str">
            <v>Intermediate</v>
          </cell>
          <cell r="AV672">
            <v>335</v>
          </cell>
        </row>
        <row r="673">
          <cell r="AV673">
            <v>365</v>
          </cell>
          <cell r="AX673">
            <v>131</v>
          </cell>
        </row>
        <row r="674">
          <cell r="AV674">
            <v>365</v>
          </cell>
          <cell r="AX674">
            <v>366</v>
          </cell>
        </row>
        <row r="675">
          <cell r="AV675">
            <v>365</v>
          </cell>
          <cell r="AX675">
            <v>366</v>
          </cell>
          <cell r="AZ675">
            <v>6.3299999999999995E-2</v>
          </cell>
          <cell r="BA675">
            <v>162</v>
          </cell>
          <cell r="BB675">
            <v>629.32339726027385</v>
          </cell>
        </row>
        <row r="676">
          <cell r="AV676">
            <v>365</v>
          </cell>
          <cell r="AX676">
            <v>42</v>
          </cell>
        </row>
        <row r="677">
          <cell r="AV677">
            <v>365</v>
          </cell>
          <cell r="AX677">
            <v>306</v>
          </cell>
        </row>
        <row r="678">
          <cell r="AV678">
            <v>365</v>
          </cell>
          <cell r="AX678">
            <v>336</v>
          </cell>
        </row>
        <row r="679">
          <cell r="AV679">
            <v>365</v>
          </cell>
          <cell r="AX679">
            <v>42</v>
          </cell>
        </row>
        <row r="680">
          <cell r="AV680">
            <v>365</v>
          </cell>
          <cell r="AX680">
            <v>130</v>
          </cell>
        </row>
        <row r="681">
          <cell r="D681" t="str">
            <v>R&amp;D</v>
          </cell>
          <cell r="AV681">
            <v>365</v>
          </cell>
          <cell r="AX681">
            <v>366</v>
          </cell>
          <cell r="AZ681">
            <v>9.5000000000000001E-2</v>
          </cell>
          <cell r="BA681">
            <v>248</v>
          </cell>
          <cell r="BB681">
            <v>37400.434958904108</v>
          </cell>
        </row>
        <row r="682">
          <cell r="AV682">
            <v>365</v>
          </cell>
          <cell r="AX682">
            <v>366</v>
          </cell>
          <cell r="AZ682">
            <v>9.5000000000000001E-2</v>
          </cell>
          <cell r="BA682">
            <v>248</v>
          </cell>
          <cell r="BB682">
            <v>37400.434958904108</v>
          </cell>
        </row>
        <row r="683">
          <cell r="D683" t="str">
            <v>GC- IC</v>
          </cell>
          <cell r="E683" t="str">
            <v>Intermediate</v>
          </cell>
          <cell r="AV683">
            <v>335</v>
          </cell>
        </row>
        <row r="684">
          <cell r="AV684">
            <v>335</v>
          </cell>
        </row>
        <row r="685">
          <cell r="D685" t="str">
            <v>R&amp;D</v>
          </cell>
          <cell r="AV685">
            <v>365</v>
          </cell>
          <cell r="AX685">
            <v>306</v>
          </cell>
        </row>
        <row r="686">
          <cell r="D686" t="str">
            <v>R&amp;D</v>
          </cell>
          <cell r="G686">
            <v>1038</v>
          </cell>
          <cell r="AV686">
            <v>365</v>
          </cell>
          <cell r="AX686">
            <v>306</v>
          </cell>
        </row>
        <row r="687">
          <cell r="AV687">
            <v>365</v>
          </cell>
          <cell r="AX687">
            <v>366</v>
          </cell>
          <cell r="AZ687">
            <v>9.5000000000000001E-2</v>
          </cell>
          <cell r="BA687">
            <v>348</v>
          </cell>
          <cell r="BB687">
            <v>51875.668767123287</v>
          </cell>
        </row>
        <row r="688">
          <cell r="AV688">
            <v>365</v>
          </cell>
          <cell r="AX688">
            <v>366</v>
          </cell>
          <cell r="AZ688">
            <v>9.5000000000000001E-2</v>
          </cell>
          <cell r="BA688">
            <v>348</v>
          </cell>
          <cell r="BB688">
            <v>51875.668767123287</v>
          </cell>
        </row>
        <row r="689">
          <cell r="AV689">
            <v>365</v>
          </cell>
          <cell r="AX689">
            <v>366</v>
          </cell>
          <cell r="AZ689">
            <v>6.3299999999999995E-2</v>
          </cell>
          <cell r="BA689">
            <v>212</v>
          </cell>
          <cell r="BB689">
            <v>827.23561643835626</v>
          </cell>
        </row>
        <row r="690">
          <cell r="D690" t="str">
            <v>R&amp;D</v>
          </cell>
          <cell r="AV690">
            <v>365</v>
          </cell>
          <cell r="AX690">
            <v>229</v>
          </cell>
        </row>
        <row r="691">
          <cell r="AV691">
            <v>365</v>
          </cell>
          <cell r="AX691">
            <v>107</v>
          </cell>
        </row>
        <row r="692">
          <cell r="D692" t="str">
            <v>R&amp;D</v>
          </cell>
          <cell r="AV692">
            <v>365</v>
          </cell>
          <cell r="AX692">
            <v>39</v>
          </cell>
        </row>
        <row r="693">
          <cell r="E693" t="str">
            <v>MF</v>
          </cell>
          <cell r="F693" t="str">
            <v>Intermediate</v>
          </cell>
          <cell r="AV693">
            <v>335</v>
          </cell>
        </row>
        <row r="694">
          <cell r="E694" t="str">
            <v>MF</v>
          </cell>
          <cell r="F694" t="str">
            <v>Intermediate</v>
          </cell>
          <cell r="AV694">
            <v>335</v>
          </cell>
        </row>
        <row r="695">
          <cell r="E695" t="str">
            <v>FF</v>
          </cell>
          <cell r="F695" t="str">
            <v>Intermediate</v>
          </cell>
          <cell r="AV695">
            <v>335</v>
          </cell>
        </row>
        <row r="696">
          <cell r="AV696">
            <v>305</v>
          </cell>
        </row>
        <row r="697">
          <cell r="D697" t="str">
            <v>R&amp;D</v>
          </cell>
          <cell r="AV697">
            <v>365</v>
          </cell>
          <cell r="AX697">
            <v>366</v>
          </cell>
          <cell r="AZ697">
            <v>9.5000000000000001E-2</v>
          </cell>
          <cell r="BA697">
            <v>182</v>
          </cell>
          <cell r="BB697">
            <v>26348.681013698631</v>
          </cell>
        </row>
        <row r="698">
          <cell r="AV698">
            <v>365</v>
          </cell>
          <cell r="AX698">
            <v>366</v>
          </cell>
          <cell r="AZ698">
            <v>6.3299999999999995E-2</v>
          </cell>
          <cell r="BA698">
            <v>162</v>
          </cell>
          <cell r="BB698">
            <v>670.6227452054793</v>
          </cell>
        </row>
        <row r="699">
          <cell r="AV699">
            <v>365</v>
          </cell>
          <cell r="AX699">
            <v>153</v>
          </cell>
        </row>
        <row r="700">
          <cell r="AV700">
            <v>365</v>
          </cell>
          <cell r="AX700">
            <v>366</v>
          </cell>
          <cell r="AZ700">
            <v>6.3299999999999995E-2</v>
          </cell>
          <cell r="BA700">
            <v>90</v>
          </cell>
          <cell r="BB700">
            <v>398.00958904109581</v>
          </cell>
        </row>
        <row r="701">
          <cell r="AV701">
            <v>365</v>
          </cell>
          <cell r="AX701">
            <v>307</v>
          </cell>
        </row>
        <row r="702">
          <cell r="AV702">
            <v>365</v>
          </cell>
          <cell r="AX702">
            <v>366</v>
          </cell>
        </row>
        <row r="703">
          <cell r="E703" t="str">
            <v>FF</v>
          </cell>
          <cell r="F703" t="str">
            <v>Pharma</v>
          </cell>
          <cell r="AV703">
            <v>305</v>
          </cell>
        </row>
        <row r="704">
          <cell r="E704" t="str">
            <v>Mezzanine</v>
          </cell>
          <cell r="F704" t="str">
            <v>Intermediate</v>
          </cell>
          <cell r="AV704">
            <v>305</v>
          </cell>
        </row>
        <row r="705">
          <cell r="E705" t="str">
            <v>Mezzanine</v>
          </cell>
          <cell r="F705" t="str">
            <v>Intermediate</v>
          </cell>
          <cell r="AV705">
            <v>305</v>
          </cell>
        </row>
        <row r="706">
          <cell r="AV706">
            <v>365</v>
          </cell>
          <cell r="AX706">
            <v>336</v>
          </cell>
        </row>
        <row r="707">
          <cell r="AV707">
            <v>365</v>
          </cell>
          <cell r="AX707">
            <v>366</v>
          </cell>
        </row>
        <row r="708">
          <cell r="AV708">
            <v>335</v>
          </cell>
        </row>
        <row r="709">
          <cell r="AV709">
            <v>365</v>
          </cell>
          <cell r="AX709">
            <v>366</v>
          </cell>
          <cell r="AZ709">
            <v>0.16209999999999999</v>
          </cell>
          <cell r="BA709">
            <v>1</v>
          </cell>
          <cell r="BB709">
            <v>6.3951780821917801</v>
          </cell>
        </row>
        <row r="710">
          <cell r="D710" t="str">
            <v>GC-IB</v>
          </cell>
          <cell r="E710" t="str">
            <v>Pharma</v>
          </cell>
          <cell r="AV710">
            <v>289</v>
          </cell>
        </row>
        <row r="711">
          <cell r="AV711">
            <v>289</v>
          </cell>
        </row>
        <row r="712">
          <cell r="AV712">
            <v>289</v>
          </cell>
        </row>
        <row r="713">
          <cell r="E713" t="str">
            <v>FF</v>
          </cell>
          <cell r="AV713">
            <v>335</v>
          </cell>
        </row>
        <row r="714">
          <cell r="AV714">
            <v>365</v>
          </cell>
          <cell r="AX714">
            <v>184</v>
          </cell>
        </row>
        <row r="715">
          <cell r="AV715">
            <v>365</v>
          </cell>
          <cell r="AX715">
            <v>33</v>
          </cell>
        </row>
        <row r="716">
          <cell r="AV716">
            <v>365</v>
          </cell>
          <cell r="AX716">
            <v>276</v>
          </cell>
        </row>
        <row r="717">
          <cell r="AV717">
            <v>365</v>
          </cell>
          <cell r="AX717">
            <v>276</v>
          </cell>
        </row>
        <row r="718">
          <cell r="AV718">
            <v>365</v>
          </cell>
          <cell r="AX718">
            <v>366</v>
          </cell>
        </row>
        <row r="719">
          <cell r="AV719">
            <v>365</v>
          </cell>
          <cell r="AX719">
            <v>33</v>
          </cell>
        </row>
        <row r="720">
          <cell r="AV720">
            <v>365</v>
          </cell>
          <cell r="AX720">
            <v>366</v>
          </cell>
        </row>
        <row r="721">
          <cell r="AV721">
            <v>365</v>
          </cell>
          <cell r="AX721">
            <v>267</v>
          </cell>
        </row>
        <row r="722">
          <cell r="AV722">
            <v>305</v>
          </cell>
        </row>
        <row r="723">
          <cell r="AV723">
            <v>365</v>
          </cell>
          <cell r="AX723">
            <v>82</v>
          </cell>
        </row>
        <row r="724">
          <cell r="AV724">
            <v>365</v>
          </cell>
          <cell r="AX724">
            <v>82</v>
          </cell>
        </row>
        <row r="725">
          <cell r="AV725">
            <v>365</v>
          </cell>
          <cell r="AX725">
            <v>1</v>
          </cell>
        </row>
        <row r="726">
          <cell r="AV726">
            <v>365</v>
          </cell>
          <cell r="AX726">
            <v>130</v>
          </cell>
        </row>
        <row r="727">
          <cell r="AV727">
            <v>365</v>
          </cell>
          <cell r="AX727">
            <v>130</v>
          </cell>
        </row>
        <row r="728">
          <cell r="F728" t="str">
            <v>Zone-5</v>
          </cell>
          <cell r="AV728">
            <v>335</v>
          </cell>
        </row>
        <row r="729">
          <cell r="AV729">
            <v>365</v>
          </cell>
          <cell r="AX729">
            <v>71</v>
          </cell>
        </row>
        <row r="730">
          <cell r="AV730">
            <v>365</v>
          </cell>
          <cell r="AX730">
            <v>71</v>
          </cell>
        </row>
        <row r="731">
          <cell r="AV731">
            <v>365</v>
          </cell>
          <cell r="AX731">
            <v>184</v>
          </cell>
        </row>
        <row r="732">
          <cell r="AV732">
            <v>365</v>
          </cell>
          <cell r="AX732">
            <v>366</v>
          </cell>
          <cell r="AZ732">
            <v>6.3299999999999995E-2</v>
          </cell>
          <cell r="BA732">
            <v>365</v>
          </cell>
          <cell r="BB732">
            <v>32045.625</v>
          </cell>
          <cell r="BC732">
            <v>86</v>
          </cell>
        </row>
        <row r="733">
          <cell r="AV733">
            <v>365</v>
          </cell>
          <cell r="AX733">
            <v>97</v>
          </cell>
        </row>
        <row r="734">
          <cell r="AV734">
            <v>365</v>
          </cell>
          <cell r="AX734">
            <v>366</v>
          </cell>
        </row>
        <row r="735">
          <cell r="AV735">
            <v>365</v>
          </cell>
          <cell r="AX735">
            <v>131</v>
          </cell>
        </row>
        <row r="736">
          <cell r="AV736">
            <v>365</v>
          </cell>
          <cell r="AX736">
            <v>183</v>
          </cell>
        </row>
        <row r="737">
          <cell r="AV737">
            <v>289</v>
          </cell>
        </row>
        <row r="738">
          <cell r="AV738">
            <v>289</v>
          </cell>
        </row>
        <row r="739">
          <cell r="AV739">
            <v>289</v>
          </cell>
        </row>
        <row r="740">
          <cell r="AV740">
            <v>289</v>
          </cell>
        </row>
        <row r="741">
          <cell r="AV741">
            <v>289</v>
          </cell>
        </row>
        <row r="742">
          <cell r="AV742">
            <v>289</v>
          </cell>
        </row>
        <row r="743">
          <cell r="AV743">
            <v>289</v>
          </cell>
        </row>
        <row r="744">
          <cell r="AV744">
            <v>289</v>
          </cell>
        </row>
        <row r="745">
          <cell r="AV745">
            <v>289</v>
          </cell>
        </row>
        <row r="746">
          <cell r="AV746">
            <v>289</v>
          </cell>
        </row>
        <row r="747">
          <cell r="AV747">
            <v>289</v>
          </cell>
        </row>
        <row r="748">
          <cell r="AV748">
            <v>289</v>
          </cell>
        </row>
        <row r="749">
          <cell r="AV749">
            <v>365</v>
          </cell>
          <cell r="AX749">
            <v>336</v>
          </cell>
        </row>
        <row r="750">
          <cell r="AV750">
            <v>365</v>
          </cell>
          <cell r="AX750">
            <v>33</v>
          </cell>
        </row>
        <row r="751">
          <cell r="D751" t="str">
            <v>GC - IA</v>
          </cell>
          <cell r="E751" t="str">
            <v>GF</v>
          </cell>
          <cell r="F751" t="str">
            <v>Intermediate</v>
          </cell>
          <cell r="AV751">
            <v>305</v>
          </cell>
        </row>
        <row r="752">
          <cell r="AV752">
            <v>365</v>
          </cell>
          <cell r="AX752">
            <v>183</v>
          </cell>
        </row>
        <row r="753">
          <cell r="AV753">
            <v>365</v>
          </cell>
          <cell r="AX753">
            <v>366</v>
          </cell>
          <cell r="AZ753">
            <v>6.3299999999999995E-2</v>
          </cell>
          <cell r="BA753">
            <v>201</v>
          </cell>
          <cell r="BB753">
            <v>939.432698630137</v>
          </cell>
        </row>
        <row r="754">
          <cell r="AV754">
            <v>365</v>
          </cell>
          <cell r="AX754">
            <v>23</v>
          </cell>
        </row>
        <row r="755">
          <cell r="E755" t="str">
            <v>FF</v>
          </cell>
          <cell r="F755" t="str">
            <v>Pharma</v>
          </cell>
          <cell r="AV755">
            <v>335</v>
          </cell>
        </row>
        <row r="756">
          <cell r="E756" t="str">
            <v>FF</v>
          </cell>
          <cell r="F756" t="str">
            <v>Pharma</v>
          </cell>
          <cell r="AV756">
            <v>335</v>
          </cell>
        </row>
        <row r="757">
          <cell r="AV757">
            <v>365</v>
          </cell>
          <cell r="AX757">
            <v>60</v>
          </cell>
        </row>
        <row r="758">
          <cell r="E758" t="str">
            <v>GF</v>
          </cell>
          <cell r="AV758">
            <v>365</v>
          </cell>
          <cell r="AX758">
            <v>336</v>
          </cell>
        </row>
        <row r="759">
          <cell r="AV759">
            <v>365</v>
          </cell>
          <cell r="AX759">
            <v>1</v>
          </cell>
        </row>
        <row r="760">
          <cell r="AV760">
            <v>365</v>
          </cell>
          <cell r="AX760">
            <v>1</v>
          </cell>
        </row>
        <row r="761">
          <cell r="AV761">
            <v>365</v>
          </cell>
          <cell r="AX761">
            <v>1</v>
          </cell>
        </row>
        <row r="762">
          <cell r="AV762">
            <v>365</v>
          </cell>
          <cell r="AX762">
            <v>1</v>
          </cell>
        </row>
        <row r="763">
          <cell r="AV763">
            <v>365</v>
          </cell>
          <cell r="AX763">
            <v>1</v>
          </cell>
        </row>
        <row r="764">
          <cell r="AV764">
            <v>365</v>
          </cell>
          <cell r="AX764">
            <v>1</v>
          </cell>
        </row>
        <row r="765">
          <cell r="AV765">
            <v>365</v>
          </cell>
          <cell r="AX765">
            <v>1</v>
          </cell>
        </row>
        <row r="766">
          <cell r="AV766">
            <v>365</v>
          </cell>
          <cell r="AX766">
            <v>1</v>
          </cell>
        </row>
        <row r="767">
          <cell r="AV767">
            <v>365</v>
          </cell>
          <cell r="AX767">
            <v>1</v>
          </cell>
        </row>
        <row r="768">
          <cell r="AV768">
            <v>365</v>
          </cell>
          <cell r="AX768">
            <v>1</v>
          </cell>
        </row>
        <row r="769">
          <cell r="AV769">
            <v>365</v>
          </cell>
          <cell r="AX769">
            <v>366</v>
          </cell>
        </row>
        <row r="770">
          <cell r="AV770">
            <v>365</v>
          </cell>
          <cell r="AX770">
            <v>366</v>
          </cell>
        </row>
        <row r="771">
          <cell r="AV771">
            <v>365</v>
          </cell>
          <cell r="AX771">
            <v>366</v>
          </cell>
        </row>
        <row r="772">
          <cell r="AV772">
            <v>365</v>
          </cell>
          <cell r="AX772">
            <v>365</v>
          </cell>
        </row>
        <row r="773">
          <cell r="AV773">
            <v>365</v>
          </cell>
          <cell r="AX773">
            <v>366</v>
          </cell>
        </row>
        <row r="774">
          <cell r="AV774">
            <v>289</v>
          </cell>
        </row>
        <row r="775">
          <cell r="AV775">
            <v>289</v>
          </cell>
        </row>
        <row r="776">
          <cell r="AV776">
            <v>289</v>
          </cell>
        </row>
        <row r="777">
          <cell r="AV777">
            <v>289</v>
          </cell>
        </row>
        <row r="778">
          <cell r="AV778">
            <v>289</v>
          </cell>
        </row>
        <row r="779">
          <cell r="AV779">
            <v>289</v>
          </cell>
        </row>
        <row r="780">
          <cell r="AV780">
            <v>289</v>
          </cell>
        </row>
        <row r="781">
          <cell r="AV781">
            <v>289</v>
          </cell>
        </row>
        <row r="782">
          <cell r="AV782">
            <v>289</v>
          </cell>
        </row>
        <row r="783">
          <cell r="AV783">
            <v>289</v>
          </cell>
        </row>
        <row r="784">
          <cell r="AV784">
            <v>289</v>
          </cell>
        </row>
        <row r="785">
          <cell r="AV785">
            <v>289</v>
          </cell>
        </row>
        <row r="786">
          <cell r="AV786">
            <v>289</v>
          </cell>
        </row>
        <row r="787">
          <cell r="AV787">
            <v>365</v>
          </cell>
          <cell r="AX787">
            <v>276</v>
          </cell>
        </row>
        <row r="788">
          <cell r="AV788">
            <v>365</v>
          </cell>
          <cell r="AX788">
            <v>366</v>
          </cell>
        </row>
        <row r="789">
          <cell r="AV789">
            <v>365</v>
          </cell>
          <cell r="AX789">
            <v>246</v>
          </cell>
        </row>
        <row r="790">
          <cell r="AV790">
            <v>365</v>
          </cell>
          <cell r="AX790">
            <v>1</v>
          </cell>
        </row>
        <row r="791">
          <cell r="AV791">
            <v>365</v>
          </cell>
          <cell r="AX791">
            <v>215</v>
          </cell>
        </row>
        <row r="792">
          <cell r="AV792">
            <v>365</v>
          </cell>
          <cell r="AX792">
            <v>166</v>
          </cell>
        </row>
        <row r="793">
          <cell r="AV793">
            <v>365</v>
          </cell>
          <cell r="AX793">
            <v>215</v>
          </cell>
        </row>
        <row r="794">
          <cell r="AV794">
            <v>365</v>
          </cell>
          <cell r="AX794">
            <v>366</v>
          </cell>
        </row>
        <row r="795">
          <cell r="AV795">
            <v>365</v>
          </cell>
          <cell r="AX795">
            <v>366</v>
          </cell>
        </row>
        <row r="796">
          <cell r="AV796">
            <v>365</v>
          </cell>
          <cell r="AX796">
            <v>366</v>
          </cell>
        </row>
        <row r="797">
          <cell r="AV797">
            <v>365</v>
          </cell>
          <cell r="AX797">
            <v>267</v>
          </cell>
        </row>
        <row r="798">
          <cell r="AV798">
            <v>365</v>
          </cell>
          <cell r="AX798">
            <v>326</v>
          </cell>
        </row>
        <row r="799">
          <cell r="AV799">
            <v>365</v>
          </cell>
          <cell r="AX799">
            <v>130</v>
          </cell>
        </row>
        <row r="800">
          <cell r="AV800">
            <v>365</v>
          </cell>
          <cell r="AX800">
            <v>366</v>
          </cell>
        </row>
        <row r="801">
          <cell r="E801" t="str">
            <v>GF</v>
          </cell>
          <cell r="F801" t="str">
            <v>Pharma</v>
          </cell>
          <cell r="AV801">
            <v>289</v>
          </cell>
        </row>
        <row r="802">
          <cell r="AV802">
            <v>365</v>
          </cell>
          <cell r="AX802">
            <v>130</v>
          </cell>
        </row>
        <row r="803">
          <cell r="E803" t="str">
            <v>GF</v>
          </cell>
          <cell r="F803" t="str">
            <v>Pharma</v>
          </cell>
          <cell r="AV803">
            <v>289</v>
          </cell>
        </row>
        <row r="804">
          <cell r="AV804">
            <v>305</v>
          </cell>
        </row>
        <row r="805">
          <cell r="AV805">
            <v>365</v>
          </cell>
          <cell r="AX805">
            <v>366</v>
          </cell>
          <cell r="AZ805">
            <v>6.3299999999999995E-2</v>
          </cell>
          <cell r="BA805">
            <v>244</v>
          </cell>
          <cell r="BB805">
            <v>1269.4684931506847</v>
          </cell>
        </row>
        <row r="806">
          <cell r="AV806">
            <v>365</v>
          </cell>
          <cell r="AX806">
            <v>33</v>
          </cell>
        </row>
        <row r="807">
          <cell r="AV807">
            <v>365</v>
          </cell>
          <cell r="AX807">
            <v>366</v>
          </cell>
          <cell r="AZ807">
            <v>0.16209999999999999</v>
          </cell>
          <cell r="BA807">
            <v>54</v>
          </cell>
          <cell r="BB807">
            <v>440.06819178082191</v>
          </cell>
        </row>
        <row r="808">
          <cell r="AV808">
            <v>305</v>
          </cell>
        </row>
        <row r="809">
          <cell r="AV809">
            <v>365</v>
          </cell>
          <cell r="AX809">
            <v>366</v>
          </cell>
          <cell r="AZ809">
            <v>6.3299999999999995E-2</v>
          </cell>
          <cell r="BA809">
            <v>90</v>
          </cell>
          <cell r="BB809">
            <v>548.62890410958903</v>
          </cell>
        </row>
        <row r="810">
          <cell r="AV810">
            <v>365</v>
          </cell>
          <cell r="AX810">
            <v>366</v>
          </cell>
        </row>
        <row r="811">
          <cell r="E811" t="str">
            <v>FF</v>
          </cell>
          <cell r="F811" t="str">
            <v>Intermediate</v>
          </cell>
          <cell r="AV811">
            <v>305</v>
          </cell>
        </row>
        <row r="812">
          <cell r="AV812">
            <v>365</v>
          </cell>
          <cell r="AX812">
            <v>265</v>
          </cell>
        </row>
        <row r="813">
          <cell r="AV813">
            <v>365</v>
          </cell>
          <cell r="AX813">
            <v>130</v>
          </cell>
        </row>
        <row r="814">
          <cell r="AV814">
            <v>365</v>
          </cell>
          <cell r="AX814">
            <v>130</v>
          </cell>
        </row>
        <row r="815">
          <cell r="AV815">
            <v>365</v>
          </cell>
          <cell r="AX815">
            <v>130</v>
          </cell>
        </row>
        <row r="816">
          <cell r="AV816">
            <v>365</v>
          </cell>
          <cell r="AX816">
            <v>336</v>
          </cell>
        </row>
        <row r="817">
          <cell r="AV817">
            <v>365</v>
          </cell>
          <cell r="AX817">
            <v>336</v>
          </cell>
        </row>
        <row r="818">
          <cell r="AV818">
            <v>365</v>
          </cell>
          <cell r="AX818">
            <v>336</v>
          </cell>
        </row>
        <row r="819">
          <cell r="AV819">
            <v>365</v>
          </cell>
          <cell r="AX819">
            <v>101</v>
          </cell>
        </row>
        <row r="820">
          <cell r="AV820">
            <v>365</v>
          </cell>
          <cell r="AX820">
            <v>267</v>
          </cell>
        </row>
        <row r="821">
          <cell r="AV821">
            <v>365</v>
          </cell>
          <cell r="AX821">
            <v>336</v>
          </cell>
        </row>
        <row r="822">
          <cell r="E822" t="str">
            <v>FF</v>
          </cell>
          <cell r="F822" t="str">
            <v>Pharma</v>
          </cell>
          <cell r="AV822">
            <v>305</v>
          </cell>
        </row>
        <row r="823">
          <cell r="AV823">
            <v>365</v>
          </cell>
          <cell r="AX823">
            <v>202</v>
          </cell>
        </row>
        <row r="824">
          <cell r="AV824">
            <v>365</v>
          </cell>
          <cell r="AX824">
            <v>161</v>
          </cell>
        </row>
        <row r="825">
          <cell r="AV825">
            <v>365</v>
          </cell>
          <cell r="AX825">
            <v>84</v>
          </cell>
        </row>
        <row r="826">
          <cell r="D826" t="str">
            <v>R&amp;D</v>
          </cell>
          <cell r="AV826">
            <v>365</v>
          </cell>
          <cell r="AX826">
            <v>84</v>
          </cell>
        </row>
        <row r="827">
          <cell r="AV827">
            <v>365</v>
          </cell>
          <cell r="AX827">
            <v>84</v>
          </cell>
        </row>
        <row r="828">
          <cell r="AV828">
            <v>305</v>
          </cell>
        </row>
        <row r="829">
          <cell r="AV829">
            <v>305</v>
          </cell>
        </row>
        <row r="830">
          <cell r="AV830">
            <v>305</v>
          </cell>
        </row>
        <row r="831">
          <cell r="D831" t="str">
            <v>R&amp;D</v>
          </cell>
          <cell r="AV831">
            <v>365</v>
          </cell>
          <cell r="AX831">
            <v>153</v>
          </cell>
        </row>
        <row r="832">
          <cell r="AV832">
            <v>365</v>
          </cell>
          <cell r="AX832">
            <v>33</v>
          </cell>
        </row>
        <row r="833">
          <cell r="D833" t="str">
            <v>CO</v>
          </cell>
          <cell r="AV833">
            <v>365</v>
          </cell>
          <cell r="AX833">
            <v>221</v>
          </cell>
        </row>
        <row r="834">
          <cell r="D834" t="str">
            <v>CO</v>
          </cell>
          <cell r="AV834">
            <v>365</v>
          </cell>
          <cell r="AX834">
            <v>221</v>
          </cell>
        </row>
        <row r="835">
          <cell r="D835" t="str">
            <v>R&amp;D</v>
          </cell>
          <cell r="AV835">
            <v>365</v>
          </cell>
          <cell r="AX835">
            <v>210</v>
          </cell>
        </row>
        <row r="836">
          <cell r="AV836">
            <v>365</v>
          </cell>
          <cell r="AX836">
            <v>33</v>
          </cell>
        </row>
        <row r="837">
          <cell r="AV837">
            <v>365</v>
          </cell>
          <cell r="AX837">
            <v>130</v>
          </cell>
        </row>
        <row r="838">
          <cell r="AV838">
            <v>365</v>
          </cell>
          <cell r="AX838">
            <v>267</v>
          </cell>
        </row>
        <row r="839">
          <cell r="AV839">
            <v>365</v>
          </cell>
          <cell r="AX839">
            <v>1</v>
          </cell>
        </row>
        <row r="840">
          <cell r="AV840">
            <v>198</v>
          </cell>
        </row>
        <row r="841">
          <cell r="AV841">
            <v>198</v>
          </cell>
        </row>
        <row r="842">
          <cell r="AV842">
            <v>198</v>
          </cell>
        </row>
        <row r="843">
          <cell r="AV843">
            <v>198</v>
          </cell>
        </row>
        <row r="844">
          <cell r="AV844">
            <v>198</v>
          </cell>
        </row>
        <row r="845">
          <cell r="AV845">
            <v>198</v>
          </cell>
        </row>
        <row r="846">
          <cell r="AV846">
            <v>198</v>
          </cell>
        </row>
        <row r="847">
          <cell r="AV847">
            <v>365</v>
          </cell>
          <cell r="AX847">
            <v>279</v>
          </cell>
        </row>
        <row r="848">
          <cell r="AV848">
            <v>365</v>
          </cell>
          <cell r="AX848">
            <v>123</v>
          </cell>
        </row>
        <row r="849">
          <cell r="AV849">
            <v>365</v>
          </cell>
        </row>
        <row r="850">
          <cell r="AV850">
            <v>305</v>
          </cell>
        </row>
        <row r="851">
          <cell r="AV851">
            <v>305</v>
          </cell>
        </row>
        <row r="852">
          <cell r="AV852">
            <v>305</v>
          </cell>
        </row>
        <row r="853">
          <cell r="AV853">
            <v>305</v>
          </cell>
        </row>
        <row r="854">
          <cell r="AV854">
            <v>305</v>
          </cell>
        </row>
        <row r="855">
          <cell r="D855" t="str">
            <v>R&amp;D</v>
          </cell>
          <cell r="AV855">
            <v>365</v>
          </cell>
          <cell r="AX855">
            <v>84</v>
          </cell>
        </row>
        <row r="856">
          <cell r="AV856">
            <v>365</v>
          </cell>
          <cell r="AX856">
            <v>267</v>
          </cell>
        </row>
        <row r="857">
          <cell r="AV857">
            <v>365</v>
          </cell>
          <cell r="AX857">
            <v>166</v>
          </cell>
        </row>
        <row r="858">
          <cell r="AV858">
            <v>365</v>
          </cell>
          <cell r="AX858">
            <v>366</v>
          </cell>
          <cell r="AZ858">
            <v>6.3299999999999995E-2</v>
          </cell>
          <cell r="BA858">
            <v>244</v>
          </cell>
          <cell r="BB858">
            <v>1507.5361512328766</v>
          </cell>
        </row>
        <row r="859">
          <cell r="AV859">
            <v>365</v>
          </cell>
          <cell r="AX859">
            <v>130</v>
          </cell>
        </row>
        <row r="860">
          <cell r="AX860">
            <v>366</v>
          </cell>
          <cell r="AZ860">
            <v>6.3299999999999995E-2</v>
          </cell>
          <cell r="BA860">
            <v>365</v>
          </cell>
          <cell r="BB860">
            <v>25006.285199999998</v>
          </cell>
          <cell r="BC860">
            <v>8</v>
          </cell>
        </row>
        <row r="861">
          <cell r="AV861">
            <v>289</v>
          </cell>
        </row>
        <row r="862">
          <cell r="AV862">
            <v>289</v>
          </cell>
        </row>
        <row r="863">
          <cell r="AV863">
            <v>289</v>
          </cell>
        </row>
        <row r="864">
          <cell r="AV864">
            <v>365</v>
          </cell>
          <cell r="AX864">
            <v>130</v>
          </cell>
        </row>
        <row r="865">
          <cell r="AV865">
            <v>198</v>
          </cell>
        </row>
        <row r="866">
          <cell r="D866" t="str">
            <v>SRV</v>
          </cell>
          <cell r="AV866">
            <v>198</v>
          </cell>
        </row>
        <row r="867">
          <cell r="D867" t="str">
            <v>SRV</v>
          </cell>
          <cell r="AV867">
            <v>198</v>
          </cell>
        </row>
        <row r="868">
          <cell r="AV868">
            <v>365</v>
          </cell>
          <cell r="AX868">
            <v>307</v>
          </cell>
        </row>
        <row r="869">
          <cell r="AV869">
            <v>365</v>
          </cell>
          <cell r="AX869">
            <v>307</v>
          </cell>
        </row>
        <row r="870">
          <cell r="AV870">
            <v>365</v>
          </cell>
          <cell r="AX870">
            <v>307</v>
          </cell>
        </row>
        <row r="871">
          <cell r="AV871">
            <v>365</v>
          </cell>
          <cell r="AX871">
            <v>307</v>
          </cell>
        </row>
        <row r="872">
          <cell r="AV872">
            <v>365</v>
          </cell>
          <cell r="AX872">
            <v>54</v>
          </cell>
        </row>
        <row r="873">
          <cell r="AV873">
            <v>365</v>
          </cell>
          <cell r="AX873">
            <v>130</v>
          </cell>
        </row>
        <row r="874">
          <cell r="AV874">
            <v>365</v>
          </cell>
          <cell r="AX874">
            <v>159</v>
          </cell>
        </row>
        <row r="875">
          <cell r="AV875">
            <v>305</v>
          </cell>
        </row>
        <row r="876">
          <cell r="AV876">
            <v>305</v>
          </cell>
        </row>
        <row r="877">
          <cell r="AV877">
            <v>305</v>
          </cell>
        </row>
        <row r="878">
          <cell r="AV878">
            <v>305</v>
          </cell>
        </row>
        <row r="879">
          <cell r="AV879">
            <v>365</v>
          </cell>
          <cell r="AX879">
            <v>275</v>
          </cell>
        </row>
        <row r="880">
          <cell r="AV880">
            <v>365</v>
          </cell>
          <cell r="AX880">
            <v>74</v>
          </cell>
        </row>
        <row r="881">
          <cell r="AV881">
            <v>365</v>
          </cell>
          <cell r="AX881">
            <v>1</v>
          </cell>
        </row>
        <row r="882">
          <cell r="AV882">
            <v>365</v>
          </cell>
          <cell r="AX882">
            <v>1</v>
          </cell>
        </row>
        <row r="883">
          <cell r="AV883">
            <v>365</v>
          </cell>
          <cell r="AX883">
            <v>1</v>
          </cell>
        </row>
        <row r="884">
          <cell r="AV884">
            <v>365</v>
          </cell>
          <cell r="AX884">
            <v>1</v>
          </cell>
        </row>
        <row r="885">
          <cell r="AV885">
            <v>365</v>
          </cell>
          <cell r="AX885">
            <v>1</v>
          </cell>
        </row>
        <row r="886">
          <cell r="AV886">
            <v>365</v>
          </cell>
          <cell r="AX886">
            <v>1</v>
          </cell>
        </row>
        <row r="887">
          <cell r="AV887">
            <v>365</v>
          </cell>
          <cell r="AX887">
            <v>1</v>
          </cell>
        </row>
        <row r="888">
          <cell r="AV888">
            <v>365</v>
          </cell>
          <cell r="AX888">
            <v>1</v>
          </cell>
        </row>
        <row r="889">
          <cell r="AV889">
            <v>365</v>
          </cell>
          <cell r="AX889">
            <v>88</v>
          </cell>
        </row>
        <row r="890">
          <cell r="AV890">
            <v>365</v>
          </cell>
          <cell r="AX890">
            <v>139</v>
          </cell>
        </row>
        <row r="891">
          <cell r="AV891">
            <v>365</v>
          </cell>
          <cell r="AX891">
            <v>76</v>
          </cell>
        </row>
        <row r="892">
          <cell r="AV892">
            <v>365</v>
          </cell>
          <cell r="AX892">
            <v>366</v>
          </cell>
        </row>
        <row r="893">
          <cell r="E893" t="str">
            <v>GF</v>
          </cell>
          <cell r="F893" t="str">
            <v>Intermediate</v>
          </cell>
          <cell r="AV893">
            <v>289</v>
          </cell>
        </row>
        <row r="894">
          <cell r="AV894">
            <v>365</v>
          </cell>
          <cell r="AX894">
            <v>246</v>
          </cell>
        </row>
        <row r="895">
          <cell r="AV895">
            <v>365</v>
          </cell>
          <cell r="AX895">
            <v>130</v>
          </cell>
        </row>
        <row r="896">
          <cell r="E896" t="str">
            <v>SF</v>
          </cell>
          <cell r="AV896">
            <v>365</v>
          </cell>
          <cell r="AX896">
            <v>276</v>
          </cell>
        </row>
        <row r="897">
          <cell r="AV897">
            <v>365</v>
          </cell>
          <cell r="AX897">
            <v>276</v>
          </cell>
        </row>
        <row r="898">
          <cell r="AV898">
            <v>365</v>
          </cell>
          <cell r="AX898">
            <v>119</v>
          </cell>
        </row>
        <row r="899">
          <cell r="AV899">
            <v>365</v>
          </cell>
          <cell r="AX899">
            <v>130</v>
          </cell>
        </row>
        <row r="900">
          <cell r="AV900">
            <v>365</v>
          </cell>
          <cell r="AX900">
            <v>40</v>
          </cell>
        </row>
        <row r="901">
          <cell r="AV901">
            <v>365</v>
          </cell>
          <cell r="AX901">
            <v>336</v>
          </cell>
        </row>
        <row r="902">
          <cell r="AV902">
            <v>365</v>
          </cell>
          <cell r="AX902">
            <v>366</v>
          </cell>
        </row>
        <row r="903">
          <cell r="AV903">
            <v>305</v>
          </cell>
        </row>
        <row r="904">
          <cell r="AV904">
            <v>305</v>
          </cell>
        </row>
        <row r="905">
          <cell r="AV905">
            <v>335</v>
          </cell>
        </row>
        <row r="906">
          <cell r="D906" t="str">
            <v>GC-IB</v>
          </cell>
          <cell r="E906" t="str">
            <v>Pharma</v>
          </cell>
          <cell r="AV906">
            <v>289</v>
          </cell>
        </row>
        <row r="907">
          <cell r="D907" t="str">
            <v>GC-IB</v>
          </cell>
          <cell r="E907" t="str">
            <v>Pharma</v>
          </cell>
          <cell r="AV907">
            <v>289</v>
          </cell>
        </row>
        <row r="908">
          <cell r="D908" t="str">
            <v>GC-IB</v>
          </cell>
          <cell r="E908" t="str">
            <v>Pharma</v>
          </cell>
          <cell r="AV908">
            <v>289</v>
          </cell>
        </row>
        <row r="909">
          <cell r="AV909">
            <v>289</v>
          </cell>
        </row>
        <row r="910">
          <cell r="AV910">
            <v>289</v>
          </cell>
        </row>
        <row r="911">
          <cell r="AV911">
            <v>289</v>
          </cell>
        </row>
        <row r="912">
          <cell r="AV912">
            <v>365</v>
          </cell>
          <cell r="AX912">
            <v>31</v>
          </cell>
        </row>
        <row r="913">
          <cell r="AV913">
            <v>365</v>
          </cell>
          <cell r="AX913">
            <v>306</v>
          </cell>
        </row>
        <row r="914">
          <cell r="AV914">
            <v>365</v>
          </cell>
          <cell r="AX914">
            <v>366</v>
          </cell>
        </row>
        <row r="915">
          <cell r="AV915">
            <v>365</v>
          </cell>
          <cell r="AX915">
            <v>276</v>
          </cell>
        </row>
        <row r="916">
          <cell r="AV916">
            <v>365</v>
          </cell>
          <cell r="AX916">
            <v>277</v>
          </cell>
        </row>
        <row r="917">
          <cell r="AV917">
            <v>365</v>
          </cell>
          <cell r="AX917">
            <v>276</v>
          </cell>
        </row>
        <row r="918">
          <cell r="AV918">
            <v>289</v>
          </cell>
        </row>
        <row r="919">
          <cell r="AV919">
            <v>365</v>
          </cell>
          <cell r="AX919">
            <v>366</v>
          </cell>
          <cell r="AZ919">
            <v>9.5000000000000001E-2</v>
          </cell>
          <cell r="BA919">
            <v>31</v>
          </cell>
          <cell r="BB919">
            <v>2723.6005479452056</v>
          </cell>
        </row>
        <row r="920">
          <cell r="AV920">
            <v>365</v>
          </cell>
          <cell r="AX920">
            <v>130</v>
          </cell>
        </row>
        <row r="921">
          <cell r="D921" t="str">
            <v>Sold</v>
          </cell>
          <cell r="AV921">
            <v>365</v>
          </cell>
          <cell r="AX921">
            <v>366</v>
          </cell>
          <cell r="AZ921">
            <v>9.5000000000000001E-2</v>
          </cell>
          <cell r="BA921">
            <v>260</v>
          </cell>
          <cell r="BB921">
            <v>22803.784383561644</v>
          </cell>
        </row>
        <row r="922">
          <cell r="D922" t="str">
            <v>Sold</v>
          </cell>
        </row>
        <row r="923">
          <cell r="D923" t="str">
            <v>Sold</v>
          </cell>
        </row>
        <row r="924">
          <cell r="D924" t="str">
            <v>Sold</v>
          </cell>
          <cell r="AV924">
            <v>365</v>
          </cell>
          <cell r="AX924">
            <v>366</v>
          </cell>
          <cell r="AZ924">
            <v>9.5000000000000001E-2</v>
          </cell>
          <cell r="BA924">
            <v>182</v>
          </cell>
          <cell r="BB924">
            <v>15555.268246575344</v>
          </cell>
        </row>
        <row r="925">
          <cell r="AV925">
            <v>365</v>
          </cell>
          <cell r="AX925">
            <v>130</v>
          </cell>
        </row>
        <row r="926">
          <cell r="AV926">
            <v>365</v>
          </cell>
          <cell r="AX926">
            <v>276</v>
          </cell>
        </row>
        <row r="927">
          <cell r="AV927">
            <v>365</v>
          </cell>
          <cell r="AX927">
            <v>276</v>
          </cell>
        </row>
        <row r="928">
          <cell r="AV928">
            <v>365</v>
          </cell>
          <cell r="AX928">
            <v>130</v>
          </cell>
        </row>
        <row r="929">
          <cell r="AV929">
            <v>365</v>
          </cell>
          <cell r="AX929">
            <v>130</v>
          </cell>
        </row>
        <row r="930">
          <cell r="AV930">
            <v>365</v>
          </cell>
          <cell r="AX930">
            <v>276</v>
          </cell>
        </row>
        <row r="931">
          <cell r="AV931">
            <v>365</v>
          </cell>
          <cell r="AX931">
            <v>24</v>
          </cell>
        </row>
        <row r="932">
          <cell r="AV932">
            <v>365</v>
          </cell>
          <cell r="AX932">
            <v>336</v>
          </cell>
        </row>
        <row r="933">
          <cell r="AV933">
            <v>365</v>
          </cell>
          <cell r="AX933">
            <v>336</v>
          </cell>
        </row>
        <row r="934">
          <cell r="E934" t="str">
            <v>FF</v>
          </cell>
          <cell r="F934" t="str">
            <v>Intermediate</v>
          </cell>
          <cell r="AV934">
            <v>305</v>
          </cell>
        </row>
        <row r="935">
          <cell r="E935" t="str">
            <v>FF</v>
          </cell>
          <cell r="F935" t="str">
            <v>Intermediate</v>
          </cell>
          <cell r="AV935">
            <v>305</v>
          </cell>
        </row>
        <row r="936">
          <cell r="E936" t="str">
            <v>GF</v>
          </cell>
          <cell r="F936" t="str">
            <v>Intermediate</v>
          </cell>
          <cell r="AV936">
            <v>305</v>
          </cell>
        </row>
        <row r="937">
          <cell r="E937" t="str">
            <v>GF</v>
          </cell>
          <cell r="F937" t="str">
            <v>Intermediate</v>
          </cell>
          <cell r="AV937">
            <v>305</v>
          </cell>
        </row>
        <row r="938">
          <cell r="E938" t="str">
            <v>GF</v>
          </cell>
          <cell r="F938" t="str">
            <v>Intermediate</v>
          </cell>
          <cell r="AV938">
            <v>305</v>
          </cell>
        </row>
        <row r="939">
          <cell r="E939" t="str">
            <v>GF</v>
          </cell>
          <cell r="F939" t="str">
            <v>Intermediate</v>
          </cell>
          <cell r="AV939">
            <v>365</v>
          </cell>
          <cell r="AX939">
            <v>130</v>
          </cell>
        </row>
        <row r="940">
          <cell r="E940" t="str">
            <v>GF</v>
          </cell>
          <cell r="AV940">
            <v>365</v>
          </cell>
          <cell r="AX940">
            <v>5</v>
          </cell>
        </row>
        <row r="941">
          <cell r="AV941">
            <v>365</v>
          </cell>
          <cell r="AX941">
            <v>366</v>
          </cell>
        </row>
        <row r="942">
          <cell r="AV942">
            <v>365</v>
          </cell>
          <cell r="AX942">
            <v>336</v>
          </cell>
        </row>
        <row r="943">
          <cell r="AV943">
            <v>365</v>
          </cell>
          <cell r="AX943">
            <v>336</v>
          </cell>
        </row>
        <row r="944">
          <cell r="AV944">
            <v>365</v>
          </cell>
          <cell r="AX944">
            <v>103</v>
          </cell>
        </row>
        <row r="945">
          <cell r="AV945">
            <v>365</v>
          </cell>
          <cell r="AX945">
            <v>258</v>
          </cell>
        </row>
        <row r="946">
          <cell r="AV946">
            <v>365</v>
          </cell>
          <cell r="AX946">
            <v>276</v>
          </cell>
        </row>
        <row r="947">
          <cell r="AV947">
            <v>365</v>
          </cell>
          <cell r="AX947">
            <v>276</v>
          </cell>
        </row>
        <row r="948">
          <cell r="AV948">
            <v>365</v>
          </cell>
          <cell r="AX948">
            <v>366</v>
          </cell>
        </row>
        <row r="949">
          <cell r="AV949">
            <v>365</v>
          </cell>
          <cell r="AX949">
            <v>246</v>
          </cell>
        </row>
        <row r="950">
          <cell r="AV950">
            <v>365</v>
          </cell>
          <cell r="AX950">
            <v>366</v>
          </cell>
          <cell r="AZ950">
            <v>0.16209999999999999</v>
          </cell>
          <cell r="BA950">
            <v>365</v>
          </cell>
          <cell r="BB950">
            <v>9482.85</v>
          </cell>
          <cell r="BC950">
            <v>91</v>
          </cell>
        </row>
        <row r="951">
          <cell r="AV951">
            <v>365</v>
          </cell>
          <cell r="AX951">
            <v>366</v>
          </cell>
          <cell r="AZ951">
            <v>0.16209999999999999</v>
          </cell>
          <cell r="BA951">
            <v>365</v>
          </cell>
          <cell r="BB951">
            <v>9482.85</v>
          </cell>
          <cell r="BC951">
            <v>91</v>
          </cell>
        </row>
        <row r="952">
          <cell r="AV952">
            <v>365</v>
          </cell>
          <cell r="AX952">
            <v>366</v>
          </cell>
          <cell r="AZ952">
            <v>0.16209999999999999</v>
          </cell>
          <cell r="BA952">
            <v>365</v>
          </cell>
          <cell r="BB952">
            <v>9482.85</v>
          </cell>
          <cell r="BC952">
            <v>91</v>
          </cell>
        </row>
        <row r="953">
          <cell r="AV953">
            <v>365</v>
          </cell>
          <cell r="AX953">
            <v>366</v>
          </cell>
          <cell r="AZ953">
            <v>0.16209999999999999</v>
          </cell>
          <cell r="BA953">
            <v>365</v>
          </cell>
          <cell r="BB953">
            <v>9482.85</v>
          </cell>
          <cell r="BC953">
            <v>91</v>
          </cell>
        </row>
        <row r="954">
          <cell r="AV954">
            <v>365</v>
          </cell>
          <cell r="AX954">
            <v>366</v>
          </cell>
          <cell r="AZ954">
            <v>0.16209999999999999</v>
          </cell>
          <cell r="BA954">
            <v>365</v>
          </cell>
          <cell r="BB954">
            <v>9482.85</v>
          </cell>
          <cell r="BC954">
            <v>91</v>
          </cell>
        </row>
        <row r="955">
          <cell r="AV955">
            <v>365</v>
          </cell>
          <cell r="AX955">
            <v>128</v>
          </cell>
        </row>
        <row r="956">
          <cell r="AV956">
            <v>305</v>
          </cell>
        </row>
        <row r="957">
          <cell r="AV957">
            <v>365</v>
          </cell>
          <cell r="AX957">
            <v>273</v>
          </cell>
        </row>
        <row r="958">
          <cell r="AV958">
            <v>365</v>
          </cell>
          <cell r="AX958">
            <v>80</v>
          </cell>
        </row>
        <row r="959">
          <cell r="AV959">
            <v>365</v>
          </cell>
          <cell r="AX959">
            <v>130</v>
          </cell>
        </row>
        <row r="960">
          <cell r="AV960">
            <v>365</v>
          </cell>
          <cell r="AX960">
            <v>249</v>
          </cell>
        </row>
        <row r="961">
          <cell r="AV961">
            <v>198</v>
          </cell>
        </row>
        <row r="962">
          <cell r="AV962">
            <v>362</v>
          </cell>
        </row>
        <row r="963">
          <cell r="AV963">
            <v>362</v>
          </cell>
        </row>
        <row r="964">
          <cell r="AV964">
            <v>365</v>
          </cell>
          <cell r="AX964">
            <v>307</v>
          </cell>
        </row>
        <row r="965">
          <cell r="AV965">
            <v>289</v>
          </cell>
        </row>
        <row r="966">
          <cell r="AV966">
            <v>289</v>
          </cell>
        </row>
        <row r="967">
          <cell r="AV967">
            <v>365</v>
          </cell>
          <cell r="AX967">
            <v>276</v>
          </cell>
        </row>
        <row r="968">
          <cell r="AV968">
            <v>305</v>
          </cell>
        </row>
        <row r="969">
          <cell r="AV969">
            <v>365</v>
          </cell>
          <cell r="AX969">
            <v>130</v>
          </cell>
        </row>
        <row r="970">
          <cell r="AV970">
            <v>365</v>
          </cell>
          <cell r="AX970">
            <v>103</v>
          </cell>
        </row>
        <row r="971">
          <cell r="AV971">
            <v>365</v>
          </cell>
          <cell r="AX971">
            <v>366</v>
          </cell>
          <cell r="AZ971">
            <v>6.3299999999999995E-2</v>
          </cell>
          <cell r="BA971">
            <v>16</v>
          </cell>
          <cell r="BB971">
            <v>166.48767123287669</v>
          </cell>
        </row>
        <row r="972">
          <cell r="AV972">
            <v>365</v>
          </cell>
          <cell r="AX972">
            <v>300</v>
          </cell>
        </row>
        <row r="973">
          <cell r="AV973">
            <v>365</v>
          </cell>
          <cell r="AX973">
            <v>125</v>
          </cell>
        </row>
        <row r="974">
          <cell r="AV974">
            <v>365</v>
          </cell>
          <cell r="AX974">
            <v>130</v>
          </cell>
        </row>
        <row r="975">
          <cell r="AV975">
            <v>365</v>
          </cell>
          <cell r="AX975">
            <v>41</v>
          </cell>
        </row>
        <row r="976">
          <cell r="AV976">
            <v>365</v>
          </cell>
          <cell r="AX976">
            <v>249</v>
          </cell>
        </row>
        <row r="977">
          <cell r="E977" t="str">
            <v>GF</v>
          </cell>
          <cell r="F977" t="str">
            <v>Intermediate</v>
          </cell>
          <cell r="AV977">
            <v>289</v>
          </cell>
        </row>
        <row r="978">
          <cell r="AV978">
            <v>365</v>
          </cell>
          <cell r="AX978">
            <v>1</v>
          </cell>
        </row>
        <row r="979">
          <cell r="AV979">
            <v>365</v>
          </cell>
          <cell r="AX979">
            <v>1</v>
          </cell>
        </row>
        <row r="980">
          <cell r="AV980">
            <v>365</v>
          </cell>
          <cell r="AX980">
            <v>1</v>
          </cell>
        </row>
        <row r="981">
          <cell r="AV981">
            <v>365</v>
          </cell>
          <cell r="AX981">
            <v>202</v>
          </cell>
        </row>
        <row r="982">
          <cell r="AV982">
            <v>365</v>
          </cell>
          <cell r="AX982">
            <v>141</v>
          </cell>
        </row>
        <row r="983">
          <cell r="AV983">
            <v>365</v>
          </cell>
          <cell r="AX983">
            <v>130</v>
          </cell>
        </row>
        <row r="984">
          <cell r="AV984">
            <v>365</v>
          </cell>
          <cell r="AX984">
            <v>366</v>
          </cell>
        </row>
        <row r="985">
          <cell r="AV985">
            <v>305</v>
          </cell>
        </row>
        <row r="986">
          <cell r="AV986">
            <v>365</v>
          </cell>
          <cell r="AX986">
            <v>130</v>
          </cell>
        </row>
        <row r="987">
          <cell r="AV987">
            <v>365</v>
          </cell>
          <cell r="AX987">
            <v>276</v>
          </cell>
        </row>
        <row r="988">
          <cell r="AV988">
            <v>365</v>
          </cell>
          <cell r="AX988">
            <v>68</v>
          </cell>
        </row>
        <row r="989">
          <cell r="AV989">
            <v>365</v>
          </cell>
          <cell r="AX989">
            <v>297</v>
          </cell>
        </row>
        <row r="990">
          <cell r="AV990">
            <v>365</v>
          </cell>
          <cell r="AX990">
            <v>130</v>
          </cell>
        </row>
        <row r="991">
          <cell r="AV991">
            <v>365</v>
          </cell>
          <cell r="AX991">
            <v>175</v>
          </cell>
        </row>
        <row r="992">
          <cell r="AV992">
            <v>365</v>
          </cell>
          <cell r="AX992">
            <v>64</v>
          </cell>
        </row>
        <row r="993">
          <cell r="AV993">
            <v>365</v>
          </cell>
          <cell r="AX993">
            <v>33</v>
          </cell>
        </row>
        <row r="994">
          <cell r="AV994">
            <v>365</v>
          </cell>
          <cell r="AX994">
            <v>275</v>
          </cell>
        </row>
        <row r="995">
          <cell r="AV995">
            <v>365</v>
          </cell>
          <cell r="AX995">
            <v>159</v>
          </cell>
        </row>
        <row r="996">
          <cell r="AV996">
            <v>365</v>
          </cell>
          <cell r="AX996">
            <v>244</v>
          </cell>
        </row>
        <row r="997">
          <cell r="AV997">
            <v>365</v>
          </cell>
          <cell r="AX997">
            <v>130</v>
          </cell>
        </row>
        <row r="998">
          <cell r="AV998">
            <v>365</v>
          </cell>
          <cell r="AX998">
            <v>366</v>
          </cell>
          <cell r="AZ998">
            <v>6.3299999999999995E-2</v>
          </cell>
          <cell r="BA998">
            <v>365</v>
          </cell>
          <cell r="BB998">
            <v>15809.174999999999</v>
          </cell>
          <cell r="BC998">
            <v>89</v>
          </cell>
        </row>
        <row r="999">
          <cell r="AV999">
            <v>365</v>
          </cell>
          <cell r="AX999">
            <v>366</v>
          </cell>
        </row>
        <row r="1000">
          <cell r="AV1000">
            <v>365</v>
          </cell>
          <cell r="AX1000">
            <v>366</v>
          </cell>
          <cell r="AZ1000">
            <v>6.3299999999999995E-2</v>
          </cell>
          <cell r="BA1000">
            <v>212</v>
          </cell>
          <cell r="BB1000">
            <v>2055.0738673972601</v>
          </cell>
        </row>
        <row r="1001">
          <cell r="AV1001">
            <v>365</v>
          </cell>
          <cell r="AX1001">
            <v>130</v>
          </cell>
        </row>
        <row r="1002">
          <cell r="AV1002">
            <v>365</v>
          </cell>
          <cell r="AX1002">
            <v>109</v>
          </cell>
        </row>
        <row r="1003">
          <cell r="AV1003">
            <v>365</v>
          </cell>
          <cell r="AX1003">
            <v>88</v>
          </cell>
        </row>
        <row r="1004">
          <cell r="AV1004">
            <v>365</v>
          </cell>
          <cell r="AX1004">
            <v>245</v>
          </cell>
        </row>
        <row r="1005">
          <cell r="AV1005">
            <v>289</v>
          </cell>
        </row>
        <row r="1006">
          <cell r="AV1006">
            <v>289</v>
          </cell>
        </row>
        <row r="1007">
          <cell r="AV1007">
            <v>289</v>
          </cell>
        </row>
        <row r="1008">
          <cell r="AV1008">
            <v>289</v>
          </cell>
        </row>
        <row r="1009">
          <cell r="E1009" t="str">
            <v>SF</v>
          </cell>
          <cell r="AV1009">
            <v>365</v>
          </cell>
          <cell r="AX1009">
            <v>165</v>
          </cell>
        </row>
        <row r="1010">
          <cell r="AV1010">
            <v>365</v>
          </cell>
          <cell r="AX1010">
            <v>176</v>
          </cell>
        </row>
        <row r="1011">
          <cell r="AV1011">
            <v>365</v>
          </cell>
          <cell r="AX1011">
            <v>276</v>
          </cell>
        </row>
        <row r="1012">
          <cell r="AV1012">
            <v>365</v>
          </cell>
          <cell r="AX1012">
            <v>276</v>
          </cell>
        </row>
        <row r="1013">
          <cell r="AV1013">
            <v>365</v>
          </cell>
          <cell r="AX1013">
            <v>366</v>
          </cell>
          <cell r="AZ1013">
            <v>6.3299999999999995E-2</v>
          </cell>
          <cell r="BA1013">
            <v>99</v>
          </cell>
          <cell r="BB1013">
            <v>1094.5263698630135</v>
          </cell>
        </row>
        <row r="1014">
          <cell r="AV1014">
            <v>365</v>
          </cell>
          <cell r="AX1014">
            <v>232</v>
          </cell>
        </row>
        <row r="1015">
          <cell r="AV1015">
            <v>365</v>
          </cell>
          <cell r="AX1015">
            <v>366</v>
          </cell>
          <cell r="AZ1015">
            <v>6.3299999999999995E-2</v>
          </cell>
          <cell r="BA1015">
            <v>169</v>
          </cell>
          <cell r="BB1015">
            <v>1764.0360756164382</v>
          </cell>
        </row>
        <row r="1016">
          <cell r="AV1016">
            <v>289</v>
          </cell>
        </row>
        <row r="1017">
          <cell r="E1017" t="str">
            <v>GF</v>
          </cell>
          <cell r="F1017" t="str">
            <v>Pharma</v>
          </cell>
          <cell r="AV1017">
            <v>289</v>
          </cell>
        </row>
        <row r="1018">
          <cell r="AV1018">
            <v>365</v>
          </cell>
          <cell r="AX1018">
            <v>366</v>
          </cell>
        </row>
        <row r="1019">
          <cell r="AV1019">
            <v>365</v>
          </cell>
          <cell r="AX1019">
            <v>34</v>
          </cell>
        </row>
        <row r="1020">
          <cell r="AV1020">
            <v>365</v>
          </cell>
          <cell r="AX1020">
            <v>130</v>
          </cell>
        </row>
        <row r="1021">
          <cell r="AV1021">
            <v>198</v>
          </cell>
        </row>
        <row r="1022">
          <cell r="AV1022">
            <v>198</v>
          </cell>
        </row>
        <row r="1023">
          <cell r="AV1023">
            <v>198</v>
          </cell>
        </row>
        <row r="1024">
          <cell r="D1024" t="str">
            <v>SRV</v>
          </cell>
          <cell r="AV1024">
            <v>198</v>
          </cell>
        </row>
        <row r="1025">
          <cell r="D1025" t="str">
            <v>SRV</v>
          </cell>
          <cell r="AV1025">
            <v>198</v>
          </cell>
        </row>
        <row r="1026">
          <cell r="AV1026">
            <v>198</v>
          </cell>
        </row>
        <row r="1027">
          <cell r="AV1027">
            <v>365</v>
          </cell>
          <cell r="AX1027">
            <v>33</v>
          </cell>
        </row>
        <row r="1028">
          <cell r="AV1028">
            <v>365</v>
          </cell>
          <cell r="AX1028">
            <v>366</v>
          </cell>
        </row>
        <row r="1029">
          <cell r="AV1029">
            <v>365</v>
          </cell>
          <cell r="AX1029">
            <v>123</v>
          </cell>
        </row>
        <row r="1030">
          <cell r="AV1030">
            <v>365</v>
          </cell>
          <cell r="AX1030">
            <v>123</v>
          </cell>
        </row>
        <row r="1031">
          <cell r="AV1031">
            <v>365</v>
          </cell>
          <cell r="AX1031">
            <v>123</v>
          </cell>
        </row>
        <row r="1032">
          <cell r="AV1032">
            <v>365</v>
          </cell>
          <cell r="AX1032">
            <v>123</v>
          </cell>
        </row>
        <row r="1033">
          <cell r="AV1033">
            <v>365</v>
          </cell>
          <cell r="AX1033">
            <v>123</v>
          </cell>
        </row>
        <row r="1034">
          <cell r="AV1034">
            <v>365</v>
          </cell>
          <cell r="AX1034">
            <v>279</v>
          </cell>
        </row>
        <row r="1035">
          <cell r="E1035" t="str">
            <v>FF</v>
          </cell>
          <cell r="AV1035">
            <v>365</v>
          </cell>
          <cell r="AX1035">
            <v>266</v>
          </cell>
        </row>
        <row r="1036">
          <cell r="AV1036">
            <v>289</v>
          </cell>
        </row>
        <row r="1037">
          <cell r="E1037" t="str">
            <v>FF</v>
          </cell>
          <cell r="F1037" t="str">
            <v>SUITE IV (NON - ONCO)</v>
          </cell>
          <cell r="AV1037">
            <v>289</v>
          </cell>
        </row>
        <row r="1038">
          <cell r="E1038" t="str">
            <v>FF</v>
          </cell>
          <cell r="F1038" t="str">
            <v>SUITE IV (NON - ONCO)</v>
          </cell>
          <cell r="AV1038">
            <v>289</v>
          </cell>
        </row>
        <row r="1039">
          <cell r="AV1039">
            <v>289</v>
          </cell>
        </row>
        <row r="1040">
          <cell r="AV1040">
            <v>365</v>
          </cell>
          <cell r="AX1040">
            <v>115</v>
          </cell>
        </row>
        <row r="1041">
          <cell r="AV1041">
            <v>365</v>
          </cell>
          <cell r="AX1041">
            <v>115</v>
          </cell>
        </row>
        <row r="1042">
          <cell r="AV1042">
            <v>365</v>
          </cell>
          <cell r="AX1042">
            <v>336</v>
          </cell>
        </row>
        <row r="1043">
          <cell r="AV1043">
            <v>365</v>
          </cell>
          <cell r="AX1043">
            <v>336</v>
          </cell>
        </row>
        <row r="1044">
          <cell r="E1044" t="str">
            <v>GF</v>
          </cell>
          <cell r="F1044" t="str">
            <v>Intermediate</v>
          </cell>
          <cell r="AV1044">
            <v>289</v>
          </cell>
        </row>
        <row r="1045">
          <cell r="AV1045">
            <v>365</v>
          </cell>
          <cell r="AX1045">
            <v>190</v>
          </cell>
        </row>
        <row r="1046">
          <cell r="E1046" t="str">
            <v>GF</v>
          </cell>
          <cell r="F1046" t="str">
            <v>Intermediate</v>
          </cell>
          <cell r="AV1046">
            <v>335</v>
          </cell>
        </row>
        <row r="1047">
          <cell r="AV1047">
            <v>365</v>
          </cell>
          <cell r="AX1047">
            <v>130</v>
          </cell>
        </row>
        <row r="1048">
          <cell r="E1048" t="str">
            <v>GF</v>
          </cell>
          <cell r="F1048" t="str">
            <v>Intermediate</v>
          </cell>
          <cell r="AV1048">
            <v>365</v>
          </cell>
          <cell r="AX1048">
            <v>33</v>
          </cell>
        </row>
        <row r="1049">
          <cell r="E1049" t="str">
            <v>GF</v>
          </cell>
          <cell r="F1049" t="str">
            <v>Intermediate</v>
          </cell>
          <cell r="AV1049">
            <v>335</v>
          </cell>
        </row>
        <row r="1050">
          <cell r="AV1050">
            <v>365</v>
          </cell>
          <cell r="AX1050">
            <v>130</v>
          </cell>
        </row>
        <row r="1051">
          <cell r="AV1051">
            <v>365</v>
          </cell>
          <cell r="AX1051">
            <v>267</v>
          </cell>
        </row>
        <row r="1052">
          <cell r="AV1052">
            <v>365</v>
          </cell>
          <cell r="AX1052">
            <v>136</v>
          </cell>
        </row>
        <row r="1053">
          <cell r="AV1053">
            <v>365</v>
          </cell>
          <cell r="AX1053">
            <v>119</v>
          </cell>
        </row>
        <row r="1054">
          <cell r="AV1054">
            <v>365</v>
          </cell>
          <cell r="AX1054">
            <v>19</v>
          </cell>
        </row>
        <row r="1055">
          <cell r="AV1055">
            <v>365</v>
          </cell>
          <cell r="AX1055">
            <v>92</v>
          </cell>
        </row>
        <row r="1056">
          <cell r="AV1056">
            <v>365</v>
          </cell>
          <cell r="AX1056">
            <v>276</v>
          </cell>
        </row>
        <row r="1057">
          <cell r="AV1057">
            <v>365</v>
          </cell>
          <cell r="AX1057">
            <v>307</v>
          </cell>
        </row>
        <row r="1058">
          <cell r="AV1058">
            <v>365</v>
          </cell>
          <cell r="AX1058">
            <v>33</v>
          </cell>
        </row>
        <row r="1059">
          <cell r="AV1059">
            <v>365</v>
          </cell>
          <cell r="AX1059">
            <v>366</v>
          </cell>
          <cell r="AZ1059">
            <v>0.16209999999999999</v>
          </cell>
          <cell r="BA1059">
            <v>187</v>
          </cell>
          <cell r="BB1059">
            <v>2936.5947178082188</v>
          </cell>
        </row>
        <row r="1060">
          <cell r="AV1060">
            <v>365</v>
          </cell>
          <cell r="AX1060">
            <v>175</v>
          </cell>
        </row>
        <row r="1061">
          <cell r="E1061" t="str">
            <v>GF</v>
          </cell>
          <cell r="F1061" t="str">
            <v>Intermediate</v>
          </cell>
          <cell r="AV1061">
            <v>335</v>
          </cell>
        </row>
        <row r="1062">
          <cell r="AV1062">
            <v>308</v>
          </cell>
        </row>
        <row r="1063">
          <cell r="AV1063">
            <v>365</v>
          </cell>
          <cell r="AX1063">
            <v>33</v>
          </cell>
        </row>
        <row r="1064">
          <cell r="AV1064">
            <v>365</v>
          </cell>
          <cell r="AX1064">
            <v>130</v>
          </cell>
        </row>
        <row r="1065">
          <cell r="AV1065">
            <v>365</v>
          </cell>
          <cell r="AX1065">
            <v>33</v>
          </cell>
        </row>
        <row r="1066">
          <cell r="AV1066">
            <v>365</v>
          </cell>
          <cell r="AX1066">
            <v>366</v>
          </cell>
          <cell r="AZ1066">
            <v>6.3299999999999995E-2</v>
          </cell>
          <cell r="BA1066">
            <v>365</v>
          </cell>
          <cell r="BB1066">
            <v>13308.824999999999</v>
          </cell>
          <cell r="BC1066">
            <v>89</v>
          </cell>
        </row>
        <row r="1067">
          <cell r="AV1067">
            <v>365</v>
          </cell>
          <cell r="AX1067">
            <v>31</v>
          </cell>
        </row>
        <row r="1068">
          <cell r="AV1068">
            <v>365</v>
          </cell>
          <cell r="AX1068">
            <v>307</v>
          </cell>
        </row>
        <row r="1069">
          <cell r="AV1069">
            <v>365</v>
          </cell>
          <cell r="AX1069">
            <v>366</v>
          </cell>
          <cell r="AZ1069">
            <v>0.16209999999999999</v>
          </cell>
          <cell r="BA1069">
            <v>338</v>
          </cell>
          <cell r="BB1069">
            <v>5283.838246575343</v>
          </cell>
        </row>
        <row r="1070">
          <cell r="E1070" t="str">
            <v>SF</v>
          </cell>
          <cell r="AV1070">
            <v>365</v>
          </cell>
          <cell r="AX1070">
            <v>1</v>
          </cell>
        </row>
        <row r="1071">
          <cell r="AV1071">
            <v>365</v>
          </cell>
          <cell r="AX1071">
            <v>183</v>
          </cell>
        </row>
        <row r="1072">
          <cell r="AV1072">
            <v>365</v>
          </cell>
          <cell r="AX1072">
            <v>366</v>
          </cell>
          <cell r="AZ1072">
            <v>0.16209999999999999</v>
          </cell>
          <cell r="BA1072">
            <v>187</v>
          </cell>
          <cell r="BB1072">
            <v>8553.9947945205477</v>
          </cell>
        </row>
        <row r="1073">
          <cell r="AV1073">
            <v>365</v>
          </cell>
          <cell r="AX1073">
            <v>366</v>
          </cell>
          <cell r="AZ1073">
            <v>0.16209999999999999</v>
          </cell>
          <cell r="BA1073">
            <v>187</v>
          </cell>
          <cell r="BB1073">
            <v>8553.9947945205477</v>
          </cell>
        </row>
        <row r="1074">
          <cell r="AV1074">
            <v>365</v>
          </cell>
          <cell r="AX1074">
            <v>272</v>
          </cell>
        </row>
        <row r="1075">
          <cell r="AV1075">
            <v>305</v>
          </cell>
        </row>
        <row r="1076">
          <cell r="AV1076">
            <v>365</v>
          </cell>
          <cell r="AX1076">
            <v>267</v>
          </cell>
        </row>
        <row r="1077">
          <cell r="AV1077">
            <v>365</v>
          </cell>
          <cell r="AX1077">
            <v>307</v>
          </cell>
        </row>
        <row r="1078">
          <cell r="AV1078">
            <v>365</v>
          </cell>
          <cell r="AX1078">
            <v>366</v>
          </cell>
        </row>
        <row r="1079">
          <cell r="AV1079">
            <v>365</v>
          </cell>
          <cell r="AX1079">
            <v>130</v>
          </cell>
        </row>
        <row r="1080">
          <cell r="AV1080">
            <v>365</v>
          </cell>
          <cell r="AX1080">
            <v>245</v>
          </cell>
        </row>
        <row r="1081">
          <cell r="AV1081">
            <v>365</v>
          </cell>
          <cell r="AX1081">
            <v>33</v>
          </cell>
        </row>
        <row r="1082">
          <cell r="AV1082">
            <v>365</v>
          </cell>
          <cell r="AX1082">
            <v>221</v>
          </cell>
        </row>
        <row r="1083">
          <cell r="E1083" t="str">
            <v>GF</v>
          </cell>
          <cell r="AV1083">
            <v>305</v>
          </cell>
        </row>
        <row r="1084">
          <cell r="AV1084">
            <v>305</v>
          </cell>
        </row>
        <row r="1085">
          <cell r="AV1085">
            <v>365</v>
          </cell>
          <cell r="AX1085">
            <v>130</v>
          </cell>
        </row>
        <row r="1086">
          <cell r="E1086" t="str">
            <v>FF</v>
          </cell>
          <cell r="AV1086">
            <v>365</v>
          </cell>
          <cell r="AX1086">
            <v>336</v>
          </cell>
        </row>
        <row r="1087">
          <cell r="E1087" t="str">
            <v>FF</v>
          </cell>
          <cell r="AV1087">
            <v>365</v>
          </cell>
          <cell r="AX1087">
            <v>336</v>
          </cell>
        </row>
        <row r="1088">
          <cell r="E1088" t="str">
            <v>FF</v>
          </cell>
          <cell r="AV1088">
            <v>365</v>
          </cell>
          <cell r="AX1088">
            <v>336</v>
          </cell>
        </row>
        <row r="1089">
          <cell r="AV1089">
            <v>198</v>
          </cell>
        </row>
        <row r="1090">
          <cell r="AV1090">
            <v>365</v>
          </cell>
          <cell r="AX1090">
            <v>366</v>
          </cell>
        </row>
        <row r="1091">
          <cell r="AV1091">
            <v>365</v>
          </cell>
          <cell r="AX1091">
            <v>366</v>
          </cell>
        </row>
        <row r="1092">
          <cell r="AV1092">
            <v>365</v>
          </cell>
          <cell r="AX1092">
            <v>366</v>
          </cell>
        </row>
        <row r="1093">
          <cell r="AV1093">
            <v>365</v>
          </cell>
          <cell r="AX1093">
            <v>366</v>
          </cell>
        </row>
        <row r="1094">
          <cell r="AV1094">
            <v>198</v>
          </cell>
        </row>
        <row r="1095">
          <cell r="AV1095">
            <v>198</v>
          </cell>
        </row>
        <row r="1096">
          <cell r="AV1096">
            <v>365</v>
          </cell>
          <cell r="AX1096">
            <v>215</v>
          </cell>
        </row>
        <row r="1097">
          <cell r="AV1097">
            <v>365</v>
          </cell>
          <cell r="AX1097">
            <v>183</v>
          </cell>
        </row>
        <row r="1098">
          <cell r="AV1098">
            <v>365</v>
          </cell>
          <cell r="AX1098">
            <v>276</v>
          </cell>
        </row>
        <row r="1099">
          <cell r="AV1099">
            <v>335</v>
          </cell>
        </row>
        <row r="1100">
          <cell r="AV1100">
            <v>365</v>
          </cell>
          <cell r="AX1100">
            <v>72</v>
          </cell>
        </row>
        <row r="1101">
          <cell r="AV1101">
            <v>365</v>
          </cell>
          <cell r="AX1101">
            <v>156</v>
          </cell>
        </row>
        <row r="1102">
          <cell r="AV1102">
            <v>365</v>
          </cell>
          <cell r="AX1102">
            <v>366</v>
          </cell>
          <cell r="AZ1102">
            <v>0.16209999999999999</v>
          </cell>
          <cell r="BA1102">
            <v>365</v>
          </cell>
          <cell r="BB1102">
            <v>30312.699999999997</v>
          </cell>
          <cell r="BC1102">
            <v>48</v>
          </cell>
        </row>
        <row r="1103">
          <cell r="AV1103">
            <v>365</v>
          </cell>
          <cell r="AX1103">
            <v>104</v>
          </cell>
        </row>
        <row r="1104">
          <cell r="AV1104">
            <v>365</v>
          </cell>
          <cell r="AX1104">
            <v>1</v>
          </cell>
        </row>
        <row r="1105">
          <cell r="AV1105">
            <v>365</v>
          </cell>
          <cell r="AX1105">
            <v>130</v>
          </cell>
        </row>
        <row r="1106">
          <cell r="AV1106">
            <v>365</v>
          </cell>
          <cell r="AX1106">
            <v>183</v>
          </cell>
        </row>
        <row r="1107">
          <cell r="AV1107">
            <v>365</v>
          </cell>
          <cell r="AX1107">
            <v>130</v>
          </cell>
        </row>
        <row r="1108">
          <cell r="AV1108">
            <v>365</v>
          </cell>
          <cell r="AX1108">
            <v>71</v>
          </cell>
        </row>
        <row r="1109">
          <cell r="E1109" t="str">
            <v>GF</v>
          </cell>
          <cell r="AV1109">
            <v>365</v>
          </cell>
          <cell r="AX1109">
            <v>266</v>
          </cell>
        </row>
        <row r="1110">
          <cell r="AV1110">
            <v>365</v>
          </cell>
          <cell r="AX1110">
            <v>130</v>
          </cell>
        </row>
        <row r="1111">
          <cell r="AV1111">
            <v>365</v>
          </cell>
          <cell r="AX1111">
            <v>130</v>
          </cell>
        </row>
        <row r="1112">
          <cell r="AV1112">
            <v>365</v>
          </cell>
          <cell r="AX1112">
            <v>130</v>
          </cell>
        </row>
        <row r="1113">
          <cell r="AV1113">
            <v>365</v>
          </cell>
          <cell r="AX1113">
            <v>57</v>
          </cell>
        </row>
        <row r="1114">
          <cell r="AV1114">
            <v>335</v>
          </cell>
        </row>
        <row r="1115">
          <cell r="AV1115">
            <v>335</v>
          </cell>
        </row>
        <row r="1116">
          <cell r="AV1116">
            <v>335</v>
          </cell>
        </row>
        <row r="1117">
          <cell r="AV1117">
            <v>335</v>
          </cell>
        </row>
        <row r="1118">
          <cell r="AV1118">
            <v>335</v>
          </cell>
        </row>
        <row r="1119">
          <cell r="AV1119">
            <v>335</v>
          </cell>
        </row>
        <row r="1120">
          <cell r="AV1120">
            <v>335</v>
          </cell>
        </row>
        <row r="1121">
          <cell r="AV1121">
            <v>365</v>
          </cell>
          <cell r="AX1121">
            <v>105</v>
          </cell>
        </row>
        <row r="1122">
          <cell r="AV1122">
            <v>365</v>
          </cell>
          <cell r="AX1122">
            <v>130</v>
          </cell>
        </row>
        <row r="1123">
          <cell r="AV1123">
            <v>335</v>
          </cell>
        </row>
        <row r="1124">
          <cell r="AV1124">
            <v>335</v>
          </cell>
        </row>
        <row r="1125">
          <cell r="AV1125">
            <v>335</v>
          </cell>
        </row>
        <row r="1126">
          <cell r="AV1126">
            <v>335</v>
          </cell>
        </row>
        <row r="1127">
          <cell r="AV1127">
            <v>335</v>
          </cell>
        </row>
        <row r="1128">
          <cell r="AV1128">
            <v>335</v>
          </cell>
        </row>
        <row r="1129">
          <cell r="AV1129">
            <v>335</v>
          </cell>
        </row>
        <row r="1130">
          <cell r="AV1130">
            <v>335</v>
          </cell>
        </row>
        <row r="1131">
          <cell r="AV1131">
            <v>365</v>
          </cell>
          <cell r="AX1131">
            <v>280</v>
          </cell>
        </row>
        <row r="1132">
          <cell r="E1132" t="str">
            <v>FF</v>
          </cell>
          <cell r="AV1132">
            <v>365</v>
          </cell>
          <cell r="AX1132">
            <v>5</v>
          </cell>
        </row>
        <row r="1133">
          <cell r="E1133" t="str">
            <v>FF</v>
          </cell>
          <cell r="AV1133">
            <v>365</v>
          </cell>
          <cell r="AX1133">
            <v>5</v>
          </cell>
        </row>
        <row r="1134">
          <cell r="E1134" t="str">
            <v>FF</v>
          </cell>
          <cell r="AV1134">
            <v>365</v>
          </cell>
          <cell r="AX1134">
            <v>5</v>
          </cell>
        </row>
        <row r="1135">
          <cell r="E1135" t="str">
            <v>FF</v>
          </cell>
          <cell r="AV1135">
            <v>365</v>
          </cell>
          <cell r="AX1135">
            <v>5</v>
          </cell>
        </row>
        <row r="1136">
          <cell r="E1136" t="str">
            <v>FF</v>
          </cell>
          <cell r="AV1136">
            <v>365</v>
          </cell>
          <cell r="AX1136">
            <v>5</v>
          </cell>
        </row>
        <row r="1137">
          <cell r="AV1137">
            <v>365</v>
          </cell>
          <cell r="AX1137">
            <v>366</v>
          </cell>
          <cell r="AZ1137">
            <v>6.3299999999999995E-2</v>
          </cell>
          <cell r="BA1137">
            <v>103</v>
          </cell>
          <cell r="BB1137">
            <v>1028.893808219178</v>
          </cell>
        </row>
        <row r="1138">
          <cell r="AV1138">
            <v>365</v>
          </cell>
          <cell r="AX1138">
            <v>317</v>
          </cell>
        </row>
        <row r="1139">
          <cell r="AV1139">
            <v>365</v>
          </cell>
          <cell r="AX1139">
            <v>317</v>
          </cell>
        </row>
        <row r="1140">
          <cell r="AV1140">
            <v>365</v>
          </cell>
          <cell r="AX1140">
            <v>317</v>
          </cell>
        </row>
        <row r="1141">
          <cell r="AV1141">
            <v>365</v>
          </cell>
          <cell r="AX1141">
            <v>317</v>
          </cell>
        </row>
        <row r="1142">
          <cell r="AV1142">
            <v>365</v>
          </cell>
          <cell r="AX1142">
            <v>366</v>
          </cell>
          <cell r="AZ1142">
            <v>6.3299999999999995E-2</v>
          </cell>
          <cell r="BA1142">
            <v>103</v>
          </cell>
          <cell r="BB1142">
            <v>666.28019178082184</v>
          </cell>
        </row>
        <row r="1143">
          <cell r="AV1143">
            <v>365</v>
          </cell>
          <cell r="AX1143">
            <v>366</v>
          </cell>
        </row>
        <row r="1144">
          <cell r="AV1144">
            <v>365</v>
          </cell>
          <cell r="AX1144">
            <v>251</v>
          </cell>
        </row>
        <row r="1145">
          <cell r="AV1145">
            <v>198</v>
          </cell>
        </row>
        <row r="1146">
          <cell r="AV1146">
            <v>365</v>
          </cell>
          <cell r="AX1146">
            <v>72</v>
          </cell>
        </row>
        <row r="1147">
          <cell r="AV1147">
            <v>365</v>
          </cell>
          <cell r="AX1147">
            <v>72</v>
          </cell>
        </row>
        <row r="1148">
          <cell r="AV1148">
            <v>365</v>
          </cell>
          <cell r="AX1148">
            <v>203</v>
          </cell>
        </row>
        <row r="1149">
          <cell r="AV1149">
            <v>365</v>
          </cell>
          <cell r="AX1149">
            <v>203</v>
          </cell>
        </row>
        <row r="1150">
          <cell r="AV1150">
            <v>365</v>
          </cell>
          <cell r="AX1150">
            <v>276</v>
          </cell>
        </row>
        <row r="1151">
          <cell r="AV1151">
            <v>365</v>
          </cell>
          <cell r="AX1151">
            <v>276</v>
          </cell>
        </row>
        <row r="1152">
          <cell r="AV1152">
            <v>365</v>
          </cell>
          <cell r="AX1152">
            <v>65</v>
          </cell>
        </row>
        <row r="1153">
          <cell r="AV1153">
            <v>365</v>
          </cell>
          <cell r="AX1153">
            <v>153</v>
          </cell>
        </row>
        <row r="1154">
          <cell r="AV1154">
            <v>365</v>
          </cell>
          <cell r="AX1154">
            <v>183</v>
          </cell>
        </row>
        <row r="1155">
          <cell r="AV1155">
            <v>198</v>
          </cell>
        </row>
        <row r="1156">
          <cell r="AV1156">
            <v>198</v>
          </cell>
        </row>
        <row r="1157">
          <cell r="AV1157">
            <v>335</v>
          </cell>
        </row>
        <row r="1158">
          <cell r="AV1158">
            <v>198</v>
          </cell>
        </row>
        <row r="1159">
          <cell r="E1159" t="str">
            <v>FF</v>
          </cell>
          <cell r="AV1159">
            <v>365</v>
          </cell>
          <cell r="AX1159">
            <v>225</v>
          </cell>
        </row>
        <row r="1160">
          <cell r="AV1160">
            <v>365</v>
          </cell>
          <cell r="AX1160">
            <v>33</v>
          </cell>
        </row>
        <row r="1161">
          <cell r="AV1161">
            <v>365</v>
          </cell>
          <cell r="AX1161">
            <v>276</v>
          </cell>
        </row>
        <row r="1162">
          <cell r="AV1162">
            <v>365</v>
          </cell>
          <cell r="AX1162">
            <v>122</v>
          </cell>
        </row>
        <row r="1163">
          <cell r="AV1163">
            <v>365</v>
          </cell>
          <cell r="AX1163">
            <v>137</v>
          </cell>
        </row>
        <row r="1164">
          <cell r="AV1164">
            <v>365</v>
          </cell>
          <cell r="AX1164">
            <v>336</v>
          </cell>
        </row>
        <row r="1165">
          <cell r="AV1165">
            <v>365</v>
          </cell>
          <cell r="AX1165">
            <v>130</v>
          </cell>
        </row>
        <row r="1166">
          <cell r="F1166" t="str">
            <v>Zone-4</v>
          </cell>
          <cell r="AV1166">
            <v>305</v>
          </cell>
        </row>
        <row r="1167">
          <cell r="AV1167">
            <v>365</v>
          </cell>
          <cell r="AX1167">
            <v>130</v>
          </cell>
        </row>
        <row r="1168">
          <cell r="AV1168">
            <v>365</v>
          </cell>
          <cell r="AX1168">
            <v>130</v>
          </cell>
        </row>
        <row r="1169">
          <cell r="AV1169">
            <v>365</v>
          </cell>
          <cell r="AX1169">
            <v>130</v>
          </cell>
        </row>
        <row r="1170">
          <cell r="AV1170">
            <v>365</v>
          </cell>
          <cell r="AX1170">
            <v>130</v>
          </cell>
        </row>
        <row r="1171">
          <cell r="AV1171">
            <v>365</v>
          </cell>
          <cell r="AX1171">
            <v>130</v>
          </cell>
        </row>
        <row r="1172">
          <cell r="AV1172">
            <v>365</v>
          </cell>
          <cell r="AX1172">
            <v>130</v>
          </cell>
        </row>
        <row r="1173">
          <cell r="AV1173">
            <v>365</v>
          </cell>
          <cell r="AX1173">
            <v>130</v>
          </cell>
        </row>
        <row r="1174">
          <cell r="AV1174">
            <v>365</v>
          </cell>
          <cell r="AX1174">
            <v>130</v>
          </cell>
        </row>
        <row r="1175">
          <cell r="AV1175">
            <v>365</v>
          </cell>
          <cell r="AX1175">
            <v>130</v>
          </cell>
        </row>
        <row r="1176">
          <cell r="AV1176">
            <v>365</v>
          </cell>
          <cell r="AX1176">
            <v>366</v>
          </cell>
        </row>
        <row r="1177">
          <cell r="AV1177">
            <v>365</v>
          </cell>
          <cell r="AX1177">
            <v>366</v>
          </cell>
        </row>
        <row r="1178">
          <cell r="AV1178">
            <v>365</v>
          </cell>
          <cell r="AX1178">
            <v>366</v>
          </cell>
        </row>
        <row r="1179">
          <cell r="AV1179">
            <v>365</v>
          </cell>
          <cell r="AX1179">
            <v>366</v>
          </cell>
        </row>
        <row r="1180">
          <cell r="AV1180">
            <v>365</v>
          </cell>
          <cell r="AX1180">
            <v>33</v>
          </cell>
        </row>
        <row r="1181">
          <cell r="E1181" t="str">
            <v>FF</v>
          </cell>
          <cell r="AV1181">
            <v>365</v>
          </cell>
          <cell r="AX1181">
            <v>266</v>
          </cell>
        </row>
        <row r="1182">
          <cell r="AV1182">
            <v>365</v>
          </cell>
          <cell r="AX1182">
            <v>183</v>
          </cell>
        </row>
        <row r="1183">
          <cell r="AV1183">
            <v>365</v>
          </cell>
          <cell r="AX1183">
            <v>131</v>
          </cell>
        </row>
        <row r="1184">
          <cell r="E1184" t="str">
            <v>FF</v>
          </cell>
          <cell r="AV1184">
            <v>365</v>
          </cell>
          <cell r="AX1184">
            <v>153</v>
          </cell>
        </row>
        <row r="1185">
          <cell r="E1185" t="str">
            <v>FF</v>
          </cell>
          <cell r="AV1185">
            <v>365</v>
          </cell>
          <cell r="AX1185">
            <v>153</v>
          </cell>
        </row>
        <row r="1186">
          <cell r="E1186" t="str">
            <v>FF</v>
          </cell>
          <cell r="AV1186">
            <v>365</v>
          </cell>
          <cell r="AX1186">
            <v>153</v>
          </cell>
        </row>
        <row r="1187">
          <cell r="E1187" t="str">
            <v>FF</v>
          </cell>
          <cell r="AV1187">
            <v>365</v>
          </cell>
          <cell r="AX1187">
            <v>153</v>
          </cell>
        </row>
        <row r="1188">
          <cell r="E1188" t="str">
            <v>FF</v>
          </cell>
          <cell r="AV1188">
            <v>365</v>
          </cell>
          <cell r="AX1188">
            <v>153</v>
          </cell>
        </row>
        <row r="1189">
          <cell r="E1189" t="str">
            <v>FF</v>
          </cell>
          <cell r="AV1189">
            <v>365</v>
          </cell>
          <cell r="AX1189">
            <v>153</v>
          </cell>
        </row>
        <row r="1190">
          <cell r="E1190" t="str">
            <v>FF</v>
          </cell>
          <cell r="AV1190">
            <v>365</v>
          </cell>
          <cell r="AX1190">
            <v>153</v>
          </cell>
        </row>
        <row r="1191">
          <cell r="E1191" t="str">
            <v>FF</v>
          </cell>
          <cell r="AV1191">
            <v>365</v>
          </cell>
          <cell r="AX1191">
            <v>153</v>
          </cell>
        </row>
        <row r="1192">
          <cell r="E1192" t="str">
            <v>FF</v>
          </cell>
          <cell r="AV1192">
            <v>365</v>
          </cell>
          <cell r="AX1192">
            <v>153</v>
          </cell>
        </row>
        <row r="1193">
          <cell r="E1193" t="str">
            <v>FF</v>
          </cell>
          <cell r="AV1193">
            <v>365</v>
          </cell>
          <cell r="AX1193">
            <v>153</v>
          </cell>
        </row>
        <row r="1194">
          <cell r="AV1194">
            <v>365</v>
          </cell>
          <cell r="AX1194">
            <v>267</v>
          </cell>
        </row>
        <row r="1195">
          <cell r="AV1195">
            <v>365</v>
          </cell>
          <cell r="AX1195">
            <v>267</v>
          </cell>
        </row>
        <row r="1196">
          <cell r="AV1196">
            <v>365</v>
          </cell>
          <cell r="AX1196">
            <v>130</v>
          </cell>
        </row>
        <row r="1197">
          <cell r="AV1197">
            <v>365</v>
          </cell>
          <cell r="AX1197">
            <v>130</v>
          </cell>
        </row>
        <row r="1198">
          <cell r="AV1198">
            <v>365</v>
          </cell>
          <cell r="AX1198">
            <v>130</v>
          </cell>
        </row>
        <row r="1199">
          <cell r="AV1199">
            <v>365</v>
          </cell>
          <cell r="AX1199">
            <v>123</v>
          </cell>
        </row>
        <row r="1200">
          <cell r="AV1200">
            <v>365</v>
          </cell>
          <cell r="AX1200">
            <v>306</v>
          </cell>
        </row>
        <row r="1201">
          <cell r="AV1201">
            <v>365</v>
          </cell>
          <cell r="AX1201">
            <v>80</v>
          </cell>
        </row>
        <row r="1202">
          <cell r="AV1202">
            <v>365</v>
          </cell>
          <cell r="AX1202">
            <v>80</v>
          </cell>
        </row>
        <row r="1203">
          <cell r="AV1203">
            <v>365</v>
          </cell>
          <cell r="AX1203">
            <v>80</v>
          </cell>
        </row>
        <row r="1204">
          <cell r="AV1204">
            <v>365</v>
          </cell>
          <cell r="AX1204">
            <v>80</v>
          </cell>
        </row>
        <row r="1205">
          <cell r="AV1205">
            <v>365</v>
          </cell>
          <cell r="AX1205">
            <v>80</v>
          </cell>
        </row>
        <row r="1206">
          <cell r="AV1206">
            <v>365</v>
          </cell>
          <cell r="AX1206">
            <v>80</v>
          </cell>
        </row>
        <row r="1207">
          <cell r="AV1207">
            <v>365</v>
          </cell>
          <cell r="AX1207">
            <v>80</v>
          </cell>
        </row>
        <row r="1208">
          <cell r="AV1208">
            <v>365</v>
          </cell>
          <cell r="AX1208">
            <v>80</v>
          </cell>
        </row>
        <row r="1209">
          <cell r="AV1209">
            <v>365</v>
          </cell>
          <cell r="AX1209">
            <v>107</v>
          </cell>
        </row>
        <row r="1210">
          <cell r="AV1210">
            <v>365</v>
          </cell>
          <cell r="AX1210">
            <v>107</v>
          </cell>
        </row>
        <row r="1211">
          <cell r="AV1211">
            <v>365</v>
          </cell>
          <cell r="AX1211">
            <v>33</v>
          </cell>
        </row>
        <row r="1212">
          <cell r="AV1212">
            <v>365</v>
          </cell>
          <cell r="AX1212">
            <v>366</v>
          </cell>
          <cell r="AZ1212">
            <v>6.3299999999999995E-2</v>
          </cell>
          <cell r="BA1212">
            <v>164</v>
          </cell>
          <cell r="BB1212">
            <v>3071.6975342465753</v>
          </cell>
        </row>
        <row r="1213">
          <cell r="AV1213">
            <v>365</v>
          </cell>
          <cell r="AX1213">
            <v>307</v>
          </cell>
        </row>
        <row r="1214">
          <cell r="AV1214">
            <v>365</v>
          </cell>
          <cell r="AX1214">
            <v>63</v>
          </cell>
        </row>
        <row r="1215">
          <cell r="AV1215">
            <v>365</v>
          </cell>
          <cell r="AX1215">
            <v>63</v>
          </cell>
        </row>
        <row r="1216">
          <cell r="AV1216">
            <v>365</v>
          </cell>
          <cell r="AX1216">
            <v>63</v>
          </cell>
        </row>
        <row r="1217">
          <cell r="E1217" t="str">
            <v>SF</v>
          </cell>
          <cell r="AV1217">
            <v>365</v>
          </cell>
          <cell r="AX1217">
            <v>21</v>
          </cell>
        </row>
        <row r="1218">
          <cell r="AV1218">
            <v>365</v>
          </cell>
          <cell r="AX1218">
            <v>306</v>
          </cell>
        </row>
        <row r="1219">
          <cell r="AV1219">
            <v>305</v>
          </cell>
        </row>
        <row r="1220">
          <cell r="AV1220">
            <v>365</v>
          </cell>
          <cell r="AX1220">
            <v>336</v>
          </cell>
        </row>
        <row r="1221">
          <cell r="AV1221">
            <v>305</v>
          </cell>
        </row>
        <row r="1222">
          <cell r="AV1222">
            <v>305</v>
          </cell>
        </row>
        <row r="1223">
          <cell r="AV1223">
            <v>365</v>
          </cell>
          <cell r="AX1223">
            <v>366</v>
          </cell>
        </row>
        <row r="1224">
          <cell r="AV1224">
            <v>365</v>
          </cell>
          <cell r="AX1224">
            <v>33</v>
          </cell>
        </row>
        <row r="1225">
          <cell r="AV1225">
            <v>365</v>
          </cell>
          <cell r="AX1225">
            <v>136</v>
          </cell>
        </row>
        <row r="1226">
          <cell r="AV1226">
            <v>365</v>
          </cell>
          <cell r="AX1226">
            <v>72</v>
          </cell>
        </row>
        <row r="1227">
          <cell r="AV1227">
            <v>365</v>
          </cell>
          <cell r="AX1227">
            <v>130</v>
          </cell>
        </row>
        <row r="1228">
          <cell r="AV1228">
            <v>365</v>
          </cell>
          <cell r="AX1228">
            <v>366</v>
          </cell>
          <cell r="AZ1228">
            <v>6.3299999999999995E-2</v>
          </cell>
          <cell r="BA1228">
            <v>214</v>
          </cell>
          <cell r="BB1228">
            <v>4095.8884126027401</v>
          </cell>
        </row>
        <row r="1229">
          <cell r="AV1229">
            <v>365</v>
          </cell>
          <cell r="AX1229">
            <v>336</v>
          </cell>
        </row>
        <row r="1230">
          <cell r="AV1230">
            <v>365</v>
          </cell>
          <cell r="AX1230">
            <v>336</v>
          </cell>
        </row>
        <row r="1231">
          <cell r="AV1231">
            <v>365</v>
          </cell>
          <cell r="AX1231">
            <v>336</v>
          </cell>
        </row>
        <row r="1232">
          <cell r="AV1232">
            <v>365</v>
          </cell>
          <cell r="AX1232">
            <v>336</v>
          </cell>
        </row>
        <row r="1233">
          <cell r="AV1233">
            <v>365</v>
          </cell>
          <cell r="AX1233">
            <v>366</v>
          </cell>
          <cell r="AZ1233">
            <v>6.3299999999999995E-2</v>
          </cell>
          <cell r="BA1233">
            <v>10</v>
          </cell>
          <cell r="BB1233">
            <v>234.02443561643832</v>
          </cell>
        </row>
        <row r="1234">
          <cell r="E1234" t="str">
            <v>SF</v>
          </cell>
          <cell r="AV1234">
            <v>365</v>
          </cell>
          <cell r="AX1234">
            <v>1</v>
          </cell>
        </row>
        <row r="1235">
          <cell r="E1235" t="str">
            <v>SF</v>
          </cell>
          <cell r="AV1235">
            <v>365</v>
          </cell>
          <cell r="AX1235">
            <v>1</v>
          </cell>
        </row>
        <row r="1236">
          <cell r="AV1236">
            <v>365</v>
          </cell>
          <cell r="AX1236">
            <v>75</v>
          </cell>
        </row>
        <row r="1237">
          <cell r="AV1237">
            <v>365</v>
          </cell>
          <cell r="AX1237">
            <v>75</v>
          </cell>
        </row>
        <row r="1238">
          <cell r="AV1238">
            <v>365</v>
          </cell>
          <cell r="AX1238">
            <v>75</v>
          </cell>
        </row>
        <row r="1239">
          <cell r="AV1239">
            <v>365</v>
          </cell>
          <cell r="AX1239">
            <v>75</v>
          </cell>
        </row>
        <row r="1240">
          <cell r="AV1240">
            <v>365</v>
          </cell>
          <cell r="AX1240">
            <v>75</v>
          </cell>
        </row>
        <row r="1241">
          <cell r="AV1241">
            <v>365</v>
          </cell>
          <cell r="AX1241">
            <v>75</v>
          </cell>
        </row>
        <row r="1242">
          <cell r="AV1242">
            <v>365</v>
          </cell>
          <cell r="AX1242">
            <v>75</v>
          </cell>
        </row>
        <row r="1243">
          <cell r="AV1243">
            <v>365</v>
          </cell>
          <cell r="AX1243">
            <v>366</v>
          </cell>
          <cell r="AZ1243">
            <v>6.3299999999999995E-2</v>
          </cell>
          <cell r="BA1243">
            <v>212</v>
          </cell>
          <cell r="BB1243">
            <v>4191.3271232876705</v>
          </cell>
        </row>
        <row r="1244">
          <cell r="AV1244">
            <v>365</v>
          </cell>
          <cell r="AX1244">
            <v>288</v>
          </cell>
        </row>
        <row r="1245">
          <cell r="AV1245">
            <v>365</v>
          </cell>
          <cell r="AX1245">
            <v>366</v>
          </cell>
          <cell r="AZ1245">
            <v>6.3299999999999995E-2</v>
          </cell>
          <cell r="BA1245">
            <v>365</v>
          </cell>
          <cell r="BB1245">
            <v>8862</v>
          </cell>
          <cell r="BC1245">
            <v>86</v>
          </cell>
        </row>
        <row r="1246">
          <cell r="AV1246">
            <v>365</v>
          </cell>
          <cell r="AX1246">
            <v>267</v>
          </cell>
        </row>
        <row r="1247">
          <cell r="AV1247">
            <v>365</v>
          </cell>
          <cell r="AX1247">
            <v>267</v>
          </cell>
        </row>
        <row r="1248">
          <cell r="AV1248">
            <v>365</v>
          </cell>
          <cell r="AX1248">
            <v>267</v>
          </cell>
        </row>
        <row r="1249">
          <cell r="AV1249">
            <v>365</v>
          </cell>
          <cell r="AX1249">
            <v>267</v>
          </cell>
        </row>
        <row r="1250">
          <cell r="AV1250">
            <v>365</v>
          </cell>
          <cell r="AX1250">
            <v>267</v>
          </cell>
        </row>
        <row r="1251">
          <cell r="AV1251">
            <v>365</v>
          </cell>
          <cell r="AX1251">
            <v>267</v>
          </cell>
        </row>
        <row r="1252">
          <cell r="AV1252">
            <v>365</v>
          </cell>
          <cell r="AX1252">
            <v>267</v>
          </cell>
        </row>
        <row r="1253">
          <cell r="AV1253">
            <v>365</v>
          </cell>
          <cell r="AX1253">
            <v>267</v>
          </cell>
        </row>
        <row r="1254">
          <cell r="AV1254">
            <v>355</v>
          </cell>
        </row>
        <row r="1255">
          <cell r="AV1255">
            <v>365</v>
          </cell>
          <cell r="AX1255">
            <v>336</v>
          </cell>
        </row>
        <row r="1256">
          <cell r="AV1256">
            <v>365</v>
          </cell>
          <cell r="AX1256">
            <v>336</v>
          </cell>
        </row>
        <row r="1257">
          <cell r="AV1257">
            <v>365</v>
          </cell>
          <cell r="AX1257">
            <v>245</v>
          </cell>
        </row>
        <row r="1258">
          <cell r="AV1258">
            <v>365</v>
          </cell>
          <cell r="AX1258">
            <v>245</v>
          </cell>
        </row>
        <row r="1259">
          <cell r="E1259" t="str">
            <v>GF</v>
          </cell>
          <cell r="AV1259">
            <v>365</v>
          </cell>
          <cell r="AX1259">
            <v>130</v>
          </cell>
        </row>
        <row r="1260">
          <cell r="AV1260">
            <v>365</v>
          </cell>
          <cell r="AX1260">
            <v>213</v>
          </cell>
        </row>
        <row r="1261">
          <cell r="E1261" t="str">
            <v>SF</v>
          </cell>
          <cell r="AV1261">
            <v>365</v>
          </cell>
          <cell r="AX1261">
            <v>183</v>
          </cell>
        </row>
        <row r="1262">
          <cell r="AV1262">
            <v>365</v>
          </cell>
          <cell r="AX1262">
            <v>366</v>
          </cell>
          <cell r="AZ1262">
            <v>0.16209999999999999</v>
          </cell>
          <cell r="BA1262">
            <v>365</v>
          </cell>
          <cell r="BB1262">
            <v>10957.068449999999</v>
          </cell>
          <cell r="BC1262">
            <v>48</v>
          </cell>
        </row>
        <row r="1263">
          <cell r="G1263">
            <v>1121</v>
          </cell>
          <cell r="AV1263">
            <v>365</v>
          </cell>
          <cell r="AX1263">
            <v>366</v>
          </cell>
          <cell r="AZ1263">
            <v>0.16209999999999999</v>
          </cell>
          <cell r="BA1263">
            <v>365</v>
          </cell>
          <cell r="BB1263">
            <v>10957.068449999999</v>
          </cell>
          <cell r="BC1263">
            <v>48</v>
          </cell>
        </row>
        <row r="1264">
          <cell r="AV1264">
            <v>365</v>
          </cell>
          <cell r="AX1264">
            <v>366</v>
          </cell>
        </row>
        <row r="1265">
          <cell r="AV1265">
            <v>365</v>
          </cell>
          <cell r="AX1265">
            <v>130</v>
          </cell>
        </row>
        <row r="1266">
          <cell r="E1266" t="str">
            <v>GF</v>
          </cell>
          <cell r="F1266" t="str">
            <v>Intermediate</v>
          </cell>
          <cell r="AV1266">
            <v>365</v>
          </cell>
          <cell r="AX1266">
            <v>129</v>
          </cell>
        </row>
        <row r="1267">
          <cell r="E1267" t="str">
            <v>GF</v>
          </cell>
          <cell r="F1267" t="str">
            <v>Intermediate</v>
          </cell>
          <cell r="AV1267">
            <v>365</v>
          </cell>
          <cell r="AX1267">
            <v>129</v>
          </cell>
        </row>
        <row r="1268">
          <cell r="E1268" t="str">
            <v>GF</v>
          </cell>
          <cell r="F1268" t="str">
            <v>Intermediate</v>
          </cell>
          <cell r="AV1268">
            <v>365</v>
          </cell>
          <cell r="AX1268">
            <v>129</v>
          </cell>
        </row>
        <row r="1269">
          <cell r="E1269" t="str">
            <v>GF</v>
          </cell>
          <cell r="F1269" t="str">
            <v>Intermediate</v>
          </cell>
          <cell r="AV1269">
            <v>365</v>
          </cell>
          <cell r="AX1269">
            <v>129</v>
          </cell>
        </row>
        <row r="1270">
          <cell r="AV1270">
            <v>365</v>
          </cell>
          <cell r="AX1270">
            <v>153</v>
          </cell>
        </row>
        <row r="1271">
          <cell r="AV1271">
            <v>365</v>
          </cell>
          <cell r="AX1271">
            <v>153</v>
          </cell>
        </row>
        <row r="1272">
          <cell r="AV1272">
            <v>365</v>
          </cell>
          <cell r="AX1272">
            <v>153</v>
          </cell>
        </row>
        <row r="1273">
          <cell r="AV1273">
            <v>365</v>
          </cell>
          <cell r="AX1273">
            <v>153</v>
          </cell>
        </row>
        <row r="1274">
          <cell r="AV1274">
            <v>365</v>
          </cell>
          <cell r="AX1274">
            <v>153</v>
          </cell>
        </row>
        <row r="1275">
          <cell r="AV1275">
            <v>365</v>
          </cell>
          <cell r="AX1275">
            <v>153</v>
          </cell>
        </row>
        <row r="1276">
          <cell r="AV1276">
            <v>365</v>
          </cell>
          <cell r="AX1276">
            <v>153</v>
          </cell>
        </row>
        <row r="1277">
          <cell r="AV1277">
            <v>365</v>
          </cell>
          <cell r="AX1277">
            <v>153</v>
          </cell>
        </row>
        <row r="1278">
          <cell r="AV1278">
            <v>335</v>
          </cell>
        </row>
        <row r="1279">
          <cell r="AV1279">
            <v>335</v>
          </cell>
        </row>
        <row r="1280">
          <cell r="AV1280">
            <v>335</v>
          </cell>
        </row>
        <row r="1281">
          <cell r="AV1281">
            <v>335</v>
          </cell>
        </row>
        <row r="1282">
          <cell r="E1282" t="str">
            <v>Terrace</v>
          </cell>
          <cell r="AV1282">
            <v>335</v>
          </cell>
        </row>
        <row r="1283">
          <cell r="AV1283">
            <v>365</v>
          </cell>
          <cell r="AX1283">
            <v>153</v>
          </cell>
        </row>
        <row r="1284">
          <cell r="AV1284">
            <v>365</v>
          </cell>
          <cell r="AX1284">
            <v>153</v>
          </cell>
        </row>
        <row r="1285">
          <cell r="AV1285">
            <v>365</v>
          </cell>
          <cell r="AX1285">
            <v>214</v>
          </cell>
        </row>
        <row r="1286">
          <cell r="E1286" t="str">
            <v>FF</v>
          </cell>
          <cell r="F1286" t="str">
            <v>Intermediate</v>
          </cell>
          <cell r="AV1286">
            <v>289</v>
          </cell>
        </row>
        <row r="1287">
          <cell r="E1287" t="str">
            <v>GF</v>
          </cell>
          <cell r="AV1287">
            <v>365</v>
          </cell>
          <cell r="AX1287">
            <v>351</v>
          </cell>
        </row>
        <row r="1288">
          <cell r="AX1288">
            <v>366</v>
          </cell>
          <cell r="AZ1288">
            <v>0.16209999999999999</v>
          </cell>
          <cell r="BA1288">
            <v>212</v>
          </cell>
          <cell r="BB1288">
            <v>6072.7545205479446</v>
          </cell>
        </row>
        <row r="1289">
          <cell r="AV1289">
            <v>365</v>
          </cell>
          <cell r="AX1289">
            <v>366</v>
          </cell>
          <cell r="AZ1289">
            <v>0.16209999999999999</v>
          </cell>
          <cell r="BA1289">
            <v>212</v>
          </cell>
          <cell r="BB1289">
            <v>111.09845479452055</v>
          </cell>
        </row>
        <row r="1290">
          <cell r="AX1290">
            <v>366</v>
          </cell>
          <cell r="AZ1290">
            <v>0.16209999999999999</v>
          </cell>
          <cell r="BA1290">
            <v>212</v>
          </cell>
          <cell r="BB1290">
            <v>6072.7545205479446</v>
          </cell>
        </row>
        <row r="1291">
          <cell r="E1291" t="str">
            <v>SF</v>
          </cell>
          <cell r="AV1291">
            <v>365</v>
          </cell>
          <cell r="AX1291">
            <v>21</v>
          </cell>
        </row>
        <row r="1292">
          <cell r="AV1292">
            <v>289</v>
          </cell>
        </row>
        <row r="1293">
          <cell r="AX1293">
            <v>366</v>
          </cell>
          <cell r="AZ1293">
            <v>0.16209999999999999</v>
          </cell>
          <cell r="BA1293">
            <v>274</v>
          </cell>
          <cell r="BB1293">
            <v>7848.7487671232866</v>
          </cell>
        </row>
        <row r="1294">
          <cell r="AX1294">
            <v>366</v>
          </cell>
          <cell r="AZ1294">
            <v>0.16209999999999999</v>
          </cell>
          <cell r="BA1294">
            <v>274</v>
          </cell>
          <cell r="BB1294">
            <v>7848.7487671232866</v>
          </cell>
        </row>
        <row r="1295">
          <cell r="AV1295">
            <v>365</v>
          </cell>
          <cell r="AX1295">
            <v>336</v>
          </cell>
        </row>
        <row r="1296">
          <cell r="AV1296">
            <v>365</v>
          </cell>
          <cell r="AX1296">
            <v>336</v>
          </cell>
        </row>
        <row r="1297">
          <cell r="AV1297">
            <v>365</v>
          </cell>
          <cell r="AX1297">
            <v>33</v>
          </cell>
        </row>
        <row r="1298">
          <cell r="AV1298">
            <v>365</v>
          </cell>
          <cell r="AX1298">
            <v>33</v>
          </cell>
        </row>
        <row r="1299">
          <cell r="AV1299">
            <v>365</v>
          </cell>
          <cell r="AX1299">
            <v>33</v>
          </cell>
        </row>
        <row r="1300">
          <cell r="AV1300">
            <v>365</v>
          </cell>
          <cell r="AX1300">
            <v>33</v>
          </cell>
        </row>
        <row r="1301">
          <cell r="AV1301">
            <v>365</v>
          </cell>
          <cell r="AX1301">
            <v>366</v>
          </cell>
        </row>
        <row r="1302">
          <cell r="AV1302">
            <v>365</v>
          </cell>
          <cell r="AX1302">
            <v>71</v>
          </cell>
        </row>
        <row r="1303">
          <cell r="AV1303">
            <v>365</v>
          </cell>
          <cell r="AX1303">
            <v>71</v>
          </cell>
        </row>
        <row r="1304">
          <cell r="AV1304">
            <v>365</v>
          </cell>
          <cell r="AX1304">
            <v>71</v>
          </cell>
        </row>
        <row r="1305">
          <cell r="AV1305">
            <v>365</v>
          </cell>
          <cell r="AX1305">
            <v>71</v>
          </cell>
        </row>
        <row r="1306">
          <cell r="AV1306">
            <v>365</v>
          </cell>
          <cell r="AX1306">
            <v>366</v>
          </cell>
          <cell r="AZ1306">
            <v>6.3299999999999995E-2</v>
          </cell>
          <cell r="BA1306">
            <v>91</v>
          </cell>
          <cell r="BB1306">
            <v>2259.7735808219177</v>
          </cell>
        </row>
        <row r="1307">
          <cell r="AV1307">
            <v>365</v>
          </cell>
          <cell r="AX1307">
            <v>33</v>
          </cell>
        </row>
        <row r="1308">
          <cell r="AV1308">
            <v>365</v>
          </cell>
        </row>
        <row r="1309">
          <cell r="AV1309">
            <v>365</v>
          </cell>
        </row>
        <row r="1310">
          <cell r="AV1310">
            <v>365</v>
          </cell>
        </row>
        <row r="1311">
          <cell r="AV1311">
            <v>365</v>
          </cell>
        </row>
        <row r="1312">
          <cell r="AV1312">
            <v>365</v>
          </cell>
        </row>
        <row r="1313">
          <cell r="AV1313">
            <v>365</v>
          </cell>
          <cell r="AX1313">
            <v>75</v>
          </cell>
        </row>
        <row r="1314">
          <cell r="AV1314">
            <v>365</v>
          </cell>
          <cell r="AX1314">
            <v>75</v>
          </cell>
        </row>
        <row r="1315">
          <cell r="AV1315">
            <v>365</v>
          </cell>
          <cell r="AX1315">
            <v>75</v>
          </cell>
        </row>
        <row r="1316">
          <cell r="E1316" t="str">
            <v>GF</v>
          </cell>
          <cell r="AV1316">
            <v>365</v>
          </cell>
          <cell r="AX1316">
            <v>266</v>
          </cell>
        </row>
        <row r="1317">
          <cell r="AV1317">
            <v>365</v>
          </cell>
          <cell r="AX1317">
            <v>267</v>
          </cell>
        </row>
        <row r="1318">
          <cell r="AV1318">
            <v>365</v>
          </cell>
          <cell r="AX1318">
            <v>267</v>
          </cell>
        </row>
        <row r="1319">
          <cell r="AV1319">
            <v>365</v>
          </cell>
          <cell r="AX1319">
            <v>267</v>
          </cell>
        </row>
        <row r="1320">
          <cell r="AV1320">
            <v>365</v>
          </cell>
          <cell r="AX1320">
            <v>267</v>
          </cell>
        </row>
        <row r="1321">
          <cell r="AV1321">
            <v>305</v>
          </cell>
        </row>
        <row r="1322">
          <cell r="AV1322">
            <v>335</v>
          </cell>
        </row>
        <row r="1323">
          <cell r="AV1323">
            <v>335</v>
          </cell>
        </row>
        <row r="1324">
          <cell r="AV1324">
            <v>335</v>
          </cell>
        </row>
        <row r="1325">
          <cell r="AV1325">
            <v>335</v>
          </cell>
        </row>
        <row r="1326">
          <cell r="AV1326">
            <v>335</v>
          </cell>
        </row>
        <row r="1327">
          <cell r="AV1327">
            <v>335</v>
          </cell>
        </row>
        <row r="1328">
          <cell r="AV1328">
            <v>335</v>
          </cell>
        </row>
        <row r="1329">
          <cell r="AV1329">
            <v>365</v>
          </cell>
          <cell r="AX1329">
            <v>267</v>
          </cell>
        </row>
        <row r="1330">
          <cell r="AV1330">
            <v>365</v>
          </cell>
          <cell r="AX1330">
            <v>31</v>
          </cell>
        </row>
        <row r="1331">
          <cell r="E1331" t="str">
            <v>AD</v>
          </cell>
          <cell r="AV1331">
            <v>365</v>
          </cell>
          <cell r="AX1331">
            <v>366</v>
          </cell>
          <cell r="AZ1331">
            <v>0.16209999999999999</v>
          </cell>
          <cell r="BA1331">
            <v>31</v>
          </cell>
          <cell r="BB1331">
            <v>1574.9902465753421</v>
          </cell>
        </row>
        <row r="1332">
          <cell r="AV1332">
            <v>365</v>
          </cell>
          <cell r="AX1332">
            <v>183</v>
          </cell>
        </row>
        <row r="1333">
          <cell r="AV1333">
            <v>365</v>
          </cell>
          <cell r="AX1333">
            <v>183</v>
          </cell>
        </row>
        <row r="1334">
          <cell r="AV1334">
            <v>365</v>
          </cell>
          <cell r="AX1334">
            <v>183</v>
          </cell>
        </row>
        <row r="1335">
          <cell r="AV1335">
            <v>365</v>
          </cell>
          <cell r="AX1335">
            <v>183</v>
          </cell>
        </row>
        <row r="1336">
          <cell r="AV1336">
            <v>365</v>
          </cell>
          <cell r="AX1336">
            <v>183</v>
          </cell>
        </row>
        <row r="1337">
          <cell r="AV1337">
            <v>365</v>
          </cell>
          <cell r="AX1337">
            <v>183</v>
          </cell>
        </row>
        <row r="1338">
          <cell r="AV1338">
            <v>365</v>
          </cell>
          <cell r="AX1338">
            <v>183</v>
          </cell>
        </row>
        <row r="1339">
          <cell r="AV1339">
            <v>289</v>
          </cell>
        </row>
        <row r="1340">
          <cell r="D1340" t="str">
            <v>GC-IB</v>
          </cell>
          <cell r="E1340" t="str">
            <v>Pharma</v>
          </cell>
          <cell r="AV1340">
            <v>289</v>
          </cell>
        </row>
        <row r="1341">
          <cell r="AV1341">
            <v>365</v>
          </cell>
          <cell r="AX1341">
            <v>244</v>
          </cell>
        </row>
        <row r="1342">
          <cell r="AV1342">
            <v>365</v>
          </cell>
          <cell r="AX1342">
            <v>244</v>
          </cell>
        </row>
        <row r="1343">
          <cell r="AV1343">
            <v>365</v>
          </cell>
          <cell r="AX1343">
            <v>244</v>
          </cell>
        </row>
        <row r="1344">
          <cell r="AV1344">
            <v>365</v>
          </cell>
          <cell r="AX1344">
            <v>244</v>
          </cell>
        </row>
        <row r="1345">
          <cell r="AV1345">
            <v>289</v>
          </cell>
        </row>
        <row r="1346">
          <cell r="AV1346">
            <v>365</v>
          </cell>
          <cell r="AX1346">
            <v>244</v>
          </cell>
        </row>
        <row r="1347">
          <cell r="AV1347">
            <v>365</v>
          </cell>
          <cell r="AX1347">
            <v>307</v>
          </cell>
        </row>
        <row r="1348">
          <cell r="E1348" t="str">
            <v>SF</v>
          </cell>
          <cell r="AV1348">
            <v>365</v>
          </cell>
          <cell r="AX1348">
            <v>21</v>
          </cell>
        </row>
        <row r="1349">
          <cell r="D1349" t="str">
            <v>Utilities</v>
          </cell>
          <cell r="E1349" t="str">
            <v>UTILITY</v>
          </cell>
          <cell r="AV1349">
            <v>365</v>
          </cell>
          <cell r="AX1349">
            <v>130</v>
          </cell>
        </row>
        <row r="1350">
          <cell r="AV1350">
            <v>365</v>
          </cell>
          <cell r="AX1350">
            <v>366</v>
          </cell>
          <cell r="AZ1350">
            <v>0.16209999999999999</v>
          </cell>
          <cell r="BA1350">
            <v>92</v>
          </cell>
          <cell r="BB1350">
            <v>2357.5113424657534</v>
          </cell>
        </row>
        <row r="1351">
          <cell r="AV1351">
            <v>365</v>
          </cell>
          <cell r="AX1351">
            <v>366</v>
          </cell>
          <cell r="AZ1351">
            <v>0.16209999999999999</v>
          </cell>
          <cell r="BA1351">
            <v>92</v>
          </cell>
          <cell r="BB1351">
            <v>2153.2209315068494</v>
          </cell>
        </row>
        <row r="1352">
          <cell r="AV1352">
            <v>365</v>
          </cell>
          <cell r="AX1352">
            <v>306</v>
          </cell>
        </row>
        <row r="1353">
          <cell r="AV1353">
            <v>365</v>
          </cell>
          <cell r="AX1353">
            <v>306</v>
          </cell>
        </row>
        <row r="1354">
          <cell r="AV1354">
            <v>365</v>
          </cell>
          <cell r="AX1354">
            <v>306</v>
          </cell>
        </row>
        <row r="1355">
          <cell r="AV1355">
            <v>365</v>
          </cell>
          <cell r="AX1355">
            <v>183</v>
          </cell>
        </row>
        <row r="1356">
          <cell r="AV1356">
            <v>335</v>
          </cell>
        </row>
        <row r="1357">
          <cell r="AV1357">
            <v>335</v>
          </cell>
        </row>
        <row r="1358">
          <cell r="AV1358">
            <v>365</v>
          </cell>
          <cell r="AX1358">
            <v>129</v>
          </cell>
        </row>
        <row r="1359">
          <cell r="AV1359">
            <v>365</v>
          </cell>
          <cell r="AX1359">
            <v>183</v>
          </cell>
        </row>
        <row r="1360">
          <cell r="AV1360">
            <v>365</v>
          </cell>
          <cell r="AX1360">
            <v>131</v>
          </cell>
        </row>
        <row r="1361">
          <cell r="AV1361">
            <v>365</v>
          </cell>
          <cell r="AX1361">
            <v>131</v>
          </cell>
        </row>
        <row r="1362">
          <cell r="AV1362">
            <v>365</v>
          </cell>
          <cell r="AX1362">
            <v>366</v>
          </cell>
        </row>
        <row r="1363">
          <cell r="AV1363">
            <v>365</v>
          </cell>
          <cell r="AX1363">
            <v>214</v>
          </cell>
        </row>
        <row r="1364">
          <cell r="AV1364">
            <v>365</v>
          </cell>
          <cell r="AX1364">
            <v>336</v>
          </cell>
        </row>
        <row r="1365">
          <cell r="AV1365">
            <v>365</v>
          </cell>
          <cell r="AX1365">
            <v>366</v>
          </cell>
        </row>
        <row r="1366">
          <cell r="E1366" t="str">
            <v>FF</v>
          </cell>
          <cell r="AV1366">
            <v>365</v>
          </cell>
          <cell r="AX1366">
            <v>225</v>
          </cell>
        </row>
        <row r="1367">
          <cell r="AV1367">
            <v>365</v>
          </cell>
          <cell r="AX1367">
            <v>103</v>
          </cell>
        </row>
        <row r="1368">
          <cell r="AV1368">
            <v>365</v>
          </cell>
          <cell r="AX1368">
            <v>33</v>
          </cell>
        </row>
        <row r="1369">
          <cell r="AV1369">
            <v>365</v>
          </cell>
          <cell r="AX1369">
            <v>33</v>
          </cell>
        </row>
        <row r="1370">
          <cell r="AV1370">
            <v>365</v>
          </cell>
          <cell r="AX1370">
            <v>33</v>
          </cell>
        </row>
        <row r="1371">
          <cell r="E1371" t="str">
            <v>GF</v>
          </cell>
          <cell r="AV1371">
            <v>365</v>
          </cell>
          <cell r="AX1371">
            <v>336</v>
          </cell>
        </row>
        <row r="1372">
          <cell r="E1372" t="str">
            <v>GF</v>
          </cell>
          <cell r="AV1372">
            <v>365</v>
          </cell>
          <cell r="AX1372">
            <v>141</v>
          </cell>
        </row>
        <row r="1373">
          <cell r="AV1373">
            <v>365</v>
          </cell>
          <cell r="AX1373">
            <v>366</v>
          </cell>
        </row>
        <row r="1374">
          <cell r="AV1374">
            <v>365</v>
          </cell>
          <cell r="AX1374">
            <v>264</v>
          </cell>
        </row>
        <row r="1375">
          <cell r="AV1375">
            <v>365</v>
          </cell>
          <cell r="AX1375">
            <v>317</v>
          </cell>
        </row>
        <row r="1376">
          <cell r="AV1376">
            <v>365</v>
          </cell>
          <cell r="AX1376">
            <v>317</v>
          </cell>
        </row>
        <row r="1377">
          <cell r="AV1377">
            <v>365</v>
          </cell>
          <cell r="AX1377">
            <v>317</v>
          </cell>
        </row>
        <row r="1378">
          <cell r="AV1378">
            <v>365</v>
          </cell>
          <cell r="AX1378">
            <v>317</v>
          </cell>
        </row>
        <row r="1379">
          <cell r="AV1379">
            <v>365</v>
          </cell>
          <cell r="AX1379">
            <v>317</v>
          </cell>
        </row>
        <row r="1380">
          <cell r="AV1380">
            <v>365</v>
          </cell>
          <cell r="AX1380">
            <v>317</v>
          </cell>
        </row>
        <row r="1381">
          <cell r="AV1381">
            <v>365</v>
          </cell>
          <cell r="AX1381">
            <v>317</v>
          </cell>
        </row>
        <row r="1382">
          <cell r="AV1382">
            <v>365</v>
          </cell>
          <cell r="AX1382">
            <v>317</v>
          </cell>
        </row>
        <row r="1383">
          <cell r="AV1383">
            <v>365</v>
          </cell>
          <cell r="AX1383">
            <v>366</v>
          </cell>
          <cell r="AZ1383">
            <v>0.16209999999999999</v>
          </cell>
          <cell r="BA1383">
            <v>175</v>
          </cell>
          <cell r="BB1383">
            <v>8050.929657534246</v>
          </cell>
        </row>
        <row r="1384">
          <cell r="AV1384">
            <v>365</v>
          </cell>
          <cell r="AX1384">
            <v>136</v>
          </cell>
        </row>
        <row r="1385">
          <cell r="AV1385">
            <v>365</v>
          </cell>
          <cell r="AX1385">
            <v>153</v>
          </cell>
        </row>
        <row r="1386">
          <cell r="E1386" t="str">
            <v>SF</v>
          </cell>
          <cell r="AV1386">
            <v>365</v>
          </cell>
          <cell r="AX1386">
            <v>21</v>
          </cell>
        </row>
        <row r="1387">
          <cell r="AV1387">
            <v>365</v>
          </cell>
          <cell r="AX1387">
            <v>336</v>
          </cell>
        </row>
        <row r="1388">
          <cell r="AV1388">
            <v>365</v>
          </cell>
          <cell r="AX1388">
            <v>253</v>
          </cell>
        </row>
        <row r="1389">
          <cell r="AV1389">
            <v>365</v>
          </cell>
          <cell r="AX1389">
            <v>366</v>
          </cell>
          <cell r="AZ1389">
            <v>6.3299999999999995E-2</v>
          </cell>
          <cell r="BA1389">
            <v>182</v>
          </cell>
          <cell r="BB1389">
            <v>1431.9001084931506</v>
          </cell>
        </row>
        <row r="1390">
          <cell r="AV1390">
            <v>365</v>
          </cell>
          <cell r="AX1390">
            <v>366</v>
          </cell>
          <cell r="AZ1390">
            <v>6.3299999999999995E-2</v>
          </cell>
          <cell r="BA1390">
            <v>182</v>
          </cell>
          <cell r="BB1390">
            <v>2973.9876542465754</v>
          </cell>
        </row>
        <row r="1391">
          <cell r="AV1391">
            <v>365</v>
          </cell>
          <cell r="AX1391">
            <v>366</v>
          </cell>
          <cell r="AZ1391">
            <v>6.3299999999999995E-2</v>
          </cell>
          <cell r="BA1391">
            <v>182</v>
          </cell>
          <cell r="BB1391">
            <v>556.58701479452054</v>
          </cell>
        </row>
        <row r="1392">
          <cell r="AV1392">
            <v>365</v>
          </cell>
          <cell r="AX1392">
            <v>366</v>
          </cell>
        </row>
        <row r="1393">
          <cell r="AV1393">
            <v>365</v>
          </cell>
          <cell r="AX1393">
            <v>53</v>
          </cell>
        </row>
        <row r="1394">
          <cell r="AV1394">
            <v>365</v>
          </cell>
          <cell r="AX1394">
            <v>123</v>
          </cell>
        </row>
        <row r="1395">
          <cell r="AV1395">
            <v>365</v>
          </cell>
          <cell r="AX1395">
            <v>21</v>
          </cell>
        </row>
        <row r="1396">
          <cell r="AV1396">
            <v>365</v>
          </cell>
          <cell r="AX1396">
            <v>366</v>
          </cell>
          <cell r="AZ1396">
            <v>6.3299999999999995E-2</v>
          </cell>
          <cell r="BA1396">
            <v>212</v>
          </cell>
          <cell r="BB1396">
            <v>937.53369863013688</v>
          </cell>
        </row>
        <row r="1397">
          <cell r="AV1397">
            <v>365</v>
          </cell>
          <cell r="AX1397">
            <v>366</v>
          </cell>
          <cell r="AZ1397">
            <v>6.3299999999999995E-2</v>
          </cell>
          <cell r="BA1397">
            <v>212</v>
          </cell>
          <cell r="BB1397">
            <v>937.53369863013688</v>
          </cell>
        </row>
        <row r="1398">
          <cell r="AV1398">
            <v>365</v>
          </cell>
          <cell r="AX1398">
            <v>366</v>
          </cell>
          <cell r="AZ1398">
            <v>6.3299999999999995E-2</v>
          </cell>
          <cell r="BA1398">
            <v>212</v>
          </cell>
          <cell r="BB1398">
            <v>937.53369863013688</v>
          </cell>
        </row>
        <row r="1399">
          <cell r="AV1399">
            <v>365</v>
          </cell>
          <cell r="AX1399">
            <v>366</v>
          </cell>
          <cell r="AZ1399">
            <v>6.3299999999999995E-2</v>
          </cell>
          <cell r="BA1399">
            <v>212</v>
          </cell>
          <cell r="BB1399">
            <v>937.53369863013688</v>
          </cell>
        </row>
        <row r="1400">
          <cell r="AV1400">
            <v>365</v>
          </cell>
          <cell r="AX1400">
            <v>366</v>
          </cell>
          <cell r="AZ1400">
            <v>6.3299999999999995E-2</v>
          </cell>
          <cell r="BA1400">
            <v>212</v>
          </cell>
          <cell r="BB1400">
            <v>937.53369863013688</v>
          </cell>
        </row>
        <row r="1401">
          <cell r="AV1401">
            <v>365</v>
          </cell>
          <cell r="AX1401">
            <v>366</v>
          </cell>
          <cell r="AZ1401">
            <v>6.3299999999999995E-2</v>
          </cell>
          <cell r="BA1401">
            <v>212</v>
          </cell>
          <cell r="BB1401">
            <v>1110.3340273972603</v>
          </cell>
        </row>
        <row r="1402">
          <cell r="AV1402">
            <v>365</v>
          </cell>
          <cell r="AX1402">
            <v>366</v>
          </cell>
          <cell r="AZ1402">
            <v>6.3299999999999995E-2</v>
          </cell>
          <cell r="BA1402">
            <v>365</v>
          </cell>
          <cell r="BB1402">
            <v>6203.3999999999987</v>
          </cell>
          <cell r="BC1402">
            <v>86</v>
          </cell>
        </row>
        <row r="1403">
          <cell r="AV1403">
            <v>365</v>
          </cell>
          <cell r="AX1403">
            <v>101</v>
          </cell>
        </row>
        <row r="1404">
          <cell r="E1404" t="str">
            <v>FF</v>
          </cell>
          <cell r="AV1404">
            <v>365</v>
          </cell>
          <cell r="AX1404">
            <v>284</v>
          </cell>
        </row>
        <row r="1405">
          <cell r="AV1405">
            <v>305</v>
          </cell>
        </row>
        <row r="1406">
          <cell r="AV1406">
            <v>365</v>
          </cell>
          <cell r="AX1406">
            <v>276</v>
          </cell>
        </row>
        <row r="1407">
          <cell r="AV1407">
            <v>305</v>
          </cell>
        </row>
        <row r="1408">
          <cell r="D1408" t="str">
            <v>Utilities</v>
          </cell>
          <cell r="E1408" t="str">
            <v>UTILITY</v>
          </cell>
          <cell r="AV1408">
            <v>365</v>
          </cell>
          <cell r="AX1408">
            <v>130</v>
          </cell>
        </row>
        <row r="1409">
          <cell r="AV1409">
            <v>365</v>
          </cell>
          <cell r="AX1409">
            <v>130</v>
          </cell>
        </row>
        <row r="1410">
          <cell r="AV1410">
            <v>365</v>
          </cell>
          <cell r="AX1410">
            <v>109</v>
          </cell>
        </row>
        <row r="1411">
          <cell r="AV1411">
            <v>365</v>
          </cell>
          <cell r="AX1411">
            <v>109</v>
          </cell>
        </row>
        <row r="1412">
          <cell r="AV1412">
            <v>365</v>
          </cell>
          <cell r="AX1412">
            <v>109</v>
          </cell>
        </row>
        <row r="1413">
          <cell r="E1413" t="str">
            <v>SF</v>
          </cell>
          <cell r="AV1413">
            <v>365</v>
          </cell>
          <cell r="AX1413">
            <v>317</v>
          </cell>
        </row>
        <row r="1414">
          <cell r="AV1414">
            <v>365</v>
          </cell>
          <cell r="AX1414">
            <v>214</v>
          </cell>
        </row>
        <row r="1415">
          <cell r="AV1415">
            <v>365</v>
          </cell>
          <cell r="AX1415">
            <v>69</v>
          </cell>
        </row>
        <row r="1416">
          <cell r="AV1416">
            <v>365</v>
          </cell>
          <cell r="AX1416">
            <v>88</v>
          </cell>
        </row>
        <row r="1417">
          <cell r="E1417" t="str">
            <v>TF</v>
          </cell>
          <cell r="AV1417">
            <v>365</v>
          </cell>
          <cell r="AX1417">
            <v>62</v>
          </cell>
        </row>
        <row r="1418">
          <cell r="AV1418">
            <v>365</v>
          </cell>
          <cell r="AX1418">
            <v>366</v>
          </cell>
          <cell r="AZ1418">
            <v>6.3299999999999995E-2</v>
          </cell>
          <cell r="BA1418">
            <v>213</v>
          </cell>
          <cell r="BB1418">
            <v>6133.7960136986294</v>
          </cell>
        </row>
        <row r="1419">
          <cell r="AV1419">
            <v>365</v>
          </cell>
          <cell r="AX1419">
            <v>246</v>
          </cell>
        </row>
        <row r="1420">
          <cell r="AV1420">
            <v>289</v>
          </cell>
        </row>
        <row r="1421">
          <cell r="AV1421">
            <v>365</v>
          </cell>
          <cell r="AX1421">
            <v>366</v>
          </cell>
        </row>
        <row r="1422">
          <cell r="AV1422">
            <v>365</v>
          </cell>
          <cell r="AX1422">
            <v>366</v>
          </cell>
          <cell r="AZ1422">
            <v>6.3299999999999995E-2</v>
          </cell>
          <cell r="BA1422">
            <v>339</v>
          </cell>
          <cell r="BB1422">
            <v>5349.9772602739722</v>
          </cell>
        </row>
        <row r="1423">
          <cell r="AV1423">
            <v>365</v>
          </cell>
          <cell r="AX1423">
            <v>183</v>
          </cell>
        </row>
        <row r="1424">
          <cell r="AV1424">
            <v>365</v>
          </cell>
          <cell r="AX1424">
            <v>74</v>
          </cell>
        </row>
        <row r="1425">
          <cell r="AV1425">
            <v>365</v>
          </cell>
          <cell r="AX1425">
            <v>74</v>
          </cell>
        </row>
        <row r="1426">
          <cell r="AV1426">
            <v>365</v>
          </cell>
          <cell r="AX1426">
            <v>74</v>
          </cell>
        </row>
        <row r="1427">
          <cell r="AV1427">
            <v>365</v>
          </cell>
          <cell r="AX1427">
            <v>74</v>
          </cell>
        </row>
        <row r="1428">
          <cell r="AV1428">
            <v>365</v>
          </cell>
          <cell r="AX1428">
            <v>74</v>
          </cell>
        </row>
        <row r="1429">
          <cell r="AV1429">
            <v>365</v>
          </cell>
          <cell r="AX1429">
            <v>74</v>
          </cell>
        </row>
        <row r="1430">
          <cell r="AV1430">
            <v>365</v>
          </cell>
          <cell r="AX1430">
            <v>26</v>
          </cell>
        </row>
        <row r="1431">
          <cell r="AV1431">
            <v>365</v>
          </cell>
          <cell r="AX1431">
            <v>117</v>
          </cell>
        </row>
        <row r="1432">
          <cell r="AV1432">
            <v>365</v>
          </cell>
          <cell r="AX1432">
            <v>130</v>
          </cell>
        </row>
        <row r="1433">
          <cell r="F1433" t="str">
            <v>Zone-6</v>
          </cell>
          <cell r="AV1433">
            <v>305</v>
          </cell>
        </row>
        <row r="1434">
          <cell r="AV1434">
            <v>365</v>
          </cell>
          <cell r="AX1434">
            <v>101</v>
          </cell>
        </row>
        <row r="1435">
          <cell r="E1435" t="str">
            <v>Water Tank</v>
          </cell>
          <cell r="AV1435">
            <v>365</v>
          </cell>
          <cell r="AX1435">
            <v>24</v>
          </cell>
        </row>
        <row r="1436">
          <cell r="AV1436">
            <v>365</v>
          </cell>
          <cell r="AX1436">
            <v>366</v>
          </cell>
          <cell r="AZ1436">
            <v>0.16209999999999999</v>
          </cell>
          <cell r="BA1436">
            <v>187</v>
          </cell>
          <cell r="BB1436">
            <v>8073.5592616438353</v>
          </cell>
        </row>
        <row r="1437">
          <cell r="D1437" t="str">
            <v>GC-IB</v>
          </cell>
          <cell r="E1437" t="str">
            <v>Intermediate</v>
          </cell>
          <cell r="AV1437">
            <v>305</v>
          </cell>
        </row>
        <row r="1438">
          <cell r="D1438" t="str">
            <v>Intermediate</v>
          </cell>
          <cell r="AV1438">
            <v>289</v>
          </cell>
        </row>
        <row r="1439">
          <cell r="D1439" t="str">
            <v>Intermediate</v>
          </cell>
          <cell r="AV1439">
            <v>289</v>
          </cell>
        </row>
        <row r="1440">
          <cell r="D1440" t="str">
            <v>Intermediate</v>
          </cell>
          <cell r="AV1440">
            <v>289</v>
          </cell>
        </row>
        <row r="1441">
          <cell r="AV1441">
            <v>305</v>
          </cell>
        </row>
        <row r="1442">
          <cell r="AV1442">
            <v>305</v>
          </cell>
        </row>
        <row r="1443">
          <cell r="AV1443">
            <v>305</v>
          </cell>
        </row>
        <row r="1444">
          <cell r="AV1444">
            <v>305</v>
          </cell>
        </row>
        <row r="1445">
          <cell r="AV1445">
            <v>289</v>
          </cell>
        </row>
        <row r="1446">
          <cell r="AX1446">
            <v>23</v>
          </cell>
        </row>
        <row r="1447">
          <cell r="AV1447">
            <v>365</v>
          </cell>
          <cell r="AX1447">
            <v>366</v>
          </cell>
          <cell r="AZ1447">
            <v>6.3299999999999995E-2</v>
          </cell>
          <cell r="BA1447">
            <v>219</v>
          </cell>
          <cell r="BB1447">
            <v>817.50525749999997</v>
          </cell>
        </row>
        <row r="1448">
          <cell r="AV1448">
            <v>365</v>
          </cell>
          <cell r="AX1448">
            <v>366</v>
          </cell>
          <cell r="AZ1448">
            <v>6.3299999999999995E-2</v>
          </cell>
          <cell r="BA1448">
            <v>219</v>
          </cell>
          <cell r="BB1448">
            <v>3978.1391399999998</v>
          </cell>
        </row>
        <row r="1449">
          <cell r="AV1449">
            <v>365</v>
          </cell>
          <cell r="AX1449">
            <v>366</v>
          </cell>
          <cell r="AZ1449">
            <v>6.3299999999999995E-2</v>
          </cell>
          <cell r="BA1449">
            <v>219</v>
          </cell>
          <cell r="BB1449">
            <v>2013.5334375</v>
          </cell>
        </row>
        <row r="1450">
          <cell r="AV1450">
            <v>244</v>
          </cell>
        </row>
        <row r="1451">
          <cell r="AV1451">
            <v>365</v>
          </cell>
          <cell r="AX1451">
            <v>366</v>
          </cell>
          <cell r="AZ1451">
            <v>6.3299999999999995E-2</v>
          </cell>
          <cell r="BA1451">
            <v>1</v>
          </cell>
          <cell r="BB1451">
            <v>38.045034246575341</v>
          </cell>
        </row>
        <row r="1452">
          <cell r="E1452" t="str">
            <v>SF</v>
          </cell>
          <cell r="AV1452">
            <v>365</v>
          </cell>
          <cell r="AX1452">
            <v>1</v>
          </cell>
        </row>
        <row r="1453">
          <cell r="E1453" t="str">
            <v>SF</v>
          </cell>
          <cell r="AV1453">
            <v>365</v>
          </cell>
          <cell r="AX1453">
            <v>1</v>
          </cell>
        </row>
        <row r="1454">
          <cell r="E1454" t="str">
            <v>SF</v>
          </cell>
          <cell r="AV1454">
            <v>365</v>
          </cell>
          <cell r="AX1454">
            <v>1</v>
          </cell>
        </row>
        <row r="1455">
          <cell r="E1455" t="str">
            <v>SF</v>
          </cell>
          <cell r="AV1455">
            <v>365</v>
          </cell>
          <cell r="AX1455">
            <v>1</v>
          </cell>
        </row>
        <row r="1456">
          <cell r="E1456" t="str">
            <v>SF</v>
          </cell>
          <cell r="AV1456">
            <v>365</v>
          </cell>
          <cell r="AX1456">
            <v>1</v>
          </cell>
        </row>
        <row r="1457">
          <cell r="E1457" t="str">
            <v>SF</v>
          </cell>
          <cell r="AV1457">
            <v>365</v>
          </cell>
          <cell r="AX1457">
            <v>1</v>
          </cell>
        </row>
        <row r="1458">
          <cell r="E1458" t="str">
            <v>SF</v>
          </cell>
          <cell r="AV1458">
            <v>365</v>
          </cell>
          <cell r="AX1458">
            <v>1</v>
          </cell>
        </row>
        <row r="1459">
          <cell r="AV1459">
            <v>365</v>
          </cell>
          <cell r="AX1459">
            <v>33</v>
          </cell>
        </row>
        <row r="1460">
          <cell r="AV1460">
            <v>365</v>
          </cell>
          <cell r="AX1460">
            <v>33</v>
          </cell>
        </row>
        <row r="1461">
          <cell r="AV1461">
            <v>365</v>
          </cell>
          <cell r="AX1461">
            <v>336</v>
          </cell>
        </row>
        <row r="1462">
          <cell r="AV1462">
            <v>365</v>
          </cell>
          <cell r="AX1462">
            <v>366</v>
          </cell>
        </row>
        <row r="1463">
          <cell r="AV1463">
            <v>335</v>
          </cell>
        </row>
        <row r="1464">
          <cell r="AV1464">
            <v>365</v>
          </cell>
          <cell r="AX1464">
            <v>267</v>
          </cell>
        </row>
        <row r="1465">
          <cell r="AV1465">
            <v>365</v>
          </cell>
          <cell r="AX1465">
            <v>267</v>
          </cell>
        </row>
        <row r="1466">
          <cell r="AV1466">
            <v>365</v>
          </cell>
          <cell r="AX1466">
            <v>267</v>
          </cell>
        </row>
        <row r="1467">
          <cell r="AV1467">
            <v>365</v>
          </cell>
          <cell r="AX1467">
            <v>267</v>
          </cell>
        </row>
        <row r="1468">
          <cell r="AV1468">
            <v>365</v>
          </cell>
          <cell r="AX1468">
            <v>267</v>
          </cell>
        </row>
        <row r="1469">
          <cell r="AV1469">
            <v>365</v>
          </cell>
          <cell r="AX1469">
            <v>267</v>
          </cell>
        </row>
        <row r="1470">
          <cell r="AV1470">
            <v>365</v>
          </cell>
          <cell r="AX1470">
            <v>267</v>
          </cell>
        </row>
        <row r="1471">
          <cell r="AV1471">
            <v>365</v>
          </cell>
          <cell r="AX1471">
            <v>267</v>
          </cell>
        </row>
        <row r="1472">
          <cell r="AV1472">
            <v>365</v>
          </cell>
          <cell r="AX1472">
            <v>366</v>
          </cell>
          <cell r="AZ1472">
            <v>6.3299999999999995E-2</v>
          </cell>
          <cell r="BA1472">
            <v>365</v>
          </cell>
          <cell r="BB1472">
            <v>4969.0499999999993</v>
          </cell>
          <cell r="BC1472">
            <v>85</v>
          </cell>
        </row>
        <row r="1473">
          <cell r="E1473" t="str">
            <v>GF</v>
          </cell>
          <cell r="AV1473">
            <v>365</v>
          </cell>
          <cell r="AX1473">
            <v>225</v>
          </cell>
        </row>
        <row r="1474">
          <cell r="AV1474">
            <v>365</v>
          </cell>
          <cell r="AX1474">
            <v>274</v>
          </cell>
        </row>
        <row r="1475">
          <cell r="AV1475">
            <v>365</v>
          </cell>
          <cell r="AX1475">
            <v>274</v>
          </cell>
        </row>
        <row r="1476">
          <cell r="AV1476">
            <v>365</v>
          </cell>
          <cell r="AX1476">
            <v>274</v>
          </cell>
        </row>
        <row r="1477">
          <cell r="AV1477">
            <v>335</v>
          </cell>
        </row>
        <row r="1478">
          <cell r="AV1478">
            <v>335</v>
          </cell>
        </row>
        <row r="1479">
          <cell r="E1479" t="str">
            <v>FF</v>
          </cell>
          <cell r="AV1479">
            <v>365</v>
          </cell>
          <cell r="AX1479">
            <v>130</v>
          </cell>
        </row>
        <row r="1480">
          <cell r="E1480" t="str">
            <v>FF</v>
          </cell>
          <cell r="AV1480">
            <v>365</v>
          </cell>
          <cell r="AX1480">
            <v>130</v>
          </cell>
        </row>
        <row r="1481">
          <cell r="AV1481">
            <v>365</v>
          </cell>
          <cell r="AX1481">
            <v>103</v>
          </cell>
        </row>
        <row r="1482">
          <cell r="E1482" t="str">
            <v>SF</v>
          </cell>
          <cell r="AV1482">
            <v>365</v>
          </cell>
          <cell r="AX1482">
            <v>21</v>
          </cell>
        </row>
        <row r="1483">
          <cell r="AV1483">
            <v>365</v>
          </cell>
          <cell r="AX1483">
            <v>103</v>
          </cell>
        </row>
        <row r="1484">
          <cell r="AV1484">
            <v>365</v>
          </cell>
          <cell r="AX1484">
            <v>103</v>
          </cell>
        </row>
        <row r="1485">
          <cell r="AV1485">
            <v>365</v>
          </cell>
          <cell r="AX1485">
            <v>103</v>
          </cell>
        </row>
        <row r="1486">
          <cell r="E1486" t="str">
            <v>GF</v>
          </cell>
          <cell r="AV1486">
            <v>365</v>
          </cell>
          <cell r="AX1486">
            <v>130</v>
          </cell>
        </row>
        <row r="1487">
          <cell r="AV1487">
            <v>335</v>
          </cell>
        </row>
        <row r="1488">
          <cell r="AV1488">
            <v>335</v>
          </cell>
        </row>
        <row r="1489">
          <cell r="AV1489">
            <v>335</v>
          </cell>
        </row>
        <row r="1490">
          <cell r="AV1490">
            <v>335</v>
          </cell>
        </row>
        <row r="1491">
          <cell r="E1491" t="str">
            <v>GF</v>
          </cell>
          <cell r="AV1491">
            <v>365</v>
          </cell>
          <cell r="AX1491">
            <v>130</v>
          </cell>
        </row>
        <row r="1492">
          <cell r="AV1492">
            <v>365</v>
          </cell>
          <cell r="AX1492">
            <v>62</v>
          </cell>
        </row>
        <row r="1493">
          <cell r="AV1493">
            <v>365</v>
          </cell>
          <cell r="AX1493">
            <v>213</v>
          </cell>
        </row>
        <row r="1494">
          <cell r="AV1494">
            <v>365</v>
          </cell>
          <cell r="AX1494">
            <v>69</v>
          </cell>
        </row>
        <row r="1495">
          <cell r="AV1495">
            <v>365</v>
          </cell>
          <cell r="AX1495">
            <v>126</v>
          </cell>
        </row>
        <row r="1496">
          <cell r="AV1496">
            <v>365</v>
          </cell>
          <cell r="AX1496">
            <v>280</v>
          </cell>
        </row>
        <row r="1497">
          <cell r="AV1497">
            <v>305</v>
          </cell>
        </row>
        <row r="1498">
          <cell r="AV1498">
            <v>305</v>
          </cell>
        </row>
        <row r="1499">
          <cell r="AV1499">
            <v>305</v>
          </cell>
        </row>
        <row r="1500">
          <cell r="AV1500">
            <v>365</v>
          </cell>
          <cell r="AX1500">
            <v>184</v>
          </cell>
        </row>
        <row r="1501">
          <cell r="AV1501">
            <v>365</v>
          </cell>
          <cell r="AX1501">
            <v>1</v>
          </cell>
        </row>
        <row r="1502">
          <cell r="AV1502">
            <v>365</v>
          </cell>
          <cell r="AX1502">
            <v>1</v>
          </cell>
        </row>
        <row r="1503">
          <cell r="AV1503">
            <v>365</v>
          </cell>
          <cell r="AX1503">
            <v>1</v>
          </cell>
        </row>
        <row r="1504">
          <cell r="AV1504">
            <v>365</v>
          </cell>
          <cell r="AX1504">
            <v>1</v>
          </cell>
        </row>
        <row r="1505">
          <cell r="AV1505">
            <v>365</v>
          </cell>
          <cell r="AX1505">
            <v>1</v>
          </cell>
        </row>
        <row r="1506">
          <cell r="AV1506">
            <v>365</v>
          </cell>
          <cell r="AX1506">
            <v>1</v>
          </cell>
        </row>
        <row r="1507">
          <cell r="AV1507">
            <v>365</v>
          </cell>
          <cell r="AX1507">
            <v>1</v>
          </cell>
        </row>
        <row r="1508">
          <cell r="AV1508">
            <v>365</v>
          </cell>
          <cell r="AX1508">
            <v>1</v>
          </cell>
        </row>
        <row r="1509">
          <cell r="AV1509">
            <v>365</v>
          </cell>
          <cell r="AX1509">
            <v>1</v>
          </cell>
        </row>
        <row r="1510">
          <cell r="AV1510">
            <v>365</v>
          </cell>
          <cell r="AX1510">
            <v>1</v>
          </cell>
        </row>
        <row r="1511">
          <cell r="AV1511">
            <v>365</v>
          </cell>
          <cell r="AX1511">
            <v>1</v>
          </cell>
        </row>
        <row r="1512">
          <cell r="AV1512">
            <v>365</v>
          </cell>
          <cell r="AX1512">
            <v>1</v>
          </cell>
        </row>
        <row r="1513">
          <cell r="AV1513">
            <v>365</v>
          </cell>
          <cell r="AX1513">
            <v>366</v>
          </cell>
          <cell r="AZ1513">
            <v>6.3299999999999995E-2</v>
          </cell>
          <cell r="BA1513">
            <v>162</v>
          </cell>
          <cell r="BB1513">
            <v>5689.1958904109579</v>
          </cell>
        </row>
        <row r="1514">
          <cell r="AV1514">
            <v>365</v>
          </cell>
          <cell r="AX1514">
            <v>366</v>
          </cell>
          <cell r="AZ1514">
            <v>0.16209999999999999</v>
          </cell>
          <cell r="BA1514">
            <v>54</v>
          </cell>
          <cell r="BB1514">
            <v>1378.9602739726029</v>
          </cell>
        </row>
        <row r="1515">
          <cell r="AV1515">
            <v>365</v>
          </cell>
          <cell r="AX1515">
            <v>366</v>
          </cell>
          <cell r="AZ1515">
            <v>0.16209999999999999</v>
          </cell>
          <cell r="BA1515">
            <v>54</v>
          </cell>
          <cell r="BB1515">
            <v>1378.9602739726029</v>
          </cell>
        </row>
        <row r="1516">
          <cell r="AV1516">
            <v>365</v>
          </cell>
          <cell r="AX1516">
            <v>33</v>
          </cell>
        </row>
        <row r="1517">
          <cell r="AV1517">
            <v>365</v>
          </cell>
          <cell r="AX1517">
            <v>33</v>
          </cell>
        </row>
        <row r="1518">
          <cell r="E1518" t="str">
            <v>FF</v>
          </cell>
          <cell r="F1518" t="str">
            <v>Intermediate</v>
          </cell>
          <cell r="AV1518">
            <v>305</v>
          </cell>
        </row>
        <row r="1519">
          <cell r="E1519" t="str">
            <v>FF</v>
          </cell>
          <cell r="F1519" t="str">
            <v>Intermediate</v>
          </cell>
          <cell r="AV1519">
            <v>305</v>
          </cell>
        </row>
        <row r="1520">
          <cell r="E1520" t="str">
            <v>GF</v>
          </cell>
          <cell r="F1520" t="str">
            <v>SUITE III (ONCOLOGY)</v>
          </cell>
          <cell r="AV1520">
            <v>305</v>
          </cell>
        </row>
        <row r="1521">
          <cell r="AV1521">
            <v>305</v>
          </cell>
        </row>
        <row r="1522">
          <cell r="AV1522">
            <v>365</v>
          </cell>
          <cell r="AX1522">
            <v>24</v>
          </cell>
        </row>
        <row r="1523">
          <cell r="AV1523">
            <v>365</v>
          </cell>
          <cell r="AX1523">
            <v>336</v>
          </cell>
        </row>
        <row r="1524">
          <cell r="E1524" t="str">
            <v>SF</v>
          </cell>
          <cell r="AV1524">
            <v>365</v>
          </cell>
          <cell r="AX1524">
            <v>21</v>
          </cell>
        </row>
        <row r="1525">
          <cell r="E1525" t="str">
            <v>SF</v>
          </cell>
          <cell r="AV1525">
            <v>365</v>
          </cell>
          <cell r="AX1525">
            <v>21</v>
          </cell>
        </row>
        <row r="1526">
          <cell r="E1526" t="str">
            <v>SF</v>
          </cell>
          <cell r="AV1526">
            <v>365</v>
          </cell>
          <cell r="AX1526">
            <v>21</v>
          </cell>
        </row>
        <row r="1527">
          <cell r="E1527" t="str">
            <v>SF</v>
          </cell>
          <cell r="AV1527">
            <v>365</v>
          </cell>
          <cell r="AX1527">
            <v>21</v>
          </cell>
        </row>
        <row r="1528">
          <cell r="AV1528">
            <v>365</v>
          </cell>
          <cell r="AX1528">
            <v>366</v>
          </cell>
          <cell r="AZ1528">
            <v>6.3299999999999995E-2</v>
          </cell>
          <cell r="BA1528">
            <v>212</v>
          </cell>
          <cell r="BB1528">
            <v>7238.3116438356155</v>
          </cell>
        </row>
        <row r="1529">
          <cell r="AV1529">
            <v>365</v>
          </cell>
          <cell r="AX1529">
            <v>69</v>
          </cell>
        </row>
        <row r="1530">
          <cell r="AV1530">
            <v>198</v>
          </cell>
        </row>
        <row r="1531">
          <cell r="AV1531">
            <v>365</v>
          </cell>
          <cell r="AX1531">
            <v>123</v>
          </cell>
        </row>
        <row r="1532">
          <cell r="AV1532">
            <v>365</v>
          </cell>
          <cell r="AX1532">
            <v>123</v>
          </cell>
        </row>
        <row r="1533">
          <cell r="AV1533">
            <v>365</v>
          </cell>
          <cell r="AX1533">
            <v>123</v>
          </cell>
        </row>
        <row r="1534">
          <cell r="AV1534">
            <v>365</v>
          </cell>
          <cell r="AX1534">
            <v>123</v>
          </cell>
        </row>
        <row r="1535">
          <cell r="AV1535">
            <v>365</v>
          </cell>
          <cell r="AX1535">
            <v>33</v>
          </cell>
        </row>
        <row r="1536">
          <cell r="AV1536">
            <v>365</v>
          </cell>
          <cell r="AX1536">
            <v>366</v>
          </cell>
          <cell r="AZ1536">
            <v>0.16209999999999999</v>
          </cell>
          <cell r="BA1536">
            <v>289</v>
          </cell>
          <cell r="BB1536">
            <v>6054.8578633863008</v>
          </cell>
        </row>
        <row r="1537">
          <cell r="AV1537">
            <v>365</v>
          </cell>
          <cell r="AX1537">
            <v>366</v>
          </cell>
          <cell r="AZ1537">
            <v>0.16209999999999999</v>
          </cell>
          <cell r="BA1537">
            <v>289</v>
          </cell>
          <cell r="BB1537">
            <v>7447.3376859397267</v>
          </cell>
        </row>
        <row r="1538">
          <cell r="AV1538">
            <v>365</v>
          </cell>
          <cell r="AX1538">
            <v>33</v>
          </cell>
        </row>
        <row r="1539">
          <cell r="AV1539">
            <v>365</v>
          </cell>
          <cell r="AX1539">
            <v>33</v>
          </cell>
        </row>
        <row r="1540">
          <cell r="E1540" t="str">
            <v>GF</v>
          </cell>
          <cell r="AV1540">
            <v>365</v>
          </cell>
          <cell r="AX1540">
            <v>130</v>
          </cell>
        </row>
        <row r="1541">
          <cell r="AV1541">
            <v>365</v>
          </cell>
          <cell r="AX1541">
            <v>1</v>
          </cell>
        </row>
        <row r="1542">
          <cell r="AV1542">
            <v>305</v>
          </cell>
        </row>
        <row r="1543">
          <cell r="AV1543">
            <v>365</v>
          </cell>
          <cell r="AX1543">
            <v>276</v>
          </cell>
        </row>
        <row r="1544">
          <cell r="AV1544">
            <v>365</v>
          </cell>
          <cell r="AX1544">
            <v>130</v>
          </cell>
        </row>
        <row r="1545">
          <cell r="AV1545">
            <v>365</v>
          </cell>
          <cell r="AX1545">
            <v>130</v>
          </cell>
        </row>
        <row r="1546">
          <cell r="AV1546">
            <v>365</v>
          </cell>
          <cell r="AX1546">
            <v>218</v>
          </cell>
        </row>
        <row r="1547">
          <cell r="AV1547">
            <v>335</v>
          </cell>
        </row>
        <row r="1548">
          <cell r="AV1548">
            <v>335</v>
          </cell>
        </row>
        <row r="1549">
          <cell r="AV1549">
            <v>335</v>
          </cell>
        </row>
        <row r="1550">
          <cell r="AV1550">
            <v>335</v>
          </cell>
        </row>
        <row r="1551">
          <cell r="AV1551">
            <v>335</v>
          </cell>
        </row>
        <row r="1552">
          <cell r="AV1552">
            <v>335</v>
          </cell>
        </row>
        <row r="1553">
          <cell r="E1553" t="str">
            <v>GF</v>
          </cell>
          <cell r="AV1553">
            <v>365</v>
          </cell>
          <cell r="AX1553">
            <v>130</v>
          </cell>
        </row>
        <row r="1554">
          <cell r="AV1554">
            <v>365</v>
          </cell>
          <cell r="AX1554">
            <v>183</v>
          </cell>
        </row>
        <row r="1555">
          <cell r="AV1555">
            <v>365</v>
          </cell>
          <cell r="AX1555">
            <v>183</v>
          </cell>
        </row>
        <row r="1556">
          <cell r="AV1556">
            <v>365</v>
          </cell>
          <cell r="AX1556">
            <v>336</v>
          </cell>
        </row>
        <row r="1557">
          <cell r="AV1557">
            <v>365</v>
          </cell>
          <cell r="AX1557">
            <v>366</v>
          </cell>
        </row>
        <row r="1558">
          <cell r="AV1558">
            <v>365</v>
          </cell>
          <cell r="AX1558">
            <v>88</v>
          </cell>
        </row>
        <row r="1559">
          <cell r="AV1559">
            <v>365</v>
          </cell>
          <cell r="AX1559">
            <v>88</v>
          </cell>
        </row>
        <row r="1560">
          <cell r="AV1560">
            <v>365</v>
          </cell>
          <cell r="AX1560">
            <v>88</v>
          </cell>
        </row>
        <row r="1561">
          <cell r="AV1561">
            <v>365</v>
          </cell>
          <cell r="AX1561">
            <v>88</v>
          </cell>
        </row>
        <row r="1562">
          <cell r="AV1562">
            <v>365</v>
          </cell>
          <cell r="AX1562">
            <v>88</v>
          </cell>
        </row>
        <row r="1563">
          <cell r="AV1563">
            <v>365</v>
          </cell>
          <cell r="AX1563">
            <v>88</v>
          </cell>
        </row>
        <row r="1564">
          <cell r="AV1564">
            <v>365</v>
          </cell>
          <cell r="AX1564">
            <v>88</v>
          </cell>
        </row>
        <row r="1565">
          <cell r="AV1565">
            <v>365</v>
          </cell>
          <cell r="AX1565">
            <v>88</v>
          </cell>
        </row>
        <row r="1566">
          <cell r="AV1566">
            <v>365</v>
          </cell>
          <cell r="AX1566">
            <v>1</v>
          </cell>
        </row>
        <row r="1567">
          <cell r="AV1567">
            <v>365</v>
          </cell>
          <cell r="AX1567">
            <v>1</v>
          </cell>
        </row>
        <row r="1568">
          <cell r="AV1568">
            <v>365</v>
          </cell>
          <cell r="AX1568">
            <v>1</v>
          </cell>
        </row>
        <row r="1569">
          <cell r="AV1569">
            <v>365</v>
          </cell>
          <cell r="AX1569">
            <v>276</v>
          </cell>
        </row>
        <row r="1570">
          <cell r="AV1570">
            <v>365</v>
          </cell>
          <cell r="AX1570">
            <v>276</v>
          </cell>
        </row>
        <row r="1571">
          <cell r="AV1571">
            <v>365</v>
          </cell>
          <cell r="AX1571">
            <v>276</v>
          </cell>
        </row>
        <row r="1572">
          <cell r="E1572" t="str">
            <v>GF</v>
          </cell>
          <cell r="AV1572">
            <v>365</v>
          </cell>
          <cell r="AX1572">
            <v>312</v>
          </cell>
        </row>
        <row r="1573">
          <cell r="AV1573">
            <v>365</v>
          </cell>
          <cell r="AX1573">
            <v>130</v>
          </cell>
        </row>
        <row r="1574">
          <cell r="AV1574">
            <v>365</v>
          </cell>
          <cell r="AX1574">
            <v>130</v>
          </cell>
        </row>
        <row r="1575">
          <cell r="AV1575">
            <v>365</v>
          </cell>
          <cell r="AX1575">
            <v>366</v>
          </cell>
        </row>
        <row r="1576">
          <cell r="AV1576">
            <v>365</v>
          </cell>
          <cell r="AX1576">
            <v>366</v>
          </cell>
        </row>
        <row r="1577">
          <cell r="AV1577">
            <v>365</v>
          </cell>
          <cell r="AX1577">
            <v>366</v>
          </cell>
          <cell r="AZ1577">
            <v>0.16209999999999999</v>
          </cell>
          <cell r="BA1577">
            <v>206</v>
          </cell>
          <cell r="BB1577">
            <v>5954.8611890410957</v>
          </cell>
        </row>
        <row r="1578">
          <cell r="AV1578">
            <v>289</v>
          </cell>
        </row>
        <row r="1579">
          <cell r="AV1579">
            <v>365</v>
          </cell>
          <cell r="AX1579">
            <v>130</v>
          </cell>
        </row>
        <row r="1580">
          <cell r="AV1580">
            <v>365</v>
          </cell>
          <cell r="AX1580">
            <v>130</v>
          </cell>
        </row>
        <row r="1581">
          <cell r="AV1581">
            <v>365</v>
          </cell>
          <cell r="AX1581">
            <v>130</v>
          </cell>
        </row>
        <row r="1582">
          <cell r="AV1582">
            <v>365</v>
          </cell>
          <cell r="AX1582">
            <v>366</v>
          </cell>
          <cell r="AZ1582">
            <v>0.16209999999999999</v>
          </cell>
          <cell r="BA1582">
            <v>269</v>
          </cell>
          <cell r="BB1582">
            <v>7705.5234246575337</v>
          </cell>
        </row>
        <row r="1583">
          <cell r="AV1583">
            <v>365</v>
          </cell>
          <cell r="AX1583">
            <v>130</v>
          </cell>
        </row>
        <row r="1584">
          <cell r="AX1584">
            <v>366</v>
          </cell>
          <cell r="AZ1584">
            <v>0.16209999999999999</v>
          </cell>
          <cell r="BA1584">
            <v>365</v>
          </cell>
          <cell r="BB1584">
            <v>10374.4</v>
          </cell>
          <cell r="BC1584">
            <v>77</v>
          </cell>
        </row>
        <row r="1585">
          <cell r="E1585" t="str">
            <v>Mezzanine</v>
          </cell>
          <cell r="F1585" t="str">
            <v>Intermediate</v>
          </cell>
          <cell r="AV1585">
            <v>365</v>
          </cell>
          <cell r="AX1585">
            <v>129</v>
          </cell>
        </row>
        <row r="1586">
          <cell r="AV1586">
            <v>365</v>
          </cell>
          <cell r="AX1586">
            <v>366</v>
          </cell>
        </row>
        <row r="1587">
          <cell r="AV1587">
            <v>365</v>
          </cell>
          <cell r="AX1587">
            <v>50</v>
          </cell>
        </row>
        <row r="1588">
          <cell r="AV1588">
            <v>365</v>
          </cell>
          <cell r="AX1588">
            <v>50</v>
          </cell>
        </row>
        <row r="1589">
          <cell r="E1589" t="str">
            <v>SF</v>
          </cell>
          <cell r="F1589" t="str">
            <v>GC</v>
          </cell>
          <cell r="AV1589">
            <v>365</v>
          </cell>
          <cell r="AX1589">
            <v>62</v>
          </cell>
        </row>
        <row r="1590">
          <cell r="AV1590">
            <v>289</v>
          </cell>
        </row>
        <row r="1591">
          <cell r="AV1591">
            <v>365</v>
          </cell>
          <cell r="AX1591">
            <v>366</v>
          </cell>
        </row>
        <row r="1592">
          <cell r="AV1592">
            <v>365</v>
          </cell>
          <cell r="AX1592">
            <v>123</v>
          </cell>
        </row>
        <row r="1593">
          <cell r="AV1593">
            <v>198</v>
          </cell>
        </row>
        <row r="1594">
          <cell r="AV1594">
            <v>198</v>
          </cell>
        </row>
        <row r="1595">
          <cell r="AV1595">
            <v>198</v>
          </cell>
        </row>
        <row r="1596">
          <cell r="AV1596">
            <v>198</v>
          </cell>
        </row>
        <row r="1597">
          <cell r="AV1597">
            <v>198</v>
          </cell>
        </row>
        <row r="1598">
          <cell r="AV1598">
            <v>198</v>
          </cell>
        </row>
        <row r="1599">
          <cell r="AV1599">
            <v>198</v>
          </cell>
        </row>
        <row r="1600">
          <cell r="AV1600">
            <v>198</v>
          </cell>
        </row>
        <row r="1601">
          <cell r="AV1601">
            <v>198</v>
          </cell>
        </row>
        <row r="1602">
          <cell r="AV1602">
            <v>305</v>
          </cell>
        </row>
        <row r="1603">
          <cell r="AV1603">
            <v>305</v>
          </cell>
        </row>
        <row r="1604">
          <cell r="AV1604">
            <v>305</v>
          </cell>
        </row>
        <row r="1605">
          <cell r="AV1605">
            <v>365</v>
          </cell>
          <cell r="AX1605">
            <v>306</v>
          </cell>
        </row>
        <row r="1606">
          <cell r="AV1606">
            <v>365</v>
          </cell>
          <cell r="AX1606">
            <v>33</v>
          </cell>
        </row>
        <row r="1607">
          <cell r="AV1607">
            <v>365</v>
          </cell>
          <cell r="AX1607">
            <v>33</v>
          </cell>
        </row>
        <row r="1608">
          <cell r="AV1608">
            <v>365</v>
          </cell>
          <cell r="AX1608">
            <v>33</v>
          </cell>
        </row>
        <row r="1609">
          <cell r="AV1609">
            <v>365</v>
          </cell>
          <cell r="AX1609">
            <v>33</v>
          </cell>
        </row>
        <row r="1610">
          <cell r="AV1610">
            <v>365</v>
          </cell>
          <cell r="AX1610">
            <v>103</v>
          </cell>
        </row>
        <row r="1611">
          <cell r="AV1611">
            <v>365</v>
          </cell>
          <cell r="AX1611">
            <v>366</v>
          </cell>
        </row>
        <row r="1612">
          <cell r="AV1612">
            <v>365</v>
          </cell>
          <cell r="AX1612">
            <v>33</v>
          </cell>
        </row>
        <row r="1613">
          <cell r="E1613" t="str">
            <v>SF</v>
          </cell>
          <cell r="F1613" t="str">
            <v>GC</v>
          </cell>
          <cell r="AV1613">
            <v>365</v>
          </cell>
          <cell r="AX1613">
            <v>62</v>
          </cell>
        </row>
        <row r="1614">
          <cell r="AV1614">
            <v>365</v>
          </cell>
          <cell r="AX1614">
            <v>366</v>
          </cell>
          <cell r="AZ1614">
            <v>6.3299999999999995E-2</v>
          </cell>
          <cell r="BA1614">
            <v>30</v>
          </cell>
          <cell r="BB1614">
            <v>1442.6156712328766</v>
          </cell>
        </row>
        <row r="1615">
          <cell r="AV1615">
            <v>365</v>
          </cell>
          <cell r="AX1615">
            <v>366</v>
          </cell>
        </row>
        <row r="1616">
          <cell r="AV1616">
            <v>365</v>
          </cell>
          <cell r="AX1616">
            <v>366</v>
          </cell>
          <cell r="AZ1616">
            <v>6.3299999999999995E-2</v>
          </cell>
          <cell r="BA1616">
            <v>78</v>
          </cell>
          <cell r="BB1616">
            <v>3596.1451446575343</v>
          </cell>
        </row>
        <row r="1617">
          <cell r="AV1617">
            <v>365</v>
          </cell>
          <cell r="AX1617">
            <v>336</v>
          </cell>
        </row>
        <row r="1618">
          <cell r="AV1618">
            <v>365</v>
          </cell>
          <cell r="AX1618">
            <v>336</v>
          </cell>
        </row>
        <row r="1619">
          <cell r="AV1619">
            <v>365</v>
          </cell>
          <cell r="AX1619">
            <v>336</v>
          </cell>
        </row>
        <row r="1620">
          <cell r="E1620" t="str">
            <v>SF</v>
          </cell>
          <cell r="AV1620">
            <v>365</v>
          </cell>
          <cell r="AX1620">
            <v>21</v>
          </cell>
        </row>
        <row r="1621">
          <cell r="E1621" t="str">
            <v>SF</v>
          </cell>
          <cell r="AV1621">
            <v>365</v>
          </cell>
          <cell r="AX1621">
            <v>21</v>
          </cell>
        </row>
        <row r="1622">
          <cell r="E1622" t="str">
            <v>SF</v>
          </cell>
          <cell r="AV1622">
            <v>365</v>
          </cell>
          <cell r="AX1622">
            <v>21</v>
          </cell>
        </row>
        <row r="1623">
          <cell r="E1623" t="str">
            <v>SF</v>
          </cell>
          <cell r="AV1623">
            <v>365</v>
          </cell>
          <cell r="AX1623">
            <v>21</v>
          </cell>
        </row>
        <row r="1624">
          <cell r="E1624" t="str">
            <v>SF</v>
          </cell>
          <cell r="AV1624">
            <v>365</v>
          </cell>
          <cell r="AX1624">
            <v>21</v>
          </cell>
        </row>
        <row r="1625">
          <cell r="E1625" t="str">
            <v>SF</v>
          </cell>
          <cell r="AV1625">
            <v>365</v>
          </cell>
          <cell r="AX1625">
            <v>21</v>
          </cell>
        </row>
        <row r="1626">
          <cell r="E1626" t="str">
            <v>SF</v>
          </cell>
          <cell r="AV1626">
            <v>365</v>
          </cell>
          <cell r="AX1626">
            <v>21</v>
          </cell>
        </row>
        <row r="1627">
          <cell r="AV1627">
            <v>365</v>
          </cell>
          <cell r="AX1627">
            <v>22</v>
          </cell>
        </row>
        <row r="1628">
          <cell r="AV1628">
            <v>365</v>
          </cell>
          <cell r="AX1628">
            <v>22</v>
          </cell>
        </row>
        <row r="1629">
          <cell r="AV1629">
            <v>365</v>
          </cell>
          <cell r="AX1629">
            <v>22</v>
          </cell>
        </row>
        <row r="1630">
          <cell r="AV1630">
            <v>365</v>
          </cell>
          <cell r="AX1630">
            <v>22</v>
          </cell>
        </row>
        <row r="1631">
          <cell r="AV1631">
            <v>365</v>
          </cell>
          <cell r="AX1631">
            <v>267</v>
          </cell>
        </row>
        <row r="1632">
          <cell r="AV1632">
            <v>365</v>
          </cell>
          <cell r="AX1632">
            <v>267</v>
          </cell>
        </row>
        <row r="1633">
          <cell r="AV1633">
            <v>365</v>
          </cell>
          <cell r="AX1633">
            <v>267</v>
          </cell>
        </row>
        <row r="1634">
          <cell r="E1634" t="str">
            <v>Oncology</v>
          </cell>
          <cell r="AV1634">
            <v>365</v>
          </cell>
          <cell r="AX1634">
            <v>25</v>
          </cell>
        </row>
        <row r="1635">
          <cell r="E1635" t="str">
            <v>Oncology</v>
          </cell>
          <cell r="AV1635">
            <v>365</v>
          </cell>
          <cell r="AX1635">
            <v>25</v>
          </cell>
        </row>
        <row r="1636">
          <cell r="E1636" t="str">
            <v>Oncology</v>
          </cell>
          <cell r="AV1636">
            <v>365</v>
          </cell>
          <cell r="AX1636">
            <v>25</v>
          </cell>
          <cell r="BJ1636" t="str">
            <v>PROVISION</v>
          </cell>
        </row>
        <row r="1637">
          <cell r="AV1637">
            <v>365</v>
          </cell>
          <cell r="AX1637">
            <v>115</v>
          </cell>
        </row>
        <row r="1638">
          <cell r="E1638" t="str">
            <v>GF</v>
          </cell>
          <cell r="F1638" t="str">
            <v>Zone-1</v>
          </cell>
          <cell r="AV1638">
            <v>365</v>
          </cell>
          <cell r="AX1638">
            <v>59</v>
          </cell>
        </row>
        <row r="1639">
          <cell r="E1639" t="str">
            <v>GF</v>
          </cell>
          <cell r="F1639" t="str">
            <v>Zone-1-3</v>
          </cell>
          <cell r="AV1639">
            <v>365</v>
          </cell>
          <cell r="AX1639">
            <v>59</v>
          </cell>
        </row>
        <row r="1640">
          <cell r="F1640" t="str">
            <v>Zone-1-2-3-4</v>
          </cell>
          <cell r="AV1640">
            <v>365</v>
          </cell>
          <cell r="AX1640">
            <v>59</v>
          </cell>
        </row>
        <row r="1641">
          <cell r="AV1641">
            <v>365</v>
          </cell>
          <cell r="AX1641">
            <v>130</v>
          </cell>
        </row>
        <row r="1642">
          <cell r="AV1642">
            <v>365</v>
          </cell>
          <cell r="AX1642">
            <v>130</v>
          </cell>
        </row>
        <row r="1643">
          <cell r="AV1643">
            <v>365</v>
          </cell>
          <cell r="AX1643">
            <v>130</v>
          </cell>
        </row>
        <row r="1644">
          <cell r="AV1644">
            <v>365</v>
          </cell>
          <cell r="AX1644">
            <v>130</v>
          </cell>
        </row>
        <row r="1645">
          <cell r="AV1645">
            <v>365</v>
          </cell>
          <cell r="AX1645">
            <v>130</v>
          </cell>
        </row>
        <row r="1646">
          <cell r="AV1646">
            <v>365</v>
          </cell>
          <cell r="AX1646">
            <v>130</v>
          </cell>
        </row>
        <row r="1647">
          <cell r="AV1647">
            <v>365</v>
          </cell>
          <cell r="AX1647">
            <v>366</v>
          </cell>
        </row>
        <row r="1648">
          <cell r="AV1648">
            <v>365</v>
          </cell>
          <cell r="AX1648">
            <v>129</v>
          </cell>
        </row>
        <row r="1649">
          <cell r="E1649" t="str">
            <v>GF</v>
          </cell>
          <cell r="AV1649">
            <v>365</v>
          </cell>
          <cell r="AX1649">
            <v>142</v>
          </cell>
        </row>
        <row r="1650">
          <cell r="AV1650">
            <v>198</v>
          </cell>
        </row>
        <row r="1651">
          <cell r="AV1651">
            <v>365</v>
          </cell>
          <cell r="AX1651">
            <v>130</v>
          </cell>
        </row>
        <row r="1652">
          <cell r="AV1652">
            <v>365</v>
          </cell>
          <cell r="AX1652">
            <v>129</v>
          </cell>
        </row>
        <row r="1653">
          <cell r="AV1653">
            <v>365</v>
          </cell>
          <cell r="AX1653">
            <v>21</v>
          </cell>
        </row>
        <row r="1654">
          <cell r="AV1654">
            <v>365</v>
          </cell>
          <cell r="AX1654">
            <v>276</v>
          </cell>
        </row>
        <row r="1655">
          <cell r="AV1655">
            <v>365</v>
          </cell>
          <cell r="AX1655">
            <v>276</v>
          </cell>
        </row>
        <row r="1656">
          <cell r="AV1656">
            <v>365</v>
          </cell>
          <cell r="AX1656">
            <v>109</v>
          </cell>
        </row>
        <row r="1657">
          <cell r="AV1657">
            <v>365</v>
          </cell>
          <cell r="AX1657">
            <v>109</v>
          </cell>
        </row>
        <row r="1658">
          <cell r="AV1658">
            <v>365</v>
          </cell>
          <cell r="AX1658">
            <v>109</v>
          </cell>
        </row>
        <row r="1660">
          <cell r="AV1660">
            <v>365</v>
          </cell>
          <cell r="AX1660">
            <v>115</v>
          </cell>
        </row>
        <row r="1661">
          <cell r="AV1661">
            <v>365</v>
          </cell>
          <cell r="AX1661">
            <v>115</v>
          </cell>
        </row>
        <row r="1662">
          <cell r="AV1662">
            <v>365</v>
          </cell>
          <cell r="AX1662">
            <v>130</v>
          </cell>
        </row>
        <row r="1663">
          <cell r="AV1663">
            <v>365</v>
          </cell>
          <cell r="AX1663">
            <v>130</v>
          </cell>
        </row>
        <row r="1664">
          <cell r="E1664" t="str">
            <v>TF</v>
          </cell>
          <cell r="AV1664">
            <v>365</v>
          </cell>
          <cell r="AX1664">
            <v>62</v>
          </cell>
        </row>
        <row r="1665">
          <cell r="AV1665">
            <v>365</v>
          </cell>
          <cell r="AX1665">
            <v>366</v>
          </cell>
          <cell r="AZ1665">
            <v>6.3299999999999995E-2</v>
          </cell>
          <cell r="BA1665">
            <v>73</v>
          </cell>
          <cell r="BB1665">
            <v>1426.85796</v>
          </cell>
        </row>
        <row r="1666">
          <cell r="AV1666">
            <v>365</v>
          </cell>
          <cell r="AX1666">
            <v>366</v>
          </cell>
          <cell r="AZ1666">
            <v>6.3299999999999995E-2</v>
          </cell>
          <cell r="BA1666">
            <v>73</v>
          </cell>
          <cell r="BB1666">
            <v>1184.2069049999998</v>
          </cell>
        </row>
        <row r="1667">
          <cell r="AV1667">
            <v>365</v>
          </cell>
          <cell r="AX1667">
            <v>366</v>
          </cell>
          <cell r="AZ1667">
            <v>6.3299999999999995E-2</v>
          </cell>
          <cell r="BA1667">
            <v>73</v>
          </cell>
          <cell r="BB1667">
            <v>1301.6932875</v>
          </cell>
        </row>
        <row r="1668">
          <cell r="AV1668">
            <v>365</v>
          </cell>
          <cell r="AX1668">
            <v>130</v>
          </cell>
        </row>
        <row r="1669">
          <cell r="AV1669">
            <v>365</v>
          </cell>
          <cell r="AX1669">
            <v>130</v>
          </cell>
        </row>
        <row r="1670">
          <cell r="AV1670">
            <v>365</v>
          </cell>
          <cell r="AX1670">
            <v>366</v>
          </cell>
        </row>
        <row r="1671">
          <cell r="AV1671">
            <v>365</v>
          </cell>
          <cell r="AX1671">
            <v>366</v>
          </cell>
        </row>
        <row r="1672">
          <cell r="AV1672">
            <v>365</v>
          </cell>
          <cell r="AX1672">
            <v>103</v>
          </cell>
        </row>
        <row r="1673">
          <cell r="E1673" t="str">
            <v>FF</v>
          </cell>
          <cell r="F1673" t="str">
            <v>Pharma</v>
          </cell>
          <cell r="AV1673">
            <v>365</v>
          </cell>
          <cell r="AX1673">
            <v>33</v>
          </cell>
        </row>
        <row r="1674">
          <cell r="E1674" t="str">
            <v>GF</v>
          </cell>
          <cell r="AV1674">
            <v>365</v>
          </cell>
          <cell r="AX1674">
            <v>130</v>
          </cell>
        </row>
        <row r="1675">
          <cell r="E1675" t="str">
            <v>FF</v>
          </cell>
          <cell r="F1675" t="str">
            <v>Pharma</v>
          </cell>
          <cell r="AV1675">
            <v>365</v>
          </cell>
          <cell r="AX1675">
            <v>129</v>
          </cell>
        </row>
        <row r="1676">
          <cell r="AV1676">
            <v>365</v>
          </cell>
          <cell r="AX1676">
            <v>1</v>
          </cell>
        </row>
        <row r="1677">
          <cell r="D1677" t="str">
            <v>Utilities</v>
          </cell>
          <cell r="E1677" t="str">
            <v>UTILITY</v>
          </cell>
          <cell r="AV1677">
            <v>365</v>
          </cell>
          <cell r="AX1677">
            <v>130</v>
          </cell>
        </row>
        <row r="1678">
          <cell r="AV1678">
            <v>365</v>
          </cell>
          <cell r="AX1678">
            <v>366</v>
          </cell>
        </row>
        <row r="1679">
          <cell r="AV1679">
            <v>365</v>
          </cell>
          <cell r="AX1679">
            <v>366</v>
          </cell>
        </row>
        <row r="1680">
          <cell r="AV1680">
            <v>365</v>
          </cell>
          <cell r="AX1680">
            <v>366</v>
          </cell>
        </row>
        <row r="1681">
          <cell r="D1681" t="str">
            <v>SF</v>
          </cell>
          <cell r="AV1681">
            <v>365</v>
          </cell>
          <cell r="AX1681">
            <v>3</v>
          </cell>
        </row>
        <row r="1682">
          <cell r="D1682" t="str">
            <v>SF</v>
          </cell>
          <cell r="AV1682">
            <v>365</v>
          </cell>
          <cell r="AX1682">
            <v>3</v>
          </cell>
        </row>
        <row r="1683">
          <cell r="D1683" t="str">
            <v>SF</v>
          </cell>
          <cell r="AV1683">
            <v>365</v>
          </cell>
          <cell r="AX1683">
            <v>3</v>
          </cell>
        </row>
        <row r="1684">
          <cell r="D1684" t="str">
            <v>SF</v>
          </cell>
          <cell r="AV1684">
            <v>365</v>
          </cell>
          <cell r="AX1684">
            <v>3</v>
          </cell>
        </row>
        <row r="1685">
          <cell r="D1685" t="str">
            <v>SF</v>
          </cell>
          <cell r="AV1685">
            <v>365</v>
          </cell>
          <cell r="AX1685">
            <v>3</v>
          </cell>
        </row>
        <row r="1686">
          <cell r="E1686" t="str">
            <v>Water Tank</v>
          </cell>
          <cell r="AV1686">
            <v>365</v>
          </cell>
          <cell r="AX1686">
            <v>24</v>
          </cell>
        </row>
        <row r="1687">
          <cell r="AV1687">
            <v>365</v>
          </cell>
          <cell r="AX1687">
            <v>71</v>
          </cell>
        </row>
        <row r="1688">
          <cell r="AV1688">
            <v>198</v>
          </cell>
        </row>
        <row r="1689">
          <cell r="AV1689">
            <v>198</v>
          </cell>
        </row>
        <row r="1690">
          <cell r="AV1690">
            <v>198</v>
          </cell>
        </row>
        <row r="1691">
          <cell r="AV1691">
            <v>335</v>
          </cell>
        </row>
        <row r="1692">
          <cell r="AV1692">
            <v>365</v>
          </cell>
          <cell r="AX1692">
            <v>336</v>
          </cell>
        </row>
        <row r="1693">
          <cell r="AV1693">
            <v>365</v>
          </cell>
          <cell r="AX1693">
            <v>336</v>
          </cell>
        </row>
        <row r="1694">
          <cell r="AV1694">
            <v>365</v>
          </cell>
          <cell r="AX1694">
            <v>336</v>
          </cell>
        </row>
        <row r="1695">
          <cell r="AV1695">
            <v>365</v>
          </cell>
          <cell r="AX1695">
            <v>336</v>
          </cell>
        </row>
        <row r="1696">
          <cell r="AV1696">
            <v>365</v>
          </cell>
          <cell r="AX1696">
            <v>336</v>
          </cell>
        </row>
        <row r="1697">
          <cell r="AV1697">
            <v>365</v>
          </cell>
          <cell r="AX1697">
            <v>120</v>
          </cell>
        </row>
        <row r="1698">
          <cell r="AV1698">
            <v>365</v>
          </cell>
          <cell r="AX1698">
            <v>120</v>
          </cell>
        </row>
        <row r="1699">
          <cell r="AV1699">
            <v>365</v>
          </cell>
          <cell r="AX1699">
            <v>120</v>
          </cell>
        </row>
        <row r="1700">
          <cell r="AV1700">
            <v>365</v>
          </cell>
          <cell r="AX1700">
            <v>120</v>
          </cell>
        </row>
        <row r="1701">
          <cell r="AV1701">
            <v>365</v>
          </cell>
          <cell r="AX1701">
            <v>120</v>
          </cell>
        </row>
        <row r="1702">
          <cell r="AV1702">
            <v>365</v>
          </cell>
          <cell r="AX1702">
            <v>120</v>
          </cell>
        </row>
        <row r="1703">
          <cell r="AV1703">
            <v>365</v>
          </cell>
          <cell r="AX1703">
            <v>120</v>
          </cell>
        </row>
        <row r="1704">
          <cell r="AV1704">
            <v>365</v>
          </cell>
          <cell r="AX1704">
            <v>120</v>
          </cell>
        </row>
        <row r="1705">
          <cell r="D1705" t="str">
            <v>GC-IB</v>
          </cell>
          <cell r="E1705" t="str">
            <v>Near OCB</v>
          </cell>
          <cell r="AV1705">
            <v>305</v>
          </cell>
        </row>
        <row r="1706">
          <cell r="G1706">
            <v>1044</v>
          </cell>
          <cell r="AV1706">
            <v>365</v>
          </cell>
          <cell r="AX1706">
            <v>366</v>
          </cell>
          <cell r="AZ1706">
            <v>0.16209999999999999</v>
          </cell>
          <cell r="BA1706">
            <v>140</v>
          </cell>
          <cell r="BB1706">
            <v>3326.3808219178081</v>
          </cell>
        </row>
        <row r="1707">
          <cell r="AX1707">
            <v>366</v>
          </cell>
          <cell r="AZ1707">
            <v>0.16209999999999999</v>
          </cell>
          <cell r="BA1707">
            <v>332</v>
          </cell>
          <cell r="BB1707">
            <v>7814.5523287671231</v>
          </cell>
        </row>
        <row r="1708">
          <cell r="E1708" t="str">
            <v>SF</v>
          </cell>
          <cell r="AV1708">
            <v>365</v>
          </cell>
          <cell r="AX1708">
            <v>21</v>
          </cell>
        </row>
        <row r="1709">
          <cell r="E1709" t="str">
            <v>FF</v>
          </cell>
          <cell r="F1709" t="str">
            <v>Pharma</v>
          </cell>
          <cell r="AV1709">
            <v>365</v>
          </cell>
          <cell r="AX1709">
            <v>33</v>
          </cell>
        </row>
        <row r="1710">
          <cell r="E1710" t="str">
            <v>GF</v>
          </cell>
          <cell r="AV1710">
            <v>365</v>
          </cell>
          <cell r="AX1710">
            <v>225</v>
          </cell>
        </row>
        <row r="1711">
          <cell r="E1711" t="str">
            <v>FF</v>
          </cell>
          <cell r="AV1711">
            <v>365</v>
          </cell>
          <cell r="AX1711">
            <v>336</v>
          </cell>
        </row>
        <row r="1712">
          <cell r="AV1712">
            <v>365</v>
          </cell>
          <cell r="AX1712">
            <v>274</v>
          </cell>
        </row>
        <row r="1713">
          <cell r="AV1713">
            <v>365</v>
          </cell>
          <cell r="AX1713">
            <v>274</v>
          </cell>
        </row>
        <row r="1714">
          <cell r="AV1714">
            <v>365</v>
          </cell>
          <cell r="AX1714">
            <v>274</v>
          </cell>
        </row>
        <row r="1715">
          <cell r="F1715" t="str">
            <v>ADMIN</v>
          </cell>
          <cell r="AV1715">
            <v>365</v>
          </cell>
          <cell r="AX1715">
            <v>274</v>
          </cell>
        </row>
        <row r="1716">
          <cell r="AV1716">
            <v>365</v>
          </cell>
          <cell r="AX1716">
            <v>366</v>
          </cell>
        </row>
        <row r="1717">
          <cell r="D1717" t="str">
            <v>GC- IC</v>
          </cell>
          <cell r="E1717" t="str">
            <v>GF</v>
          </cell>
          <cell r="F1717" t="str">
            <v>Intermediate</v>
          </cell>
          <cell r="AV1717">
            <v>335</v>
          </cell>
        </row>
        <row r="1718">
          <cell r="D1718" t="str">
            <v>GC- IC</v>
          </cell>
          <cell r="E1718" t="str">
            <v>GF</v>
          </cell>
          <cell r="F1718" t="str">
            <v>Intermediate</v>
          </cell>
          <cell r="AV1718">
            <v>335</v>
          </cell>
        </row>
        <row r="1719">
          <cell r="E1719" t="str">
            <v>GF</v>
          </cell>
          <cell r="AV1719">
            <v>365</v>
          </cell>
          <cell r="AX1719">
            <v>351</v>
          </cell>
        </row>
        <row r="1720">
          <cell r="AV1720">
            <v>365</v>
          </cell>
          <cell r="AX1720">
            <v>336</v>
          </cell>
        </row>
        <row r="1721">
          <cell r="AV1721">
            <v>365</v>
          </cell>
          <cell r="AX1721">
            <v>267</v>
          </cell>
        </row>
        <row r="1722">
          <cell r="AV1722">
            <v>365</v>
          </cell>
          <cell r="AX1722">
            <v>33</v>
          </cell>
        </row>
        <row r="1723">
          <cell r="AV1723">
            <v>365</v>
          </cell>
          <cell r="AX1723">
            <v>33</v>
          </cell>
        </row>
        <row r="1724">
          <cell r="AV1724">
            <v>365</v>
          </cell>
          <cell r="AX1724">
            <v>33</v>
          </cell>
        </row>
        <row r="1725">
          <cell r="E1725" t="str">
            <v>GF</v>
          </cell>
          <cell r="F1725" t="str">
            <v>Zone-2-3-4</v>
          </cell>
          <cell r="AV1725">
            <v>365</v>
          </cell>
          <cell r="AX1725">
            <v>129</v>
          </cell>
        </row>
        <row r="1726">
          <cell r="E1726" t="str">
            <v>GF</v>
          </cell>
          <cell r="F1726" t="str">
            <v>Intermediate</v>
          </cell>
          <cell r="AV1726">
            <v>365</v>
          </cell>
          <cell r="AX1726">
            <v>129</v>
          </cell>
        </row>
        <row r="1727">
          <cell r="AV1727">
            <v>365</v>
          </cell>
          <cell r="AX1727">
            <v>153</v>
          </cell>
        </row>
        <row r="1728">
          <cell r="AV1728">
            <v>365</v>
          </cell>
          <cell r="AX1728">
            <v>153</v>
          </cell>
        </row>
        <row r="1729">
          <cell r="AV1729">
            <v>222</v>
          </cell>
        </row>
        <row r="1730">
          <cell r="AV1730">
            <v>222</v>
          </cell>
        </row>
        <row r="1731">
          <cell r="E1731" t="str">
            <v>FF</v>
          </cell>
          <cell r="AV1731">
            <v>365</v>
          </cell>
          <cell r="AX1731">
            <v>168</v>
          </cell>
        </row>
        <row r="1732">
          <cell r="E1732" t="str">
            <v>FF</v>
          </cell>
          <cell r="AV1732">
            <v>365</v>
          </cell>
          <cell r="AX1732">
            <v>168</v>
          </cell>
        </row>
        <row r="1733">
          <cell r="E1733" t="str">
            <v>FF</v>
          </cell>
          <cell r="AV1733">
            <v>365</v>
          </cell>
          <cell r="AX1733">
            <v>168</v>
          </cell>
        </row>
        <row r="1734">
          <cell r="E1734" t="str">
            <v>FF</v>
          </cell>
          <cell r="AV1734">
            <v>365</v>
          </cell>
          <cell r="AX1734">
            <v>168</v>
          </cell>
        </row>
        <row r="1735">
          <cell r="E1735" t="str">
            <v>FF</v>
          </cell>
          <cell r="AV1735">
            <v>365</v>
          </cell>
          <cell r="AX1735">
            <v>168</v>
          </cell>
        </row>
        <row r="1736">
          <cell r="E1736" t="str">
            <v>FF</v>
          </cell>
          <cell r="AV1736">
            <v>365</v>
          </cell>
          <cell r="AX1736">
            <v>168</v>
          </cell>
        </row>
        <row r="1737">
          <cell r="E1737" t="str">
            <v>FF</v>
          </cell>
          <cell r="AV1737">
            <v>365</v>
          </cell>
          <cell r="AX1737">
            <v>168</v>
          </cell>
        </row>
        <row r="1738">
          <cell r="E1738" t="str">
            <v>FF</v>
          </cell>
          <cell r="AV1738">
            <v>365</v>
          </cell>
          <cell r="AX1738">
            <v>168</v>
          </cell>
        </row>
        <row r="1739">
          <cell r="AV1739">
            <v>289</v>
          </cell>
        </row>
        <row r="1740">
          <cell r="AV1740">
            <v>289</v>
          </cell>
        </row>
        <row r="1741">
          <cell r="AV1741">
            <v>289</v>
          </cell>
        </row>
        <row r="1742">
          <cell r="AV1742">
            <v>289</v>
          </cell>
        </row>
        <row r="1743">
          <cell r="AV1743">
            <v>365</v>
          </cell>
          <cell r="AX1743">
            <v>274</v>
          </cell>
        </row>
        <row r="1744">
          <cell r="AV1744">
            <v>365</v>
          </cell>
          <cell r="AX1744">
            <v>274</v>
          </cell>
        </row>
        <row r="1745">
          <cell r="AV1745">
            <v>365</v>
          </cell>
          <cell r="AX1745">
            <v>274</v>
          </cell>
        </row>
        <row r="1746">
          <cell r="AV1746">
            <v>305</v>
          </cell>
        </row>
        <row r="1747">
          <cell r="AV1747">
            <v>365</v>
          </cell>
          <cell r="AX1747">
            <v>256</v>
          </cell>
        </row>
        <row r="1748">
          <cell r="E1748" t="str">
            <v>FF</v>
          </cell>
          <cell r="F1748" t="str">
            <v>Intermediate</v>
          </cell>
          <cell r="AV1748">
            <v>289</v>
          </cell>
        </row>
        <row r="1749">
          <cell r="E1749" t="str">
            <v>FF</v>
          </cell>
          <cell r="F1749" t="str">
            <v>Intermediate</v>
          </cell>
          <cell r="AV1749">
            <v>289</v>
          </cell>
        </row>
        <row r="1750">
          <cell r="E1750" t="str">
            <v>FF</v>
          </cell>
          <cell r="F1750" t="str">
            <v>Intermediate</v>
          </cell>
          <cell r="AV1750">
            <v>289</v>
          </cell>
        </row>
        <row r="1751">
          <cell r="E1751" t="str">
            <v>FF</v>
          </cell>
          <cell r="F1751" t="str">
            <v>Intermediate</v>
          </cell>
          <cell r="AV1751">
            <v>289</v>
          </cell>
        </row>
        <row r="1752">
          <cell r="E1752" t="str">
            <v>FF</v>
          </cell>
          <cell r="AV1752">
            <v>365</v>
          </cell>
          <cell r="AX1752">
            <v>186</v>
          </cell>
        </row>
        <row r="1753">
          <cell r="E1753" t="str">
            <v>FF</v>
          </cell>
          <cell r="AV1753">
            <v>365</v>
          </cell>
          <cell r="AX1753">
            <v>186</v>
          </cell>
        </row>
        <row r="1754">
          <cell r="E1754" t="str">
            <v>FF</v>
          </cell>
          <cell r="AV1754">
            <v>365</v>
          </cell>
          <cell r="AX1754">
            <v>186</v>
          </cell>
        </row>
        <row r="1755">
          <cell r="E1755" t="str">
            <v>FF</v>
          </cell>
          <cell r="AV1755">
            <v>365</v>
          </cell>
          <cell r="AX1755">
            <v>186</v>
          </cell>
        </row>
        <row r="1756">
          <cell r="E1756" t="str">
            <v>FF</v>
          </cell>
          <cell r="AV1756">
            <v>365</v>
          </cell>
          <cell r="AX1756">
            <v>186</v>
          </cell>
        </row>
        <row r="1757">
          <cell r="E1757" t="str">
            <v>FF</v>
          </cell>
          <cell r="AV1757">
            <v>365</v>
          </cell>
          <cell r="AX1757">
            <v>186</v>
          </cell>
        </row>
        <row r="1758">
          <cell r="E1758" t="str">
            <v>FF</v>
          </cell>
          <cell r="AV1758">
            <v>365</v>
          </cell>
          <cell r="AX1758">
            <v>186</v>
          </cell>
        </row>
        <row r="1759">
          <cell r="AV1759">
            <v>289</v>
          </cell>
        </row>
        <row r="1760">
          <cell r="AV1760">
            <v>289</v>
          </cell>
        </row>
        <row r="1761">
          <cell r="AV1761">
            <v>289</v>
          </cell>
        </row>
        <row r="1762">
          <cell r="AV1762">
            <v>198</v>
          </cell>
        </row>
        <row r="1763">
          <cell r="AV1763">
            <v>198</v>
          </cell>
        </row>
        <row r="1764">
          <cell r="AV1764">
            <v>198</v>
          </cell>
        </row>
        <row r="1765">
          <cell r="AV1765">
            <v>198</v>
          </cell>
        </row>
        <row r="1766">
          <cell r="AV1766">
            <v>198</v>
          </cell>
        </row>
        <row r="1767">
          <cell r="AV1767">
            <v>198</v>
          </cell>
        </row>
        <row r="1768">
          <cell r="AV1768">
            <v>198</v>
          </cell>
        </row>
        <row r="1769">
          <cell r="AV1769">
            <v>198</v>
          </cell>
        </row>
        <row r="1770">
          <cell r="AV1770">
            <v>365</v>
          </cell>
          <cell r="AX1770">
            <v>366</v>
          </cell>
          <cell r="AZ1770">
            <v>0.16209999999999999</v>
          </cell>
          <cell r="BA1770">
            <v>31</v>
          </cell>
          <cell r="BB1770">
            <v>272.04376986301372</v>
          </cell>
        </row>
        <row r="1771">
          <cell r="AV1771">
            <v>365</v>
          </cell>
          <cell r="AX1771">
            <v>366</v>
          </cell>
          <cell r="AZ1771">
            <v>0.16209999999999999</v>
          </cell>
          <cell r="BA1771">
            <v>31</v>
          </cell>
          <cell r="BB1771">
            <v>2426.9167890410959</v>
          </cell>
        </row>
        <row r="1772">
          <cell r="AV1772">
            <v>365</v>
          </cell>
          <cell r="AX1772">
            <v>130</v>
          </cell>
        </row>
        <row r="1773">
          <cell r="AV1773">
            <v>365</v>
          </cell>
          <cell r="AX1773">
            <v>267</v>
          </cell>
        </row>
        <row r="1774">
          <cell r="AV1774">
            <v>365</v>
          </cell>
          <cell r="AX1774">
            <v>267</v>
          </cell>
        </row>
        <row r="1775">
          <cell r="AV1775">
            <v>365</v>
          </cell>
          <cell r="AX1775">
            <v>267</v>
          </cell>
        </row>
        <row r="1776">
          <cell r="AV1776">
            <v>365</v>
          </cell>
          <cell r="AX1776">
            <v>267</v>
          </cell>
        </row>
        <row r="1777">
          <cell r="AV1777">
            <v>365</v>
          </cell>
          <cell r="AX1777">
            <v>267</v>
          </cell>
        </row>
        <row r="1778">
          <cell r="AV1778">
            <v>365</v>
          </cell>
          <cell r="AX1778">
            <v>267</v>
          </cell>
        </row>
        <row r="1779">
          <cell r="AV1779">
            <v>365</v>
          </cell>
          <cell r="AX1779">
            <v>267</v>
          </cell>
        </row>
        <row r="1780">
          <cell r="AV1780">
            <v>365</v>
          </cell>
          <cell r="AX1780">
            <v>267</v>
          </cell>
        </row>
        <row r="1781">
          <cell r="AV1781">
            <v>305</v>
          </cell>
        </row>
        <row r="1782">
          <cell r="AV1782">
            <v>305</v>
          </cell>
        </row>
        <row r="1783">
          <cell r="AV1783">
            <v>365</v>
          </cell>
          <cell r="AX1783">
            <v>130</v>
          </cell>
        </row>
        <row r="1784">
          <cell r="AV1784">
            <v>365</v>
          </cell>
          <cell r="AX1784">
            <v>130</v>
          </cell>
        </row>
        <row r="1785">
          <cell r="AV1785">
            <v>365</v>
          </cell>
          <cell r="AX1785">
            <v>130</v>
          </cell>
        </row>
        <row r="1786">
          <cell r="AV1786">
            <v>365</v>
          </cell>
          <cell r="AX1786">
            <v>130</v>
          </cell>
        </row>
        <row r="1787">
          <cell r="AV1787">
            <v>365</v>
          </cell>
          <cell r="AX1787">
            <v>130</v>
          </cell>
        </row>
        <row r="1788">
          <cell r="AV1788">
            <v>365</v>
          </cell>
          <cell r="AX1788">
            <v>130</v>
          </cell>
        </row>
        <row r="1789">
          <cell r="AV1789">
            <v>365</v>
          </cell>
          <cell r="AX1789">
            <v>130</v>
          </cell>
        </row>
        <row r="1790">
          <cell r="E1790" t="str">
            <v>GF</v>
          </cell>
          <cell r="F1790" t="str">
            <v>GC</v>
          </cell>
          <cell r="AV1790">
            <v>365</v>
          </cell>
          <cell r="AX1790">
            <v>184</v>
          </cell>
        </row>
        <row r="1791">
          <cell r="E1791" t="str">
            <v>GF</v>
          </cell>
          <cell r="F1791" t="str">
            <v>GC</v>
          </cell>
          <cell r="AV1791">
            <v>365</v>
          </cell>
          <cell r="AX1791">
            <v>184</v>
          </cell>
        </row>
        <row r="1792">
          <cell r="AV1792">
            <v>305</v>
          </cell>
        </row>
        <row r="1793">
          <cell r="AV1793">
            <v>365</v>
          </cell>
          <cell r="AX1793">
            <v>1</v>
          </cell>
        </row>
        <row r="1794">
          <cell r="AV1794">
            <v>365</v>
          </cell>
          <cell r="AX1794">
            <v>1</v>
          </cell>
        </row>
        <row r="1795">
          <cell r="AV1795">
            <v>365</v>
          </cell>
          <cell r="AX1795">
            <v>1</v>
          </cell>
        </row>
        <row r="1796">
          <cell r="AV1796">
            <v>365</v>
          </cell>
          <cell r="AX1796">
            <v>1</v>
          </cell>
        </row>
        <row r="1797">
          <cell r="AV1797">
            <v>365</v>
          </cell>
          <cell r="AX1797">
            <v>1</v>
          </cell>
        </row>
        <row r="1798">
          <cell r="AV1798">
            <v>365</v>
          </cell>
          <cell r="AX1798">
            <v>1</v>
          </cell>
        </row>
        <row r="1799">
          <cell r="AV1799">
            <v>365</v>
          </cell>
          <cell r="AX1799">
            <v>1</v>
          </cell>
        </row>
        <row r="1800">
          <cell r="AV1800">
            <v>365</v>
          </cell>
          <cell r="AX1800">
            <v>366</v>
          </cell>
        </row>
        <row r="1801">
          <cell r="AV1801">
            <v>365</v>
          </cell>
          <cell r="AX1801">
            <v>245</v>
          </cell>
        </row>
        <row r="1802">
          <cell r="AV1802">
            <v>365</v>
          </cell>
          <cell r="AX1802">
            <v>245</v>
          </cell>
        </row>
        <row r="1803">
          <cell r="AV1803">
            <v>365</v>
          </cell>
          <cell r="AX1803">
            <v>245</v>
          </cell>
        </row>
        <row r="1804">
          <cell r="AV1804">
            <v>365</v>
          </cell>
          <cell r="AX1804">
            <v>245</v>
          </cell>
        </row>
        <row r="1805">
          <cell r="AV1805">
            <v>365</v>
          </cell>
          <cell r="AX1805">
            <v>245</v>
          </cell>
        </row>
        <row r="1806">
          <cell r="AV1806">
            <v>365</v>
          </cell>
          <cell r="AX1806">
            <v>245</v>
          </cell>
        </row>
        <row r="1807">
          <cell r="AV1807">
            <v>289</v>
          </cell>
        </row>
        <row r="1808">
          <cell r="E1808" t="str">
            <v>FF</v>
          </cell>
          <cell r="AV1808">
            <v>365</v>
          </cell>
          <cell r="AX1808">
            <v>180</v>
          </cell>
        </row>
        <row r="1809">
          <cell r="E1809" t="str">
            <v>FF</v>
          </cell>
          <cell r="AV1809">
            <v>365</v>
          </cell>
          <cell r="AX1809">
            <v>180</v>
          </cell>
        </row>
        <row r="1810">
          <cell r="E1810" t="str">
            <v>FF</v>
          </cell>
          <cell r="AV1810">
            <v>365</v>
          </cell>
          <cell r="AX1810">
            <v>180</v>
          </cell>
        </row>
        <row r="1811">
          <cell r="E1811" t="str">
            <v>FF</v>
          </cell>
          <cell r="AV1811">
            <v>365</v>
          </cell>
          <cell r="AX1811">
            <v>180</v>
          </cell>
        </row>
        <row r="1812">
          <cell r="E1812" t="str">
            <v>FF</v>
          </cell>
          <cell r="AV1812">
            <v>365</v>
          </cell>
          <cell r="AX1812">
            <v>180</v>
          </cell>
        </row>
        <row r="1813">
          <cell r="E1813" t="str">
            <v>FF</v>
          </cell>
          <cell r="AV1813">
            <v>365</v>
          </cell>
          <cell r="AX1813">
            <v>180</v>
          </cell>
        </row>
        <row r="1814">
          <cell r="AV1814">
            <v>198</v>
          </cell>
        </row>
        <row r="1815">
          <cell r="AV1815">
            <v>198</v>
          </cell>
        </row>
        <row r="1816">
          <cell r="AV1816">
            <v>198</v>
          </cell>
        </row>
        <row r="1817">
          <cell r="AV1817">
            <v>198</v>
          </cell>
        </row>
        <row r="1818">
          <cell r="AV1818">
            <v>198</v>
          </cell>
        </row>
        <row r="1819">
          <cell r="AV1819">
            <v>365</v>
          </cell>
          <cell r="AX1819">
            <v>276</v>
          </cell>
        </row>
        <row r="1820">
          <cell r="AV1820">
            <v>365</v>
          </cell>
          <cell r="AX1820">
            <v>276</v>
          </cell>
        </row>
        <row r="1821">
          <cell r="AV1821">
            <v>365</v>
          </cell>
          <cell r="AX1821">
            <v>276</v>
          </cell>
        </row>
        <row r="1822">
          <cell r="AV1822">
            <v>365</v>
          </cell>
          <cell r="AX1822">
            <v>276</v>
          </cell>
        </row>
        <row r="1823">
          <cell r="AV1823">
            <v>365</v>
          </cell>
          <cell r="AX1823">
            <v>276</v>
          </cell>
        </row>
        <row r="1824">
          <cell r="AV1824">
            <v>365</v>
          </cell>
          <cell r="AX1824">
            <v>276</v>
          </cell>
        </row>
        <row r="1825">
          <cell r="AV1825">
            <v>365</v>
          </cell>
          <cell r="AX1825">
            <v>276</v>
          </cell>
        </row>
        <row r="1826">
          <cell r="AV1826">
            <v>365</v>
          </cell>
          <cell r="AX1826">
            <v>276</v>
          </cell>
        </row>
        <row r="1827">
          <cell r="AV1827">
            <v>365</v>
          </cell>
          <cell r="AX1827">
            <v>276</v>
          </cell>
        </row>
        <row r="1828">
          <cell r="AV1828">
            <v>365</v>
          </cell>
          <cell r="AX1828">
            <v>276</v>
          </cell>
        </row>
        <row r="1829">
          <cell r="AV1829">
            <v>365</v>
          </cell>
          <cell r="AX1829">
            <v>276</v>
          </cell>
        </row>
        <row r="1830">
          <cell r="AV1830">
            <v>365</v>
          </cell>
          <cell r="AX1830">
            <v>276</v>
          </cell>
        </row>
        <row r="1831">
          <cell r="AV1831">
            <v>365</v>
          </cell>
          <cell r="AX1831">
            <v>276</v>
          </cell>
        </row>
        <row r="1832">
          <cell r="AV1832">
            <v>365</v>
          </cell>
          <cell r="AX1832">
            <v>276</v>
          </cell>
        </row>
        <row r="1833">
          <cell r="AV1833">
            <v>365</v>
          </cell>
          <cell r="AX1833">
            <v>276</v>
          </cell>
        </row>
        <row r="1834">
          <cell r="AV1834">
            <v>365</v>
          </cell>
          <cell r="AX1834">
            <v>276</v>
          </cell>
        </row>
        <row r="1835">
          <cell r="AV1835">
            <v>365</v>
          </cell>
          <cell r="AX1835">
            <v>276</v>
          </cell>
        </row>
        <row r="1836">
          <cell r="AV1836">
            <v>365</v>
          </cell>
          <cell r="AX1836">
            <v>276</v>
          </cell>
        </row>
        <row r="1837">
          <cell r="AV1837">
            <v>365</v>
          </cell>
          <cell r="AX1837">
            <v>276</v>
          </cell>
        </row>
        <row r="1838">
          <cell r="AV1838">
            <v>365</v>
          </cell>
          <cell r="AX1838">
            <v>276</v>
          </cell>
        </row>
        <row r="1839">
          <cell r="AV1839">
            <v>365</v>
          </cell>
          <cell r="AX1839">
            <v>276</v>
          </cell>
        </row>
        <row r="1840">
          <cell r="AV1840">
            <v>365</v>
          </cell>
          <cell r="AX1840">
            <v>276</v>
          </cell>
        </row>
        <row r="1841">
          <cell r="AV1841">
            <v>365</v>
          </cell>
          <cell r="AX1841">
            <v>276</v>
          </cell>
        </row>
        <row r="1842">
          <cell r="AV1842">
            <v>365</v>
          </cell>
          <cell r="AX1842">
            <v>276</v>
          </cell>
        </row>
        <row r="1843">
          <cell r="AV1843">
            <v>365</v>
          </cell>
          <cell r="AX1843">
            <v>276</v>
          </cell>
        </row>
        <row r="1844">
          <cell r="AV1844">
            <v>365</v>
          </cell>
          <cell r="AX1844">
            <v>276</v>
          </cell>
        </row>
        <row r="1845">
          <cell r="AV1845">
            <v>365</v>
          </cell>
          <cell r="AX1845">
            <v>276</v>
          </cell>
        </row>
        <row r="1846">
          <cell r="AV1846">
            <v>365</v>
          </cell>
          <cell r="AX1846">
            <v>276</v>
          </cell>
        </row>
        <row r="1847">
          <cell r="AV1847">
            <v>365</v>
          </cell>
          <cell r="AX1847">
            <v>276</v>
          </cell>
        </row>
        <row r="1848">
          <cell r="AV1848">
            <v>365</v>
          </cell>
          <cell r="AX1848">
            <v>276</v>
          </cell>
        </row>
        <row r="1849">
          <cell r="AV1849">
            <v>365</v>
          </cell>
          <cell r="AX1849">
            <v>276</v>
          </cell>
        </row>
        <row r="1850">
          <cell r="AV1850">
            <v>365</v>
          </cell>
          <cell r="AX1850">
            <v>276</v>
          </cell>
        </row>
        <row r="1851">
          <cell r="E1851" t="str">
            <v>FF</v>
          </cell>
          <cell r="F1851" t="str">
            <v>Intermediate</v>
          </cell>
          <cell r="AV1851">
            <v>365</v>
          </cell>
          <cell r="AX1851">
            <v>129</v>
          </cell>
        </row>
        <row r="1852">
          <cell r="AV1852">
            <v>365</v>
          </cell>
          <cell r="AX1852">
            <v>69</v>
          </cell>
        </row>
        <row r="1853">
          <cell r="E1853" t="str">
            <v>FF</v>
          </cell>
          <cell r="F1853" t="str">
            <v>Pharma</v>
          </cell>
          <cell r="AV1853">
            <v>365</v>
          </cell>
          <cell r="AX1853">
            <v>129</v>
          </cell>
        </row>
        <row r="1854">
          <cell r="AV1854">
            <v>365</v>
          </cell>
          <cell r="AX1854">
            <v>366</v>
          </cell>
          <cell r="AZ1854">
            <v>6.3299999999999995E-2</v>
          </cell>
          <cell r="BA1854">
            <v>243</v>
          </cell>
          <cell r="BB1854">
            <v>9712.6963653698622</v>
          </cell>
        </row>
        <row r="1855">
          <cell r="AV1855">
            <v>365</v>
          </cell>
          <cell r="AX1855">
            <v>366</v>
          </cell>
          <cell r="AZ1855">
            <v>6.3299999999999995E-2</v>
          </cell>
          <cell r="BA1855">
            <v>243</v>
          </cell>
          <cell r="BB1855">
            <v>4828.0623435616435</v>
          </cell>
        </row>
        <row r="1856">
          <cell r="AV1856">
            <v>365</v>
          </cell>
          <cell r="AX1856">
            <v>41</v>
          </cell>
        </row>
        <row r="1857">
          <cell r="AV1857">
            <v>365</v>
          </cell>
          <cell r="AX1857">
            <v>41</v>
          </cell>
        </row>
        <row r="1858">
          <cell r="AV1858">
            <v>365</v>
          </cell>
          <cell r="AX1858">
            <v>41</v>
          </cell>
        </row>
        <row r="1859">
          <cell r="AV1859">
            <v>365</v>
          </cell>
          <cell r="AX1859">
            <v>41</v>
          </cell>
        </row>
        <row r="1860">
          <cell r="AV1860">
            <v>365</v>
          </cell>
          <cell r="AX1860">
            <v>41</v>
          </cell>
        </row>
        <row r="1861">
          <cell r="AV1861">
            <v>365</v>
          </cell>
          <cell r="AX1861">
            <v>41</v>
          </cell>
        </row>
        <row r="1862">
          <cell r="AV1862">
            <v>365</v>
          </cell>
          <cell r="AX1862">
            <v>41</v>
          </cell>
        </row>
        <row r="1863">
          <cell r="AV1863">
            <v>365</v>
          </cell>
          <cell r="AX1863">
            <v>41</v>
          </cell>
        </row>
        <row r="1864">
          <cell r="AV1864">
            <v>365</v>
          </cell>
          <cell r="AX1864">
            <v>41</v>
          </cell>
        </row>
        <row r="1865">
          <cell r="AV1865">
            <v>365</v>
          </cell>
          <cell r="AX1865">
            <v>41</v>
          </cell>
        </row>
        <row r="1866">
          <cell r="AV1866">
            <v>365</v>
          </cell>
          <cell r="AX1866">
            <v>41</v>
          </cell>
        </row>
        <row r="1867">
          <cell r="AV1867">
            <v>365</v>
          </cell>
          <cell r="AX1867">
            <v>41</v>
          </cell>
        </row>
        <row r="1868">
          <cell r="AV1868">
            <v>365</v>
          </cell>
          <cell r="AX1868">
            <v>41</v>
          </cell>
        </row>
        <row r="1869">
          <cell r="AV1869">
            <v>365</v>
          </cell>
          <cell r="AX1869">
            <v>41</v>
          </cell>
        </row>
        <row r="1870">
          <cell r="AV1870">
            <v>365</v>
          </cell>
          <cell r="AX1870">
            <v>41</v>
          </cell>
        </row>
        <row r="1871">
          <cell r="AV1871">
            <v>365</v>
          </cell>
          <cell r="AX1871">
            <v>336</v>
          </cell>
        </row>
        <row r="1872">
          <cell r="AV1872">
            <v>198</v>
          </cell>
        </row>
        <row r="1873">
          <cell r="E1873" t="str">
            <v>SF</v>
          </cell>
          <cell r="AV1873">
            <v>365</v>
          </cell>
          <cell r="AX1873">
            <v>183</v>
          </cell>
        </row>
        <row r="1874">
          <cell r="E1874" t="str">
            <v>GF</v>
          </cell>
          <cell r="F1874" t="str">
            <v>Intermediate</v>
          </cell>
          <cell r="AV1874">
            <v>365</v>
          </cell>
          <cell r="AX1874">
            <v>33</v>
          </cell>
        </row>
        <row r="1875">
          <cell r="E1875" t="str">
            <v>GF</v>
          </cell>
          <cell r="F1875" t="str">
            <v>Intermediate</v>
          </cell>
          <cell r="AV1875">
            <v>365</v>
          </cell>
          <cell r="AX1875">
            <v>33</v>
          </cell>
        </row>
        <row r="1876">
          <cell r="E1876" t="str">
            <v>GF</v>
          </cell>
          <cell r="F1876" t="str">
            <v>Intermediate</v>
          </cell>
          <cell r="AV1876">
            <v>365</v>
          </cell>
          <cell r="AX1876">
            <v>33</v>
          </cell>
        </row>
        <row r="1877">
          <cell r="D1877" t="str">
            <v>SRV</v>
          </cell>
          <cell r="E1877" t="str">
            <v>Near OCB</v>
          </cell>
          <cell r="AV1877">
            <v>198</v>
          </cell>
        </row>
        <row r="1878">
          <cell r="AV1878">
            <v>365</v>
          </cell>
          <cell r="AX1878">
            <v>280</v>
          </cell>
        </row>
        <row r="1879">
          <cell r="AV1879">
            <v>365</v>
          </cell>
          <cell r="AX1879">
            <v>280</v>
          </cell>
        </row>
        <row r="1880">
          <cell r="AV1880">
            <v>365</v>
          </cell>
          <cell r="AX1880">
            <v>62</v>
          </cell>
        </row>
        <row r="1881">
          <cell r="AV1881">
            <v>365</v>
          </cell>
          <cell r="AX1881">
            <v>62</v>
          </cell>
        </row>
        <row r="1882">
          <cell r="AV1882">
            <v>365</v>
          </cell>
          <cell r="AX1882">
            <v>62</v>
          </cell>
        </row>
        <row r="1883">
          <cell r="AV1883">
            <v>365</v>
          </cell>
          <cell r="AX1883">
            <v>62</v>
          </cell>
        </row>
        <row r="1884">
          <cell r="AV1884">
            <v>365</v>
          </cell>
          <cell r="AX1884">
            <v>62</v>
          </cell>
        </row>
        <row r="1885">
          <cell r="AV1885">
            <v>365</v>
          </cell>
          <cell r="AX1885">
            <v>62</v>
          </cell>
        </row>
        <row r="1886">
          <cell r="AV1886">
            <v>365</v>
          </cell>
          <cell r="AX1886">
            <v>62</v>
          </cell>
        </row>
        <row r="1887">
          <cell r="AV1887">
            <v>365</v>
          </cell>
          <cell r="AX1887">
            <v>62</v>
          </cell>
        </row>
        <row r="1888">
          <cell r="AV1888">
            <v>365</v>
          </cell>
          <cell r="AX1888">
            <v>62</v>
          </cell>
        </row>
        <row r="1889">
          <cell r="AV1889">
            <v>365</v>
          </cell>
          <cell r="AX1889">
            <v>62</v>
          </cell>
        </row>
        <row r="1890">
          <cell r="AV1890">
            <v>289</v>
          </cell>
        </row>
        <row r="1891">
          <cell r="AV1891">
            <v>365</v>
          </cell>
          <cell r="AX1891">
            <v>366</v>
          </cell>
          <cell r="AZ1891">
            <v>0.16209999999999999</v>
          </cell>
          <cell r="BA1891">
            <v>151</v>
          </cell>
          <cell r="BB1891">
            <v>14068.297050684929</v>
          </cell>
        </row>
        <row r="1892">
          <cell r="AV1892">
            <v>365</v>
          </cell>
          <cell r="AX1892">
            <v>33</v>
          </cell>
        </row>
        <row r="1893">
          <cell r="AV1893">
            <v>365</v>
          </cell>
          <cell r="AX1893">
            <v>92</v>
          </cell>
        </row>
        <row r="1894">
          <cell r="AV1894">
            <v>365</v>
          </cell>
          <cell r="AX1894">
            <v>92</v>
          </cell>
        </row>
        <row r="1895">
          <cell r="AV1895">
            <v>365</v>
          </cell>
          <cell r="AX1895">
            <v>366</v>
          </cell>
          <cell r="AZ1895">
            <v>6.3299999999999995E-2</v>
          </cell>
          <cell r="BA1895">
            <v>151</v>
          </cell>
          <cell r="BB1895">
            <v>8563.7858705111939</v>
          </cell>
        </row>
        <row r="1896">
          <cell r="AV1896">
            <v>365</v>
          </cell>
          <cell r="AX1896">
            <v>366</v>
          </cell>
          <cell r="AZ1896">
            <v>6.3299999999999995E-2</v>
          </cell>
          <cell r="BA1896">
            <v>151</v>
          </cell>
          <cell r="BB1896">
            <v>1763.1323851052452</v>
          </cell>
        </row>
        <row r="1897">
          <cell r="AV1897">
            <v>365</v>
          </cell>
          <cell r="AX1897">
            <v>33</v>
          </cell>
        </row>
        <row r="1898">
          <cell r="AV1898">
            <v>271</v>
          </cell>
        </row>
        <row r="1899">
          <cell r="AV1899">
            <v>271</v>
          </cell>
        </row>
        <row r="1900">
          <cell r="AV1900">
            <v>271</v>
          </cell>
        </row>
        <row r="1901">
          <cell r="AV1901">
            <v>365</v>
          </cell>
          <cell r="AX1901">
            <v>123</v>
          </cell>
        </row>
        <row r="1902">
          <cell r="AV1902">
            <v>365</v>
          </cell>
          <cell r="AX1902">
            <v>123</v>
          </cell>
        </row>
        <row r="1903">
          <cell r="AV1903">
            <v>365</v>
          </cell>
          <cell r="AX1903">
            <v>123</v>
          </cell>
        </row>
        <row r="1904">
          <cell r="AV1904">
            <v>365</v>
          </cell>
          <cell r="AX1904">
            <v>123</v>
          </cell>
        </row>
        <row r="1905">
          <cell r="AV1905">
            <v>365</v>
          </cell>
          <cell r="AX1905">
            <v>123</v>
          </cell>
        </row>
        <row r="1906">
          <cell r="AX1906">
            <v>366</v>
          </cell>
          <cell r="AZ1906">
            <v>0.16209999999999999</v>
          </cell>
          <cell r="BA1906">
            <v>365</v>
          </cell>
          <cell r="BB1906">
            <v>6912.7545</v>
          </cell>
          <cell r="BC1906">
            <v>85</v>
          </cell>
        </row>
        <row r="1907">
          <cell r="AV1907">
            <v>335</v>
          </cell>
        </row>
        <row r="1908">
          <cell r="E1908" t="str">
            <v>FF</v>
          </cell>
          <cell r="F1908" t="str">
            <v>Pharma</v>
          </cell>
          <cell r="AV1908">
            <v>365</v>
          </cell>
          <cell r="AX1908">
            <v>33</v>
          </cell>
        </row>
        <row r="1909">
          <cell r="AV1909">
            <v>365</v>
          </cell>
          <cell r="AX1909">
            <v>267</v>
          </cell>
        </row>
        <row r="1910">
          <cell r="AV1910">
            <v>365</v>
          </cell>
          <cell r="AX1910">
            <v>267</v>
          </cell>
        </row>
        <row r="1911">
          <cell r="AV1911">
            <v>365</v>
          </cell>
          <cell r="AX1911">
            <v>267</v>
          </cell>
        </row>
        <row r="1912">
          <cell r="AV1912">
            <v>365</v>
          </cell>
          <cell r="AX1912">
            <v>267</v>
          </cell>
        </row>
        <row r="1913">
          <cell r="AV1913">
            <v>365</v>
          </cell>
          <cell r="AX1913">
            <v>267</v>
          </cell>
        </row>
        <row r="1914">
          <cell r="E1914" t="str">
            <v>FF</v>
          </cell>
          <cell r="AV1914">
            <v>365</v>
          </cell>
          <cell r="AX1914">
            <v>32</v>
          </cell>
        </row>
        <row r="1915">
          <cell r="E1915" t="str">
            <v>FF</v>
          </cell>
          <cell r="AV1915">
            <v>365</v>
          </cell>
          <cell r="AX1915">
            <v>32</v>
          </cell>
        </row>
        <row r="1916">
          <cell r="E1916" t="str">
            <v>FF</v>
          </cell>
          <cell r="AV1916">
            <v>365</v>
          </cell>
          <cell r="AX1916">
            <v>32</v>
          </cell>
        </row>
        <row r="1917">
          <cell r="E1917" t="str">
            <v>FF</v>
          </cell>
          <cell r="AV1917">
            <v>365</v>
          </cell>
          <cell r="AX1917">
            <v>32</v>
          </cell>
        </row>
        <row r="1918">
          <cell r="E1918" t="str">
            <v>FF</v>
          </cell>
          <cell r="AV1918">
            <v>365</v>
          </cell>
          <cell r="AX1918">
            <v>32</v>
          </cell>
        </row>
        <row r="1919">
          <cell r="E1919" t="str">
            <v>FF</v>
          </cell>
          <cell r="AV1919">
            <v>365</v>
          </cell>
          <cell r="AX1919">
            <v>32</v>
          </cell>
        </row>
        <row r="1920">
          <cell r="E1920" t="str">
            <v>FF</v>
          </cell>
          <cell r="AV1920">
            <v>365</v>
          </cell>
          <cell r="AX1920">
            <v>32</v>
          </cell>
        </row>
        <row r="1921">
          <cell r="E1921" t="str">
            <v>FF</v>
          </cell>
          <cell r="AV1921">
            <v>365</v>
          </cell>
          <cell r="AX1921">
            <v>32</v>
          </cell>
        </row>
        <row r="1922">
          <cell r="E1922" t="str">
            <v>FF</v>
          </cell>
          <cell r="AV1922">
            <v>365</v>
          </cell>
          <cell r="AX1922">
            <v>313</v>
          </cell>
        </row>
        <row r="1923">
          <cell r="AV1923">
            <v>365</v>
          </cell>
          <cell r="AX1923">
            <v>101</v>
          </cell>
        </row>
        <row r="1924">
          <cell r="E1924" t="str">
            <v>GF</v>
          </cell>
          <cell r="AV1924">
            <v>365</v>
          </cell>
          <cell r="AX1924">
            <v>130</v>
          </cell>
        </row>
        <row r="1925">
          <cell r="AV1925">
            <v>335</v>
          </cell>
        </row>
        <row r="1926">
          <cell r="AV1926">
            <v>335</v>
          </cell>
        </row>
        <row r="1927">
          <cell r="AX1927">
            <v>366</v>
          </cell>
          <cell r="AZ1927">
            <v>0.16209999999999999</v>
          </cell>
          <cell r="BA1927">
            <v>256</v>
          </cell>
          <cell r="BB1927">
            <v>4650.0050410958902</v>
          </cell>
        </row>
        <row r="1928">
          <cell r="AV1928">
            <v>365</v>
          </cell>
          <cell r="AX1928">
            <v>141</v>
          </cell>
        </row>
        <row r="1929">
          <cell r="AV1929">
            <v>365</v>
          </cell>
          <cell r="AX1929">
            <v>109</v>
          </cell>
        </row>
        <row r="1930">
          <cell r="AV1930">
            <v>305</v>
          </cell>
        </row>
        <row r="1931">
          <cell r="AV1931">
            <v>289</v>
          </cell>
        </row>
        <row r="1932">
          <cell r="AV1932">
            <v>289</v>
          </cell>
        </row>
        <row r="1933">
          <cell r="E1933" t="str">
            <v>Mezzanine</v>
          </cell>
          <cell r="F1933" t="str">
            <v>Intermediate</v>
          </cell>
          <cell r="AV1933">
            <v>365</v>
          </cell>
          <cell r="AX1933">
            <v>129</v>
          </cell>
        </row>
        <row r="1934">
          <cell r="AV1934">
            <v>365</v>
          </cell>
          <cell r="AX1934">
            <v>107</v>
          </cell>
        </row>
        <row r="1935">
          <cell r="AV1935">
            <v>365</v>
          </cell>
          <cell r="AX1935">
            <v>130</v>
          </cell>
        </row>
        <row r="1936">
          <cell r="E1936" t="str">
            <v>FF</v>
          </cell>
          <cell r="AV1936">
            <v>365</v>
          </cell>
          <cell r="AX1936">
            <v>276</v>
          </cell>
        </row>
        <row r="1937">
          <cell r="E1937" t="str">
            <v>FF</v>
          </cell>
          <cell r="AV1937">
            <v>365</v>
          </cell>
          <cell r="AX1937">
            <v>276</v>
          </cell>
        </row>
        <row r="1938">
          <cell r="E1938" t="str">
            <v>FF</v>
          </cell>
          <cell r="AV1938">
            <v>365</v>
          </cell>
          <cell r="AX1938">
            <v>276</v>
          </cell>
        </row>
        <row r="1939">
          <cell r="E1939" t="str">
            <v>FF</v>
          </cell>
          <cell r="AV1939">
            <v>365</v>
          </cell>
          <cell r="AX1939">
            <v>276</v>
          </cell>
        </row>
        <row r="1940">
          <cell r="E1940" t="str">
            <v>FF</v>
          </cell>
          <cell r="AV1940">
            <v>365</v>
          </cell>
          <cell r="AX1940">
            <v>276</v>
          </cell>
        </row>
        <row r="1941">
          <cell r="E1941" t="str">
            <v>FF</v>
          </cell>
          <cell r="AV1941">
            <v>365</v>
          </cell>
          <cell r="AX1941">
            <v>276</v>
          </cell>
        </row>
        <row r="1942">
          <cell r="E1942" t="str">
            <v>FF</v>
          </cell>
          <cell r="AV1942">
            <v>365</v>
          </cell>
          <cell r="AX1942">
            <v>276</v>
          </cell>
        </row>
        <row r="1943">
          <cell r="E1943" t="str">
            <v>FF</v>
          </cell>
          <cell r="AV1943">
            <v>365</v>
          </cell>
          <cell r="AX1943">
            <v>276</v>
          </cell>
        </row>
        <row r="1944">
          <cell r="E1944" t="str">
            <v>FF</v>
          </cell>
          <cell r="AV1944">
            <v>365</v>
          </cell>
          <cell r="AX1944">
            <v>276</v>
          </cell>
        </row>
        <row r="1945">
          <cell r="E1945" t="str">
            <v>FF</v>
          </cell>
          <cell r="AV1945">
            <v>365</v>
          </cell>
          <cell r="AX1945">
            <v>276</v>
          </cell>
        </row>
        <row r="1946">
          <cell r="E1946" t="str">
            <v>FF</v>
          </cell>
          <cell r="AV1946">
            <v>365</v>
          </cell>
          <cell r="AX1946">
            <v>276</v>
          </cell>
        </row>
        <row r="1947">
          <cell r="E1947" t="str">
            <v>FF</v>
          </cell>
          <cell r="AV1947">
            <v>365</v>
          </cell>
          <cell r="AX1947">
            <v>276</v>
          </cell>
        </row>
        <row r="1948">
          <cell r="E1948" t="str">
            <v>FF</v>
          </cell>
          <cell r="AV1948">
            <v>365</v>
          </cell>
          <cell r="AX1948">
            <v>276</v>
          </cell>
        </row>
        <row r="1949">
          <cell r="E1949" t="str">
            <v>FF</v>
          </cell>
          <cell r="AV1949">
            <v>365</v>
          </cell>
          <cell r="AX1949">
            <v>276</v>
          </cell>
        </row>
        <row r="1950">
          <cell r="E1950" t="str">
            <v>FF</v>
          </cell>
          <cell r="AV1950">
            <v>365</v>
          </cell>
          <cell r="AX1950">
            <v>276</v>
          </cell>
        </row>
        <row r="1951">
          <cell r="E1951" t="str">
            <v>FF</v>
          </cell>
          <cell r="AV1951">
            <v>365</v>
          </cell>
          <cell r="AX1951">
            <v>276</v>
          </cell>
        </row>
        <row r="1952">
          <cell r="E1952" t="str">
            <v>FF</v>
          </cell>
          <cell r="AV1952">
            <v>365</v>
          </cell>
          <cell r="AX1952">
            <v>276</v>
          </cell>
        </row>
        <row r="1953">
          <cell r="AV1953">
            <v>365</v>
          </cell>
          <cell r="AX1953">
            <v>366</v>
          </cell>
        </row>
        <row r="1954">
          <cell r="AV1954">
            <v>365</v>
          </cell>
          <cell r="AX1954">
            <v>117</v>
          </cell>
        </row>
        <row r="1955">
          <cell r="AV1955">
            <v>365</v>
          </cell>
          <cell r="AX1955">
            <v>117</v>
          </cell>
        </row>
        <row r="1956">
          <cell r="AV1956">
            <v>365</v>
          </cell>
          <cell r="AX1956">
            <v>117</v>
          </cell>
        </row>
        <row r="1957">
          <cell r="AV1957">
            <v>365</v>
          </cell>
          <cell r="AX1957">
            <v>366</v>
          </cell>
          <cell r="AZ1957">
            <v>0.16209999999999999</v>
          </cell>
          <cell r="BA1957">
            <v>1</v>
          </cell>
          <cell r="BB1957">
            <v>110.84975342465752</v>
          </cell>
        </row>
        <row r="1958">
          <cell r="E1958" t="str">
            <v>Mezzanine</v>
          </cell>
          <cell r="F1958" t="str">
            <v>Intermediate</v>
          </cell>
          <cell r="AV1958">
            <v>365</v>
          </cell>
          <cell r="AX1958">
            <v>129</v>
          </cell>
        </row>
        <row r="1959">
          <cell r="AV1959">
            <v>365</v>
          </cell>
          <cell r="AX1959">
            <v>21</v>
          </cell>
        </row>
        <row r="1960">
          <cell r="E1960" t="str">
            <v>GF</v>
          </cell>
          <cell r="AV1960">
            <v>365</v>
          </cell>
          <cell r="AX1960">
            <v>130</v>
          </cell>
        </row>
        <row r="1961">
          <cell r="E1961" t="str">
            <v>GF</v>
          </cell>
          <cell r="AV1961">
            <v>365</v>
          </cell>
          <cell r="AX1961">
            <v>130</v>
          </cell>
        </row>
        <row r="1962">
          <cell r="AV1962">
            <v>365</v>
          </cell>
          <cell r="AX1962">
            <v>123</v>
          </cell>
        </row>
        <row r="1963">
          <cell r="AV1963">
            <v>365</v>
          </cell>
          <cell r="AX1963">
            <v>123</v>
          </cell>
        </row>
        <row r="1964">
          <cell r="AV1964">
            <v>365</v>
          </cell>
          <cell r="AX1964">
            <v>123</v>
          </cell>
        </row>
        <row r="1965">
          <cell r="AV1965">
            <v>365</v>
          </cell>
          <cell r="AX1965">
            <v>123</v>
          </cell>
        </row>
        <row r="1966">
          <cell r="AV1966">
            <v>365</v>
          </cell>
          <cell r="AX1966">
            <v>123</v>
          </cell>
        </row>
        <row r="1967">
          <cell r="AV1967">
            <v>365</v>
          </cell>
          <cell r="AX1967">
            <v>123</v>
          </cell>
        </row>
        <row r="1968">
          <cell r="AV1968">
            <v>365</v>
          </cell>
          <cell r="AX1968">
            <v>123</v>
          </cell>
        </row>
        <row r="1969">
          <cell r="AV1969">
            <v>365</v>
          </cell>
          <cell r="AX1969">
            <v>366</v>
          </cell>
        </row>
        <row r="1970">
          <cell r="AV1970">
            <v>198</v>
          </cell>
        </row>
        <row r="1971">
          <cell r="AV1971">
            <v>198</v>
          </cell>
        </row>
        <row r="1972">
          <cell r="AV1972">
            <v>198</v>
          </cell>
        </row>
        <row r="1973">
          <cell r="AV1973">
            <v>365</v>
          </cell>
          <cell r="AX1973">
            <v>366</v>
          </cell>
        </row>
        <row r="1974">
          <cell r="AV1974">
            <v>335</v>
          </cell>
        </row>
        <row r="1975">
          <cell r="E1975" t="str">
            <v>FF</v>
          </cell>
          <cell r="AV1975">
            <v>365</v>
          </cell>
          <cell r="AX1975">
            <v>336</v>
          </cell>
        </row>
        <row r="1976">
          <cell r="AV1976">
            <v>289</v>
          </cell>
        </row>
        <row r="1977">
          <cell r="AV1977">
            <v>289</v>
          </cell>
        </row>
        <row r="1978">
          <cell r="E1978" t="str">
            <v>FF</v>
          </cell>
          <cell r="AV1978">
            <v>365</v>
          </cell>
          <cell r="AX1978">
            <v>336</v>
          </cell>
        </row>
        <row r="1979">
          <cell r="E1979" t="str">
            <v>FF</v>
          </cell>
          <cell r="F1979" t="str">
            <v>Pharma</v>
          </cell>
          <cell r="AV1979">
            <v>365</v>
          </cell>
          <cell r="AX1979">
            <v>33</v>
          </cell>
        </row>
        <row r="1980">
          <cell r="AV1980">
            <v>365</v>
          </cell>
          <cell r="AX1980">
            <v>337</v>
          </cell>
        </row>
        <row r="1981">
          <cell r="AV1981">
            <v>365</v>
          </cell>
          <cell r="AX1981">
            <v>366</v>
          </cell>
        </row>
        <row r="1982">
          <cell r="AV1982">
            <v>365</v>
          </cell>
          <cell r="AX1982">
            <v>366</v>
          </cell>
          <cell r="AZ1982">
            <v>6.3299999999999995E-2</v>
          </cell>
          <cell r="BA1982">
            <v>212</v>
          </cell>
          <cell r="BB1982">
            <v>16125.836978630137</v>
          </cell>
        </row>
        <row r="1983">
          <cell r="AV1983">
            <v>365</v>
          </cell>
          <cell r="AX1983">
            <v>45</v>
          </cell>
        </row>
        <row r="1984">
          <cell r="AV1984">
            <v>365</v>
          </cell>
          <cell r="AX1984">
            <v>45</v>
          </cell>
        </row>
        <row r="1985">
          <cell r="AV1985">
            <v>365</v>
          </cell>
          <cell r="AX1985">
            <v>45</v>
          </cell>
        </row>
        <row r="1986">
          <cell r="AV1986">
            <v>365</v>
          </cell>
          <cell r="AX1986">
            <v>45</v>
          </cell>
        </row>
        <row r="1987">
          <cell r="AV1987">
            <v>365</v>
          </cell>
          <cell r="AX1987">
            <v>45</v>
          </cell>
        </row>
        <row r="1988">
          <cell r="AV1988">
            <v>365</v>
          </cell>
          <cell r="AX1988">
            <v>45</v>
          </cell>
        </row>
        <row r="1989">
          <cell r="AV1989">
            <v>365</v>
          </cell>
          <cell r="AX1989">
            <v>1</v>
          </cell>
        </row>
        <row r="1990">
          <cell r="E1990" t="str">
            <v>FF</v>
          </cell>
          <cell r="F1990" t="str">
            <v>Intermediate</v>
          </cell>
          <cell r="AV1990">
            <v>365</v>
          </cell>
          <cell r="AX1990">
            <v>129</v>
          </cell>
        </row>
        <row r="1991">
          <cell r="AV1991">
            <v>365</v>
          </cell>
          <cell r="AX1991">
            <v>55</v>
          </cell>
        </row>
        <row r="1992">
          <cell r="AV1992">
            <v>365</v>
          </cell>
          <cell r="AX1992">
            <v>55</v>
          </cell>
        </row>
        <row r="1993">
          <cell r="AV1993">
            <v>198</v>
          </cell>
        </row>
        <row r="1994">
          <cell r="AV1994">
            <v>198</v>
          </cell>
        </row>
        <row r="1995">
          <cell r="AV1995">
            <v>198</v>
          </cell>
        </row>
        <row r="1996">
          <cell r="AV1996">
            <v>365</v>
          </cell>
          <cell r="AX1996">
            <v>137</v>
          </cell>
        </row>
        <row r="1997">
          <cell r="AV1997">
            <v>365</v>
          </cell>
          <cell r="AX1997">
            <v>137</v>
          </cell>
        </row>
        <row r="1998">
          <cell r="E1998" t="str">
            <v>FF</v>
          </cell>
          <cell r="F1998" t="str">
            <v>Intermediate</v>
          </cell>
          <cell r="AV1998">
            <v>365</v>
          </cell>
          <cell r="AX1998">
            <v>129</v>
          </cell>
        </row>
        <row r="1999">
          <cell r="E1999" t="str">
            <v>FF</v>
          </cell>
          <cell r="F1999" t="str">
            <v>Intermediate</v>
          </cell>
          <cell r="AV1999">
            <v>365</v>
          </cell>
          <cell r="AX1999">
            <v>129</v>
          </cell>
        </row>
        <row r="2000">
          <cell r="E2000" t="str">
            <v>GF</v>
          </cell>
          <cell r="F2000" t="str">
            <v>Intermediate</v>
          </cell>
          <cell r="AV2000">
            <v>365</v>
          </cell>
          <cell r="AX2000">
            <v>129</v>
          </cell>
        </row>
        <row r="2001">
          <cell r="E2001" t="str">
            <v>FF</v>
          </cell>
          <cell r="F2001" t="str">
            <v>Intermediate</v>
          </cell>
          <cell r="AV2001">
            <v>365</v>
          </cell>
          <cell r="AX2001">
            <v>129</v>
          </cell>
        </row>
        <row r="2002">
          <cell r="E2002" t="str">
            <v>GF</v>
          </cell>
          <cell r="F2002" t="str">
            <v>Pharma</v>
          </cell>
          <cell r="AV2002">
            <v>365</v>
          </cell>
          <cell r="AX2002">
            <v>129</v>
          </cell>
        </row>
        <row r="2003">
          <cell r="E2003" t="str">
            <v>GF</v>
          </cell>
          <cell r="F2003" t="str">
            <v>Intermediate</v>
          </cell>
          <cell r="AV2003">
            <v>365</v>
          </cell>
          <cell r="AX2003">
            <v>129</v>
          </cell>
        </row>
        <row r="2004">
          <cell r="AV2004">
            <v>365</v>
          </cell>
          <cell r="AX2004">
            <v>129</v>
          </cell>
        </row>
        <row r="2005">
          <cell r="AV2005">
            <v>365</v>
          </cell>
          <cell r="AX2005">
            <v>129</v>
          </cell>
        </row>
        <row r="2006">
          <cell r="E2006" t="str">
            <v>FF</v>
          </cell>
          <cell r="F2006" t="str">
            <v>Intermediate</v>
          </cell>
          <cell r="AV2006">
            <v>365</v>
          </cell>
          <cell r="AX2006">
            <v>129</v>
          </cell>
        </row>
        <row r="2007">
          <cell r="E2007" t="str">
            <v>GF</v>
          </cell>
          <cell r="AV2007">
            <v>365</v>
          </cell>
          <cell r="AX2007">
            <v>130</v>
          </cell>
        </row>
        <row r="2008">
          <cell r="AV2008">
            <v>365</v>
          </cell>
          <cell r="AX2008">
            <v>366</v>
          </cell>
        </row>
        <row r="2009">
          <cell r="AV2009">
            <v>355</v>
          </cell>
        </row>
        <row r="2010">
          <cell r="AV2010">
            <v>198</v>
          </cell>
        </row>
        <row r="2011">
          <cell r="AV2011">
            <v>198</v>
          </cell>
        </row>
        <row r="2012">
          <cell r="AV2012">
            <v>198</v>
          </cell>
        </row>
        <row r="2013">
          <cell r="AV2013">
            <v>198</v>
          </cell>
        </row>
        <row r="2014">
          <cell r="AV2014">
            <v>198</v>
          </cell>
        </row>
        <row r="2015">
          <cell r="AV2015">
            <v>198</v>
          </cell>
        </row>
        <row r="2016">
          <cell r="AV2016">
            <v>198</v>
          </cell>
        </row>
        <row r="2017">
          <cell r="AV2017">
            <v>198</v>
          </cell>
        </row>
        <row r="2018">
          <cell r="AV2018">
            <v>365</v>
          </cell>
          <cell r="AX2018">
            <v>60</v>
          </cell>
        </row>
        <row r="2019">
          <cell r="AV2019">
            <v>365</v>
          </cell>
          <cell r="AX2019">
            <v>366</v>
          </cell>
        </row>
        <row r="2020">
          <cell r="AV2020">
            <v>365</v>
          </cell>
          <cell r="AX2020">
            <v>366</v>
          </cell>
        </row>
        <row r="2021">
          <cell r="AV2021">
            <v>365</v>
          </cell>
          <cell r="AX2021">
            <v>366</v>
          </cell>
        </row>
        <row r="2022">
          <cell r="AV2022">
            <v>365</v>
          </cell>
          <cell r="AX2022">
            <v>366</v>
          </cell>
          <cell r="AZ2022">
            <v>0.16209999999999999</v>
          </cell>
          <cell r="BA2022">
            <v>276</v>
          </cell>
          <cell r="BB2022">
            <v>21940.790136986299</v>
          </cell>
        </row>
        <row r="2023">
          <cell r="AV2023">
            <v>365</v>
          </cell>
          <cell r="AX2023">
            <v>366</v>
          </cell>
          <cell r="AZ2023">
            <v>0.16209999999999999</v>
          </cell>
          <cell r="BA2023">
            <v>276</v>
          </cell>
          <cell r="BB2023">
            <v>3530.1383013698628</v>
          </cell>
        </row>
        <row r="2024">
          <cell r="AV2024">
            <v>365</v>
          </cell>
          <cell r="AX2024">
            <v>366</v>
          </cell>
          <cell r="AZ2024">
            <v>0.16209999999999999</v>
          </cell>
          <cell r="BA2024">
            <v>276</v>
          </cell>
          <cell r="BB2024">
            <v>4559.7619726027397</v>
          </cell>
        </row>
        <row r="2025">
          <cell r="AV2025">
            <v>365</v>
          </cell>
          <cell r="AX2025">
            <v>72</v>
          </cell>
        </row>
        <row r="2026">
          <cell r="E2026" t="str">
            <v>SF</v>
          </cell>
          <cell r="AV2026">
            <v>365</v>
          </cell>
          <cell r="AX2026">
            <v>21</v>
          </cell>
        </row>
        <row r="2027">
          <cell r="AX2027">
            <v>109</v>
          </cell>
        </row>
        <row r="2028">
          <cell r="E2028" t="str">
            <v>GC</v>
          </cell>
          <cell r="AV2028">
            <v>365</v>
          </cell>
          <cell r="AX2028">
            <v>366</v>
          </cell>
          <cell r="AZ2028">
            <v>0.16209999999999999</v>
          </cell>
          <cell r="BA2028">
            <v>158</v>
          </cell>
          <cell r="BB2028">
            <v>18572.414312328765</v>
          </cell>
        </row>
        <row r="2029">
          <cell r="AV2029">
            <v>365</v>
          </cell>
          <cell r="AX2029">
            <v>123</v>
          </cell>
        </row>
        <row r="2030">
          <cell r="AV2030">
            <v>365</v>
          </cell>
          <cell r="AX2030">
            <v>123</v>
          </cell>
        </row>
        <row r="2031">
          <cell r="AV2031">
            <v>365</v>
          </cell>
          <cell r="AX2031">
            <v>130</v>
          </cell>
        </row>
        <row r="2032">
          <cell r="AV2032">
            <v>365</v>
          </cell>
          <cell r="AX2032">
            <v>130</v>
          </cell>
        </row>
        <row r="2033">
          <cell r="AX2033">
            <v>316</v>
          </cell>
        </row>
        <row r="2034">
          <cell r="AX2034">
            <v>366</v>
          </cell>
          <cell r="AZ2034">
            <v>0.16209999999999999</v>
          </cell>
          <cell r="BA2034">
            <v>365</v>
          </cell>
          <cell r="BB2034">
            <v>5106.1499999999996</v>
          </cell>
          <cell r="BC2034">
            <v>53</v>
          </cell>
        </row>
        <row r="2035">
          <cell r="AV2035">
            <v>365</v>
          </cell>
          <cell r="AX2035">
            <v>130</v>
          </cell>
        </row>
        <row r="2036">
          <cell r="AV2036">
            <v>365</v>
          </cell>
          <cell r="AX2036">
            <v>130</v>
          </cell>
        </row>
        <row r="2037">
          <cell r="AV2037">
            <v>365</v>
          </cell>
          <cell r="AX2037">
            <v>130</v>
          </cell>
        </row>
        <row r="2038">
          <cell r="AV2038">
            <v>365</v>
          </cell>
          <cell r="AX2038">
            <v>130</v>
          </cell>
        </row>
        <row r="2039">
          <cell r="AV2039">
            <v>365</v>
          </cell>
          <cell r="AX2039">
            <v>130</v>
          </cell>
        </row>
        <row r="2040">
          <cell r="AV2040">
            <v>365</v>
          </cell>
          <cell r="AX2040">
            <v>130</v>
          </cell>
        </row>
        <row r="2041">
          <cell r="AV2041">
            <v>365</v>
          </cell>
          <cell r="AX2041">
            <v>168</v>
          </cell>
        </row>
        <row r="2042">
          <cell r="AV2042">
            <v>365</v>
          </cell>
          <cell r="AX2042">
            <v>168</v>
          </cell>
        </row>
        <row r="2043">
          <cell r="AV2043">
            <v>365</v>
          </cell>
          <cell r="AX2043">
            <v>168</v>
          </cell>
        </row>
        <row r="2044">
          <cell r="AV2044">
            <v>365</v>
          </cell>
          <cell r="AX2044">
            <v>168</v>
          </cell>
        </row>
        <row r="2045">
          <cell r="AV2045">
            <v>365</v>
          </cell>
          <cell r="AX2045">
            <v>168</v>
          </cell>
        </row>
        <row r="2046">
          <cell r="AV2046">
            <v>365</v>
          </cell>
          <cell r="AX2046">
            <v>168</v>
          </cell>
        </row>
        <row r="2047">
          <cell r="AV2047">
            <v>365</v>
          </cell>
          <cell r="AX2047">
            <v>168</v>
          </cell>
        </row>
        <row r="2048">
          <cell r="AV2048">
            <v>365</v>
          </cell>
          <cell r="AX2048">
            <v>168</v>
          </cell>
        </row>
        <row r="2049">
          <cell r="AV2049">
            <v>365</v>
          </cell>
          <cell r="AX2049">
            <v>168</v>
          </cell>
        </row>
        <row r="2050">
          <cell r="AV2050">
            <v>365</v>
          </cell>
          <cell r="AX2050">
            <v>168</v>
          </cell>
        </row>
        <row r="2051">
          <cell r="AV2051">
            <v>365</v>
          </cell>
          <cell r="AX2051">
            <v>168</v>
          </cell>
        </row>
        <row r="2052">
          <cell r="AV2052">
            <v>365</v>
          </cell>
          <cell r="AX2052">
            <v>366</v>
          </cell>
        </row>
        <row r="2053">
          <cell r="AX2053">
            <v>351</v>
          </cell>
        </row>
        <row r="2054">
          <cell r="E2054" t="str">
            <v>SF</v>
          </cell>
          <cell r="AV2054">
            <v>365</v>
          </cell>
          <cell r="AX2054">
            <v>21</v>
          </cell>
        </row>
        <row r="2055">
          <cell r="AV2055">
            <v>365</v>
          </cell>
          <cell r="AX2055">
            <v>266</v>
          </cell>
        </row>
        <row r="2056">
          <cell r="E2056" t="str">
            <v>FF</v>
          </cell>
          <cell r="F2056" t="str">
            <v>Intermediate</v>
          </cell>
          <cell r="AV2056">
            <v>365</v>
          </cell>
          <cell r="AX2056">
            <v>129</v>
          </cell>
        </row>
        <row r="2057">
          <cell r="E2057" t="str">
            <v>GF</v>
          </cell>
          <cell r="AV2057">
            <v>365</v>
          </cell>
          <cell r="AX2057">
            <v>130</v>
          </cell>
        </row>
        <row r="2058">
          <cell r="E2058" t="str">
            <v>SF</v>
          </cell>
          <cell r="AV2058">
            <v>365</v>
          </cell>
          <cell r="AX2058">
            <v>21</v>
          </cell>
        </row>
        <row r="2059">
          <cell r="E2059" t="str">
            <v>SF</v>
          </cell>
          <cell r="AV2059">
            <v>365</v>
          </cell>
          <cell r="AX2059">
            <v>21</v>
          </cell>
        </row>
        <row r="2060">
          <cell r="E2060" t="str">
            <v>SF</v>
          </cell>
          <cell r="AV2060">
            <v>365</v>
          </cell>
          <cell r="AX2060">
            <v>21</v>
          </cell>
        </row>
        <row r="2061">
          <cell r="E2061" t="str">
            <v>SF</v>
          </cell>
          <cell r="AV2061">
            <v>365</v>
          </cell>
          <cell r="AX2061">
            <v>21</v>
          </cell>
        </row>
        <row r="2062">
          <cell r="E2062" t="str">
            <v>SF</v>
          </cell>
          <cell r="AV2062">
            <v>365</v>
          </cell>
          <cell r="AX2062">
            <v>21</v>
          </cell>
        </row>
        <row r="2063">
          <cell r="E2063" t="str">
            <v>SF</v>
          </cell>
          <cell r="AV2063">
            <v>365</v>
          </cell>
          <cell r="AX2063">
            <v>21</v>
          </cell>
        </row>
        <row r="2064">
          <cell r="E2064" t="str">
            <v>SF</v>
          </cell>
          <cell r="AV2064">
            <v>365</v>
          </cell>
          <cell r="AX2064">
            <v>21</v>
          </cell>
        </row>
        <row r="2065">
          <cell r="E2065" t="str">
            <v>SF</v>
          </cell>
          <cell r="AV2065">
            <v>365</v>
          </cell>
          <cell r="AX2065">
            <v>21</v>
          </cell>
        </row>
        <row r="2066">
          <cell r="E2066" t="str">
            <v>SF</v>
          </cell>
          <cell r="AV2066">
            <v>365</v>
          </cell>
          <cell r="AX2066">
            <v>21</v>
          </cell>
        </row>
        <row r="2067">
          <cell r="E2067" t="str">
            <v>SF</v>
          </cell>
          <cell r="AV2067">
            <v>365</v>
          </cell>
          <cell r="AX2067">
            <v>21</v>
          </cell>
        </row>
        <row r="2068">
          <cell r="AV2068">
            <v>365</v>
          </cell>
          <cell r="AX2068">
            <v>130</v>
          </cell>
        </row>
        <row r="2069">
          <cell r="AV2069">
            <v>365</v>
          </cell>
          <cell r="AX2069">
            <v>130</v>
          </cell>
        </row>
        <row r="2070">
          <cell r="AV2070">
            <v>365</v>
          </cell>
          <cell r="AX2070">
            <v>130</v>
          </cell>
        </row>
        <row r="2071">
          <cell r="AV2071">
            <v>365</v>
          </cell>
          <cell r="AX2071">
            <v>276</v>
          </cell>
        </row>
        <row r="2072">
          <cell r="AX2072">
            <v>366</v>
          </cell>
          <cell r="AZ2072">
            <v>6.3299999999999995E-2</v>
          </cell>
          <cell r="BA2072">
            <v>365</v>
          </cell>
          <cell r="BB2072">
            <v>1943.31</v>
          </cell>
          <cell r="BC2072">
            <v>90</v>
          </cell>
        </row>
        <row r="2073">
          <cell r="AV2073">
            <v>365</v>
          </cell>
          <cell r="AX2073">
            <v>130</v>
          </cell>
        </row>
        <row r="2074">
          <cell r="AV2074">
            <v>365</v>
          </cell>
          <cell r="AX2074">
            <v>130</v>
          </cell>
        </row>
        <row r="2075">
          <cell r="AV2075">
            <v>365</v>
          </cell>
          <cell r="AX2075">
            <v>366</v>
          </cell>
        </row>
        <row r="2076">
          <cell r="AV2076">
            <v>365</v>
          </cell>
          <cell r="AX2076">
            <v>184</v>
          </cell>
        </row>
        <row r="2077">
          <cell r="AV2077">
            <v>365</v>
          </cell>
          <cell r="AX2077">
            <v>184</v>
          </cell>
        </row>
        <row r="2078">
          <cell r="AV2078">
            <v>365</v>
          </cell>
          <cell r="AX2078">
            <v>184</v>
          </cell>
        </row>
        <row r="2079">
          <cell r="AV2079">
            <v>365</v>
          </cell>
          <cell r="AX2079">
            <v>130</v>
          </cell>
        </row>
        <row r="2080">
          <cell r="AV2080">
            <v>365</v>
          </cell>
          <cell r="AX2080">
            <v>130</v>
          </cell>
        </row>
        <row r="2081">
          <cell r="E2081" t="str">
            <v>GF</v>
          </cell>
          <cell r="AV2081">
            <v>365</v>
          </cell>
          <cell r="AX2081">
            <v>130</v>
          </cell>
        </row>
        <row r="2082">
          <cell r="AV2082">
            <v>365</v>
          </cell>
          <cell r="AX2082">
            <v>366</v>
          </cell>
        </row>
        <row r="2083">
          <cell r="E2083" t="str">
            <v>GF (50%)</v>
          </cell>
          <cell r="AV2083">
            <v>365</v>
          </cell>
          <cell r="AX2083">
            <v>60</v>
          </cell>
        </row>
        <row r="2084">
          <cell r="AV2084">
            <v>365</v>
          </cell>
          <cell r="AX2084">
            <v>267</v>
          </cell>
        </row>
        <row r="2085">
          <cell r="AV2085">
            <v>365</v>
          </cell>
          <cell r="AX2085">
            <v>267</v>
          </cell>
        </row>
        <row r="2086">
          <cell r="AV2086">
            <v>365</v>
          </cell>
          <cell r="AX2086">
            <v>267</v>
          </cell>
        </row>
        <row r="2087">
          <cell r="AV2087">
            <v>365</v>
          </cell>
          <cell r="AX2087">
            <v>267</v>
          </cell>
        </row>
        <row r="2088">
          <cell r="AV2088">
            <v>365</v>
          </cell>
          <cell r="AX2088">
            <v>130</v>
          </cell>
        </row>
        <row r="2089">
          <cell r="E2089" t="str">
            <v>FF</v>
          </cell>
          <cell r="F2089" t="str">
            <v>Intermediate</v>
          </cell>
          <cell r="AV2089">
            <v>365</v>
          </cell>
          <cell r="AX2089">
            <v>130</v>
          </cell>
        </row>
        <row r="2090">
          <cell r="E2090" t="str">
            <v>FF</v>
          </cell>
          <cell r="F2090" t="str">
            <v>Intermediate</v>
          </cell>
          <cell r="AV2090">
            <v>365</v>
          </cell>
          <cell r="AX2090">
            <v>130</v>
          </cell>
        </row>
        <row r="2091">
          <cell r="AV2091">
            <v>365</v>
          </cell>
          <cell r="AX2091">
            <v>366</v>
          </cell>
          <cell r="AZ2091">
            <v>0.16209999999999999</v>
          </cell>
          <cell r="BA2091">
            <v>365</v>
          </cell>
          <cell r="BB2091">
            <v>4781.95</v>
          </cell>
          <cell r="BC2091">
            <v>71</v>
          </cell>
        </row>
        <row r="2092">
          <cell r="AV2092">
            <v>365</v>
          </cell>
          <cell r="AX2092">
            <v>273</v>
          </cell>
        </row>
        <row r="2093">
          <cell r="AV2093">
            <v>365</v>
          </cell>
          <cell r="AX2093">
            <v>1</v>
          </cell>
        </row>
        <row r="2094">
          <cell r="AV2094">
            <v>365</v>
          </cell>
          <cell r="AX2094">
            <v>1</v>
          </cell>
        </row>
        <row r="2095">
          <cell r="AV2095">
            <v>365</v>
          </cell>
          <cell r="AX2095">
            <v>1</v>
          </cell>
        </row>
        <row r="2096">
          <cell r="AV2096">
            <v>365</v>
          </cell>
          <cell r="AX2096">
            <v>1</v>
          </cell>
        </row>
        <row r="2097">
          <cell r="AV2097">
            <v>365</v>
          </cell>
          <cell r="AX2097">
            <v>1</v>
          </cell>
        </row>
        <row r="2098">
          <cell r="AV2098">
            <v>365</v>
          </cell>
          <cell r="AX2098">
            <v>1</v>
          </cell>
        </row>
        <row r="2099">
          <cell r="AV2099">
            <v>365</v>
          </cell>
          <cell r="AX2099">
            <v>1</v>
          </cell>
        </row>
        <row r="2100">
          <cell r="AV2100">
            <v>365</v>
          </cell>
          <cell r="AX2100">
            <v>1</v>
          </cell>
        </row>
        <row r="2101">
          <cell r="AV2101">
            <v>365</v>
          </cell>
          <cell r="AX2101">
            <v>1</v>
          </cell>
        </row>
        <row r="2102">
          <cell r="AV2102">
            <v>365</v>
          </cell>
          <cell r="AX2102">
            <v>1</v>
          </cell>
        </row>
        <row r="2103">
          <cell r="AV2103">
            <v>365</v>
          </cell>
          <cell r="AX2103">
            <v>256</v>
          </cell>
        </row>
        <row r="2104">
          <cell r="E2104" t="str">
            <v>GF</v>
          </cell>
          <cell r="AV2104">
            <v>365</v>
          </cell>
          <cell r="AX2104">
            <v>312</v>
          </cell>
        </row>
        <row r="2105">
          <cell r="D2105" t="str">
            <v>GC-IB</v>
          </cell>
          <cell r="E2105" t="str">
            <v>GF</v>
          </cell>
          <cell r="F2105" t="str">
            <v>Intermediate</v>
          </cell>
          <cell r="AV2105">
            <v>305</v>
          </cell>
        </row>
        <row r="2106">
          <cell r="E2106" t="str">
            <v>FF</v>
          </cell>
          <cell r="AV2106">
            <v>365</v>
          </cell>
          <cell r="AX2106">
            <v>276</v>
          </cell>
        </row>
        <row r="2107">
          <cell r="E2107" t="str">
            <v>FF</v>
          </cell>
          <cell r="AV2107">
            <v>365</v>
          </cell>
          <cell r="AX2107">
            <v>276</v>
          </cell>
        </row>
        <row r="2108">
          <cell r="E2108" t="str">
            <v>FF</v>
          </cell>
          <cell r="AV2108">
            <v>365</v>
          </cell>
          <cell r="AX2108">
            <v>276</v>
          </cell>
        </row>
        <row r="2109">
          <cell r="E2109" t="str">
            <v>FF</v>
          </cell>
          <cell r="AV2109">
            <v>365</v>
          </cell>
          <cell r="AX2109">
            <v>276</v>
          </cell>
        </row>
        <row r="2110">
          <cell r="E2110" t="str">
            <v>FF</v>
          </cell>
          <cell r="AV2110">
            <v>365</v>
          </cell>
          <cell r="AX2110">
            <v>276</v>
          </cell>
        </row>
        <row r="2111">
          <cell r="E2111" t="str">
            <v>FF</v>
          </cell>
          <cell r="AV2111">
            <v>365</v>
          </cell>
          <cell r="AX2111">
            <v>276</v>
          </cell>
        </row>
        <row r="2112">
          <cell r="E2112" t="str">
            <v>FF</v>
          </cell>
          <cell r="AV2112">
            <v>365</v>
          </cell>
          <cell r="AX2112">
            <v>276</v>
          </cell>
        </row>
        <row r="2113">
          <cell r="E2113" t="str">
            <v>FF</v>
          </cell>
          <cell r="AV2113">
            <v>365</v>
          </cell>
          <cell r="AX2113">
            <v>276</v>
          </cell>
        </row>
        <row r="2114">
          <cell r="AV2114">
            <v>365</v>
          </cell>
          <cell r="AX2114">
            <v>184</v>
          </cell>
        </row>
        <row r="2115">
          <cell r="AV2115">
            <v>365</v>
          </cell>
          <cell r="AX2115">
            <v>184</v>
          </cell>
        </row>
        <row r="2116">
          <cell r="AV2116">
            <v>365</v>
          </cell>
          <cell r="AX2116">
            <v>184</v>
          </cell>
        </row>
        <row r="2117">
          <cell r="AV2117">
            <v>365</v>
          </cell>
          <cell r="AX2117">
            <v>184</v>
          </cell>
        </row>
        <row r="2118">
          <cell r="AV2118">
            <v>365</v>
          </cell>
          <cell r="AX2118">
            <v>184</v>
          </cell>
        </row>
        <row r="2119">
          <cell r="AV2119">
            <v>365</v>
          </cell>
          <cell r="AX2119">
            <v>184</v>
          </cell>
        </row>
        <row r="2120">
          <cell r="AV2120">
            <v>365</v>
          </cell>
          <cell r="AX2120">
            <v>184</v>
          </cell>
        </row>
        <row r="2121">
          <cell r="AV2121">
            <v>365</v>
          </cell>
          <cell r="AX2121">
            <v>1</v>
          </cell>
        </row>
        <row r="2122">
          <cell r="AV2122">
            <v>365</v>
          </cell>
          <cell r="AX2122">
            <v>267</v>
          </cell>
        </row>
        <row r="2123">
          <cell r="AV2123">
            <v>365</v>
          </cell>
          <cell r="AX2123">
            <v>267</v>
          </cell>
        </row>
        <row r="2124">
          <cell r="E2124" t="str">
            <v>FF</v>
          </cell>
          <cell r="AV2124">
            <v>365</v>
          </cell>
          <cell r="AX2124">
            <v>221</v>
          </cell>
        </row>
        <row r="2125">
          <cell r="AV2125">
            <v>365</v>
          </cell>
          <cell r="AX2125">
            <v>266</v>
          </cell>
        </row>
        <row r="2126">
          <cell r="E2126" t="str">
            <v>SF</v>
          </cell>
          <cell r="AV2126">
            <v>365</v>
          </cell>
          <cell r="AX2126">
            <v>21</v>
          </cell>
        </row>
        <row r="2127">
          <cell r="AV2127">
            <v>365</v>
          </cell>
          <cell r="AX2127">
            <v>366</v>
          </cell>
          <cell r="AZ2127">
            <v>6.3299999999999995E-2</v>
          </cell>
          <cell r="BA2127">
            <v>247</v>
          </cell>
          <cell r="BB2127">
            <v>22755.838570684929</v>
          </cell>
        </row>
        <row r="2128">
          <cell r="E2128" t="str">
            <v>GF</v>
          </cell>
          <cell r="AV2128">
            <v>365</v>
          </cell>
          <cell r="AX2128">
            <v>123</v>
          </cell>
        </row>
        <row r="2129">
          <cell r="E2129" t="str">
            <v>GF</v>
          </cell>
          <cell r="AV2129">
            <v>365</v>
          </cell>
          <cell r="AX2129">
            <v>123</v>
          </cell>
        </row>
        <row r="2130">
          <cell r="E2130" t="str">
            <v>FF</v>
          </cell>
          <cell r="AV2130">
            <v>365</v>
          </cell>
          <cell r="AX2130">
            <v>123</v>
          </cell>
        </row>
        <row r="2131">
          <cell r="E2131" t="str">
            <v>GF</v>
          </cell>
          <cell r="AV2131">
            <v>365</v>
          </cell>
          <cell r="AX2131">
            <v>123</v>
          </cell>
        </row>
        <row r="2132">
          <cell r="E2132" t="str">
            <v>FF</v>
          </cell>
          <cell r="AV2132">
            <v>365</v>
          </cell>
          <cell r="AX2132">
            <v>123</v>
          </cell>
        </row>
        <row r="2133">
          <cell r="E2133" t="str">
            <v>GF</v>
          </cell>
          <cell r="AV2133">
            <v>365</v>
          </cell>
          <cell r="AX2133">
            <v>123</v>
          </cell>
        </row>
        <row r="2134">
          <cell r="E2134" t="str">
            <v>GF</v>
          </cell>
          <cell r="AV2134">
            <v>365</v>
          </cell>
          <cell r="AX2134">
            <v>123</v>
          </cell>
        </row>
        <row r="2135">
          <cell r="E2135" t="str">
            <v>GF</v>
          </cell>
          <cell r="AV2135">
            <v>365</v>
          </cell>
          <cell r="AX2135">
            <v>123</v>
          </cell>
        </row>
        <row r="2136">
          <cell r="F2136" t="str">
            <v>Pharma</v>
          </cell>
          <cell r="AV2136">
            <v>365</v>
          </cell>
          <cell r="AX2136">
            <v>123</v>
          </cell>
        </row>
        <row r="2137">
          <cell r="F2137" t="str">
            <v>Pharma</v>
          </cell>
          <cell r="AV2137">
            <v>365</v>
          </cell>
          <cell r="AX2137">
            <v>123</v>
          </cell>
        </row>
        <row r="2138">
          <cell r="E2138" t="str">
            <v>GF</v>
          </cell>
          <cell r="AV2138">
            <v>365</v>
          </cell>
          <cell r="AX2138">
            <v>123</v>
          </cell>
        </row>
        <row r="2139">
          <cell r="AV2139">
            <v>365</v>
          </cell>
          <cell r="AX2139">
            <v>123</v>
          </cell>
        </row>
        <row r="2140">
          <cell r="AV2140">
            <v>365</v>
          </cell>
          <cell r="AX2140">
            <v>123</v>
          </cell>
        </row>
        <row r="2141">
          <cell r="AV2141">
            <v>365</v>
          </cell>
          <cell r="AX2141">
            <v>123</v>
          </cell>
        </row>
        <row r="2142">
          <cell r="AV2142">
            <v>365</v>
          </cell>
          <cell r="AX2142">
            <v>123</v>
          </cell>
        </row>
        <row r="2143">
          <cell r="E2143" t="str">
            <v>FF</v>
          </cell>
          <cell r="F2143" t="str">
            <v>Intermediate</v>
          </cell>
          <cell r="AV2143">
            <v>365</v>
          </cell>
          <cell r="AX2143">
            <v>123</v>
          </cell>
        </row>
        <row r="2144">
          <cell r="E2144" t="str">
            <v>GF</v>
          </cell>
          <cell r="AV2144">
            <v>289</v>
          </cell>
        </row>
        <row r="2145">
          <cell r="AV2145">
            <v>289</v>
          </cell>
        </row>
        <row r="2146">
          <cell r="AV2146">
            <v>365</v>
          </cell>
          <cell r="AX2146">
            <v>129</v>
          </cell>
        </row>
        <row r="2147">
          <cell r="AV2147">
            <v>365</v>
          </cell>
          <cell r="AX2147">
            <v>122</v>
          </cell>
        </row>
        <row r="2148">
          <cell r="AV2148">
            <v>365</v>
          </cell>
          <cell r="AX2148">
            <v>129</v>
          </cell>
        </row>
        <row r="2149">
          <cell r="AV2149">
            <v>365</v>
          </cell>
        </row>
        <row r="2150">
          <cell r="AV2150">
            <v>198</v>
          </cell>
        </row>
        <row r="2151">
          <cell r="E2151" t="str">
            <v>GF</v>
          </cell>
          <cell r="F2151" t="str">
            <v>Intermediate</v>
          </cell>
          <cell r="AV2151">
            <v>305</v>
          </cell>
        </row>
        <row r="2152">
          <cell r="E2152" t="str">
            <v>FF</v>
          </cell>
          <cell r="F2152" t="str">
            <v>Intermediate</v>
          </cell>
          <cell r="AV2152">
            <v>305</v>
          </cell>
        </row>
        <row r="2153">
          <cell r="AV2153">
            <v>305</v>
          </cell>
        </row>
        <row r="2154">
          <cell r="AV2154">
            <v>365</v>
          </cell>
          <cell r="AX2154">
            <v>107</v>
          </cell>
        </row>
        <row r="2155">
          <cell r="AV2155">
            <v>365</v>
          </cell>
        </row>
        <row r="2156">
          <cell r="D2156" t="str">
            <v>GC - IA</v>
          </cell>
          <cell r="E2156" t="str">
            <v>GF</v>
          </cell>
          <cell r="F2156" t="str">
            <v>Intermediate</v>
          </cell>
          <cell r="AV2156">
            <v>365</v>
          </cell>
          <cell r="AX2156">
            <v>33</v>
          </cell>
        </row>
        <row r="2157">
          <cell r="AV2157">
            <v>289</v>
          </cell>
        </row>
        <row r="2158">
          <cell r="AV2158">
            <v>365</v>
          </cell>
          <cell r="AX2158">
            <v>129</v>
          </cell>
        </row>
        <row r="2159">
          <cell r="AV2159">
            <v>365</v>
          </cell>
          <cell r="AX2159">
            <v>129</v>
          </cell>
        </row>
        <row r="2160">
          <cell r="AV2160">
            <v>365</v>
          </cell>
          <cell r="AX2160">
            <v>129</v>
          </cell>
        </row>
        <row r="2161">
          <cell r="AV2161">
            <v>365</v>
          </cell>
          <cell r="AX2161">
            <v>129</v>
          </cell>
        </row>
        <row r="2162">
          <cell r="AV2162">
            <v>365</v>
          </cell>
          <cell r="AX2162">
            <v>129</v>
          </cell>
        </row>
        <row r="2163">
          <cell r="E2163" t="str">
            <v>GF</v>
          </cell>
          <cell r="AV2163">
            <v>365</v>
          </cell>
          <cell r="AX2163">
            <v>336</v>
          </cell>
        </row>
        <row r="2164">
          <cell r="AV2164">
            <v>365</v>
          </cell>
          <cell r="AX2164">
            <v>266</v>
          </cell>
        </row>
        <row r="2165">
          <cell r="AV2165">
            <v>365</v>
          </cell>
          <cell r="AX2165">
            <v>130</v>
          </cell>
        </row>
        <row r="2166">
          <cell r="AV2166">
            <v>365</v>
          </cell>
          <cell r="AX2166">
            <v>267</v>
          </cell>
        </row>
        <row r="2167">
          <cell r="AV2167">
            <v>365</v>
          </cell>
          <cell r="AX2167">
            <v>267</v>
          </cell>
        </row>
        <row r="2168">
          <cell r="AV2168">
            <v>365</v>
          </cell>
          <cell r="AX2168">
            <v>267</v>
          </cell>
        </row>
        <row r="2169">
          <cell r="AV2169">
            <v>365</v>
          </cell>
          <cell r="AX2169">
            <v>267</v>
          </cell>
        </row>
        <row r="2170">
          <cell r="AV2170">
            <v>365</v>
          </cell>
          <cell r="AX2170">
            <v>267</v>
          </cell>
        </row>
        <row r="2171">
          <cell r="AV2171">
            <v>365</v>
          </cell>
          <cell r="AX2171">
            <v>267</v>
          </cell>
        </row>
        <row r="2172">
          <cell r="AV2172">
            <v>365</v>
          </cell>
          <cell r="AX2172">
            <v>267</v>
          </cell>
        </row>
        <row r="2173">
          <cell r="AV2173">
            <v>365</v>
          </cell>
          <cell r="AX2173">
            <v>267</v>
          </cell>
        </row>
        <row r="2174">
          <cell r="AV2174">
            <v>365</v>
          </cell>
          <cell r="AX2174">
            <v>267</v>
          </cell>
        </row>
        <row r="2175">
          <cell r="AV2175">
            <v>365</v>
          </cell>
          <cell r="AX2175">
            <v>267</v>
          </cell>
        </row>
        <row r="2176">
          <cell r="AV2176">
            <v>365</v>
          </cell>
          <cell r="AX2176">
            <v>267</v>
          </cell>
        </row>
        <row r="2177">
          <cell r="AV2177">
            <v>365</v>
          </cell>
          <cell r="AX2177">
            <v>267</v>
          </cell>
        </row>
        <row r="2178">
          <cell r="AV2178">
            <v>365</v>
          </cell>
          <cell r="AX2178">
            <v>267</v>
          </cell>
        </row>
        <row r="2179">
          <cell r="AV2179">
            <v>365</v>
          </cell>
          <cell r="AX2179">
            <v>366</v>
          </cell>
        </row>
        <row r="2180">
          <cell r="AX2180">
            <v>366</v>
          </cell>
          <cell r="AZ2180">
            <v>0.16209999999999999</v>
          </cell>
          <cell r="BA2180">
            <v>365</v>
          </cell>
          <cell r="BB2180">
            <v>4147.1664000000001</v>
          </cell>
          <cell r="BC2180">
            <v>9</v>
          </cell>
        </row>
        <row r="2181">
          <cell r="AV2181">
            <v>365</v>
          </cell>
          <cell r="AX2181">
            <v>1</v>
          </cell>
        </row>
        <row r="2182">
          <cell r="AV2182">
            <v>365</v>
          </cell>
          <cell r="AX2182">
            <v>1</v>
          </cell>
        </row>
        <row r="2183">
          <cell r="AV2183">
            <v>365</v>
          </cell>
          <cell r="AX2183">
            <v>1</v>
          </cell>
        </row>
        <row r="2184">
          <cell r="AV2184">
            <v>365</v>
          </cell>
          <cell r="AX2184">
            <v>1</v>
          </cell>
        </row>
        <row r="2185">
          <cell r="AV2185">
            <v>365</v>
          </cell>
          <cell r="AX2185">
            <v>1</v>
          </cell>
        </row>
        <row r="2186">
          <cell r="AV2186">
            <v>365</v>
          </cell>
          <cell r="AX2186">
            <v>1</v>
          </cell>
        </row>
        <row r="2187">
          <cell r="AV2187">
            <v>365</v>
          </cell>
          <cell r="AX2187">
            <v>1</v>
          </cell>
        </row>
        <row r="2188">
          <cell r="AV2188">
            <v>365</v>
          </cell>
          <cell r="AX2188">
            <v>1</v>
          </cell>
        </row>
        <row r="2189">
          <cell r="AV2189">
            <v>365</v>
          </cell>
          <cell r="AX2189">
            <v>1</v>
          </cell>
        </row>
        <row r="2190">
          <cell r="AV2190">
            <v>365</v>
          </cell>
          <cell r="AX2190">
            <v>1</v>
          </cell>
        </row>
        <row r="2191">
          <cell r="E2191" t="str">
            <v>GF</v>
          </cell>
          <cell r="F2191" t="str">
            <v>GC</v>
          </cell>
          <cell r="AV2191">
            <v>365</v>
          </cell>
          <cell r="AX2191">
            <v>51</v>
          </cell>
        </row>
        <row r="2192">
          <cell r="E2192" t="str">
            <v>GF</v>
          </cell>
          <cell r="F2192" t="str">
            <v>GC</v>
          </cell>
          <cell r="AV2192">
            <v>365</v>
          </cell>
          <cell r="AX2192">
            <v>51</v>
          </cell>
        </row>
        <row r="2193">
          <cell r="D2193" t="str">
            <v>Utilities</v>
          </cell>
          <cell r="E2193" t="str">
            <v>UTILITY</v>
          </cell>
          <cell r="AV2193">
            <v>365</v>
          </cell>
          <cell r="AX2193">
            <v>130</v>
          </cell>
        </row>
        <row r="2194">
          <cell r="D2194" t="str">
            <v>GC - IA</v>
          </cell>
          <cell r="E2194" t="str">
            <v>GF</v>
          </cell>
          <cell r="F2194" t="str">
            <v>Intermediate</v>
          </cell>
          <cell r="AV2194">
            <v>365</v>
          </cell>
          <cell r="AX2194">
            <v>100</v>
          </cell>
        </row>
        <row r="2195">
          <cell r="D2195" t="str">
            <v>GC - IA</v>
          </cell>
          <cell r="E2195" t="str">
            <v>GF</v>
          </cell>
          <cell r="F2195" t="str">
            <v>Intermediate</v>
          </cell>
          <cell r="AV2195">
            <v>365</v>
          </cell>
          <cell r="AX2195">
            <v>100</v>
          </cell>
        </row>
        <row r="2196">
          <cell r="AV2196">
            <v>289</v>
          </cell>
        </row>
        <row r="2197">
          <cell r="AV2197">
            <v>289</v>
          </cell>
        </row>
        <row r="2198">
          <cell r="AV2198">
            <v>289</v>
          </cell>
        </row>
        <row r="2199">
          <cell r="AV2199">
            <v>289</v>
          </cell>
        </row>
        <row r="2200">
          <cell r="AV2200">
            <v>289</v>
          </cell>
        </row>
        <row r="2201">
          <cell r="AV2201">
            <v>289</v>
          </cell>
        </row>
        <row r="2202">
          <cell r="AV2202">
            <v>289</v>
          </cell>
        </row>
        <row r="2203">
          <cell r="AV2203">
            <v>289</v>
          </cell>
        </row>
        <row r="2204">
          <cell r="AV2204">
            <v>289</v>
          </cell>
        </row>
        <row r="2205">
          <cell r="AV2205">
            <v>289</v>
          </cell>
        </row>
        <row r="2206">
          <cell r="AV2206">
            <v>289</v>
          </cell>
        </row>
        <row r="2207">
          <cell r="AV2207">
            <v>289</v>
          </cell>
        </row>
        <row r="2208">
          <cell r="AX2208">
            <v>366</v>
          </cell>
          <cell r="AZ2208">
            <v>0.16209999999999999</v>
          </cell>
          <cell r="BA2208">
            <v>8</v>
          </cell>
          <cell r="BB2208">
            <v>88.821917808219183</v>
          </cell>
        </row>
        <row r="2209">
          <cell r="AV2209">
            <v>365</v>
          </cell>
          <cell r="AX2209">
            <v>267</v>
          </cell>
        </row>
        <row r="2210">
          <cell r="AV2210">
            <v>365</v>
          </cell>
          <cell r="AX2210">
            <v>267</v>
          </cell>
        </row>
        <row r="2211">
          <cell r="AX2211">
            <v>159</v>
          </cell>
        </row>
        <row r="2212">
          <cell r="AX2212">
            <v>352</v>
          </cell>
        </row>
        <row r="2213">
          <cell r="E2213" t="str">
            <v>GF</v>
          </cell>
          <cell r="F2213" t="str">
            <v>Intermediate</v>
          </cell>
          <cell r="AV2213">
            <v>365</v>
          </cell>
          <cell r="AX2213">
            <v>33</v>
          </cell>
        </row>
        <row r="2214">
          <cell r="E2214" t="str">
            <v>SF</v>
          </cell>
          <cell r="AV2214">
            <v>365</v>
          </cell>
          <cell r="AX2214">
            <v>183</v>
          </cell>
        </row>
        <row r="2215">
          <cell r="E2215" t="str">
            <v>GF</v>
          </cell>
          <cell r="AV2215">
            <v>365</v>
          </cell>
          <cell r="AX2215">
            <v>71</v>
          </cell>
        </row>
        <row r="2216">
          <cell r="AV2216">
            <v>365</v>
          </cell>
          <cell r="AX2216">
            <v>267</v>
          </cell>
        </row>
        <row r="2217">
          <cell r="AV2217">
            <v>365</v>
          </cell>
          <cell r="AX2217">
            <v>267</v>
          </cell>
        </row>
        <row r="2218">
          <cell r="F2218" t="str">
            <v xml:space="preserve">Admin </v>
          </cell>
          <cell r="AV2218">
            <v>365</v>
          </cell>
          <cell r="AX2218">
            <v>366</v>
          </cell>
          <cell r="AZ2218">
            <v>6.3299999999999995E-2</v>
          </cell>
          <cell r="BA2218">
            <v>158</v>
          </cell>
          <cell r="BB2218">
            <v>6411.8564383561643</v>
          </cell>
        </row>
        <row r="2219">
          <cell r="F2219" t="str">
            <v xml:space="preserve">Admin </v>
          </cell>
          <cell r="AV2219">
            <v>365</v>
          </cell>
          <cell r="AX2219">
            <v>366</v>
          </cell>
          <cell r="AZ2219">
            <v>6.3299999999999995E-2</v>
          </cell>
          <cell r="BA2219">
            <v>158</v>
          </cell>
          <cell r="BB2219">
            <v>6411.8564383561643</v>
          </cell>
        </row>
        <row r="2220">
          <cell r="AV2220">
            <v>365</v>
          </cell>
          <cell r="AX2220">
            <v>366</v>
          </cell>
          <cell r="AZ2220">
            <v>6.3299999999999995E-2</v>
          </cell>
          <cell r="BA2220">
            <v>158</v>
          </cell>
          <cell r="BB2220">
            <v>4476.3252279452054</v>
          </cell>
        </row>
        <row r="2221">
          <cell r="AV2221">
            <v>365</v>
          </cell>
          <cell r="AX2221">
            <v>183</v>
          </cell>
        </row>
        <row r="2222">
          <cell r="AV2222">
            <v>365</v>
          </cell>
          <cell r="AX2222">
            <v>183</v>
          </cell>
        </row>
        <row r="2223">
          <cell r="AV2223">
            <v>365</v>
          </cell>
          <cell r="AX2223">
            <v>183</v>
          </cell>
        </row>
        <row r="2224">
          <cell r="AV2224">
            <v>365</v>
          </cell>
          <cell r="AX2224">
            <v>183</v>
          </cell>
        </row>
        <row r="2225">
          <cell r="AV2225">
            <v>365</v>
          </cell>
          <cell r="AX2225">
            <v>183</v>
          </cell>
        </row>
        <row r="2226">
          <cell r="AV2226">
            <v>365</v>
          </cell>
          <cell r="AX2226">
            <v>101</v>
          </cell>
        </row>
        <row r="2227">
          <cell r="AV2227">
            <v>365</v>
          </cell>
          <cell r="AX2227">
            <v>101</v>
          </cell>
        </row>
        <row r="2228">
          <cell r="AV2228">
            <v>365</v>
          </cell>
          <cell r="AX2228">
            <v>101</v>
          </cell>
        </row>
        <row r="2229">
          <cell r="AV2229">
            <v>365</v>
          </cell>
          <cell r="AX2229">
            <v>85</v>
          </cell>
        </row>
        <row r="2230">
          <cell r="AV2230">
            <v>365</v>
          </cell>
          <cell r="AX2230">
            <v>85</v>
          </cell>
        </row>
        <row r="2231">
          <cell r="AV2231">
            <v>365</v>
          </cell>
          <cell r="AX2231">
            <v>85</v>
          </cell>
        </row>
        <row r="2232">
          <cell r="AV2232">
            <v>365</v>
          </cell>
          <cell r="AX2232">
            <v>85</v>
          </cell>
        </row>
        <row r="2233">
          <cell r="AV2233">
            <v>365</v>
          </cell>
          <cell r="AX2233">
            <v>85</v>
          </cell>
        </row>
        <row r="2234">
          <cell r="AV2234">
            <v>365</v>
          </cell>
          <cell r="AX2234">
            <v>366</v>
          </cell>
          <cell r="AZ2234">
            <v>6.3299999999999995E-2</v>
          </cell>
          <cell r="BA2234">
            <v>59</v>
          </cell>
          <cell r="BB2234">
            <v>7147.1925945205476</v>
          </cell>
        </row>
        <row r="2235">
          <cell r="AV2235">
            <v>198</v>
          </cell>
        </row>
        <row r="2236">
          <cell r="AV2236">
            <v>365</v>
          </cell>
          <cell r="AX2236">
            <v>55</v>
          </cell>
        </row>
        <row r="2237">
          <cell r="AV2237">
            <v>365</v>
          </cell>
          <cell r="AX2237">
            <v>55</v>
          </cell>
        </row>
        <row r="2238">
          <cell r="AV2238">
            <v>289</v>
          </cell>
        </row>
        <row r="2239">
          <cell r="E2239" t="str">
            <v>SF</v>
          </cell>
          <cell r="AV2239">
            <v>365</v>
          </cell>
          <cell r="AX2239">
            <v>21</v>
          </cell>
        </row>
        <row r="2240">
          <cell r="E2240" t="str">
            <v>SF</v>
          </cell>
          <cell r="AV2240">
            <v>365</v>
          </cell>
          <cell r="AX2240">
            <v>21</v>
          </cell>
        </row>
        <row r="2241">
          <cell r="E2241" t="str">
            <v>SF</v>
          </cell>
          <cell r="AV2241">
            <v>365</v>
          </cell>
          <cell r="AX2241">
            <v>21</v>
          </cell>
        </row>
        <row r="2242">
          <cell r="E2242" t="str">
            <v>SF</v>
          </cell>
          <cell r="AV2242">
            <v>365</v>
          </cell>
          <cell r="AX2242">
            <v>21</v>
          </cell>
        </row>
        <row r="2243">
          <cell r="E2243" t="str">
            <v>SF</v>
          </cell>
          <cell r="AV2243">
            <v>365</v>
          </cell>
          <cell r="AX2243">
            <v>21</v>
          </cell>
        </row>
        <row r="2244">
          <cell r="E2244" t="str">
            <v>SF</v>
          </cell>
          <cell r="AV2244">
            <v>365</v>
          </cell>
          <cell r="AX2244">
            <v>21</v>
          </cell>
        </row>
        <row r="2245">
          <cell r="E2245" t="str">
            <v>SF</v>
          </cell>
          <cell r="AV2245">
            <v>365</v>
          </cell>
          <cell r="AX2245">
            <v>21</v>
          </cell>
        </row>
        <row r="2246">
          <cell r="E2246" t="str">
            <v>SF</v>
          </cell>
          <cell r="AV2246">
            <v>365</v>
          </cell>
          <cell r="AX2246">
            <v>21</v>
          </cell>
        </row>
        <row r="2247">
          <cell r="E2247" t="str">
            <v>SF</v>
          </cell>
          <cell r="AV2247">
            <v>365</v>
          </cell>
          <cell r="AX2247">
            <v>21</v>
          </cell>
        </row>
        <row r="2248">
          <cell r="E2248" t="str">
            <v>SF</v>
          </cell>
          <cell r="AV2248">
            <v>365</v>
          </cell>
          <cell r="AX2248">
            <v>21</v>
          </cell>
        </row>
        <row r="2249">
          <cell r="E2249" t="str">
            <v>SF</v>
          </cell>
          <cell r="AV2249">
            <v>365</v>
          </cell>
          <cell r="AX2249">
            <v>21</v>
          </cell>
        </row>
        <row r="2250">
          <cell r="E2250" t="str">
            <v>SF</v>
          </cell>
          <cell r="AV2250">
            <v>365</v>
          </cell>
          <cell r="AX2250">
            <v>21</v>
          </cell>
        </row>
        <row r="2251">
          <cell r="E2251" t="str">
            <v>SF</v>
          </cell>
          <cell r="AV2251">
            <v>365</v>
          </cell>
          <cell r="AX2251">
            <v>21</v>
          </cell>
        </row>
        <row r="2252">
          <cell r="AV2252">
            <v>365</v>
          </cell>
          <cell r="AX2252">
            <v>62</v>
          </cell>
        </row>
        <row r="2253">
          <cell r="AV2253">
            <v>365</v>
          </cell>
          <cell r="AX2253">
            <v>184</v>
          </cell>
        </row>
        <row r="2254">
          <cell r="AV2254">
            <v>365</v>
          </cell>
          <cell r="AX2254">
            <v>184</v>
          </cell>
        </row>
        <row r="2255">
          <cell r="AV2255">
            <v>365</v>
          </cell>
          <cell r="AX2255">
            <v>184</v>
          </cell>
        </row>
        <row r="2256">
          <cell r="AV2256">
            <v>365</v>
          </cell>
          <cell r="AX2256">
            <v>184</v>
          </cell>
        </row>
        <row r="2257">
          <cell r="AV2257">
            <v>365</v>
          </cell>
          <cell r="AX2257">
            <v>184</v>
          </cell>
        </row>
        <row r="2258">
          <cell r="AV2258">
            <v>365</v>
          </cell>
          <cell r="AX2258">
            <v>184</v>
          </cell>
        </row>
        <row r="2259">
          <cell r="AV2259">
            <v>365</v>
          </cell>
          <cell r="AX2259">
            <v>184</v>
          </cell>
        </row>
        <row r="2260">
          <cell r="AV2260">
            <v>365</v>
          </cell>
          <cell r="AX2260">
            <v>184</v>
          </cell>
        </row>
        <row r="2261">
          <cell r="AV2261">
            <v>365</v>
          </cell>
          <cell r="AX2261">
            <v>184</v>
          </cell>
        </row>
        <row r="2262">
          <cell r="AV2262">
            <v>365</v>
          </cell>
          <cell r="AX2262">
            <v>184</v>
          </cell>
        </row>
        <row r="2263">
          <cell r="AV2263">
            <v>365</v>
          </cell>
          <cell r="AX2263">
            <v>184</v>
          </cell>
        </row>
        <row r="2264">
          <cell r="AV2264">
            <v>365</v>
          </cell>
          <cell r="AX2264">
            <v>184</v>
          </cell>
        </row>
        <row r="2265">
          <cell r="AV2265">
            <v>365</v>
          </cell>
          <cell r="AX2265">
            <v>184</v>
          </cell>
        </row>
        <row r="2266">
          <cell r="AV2266">
            <v>365</v>
          </cell>
          <cell r="AX2266">
            <v>184</v>
          </cell>
        </row>
        <row r="2267">
          <cell r="AV2267">
            <v>365</v>
          </cell>
          <cell r="AX2267">
            <v>184</v>
          </cell>
        </row>
        <row r="2268">
          <cell r="E2268" t="str">
            <v>GF</v>
          </cell>
          <cell r="AV2268">
            <v>365</v>
          </cell>
          <cell r="AX2268">
            <v>130</v>
          </cell>
        </row>
        <row r="2269">
          <cell r="AV2269">
            <v>365</v>
          </cell>
          <cell r="AX2269">
            <v>184</v>
          </cell>
        </row>
        <row r="2270">
          <cell r="AV2270">
            <v>365</v>
          </cell>
          <cell r="AX2270">
            <v>184</v>
          </cell>
        </row>
        <row r="2271">
          <cell r="AV2271">
            <v>365</v>
          </cell>
          <cell r="AX2271">
            <v>184</v>
          </cell>
        </row>
        <row r="2272">
          <cell r="AV2272">
            <v>365</v>
          </cell>
          <cell r="AX2272">
            <v>184</v>
          </cell>
        </row>
        <row r="2273">
          <cell r="AV2273">
            <v>365</v>
          </cell>
          <cell r="AX2273">
            <v>184</v>
          </cell>
        </row>
        <row r="2274">
          <cell r="AV2274">
            <v>365</v>
          </cell>
          <cell r="AX2274">
            <v>184</v>
          </cell>
        </row>
        <row r="2275">
          <cell r="AV2275">
            <v>365</v>
          </cell>
          <cell r="AX2275">
            <v>184</v>
          </cell>
        </row>
        <row r="2276">
          <cell r="AV2276">
            <v>365</v>
          </cell>
          <cell r="AX2276">
            <v>184</v>
          </cell>
        </row>
        <row r="2277">
          <cell r="AV2277">
            <v>365</v>
          </cell>
          <cell r="AX2277">
            <v>366</v>
          </cell>
        </row>
        <row r="2278">
          <cell r="AV2278">
            <v>365</v>
          </cell>
          <cell r="AX2278">
            <v>366</v>
          </cell>
        </row>
        <row r="2279">
          <cell r="AV2279">
            <v>365</v>
          </cell>
          <cell r="AX2279">
            <v>366</v>
          </cell>
        </row>
        <row r="2280">
          <cell r="AV2280">
            <v>365</v>
          </cell>
          <cell r="AX2280">
            <v>366</v>
          </cell>
        </row>
        <row r="2281">
          <cell r="AV2281">
            <v>365</v>
          </cell>
          <cell r="AX2281">
            <v>366</v>
          </cell>
        </row>
        <row r="2282">
          <cell r="AV2282">
            <v>365</v>
          </cell>
          <cell r="AX2282">
            <v>141</v>
          </cell>
        </row>
        <row r="2283">
          <cell r="AV2283">
            <v>198</v>
          </cell>
        </row>
        <row r="2284">
          <cell r="AV2284">
            <v>365</v>
          </cell>
          <cell r="AX2284">
            <v>33</v>
          </cell>
        </row>
        <row r="2285">
          <cell r="AV2285">
            <v>365</v>
          </cell>
          <cell r="AX2285">
            <v>267</v>
          </cell>
        </row>
        <row r="2286">
          <cell r="AV2286">
            <v>365</v>
          </cell>
          <cell r="AX2286">
            <v>267</v>
          </cell>
        </row>
        <row r="2287">
          <cell r="E2287" t="str">
            <v>GF</v>
          </cell>
          <cell r="F2287" t="str">
            <v>GC</v>
          </cell>
          <cell r="AV2287">
            <v>365</v>
          </cell>
          <cell r="AX2287">
            <v>307</v>
          </cell>
        </row>
        <row r="2288">
          <cell r="E2288" t="str">
            <v>GF</v>
          </cell>
          <cell r="F2288" t="str">
            <v>GC</v>
          </cell>
          <cell r="AV2288">
            <v>365</v>
          </cell>
          <cell r="AX2288">
            <v>307</v>
          </cell>
        </row>
        <row r="2289">
          <cell r="F2289" t="str">
            <v xml:space="preserve">Admin </v>
          </cell>
          <cell r="AV2289">
            <v>365</v>
          </cell>
          <cell r="AX2289">
            <v>307</v>
          </cell>
        </row>
        <row r="2290">
          <cell r="F2290" t="str">
            <v xml:space="preserve">Admin </v>
          </cell>
          <cell r="AV2290">
            <v>365</v>
          </cell>
          <cell r="AX2290">
            <v>307</v>
          </cell>
        </row>
        <row r="2291">
          <cell r="AV2291">
            <v>289</v>
          </cell>
        </row>
        <row r="2292">
          <cell r="AV2292">
            <v>365</v>
          </cell>
          <cell r="AX2292">
            <v>1</v>
          </cell>
        </row>
        <row r="2293">
          <cell r="E2293" t="str">
            <v>SF</v>
          </cell>
          <cell r="AV2293">
            <v>365</v>
          </cell>
          <cell r="AX2293">
            <v>21</v>
          </cell>
        </row>
        <row r="2294">
          <cell r="AV2294">
            <v>365</v>
          </cell>
          <cell r="AX2294">
            <v>366</v>
          </cell>
          <cell r="AZ2294">
            <v>0.16209999999999999</v>
          </cell>
          <cell r="BA2294">
            <v>354</v>
          </cell>
          <cell r="BB2294">
            <v>3458.725479452055</v>
          </cell>
        </row>
        <row r="2295">
          <cell r="E2295" t="str">
            <v>FF</v>
          </cell>
          <cell r="AV2295">
            <v>365</v>
          </cell>
          <cell r="AX2295">
            <v>245</v>
          </cell>
        </row>
        <row r="2296">
          <cell r="AV2296">
            <v>365</v>
          </cell>
          <cell r="AX2296">
            <v>366</v>
          </cell>
          <cell r="AZ2296">
            <v>6.3299999999999995E-2</v>
          </cell>
          <cell r="BA2296">
            <v>158</v>
          </cell>
          <cell r="BB2296">
            <v>613.59616541095886</v>
          </cell>
        </row>
        <row r="2297">
          <cell r="AV2297">
            <v>365</v>
          </cell>
          <cell r="AX2297">
            <v>366</v>
          </cell>
          <cell r="AZ2297">
            <v>6.3299999999999995E-2</v>
          </cell>
          <cell r="BA2297">
            <v>158</v>
          </cell>
          <cell r="BB2297">
            <v>1046.5506061643835</v>
          </cell>
        </row>
        <row r="2298">
          <cell r="AV2298">
            <v>365</v>
          </cell>
          <cell r="AX2298">
            <v>366</v>
          </cell>
          <cell r="AZ2298">
            <v>6.3299999999999995E-2</v>
          </cell>
          <cell r="BA2298">
            <v>158</v>
          </cell>
          <cell r="BB2298">
            <v>2783.8246123972599</v>
          </cell>
        </row>
        <row r="2299">
          <cell r="AV2299">
            <v>365</v>
          </cell>
          <cell r="AX2299">
            <v>366</v>
          </cell>
          <cell r="AZ2299">
            <v>6.3299999999999995E-2</v>
          </cell>
          <cell r="BA2299">
            <v>158</v>
          </cell>
          <cell r="BB2299">
            <v>1285.7621732876712</v>
          </cell>
        </row>
        <row r="2300">
          <cell r="AV2300">
            <v>365</v>
          </cell>
          <cell r="AX2300">
            <v>366</v>
          </cell>
          <cell r="AZ2300">
            <v>6.3299999999999995E-2</v>
          </cell>
          <cell r="BA2300">
            <v>158</v>
          </cell>
          <cell r="BB2300">
            <v>964.30621684931521</v>
          </cell>
        </row>
        <row r="2301">
          <cell r="AV2301">
            <v>365</v>
          </cell>
          <cell r="AX2301">
            <v>366</v>
          </cell>
          <cell r="AZ2301">
            <v>6.3299999999999995E-2</v>
          </cell>
          <cell r="BA2301">
            <v>158</v>
          </cell>
          <cell r="BB2301">
            <v>8372.4048493150676</v>
          </cell>
        </row>
        <row r="2302">
          <cell r="AV2302">
            <v>365</v>
          </cell>
          <cell r="AX2302">
            <v>366</v>
          </cell>
          <cell r="AZ2302">
            <v>6.3299999999999995E-2</v>
          </cell>
          <cell r="BA2302">
            <v>158</v>
          </cell>
          <cell r="BB2302">
            <v>3479.7884720547941</v>
          </cell>
        </row>
        <row r="2303">
          <cell r="AV2303">
            <v>365</v>
          </cell>
          <cell r="AX2303">
            <v>366</v>
          </cell>
          <cell r="AZ2303">
            <v>6.3299999999999995E-2</v>
          </cell>
          <cell r="BA2303">
            <v>158</v>
          </cell>
          <cell r="BB2303">
            <v>642.8810866438356</v>
          </cell>
        </row>
        <row r="2304">
          <cell r="AV2304">
            <v>198</v>
          </cell>
        </row>
        <row r="2305">
          <cell r="AV2305">
            <v>198</v>
          </cell>
        </row>
        <row r="2306">
          <cell r="AV2306">
            <v>198</v>
          </cell>
        </row>
        <row r="2307">
          <cell r="AV2307">
            <v>365</v>
          </cell>
          <cell r="AX2307">
            <v>21</v>
          </cell>
        </row>
        <row r="2308">
          <cell r="E2308" t="str">
            <v>FF</v>
          </cell>
          <cell r="AV2308">
            <v>365</v>
          </cell>
          <cell r="AX2308">
            <v>336</v>
          </cell>
        </row>
        <row r="2309">
          <cell r="AV2309">
            <v>365</v>
          </cell>
          <cell r="AX2309">
            <v>130</v>
          </cell>
        </row>
        <row r="2310">
          <cell r="AV2310">
            <v>365</v>
          </cell>
          <cell r="AX2310">
            <v>130</v>
          </cell>
        </row>
        <row r="2311">
          <cell r="AV2311">
            <v>289</v>
          </cell>
        </row>
        <row r="2312">
          <cell r="AV2312">
            <v>289</v>
          </cell>
        </row>
        <row r="2313">
          <cell r="AV2313">
            <v>289</v>
          </cell>
        </row>
        <row r="2314">
          <cell r="AV2314">
            <v>289</v>
          </cell>
        </row>
        <row r="2315">
          <cell r="AV2315">
            <v>289</v>
          </cell>
        </row>
        <row r="2316">
          <cell r="AV2316">
            <v>289</v>
          </cell>
        </row>
        <row r="2317">
          <cell r="AV2317">
            <v>289</v>
          </cell>
        </row>
        <row r="2318">
          <cell r="AV2318">
            <v>289</v>
          </cell>
        </row>
        <row r="2319">
          <cell r="AV2319">
            <v>289</v>
          </cell>
        </row>
        <row r="2320">
          <cell r="D2320" t="str">
            <v>GC - IA</v>
          </cell>
          <cell r="E2320" t="str">
            <v>GF</v>
          </cell>
          <cell r="F2320" t="str">
            <v>Pharma</v>
          </cell>
          <cell r="AV2320">
            <v>365</v>
          </cell>
          <cell r="AX2320">
            <v>33</v>
          </cell>
        </row>
        <row r="2321">
          <cell r="AV2321">
            <v>365</v>
          </cell>
          <cell r="AX2321">
            <v>1</v>
          </cell>
        </row>
        <row r="2322">
          <cell r="E2322" t="str">
            <v>FF</v>
          </cell>
          <cell r="F2322" t="str">
            <v>Intermediate</v>
          </cell>
          <cell r="AV2322">
            <v>335</v>
          </cell>
        </row>
        <row r="2323">
          <cell r="AV2323">
            <v>365</v>
          </cell>
          <cell r="AX2323">
            <v>366</v>
          </cell>
          <cell r="AZ2323">
            <v>6.3299999999999995E-2</v>
          </cell>
          <cell r="BA2323">
            <v>213</v>
          </cell>
          <cell r="BB2323">
            <v>25642.813524657533</v>
          </cell>
        </row>
        <row r="2324">
          <cell r="AV2324">
            <v>365</v>
          </cell>
          <cell r="AX2324">
            <v>129</v>
          </cell>
        </row>
        <row r="2325">
          <cell r="AV2325">
            <v>365</v>
          </cell>
          <cell r="AX2325">
            <v>129</v>
          </cell>
        </row>
        <row r="2326">
          <cell r="AV2326">
            <v>365</v>
          </cell>
          <cell r="AX2326">
            <v>129</v>
          </cell>
        </row>
        <row r="2327">
          <cell r="AV2327">
            <v>365</v>
          </cell>
          <cell r="AX2327">
            <v>129</v>
          </cell>
        </row>
        <row r="2328">
          <cell r="AV2328">
            <v>323</v>
          </cell>
        </row>
        <row r="2329">
          <cell r="AV2329">
            <v>365</v>
          </cell>
          <cell r="AX2329">
            <v>366</v>
          </cell>
        </row>
        <row r="2330">
          <cell r="AV2330">
            <v>365</v>
          </cell>
          <cell r="AX2330">
            <v>366</v>
          </cell>
        </row>
        <row r="2331">
          <cell r="AV2331">
            <v>365</v>
          </cell>
          <cell r="AX2331">
            <v>366</v>
          </cell>
        </row>
        <row r="2332">
          <cell r="AV2332">
            <v>365</v>
          </cell>
          <cell r="AX2332">
            <v>366</v>
          </cell>
        </row>
        <row r="2333">
          <cell r="AV2333">
            <v>365</v>
          </cell>
          <cell r="AX2333">
            <v>366</v>
          </cell>
        </row>
        <row r="2334">
          <cell r="AV2334">
            <v>365</v>
          </cell>
          <cell r="AX2334">
            <v>366</v>
          </cell>
        </row>
        <row r="2335">
          <cell r="E2335" t="str">
            <v>GF</v>
          </cell>
          <cell r="AV2335">
            <v>365</v>
          </cell>
          <cell r="AX2335">
            <v>336</v>
          </cell>
        </row>
        <row r="2336">
          <cell r="AV2336">
            <v>335</v>
          </cell>
        </row>
        <row r="2337">
          <cell r="AV2337">
            <v>365</v>
          </cell>
          <cell r="AX2337">
            <v>366</v>
          </cell>
        </row>
        <row r="2338">
          <cell r="AV2338">
            <v>365</v>
          </cell>
          <cell r="AX2338">
            <v>366</v>
          </cell>
        </row>
        <row r="2339">
          <cell r="AV2339">
            <v>365</v>
          </cell>
          <cell r="AX2339">
            <v>366</v>
          </cell>
        </row>
        <row r="2340">
          <cell r="AV2340">
            <v>365</v>
          </cell>
          <cell r="AX2340">
            <v>366</v>
          </cell>
        </row>
        <row r="2341">
          <cell r="AV2341">
            <v>365</v>
          </cell>
          <cell r="AX2341">
            <v>366</v>
          </cell>
        </row>
        <row r="2342">
          <cell r="AV2342">
            <v>365</v>
          </cell>
          <cell r="AX2342">
            <v>366</v>
          </cell>
        </row>
        <row r="2343">
          <cell r="AV2343">
            <v>365</v>
          </cell>
          <cell r="AX2343">
            <v>366</v>
          </cell>
        </row>
        <row r="2344">
          <cell r="AV2344">
            <v>365</v>
          </cell>
          <cell r="AX2344">
            <v>366</v>
          </cell>
        </row>
        <row r="2345">
          <cell r="AV2345">
            <v>365</v>
          </cell>
          <cell r="AX2345">
            <v>366</v>
          </cell>
        </row>
        <row r="2346">
          <cell r="AV2346">
            <v>365</v>
          </cell>
          <cell r="AX2346">
            <v>366</v>
          </cell>
        </row>
        <row r="2347">
          <cell r="AV2347">
            <v>365</v>
          </cell>
          <cell r="AX2347">
            <v>366</v>
          </cell>
        </row>
        <row r="2348">
          <cell r="AV2348">
            <v>365</v>
          </cell>
          <cell r="AX2348">
            <v>366</v>
          </cell>
        </row>
        <row r="2349">
          <cell r="AV2349">
            <v>365</v>
          </cell>
          <cell r="AX2349">
            <v>366</v>
          </cell>
        </row>
        <row r="2350">
          <cell r="AV2350">
            <v>365</v>
          </cell>
          <cell r="AX2350">
            <v>366</v>
          </cell>
        </row>
        <row r="2351">
          <cell r="AV2351">
            <v>365</v>
          </cell>
          <cell r="AX2351">
            <v>366</v>
          </cell>
        </row>
        <row r="2352">
          <cell r="AV2352">
            <v>365</v>
          </cell>
          <cell r="AX2352">
            <v>366</v>
          </cell>
          <cell r="AZ2352">
            <v>6.3299999999999995E-2</v>
          </cell>
          <cell r="BA2352">
            <v>324</v>
          </cell>
          <cell r="BB2352">
            <v>1110.3624690410957</v>
          </cell>
        </row>
        <row r="2353">
          <cell r="E2353" t="str">
            <v>GF</v>
          </cell>
          <cell r="AV2353">
            <v>365</v>
          </cell>
          <cell r="AX2353">
            <v>107</v>
          </cell>
        </row>
        <row r="2354">
          <cell r="AV2354">
            <v>365</v>
          </cell>
          <cell r="AX2354">
            <v>153</v>
          </cell>
        </row>
        <row r="2355">
          <cell r="E2355" t="str">
            <v>FF</v>
          </cell>
          <cell r="AV2355">
            <v>365</v>
          </cell>
          <cell r="AX2355">
            <v>366</v>
          </cell>
        </row>
        <row r="2356">
          <cell r="E2356" t="str">
            <v>GF</v>
          </cell>
          <cell r="AV2356">
            <v>365</v>
          </cell>
          <cell r="AX2356">
            <v>130</v>
          </cell>
        </row>
        <row r="2357">
          <cell r="AV2357">
            <v>365</v>
          </cell>
          <cell r="AX2357">
            <v>153</v>
          </cell>
        </row>
        <row r="2358">
          <cell r="AV2358">
            <v>365</v>
          </cell>
          <cell r="AX2358">
            <v>153</v>
          </cell>
        </row>
        <row r="2359">
          <cell r="AV2359">
            <v>365</v>
          </cell>
          <cell r="AX2359">
            <v>153</v>
          </cell>
        </row>
        <row r="2360">
          <cell r="AV2360">
            <v>365</v>
          </cell>
          <cell r="AX2360">
            <v>153</v>
          </cell>
        </row>
        <row r="2361">
          <cell r="AV2361">
            <v>365</v>
          </cell>
          <cell r="AX2361">
            <v>153</v>
          </cell>
        </row>
        <row r="2362">
          <cell r="AV2362">
            <v>365</v>
          </cell>
          <cell r="AX2362">
            <v>153</v>
          </cell>
        </row>
        <row r="2363">
          <cell r="AV2363">
            <v>365</v>
          </cell>
          <cell r="AX2363">
            <v>153</v>
          </cell>
        </row>
        <row r="2364">
          <cell r="AV2364">
            <v>365</v>
          </cell>
          <cell r="AX2364">
            <v>153</v>
          </cell>
        </row>
        <row r="2365">
          <cell r="AV2365">
            <v>365</v>
          </cell>
          <cell r="AX2365">
            <v>1</v>
          </cell>
          <cell r="BJ2365" t="str">
            <v>PROVISION</v>
          </cell>
        </row>
        <row r="2366">
          <cell r="AV2366">
            <v>365</v>
          </cell>
          <cell r="AX2366">
            <v>366</v>
          </cell>
          <cell r="AZ2366">
            <v>0.16209999999999999</v>
          </cell>
          <cell r="BA2366">
            <v>158</v>
          </cell>
          <cell r="BB2366">
            <v>2480.485287671233</v>
          </cell>
        </row>
        <row r="2367">
          <cell r="AV2367">
            <v>365</v>
          </cell>
          <cell r="AX2367">
            <v>366</v>
          </cell>
          <cell r="AZ2367">
            <v>0.16209999999999999</v>
          </cell>
          <cell r="BA2367">
            <v>158</v>
          </cell>
          <cell r="BB2367">
            <v>2480.485287671233</v>
          </cell>
        </row>
        <row r="2368">
          <cell r="AV2368">
            <v>365</v>
          </cell>
          <cell r="AX2368">
            <v>366</v>
          </cell>
          <cell r="AZ2368">
            <v>0.16209999999999999</v>
          </cell>
          <cell r="BA2368">
            <v>158</v>
          </cell>
          <cell r="BB2368">
            <v>2480.485287671233</v>
          </cell>
        </row>
        <row r="2369">
          <cell r="AV2369">
            <v>365</v>
          </cell>
          <cell r="AX2369">
            <v>366</v>
          </cell>
          <cell r="AZ2369">
            <v>0.16209999999999999</v>
          </cell>
          <cell r="BA2369">
            <v>158</v>
          </cell>
          <cell r="BB2369">
            <v>2480.485287671233</v>
          </cell>
        </row>
        <row r="2370">
          <cell r="AV2370">
            <v>365</v>
          </cell>
          <cell r="AX2370">
            <v>366</v>
          </cell>
          <cell r="AZ2370">
            <v>0.16209999999999999</v>
          </cell>
          <cell r="BA2370">
            <v>158</v>
          </cell>
          <cell r="BB2370">
            <v>2480.485287671233</v>
          </cell>
        </row>
        <row r="2371">
          <cell r="AV2371">
            <v>365</v>
          </cell>
          <cell r="AX2371">
            <v>366</v>
          </cell>
          <cell r="AZ2371">
            <v>0.16209999999999999</v>
          </cell>
          <cell r="BA2371">
            <v>158</v>
          </cell>
          <cell r="BB2371">
            <v>2480.485287671233</v>
          </cell>
        </row>
        <row r="2372">
          <cell r="AV2372">
            <v>365</v>
          </cell>
          <cell r="AX2372">
            <v>366</v>
          </cell>
          <cell r="AZ2372">
            <v>0.16209999999999999</v>
          </cell>
          <cell r="BA2372">
            <v>158</v>
          </cell>
          <cell r="BB2372">
            <v>2480.485287671233</v>
          </cell>
        </row>
        <row r="2373">
          <cell r="AV2373">
            <v>365</v>
          </cell>
          <cell r="AX2373">
            <v>366</v>
          </cell>
          <cell r="AZ2373">
            <v>0.16209999999999999</v>
          </cell>
          <cell r="BA2373">
            <v>158</v>
          </cell>
          <cell r="BB2373">
            <v>2480.485287671233</v>
          </cell>
        </row>
        <row r="2374">
          <cell r="AV2374">
            <v>365</v>
          </cell>
          <cell r="AX2374">
            <v>366</v>
          </cell>
          <cell r="AZ2374">
            <v>0.16209999999999999</v>
          </cell>
          <cell r="BA2374">
            <v>158</v>
          </cell>
          <cell r="BB2374">
            <v>2480.485287671233</v>
          </cell>
        </row>
        <row r="2375">
          <cell r="AV2375">
            <v>365</v>
          </cell>
          <cell r="AX2375">
            <v>366</v>
          </cell>
          <cell r="AZ2375">
            <v>0.16209999999999999</v>
          </cell>
          <cell r="BA2375">
            <v>158</v>
          </cell>
          <cell r="BB2375">
            <v>754.32013698630135</v>
          </cell>
        </row>
        <row r="2376">
          <cell r="AV2376">
            <v>365</v>
          </cell>
          <cell r="AX2376">
            <v>366</v>
          </cell>
          <cell r="AZ2376">
            <v>0.16209999999999999</v>
          </cell>
          <cell r="BA2376">
            <v>158</v>
          </cell>
          <cell r="BB2376">
            <v>754.32013698630135</v>
          </cell>
        </row>
        <row r="2377">
          <cell r="AV2377">
            <v>365</v>
          </cell>
          <cell r="AX2377">
            <v>366</v>
          </cell>
          <cell r="AZ2377">
            <v>0.16209999999999999</v>
          </cell>
          <cell r="BA2377">
            <v>158</v>
          </cell>
          <cell r="BB2377">
            <v>754.32013698630135</v>
          </cell>
        </row>
        <row r="2378">
          <cell r="AV2378">
            <v>365</v>
          </cell>
          <cell r="AX2378">
            <v>366</v>
          </cell>
          <cell r="AZ2378">
            <v>0.16209999999999999</v>
          </cell>
          <cell r="BA2378">
            <v>158</v>
          </cell>
          <cell r="BB2378">
            <v>754.32013698630135</v>
          </cell>
        </row>
        <row r="2379">
          <cell r="AV2379">
            <v>365</v>
          </cell>
          <cell r="AX2379">
            <v>366</v>
          </cell>
          <cell r="AZ2379">
            <v>0.16209999999999999</v>
          </cell>
          <cell r="BA2379">
            <v>158</v>
          </cell>
          <cell r="BB2379">
            <v>754.32013698630135</v>
          </cell>
        </row>
        <row r="2380">
          <cell r="AV2380">
            <v>365</v>
          </cell>
          <cell r="AX2380">
            <v>366</v>
          </cell>
          <cell r="AZ2380">
            <v>0.16209999999999999</v>
          </cell>
          <cell r="BA2380">
            <v>158</v>
          </cell>
          <cell r="BB2380">
            <v>754.32013698630135</v>
          </cell>
        </row>
        <row r="2381">
          <cell r="AV2381">
            <v>365</v>
          </cell>
          <cell r="AX2381">
            <v>366</v>
          </cell>
          <cell r="AZ2381">
            <v>0.16209999999999999</v>
          </cell>
          <cell r="BA2381">
            <v>158</v>
          </cell>
          <cell r="BB2381">
            <v>754.32013698630135</v>
          </cell>
        </row>
        <row r="2382">
          <cell r="AV2382">
            <v>365</v>
          </cell>
          <cell r="AX2382">
            <v>366</v>
          </cell>
          <cell r="AZ2382">
            <v>0.16209999999999999</v>
          </cell>
          <cell r="BA2382">
            <v>158</v>
          </cell>
          <cell r="BB2382">
            <v>754.32013698630135</v>
          </cell>
        </row>
        <row r="2383">
          <cell r="AV2383">
            <v>365</v>
          </cell>
          <cell r="AX2383">
            <v>366</v>
          </cell>
          <cell r="AZ2383">
            <v>0.16209999999999999</v>
          </cell>
          <cell r="BA2383">
            <v>158</v>
          </cell>
          <cell r="BB2383">
            <v>754.32013698630135</v>
          </cell>
        </row>
        <row r="2384">
          <cell r="AV2384">
            <v>365</v>
          </cell>
          <cell r="AX2384">
            <v>267</v>
          </cell>
        </row>
        <row r="2385">
          <cell r="AV2385">
            <v>365</v>
          </cell>
          <cell r="AX2385">
            <v>267</v>
          </cell>
        </row>
        <row r="2386">
          <cell r="AV2386">
            <v>365</v>
          </cell>
          <cell r="AX2386">
            <v>267</v>
          </cell>
        </row>
        <row r="2387">
          <cell r="AV2387">
            <v>365</v>
          </cell>
          <cell r="AX2387">
            <v>267</v>
          </cell>
        </row>
        <row r="2388">
          <cell r="AV2388">
            <v>365</v>
          </cell>
          <cell r="AX2388">
            <v>129</v>
          </cell>
        </row>
        <row r="2389">
          <cell r="AV2389">
            <v>365</v>
          </cell>
          <cell r="AX2389">
            <v>129</v>
          </cell>
        </row>
        <row r="2390">
          <cell r="AV2390">
            <v>365</v>
          </cell>
          <cell r="AX2390">
            <v>129</v>
          </cell>
        </row>
        <row r="2391">
          <cell r="AV2391">
            <v>365</v>
          </cell>
          <cell r="AX2391">
            <v>129</v>
          </cell>
        </row>
        <row r="2392">
          <cell r="AV2392">
            <v>365</v>
          </cell>
          <cell r="AX2392">
            <v>129</v>
          </cell>
        </row>
        <row r="2393">
          <cell r="E2393" t="str">
            <v>FF</v>
          </cell>
          <cell r="F2393" t="str">
            <v>Intermediate</v>
          </cell>
          <cell r="AV2393">
            <v>365</v>
          </cell>
          <cell r="AX2393">
            <v>129</v>
          </cell>
        </row>
        <row r="2394">
          <cell r="AV2394">
            <v>365</v>
          </cell>
          <cell r="AX2394">
            <v>276</v>
          </cell>
        </row>
        <row r="2395">
          <cell r="AV2395">
            <v>365</v>
          </cell>
          <cell r="AX2395">
            <v>276</v>
          </cell>
        </row>
        <row r="2396">
          <cell r="AV2396">
            <v>305</v>
          </cell>
        </row>
        <row r="2397">
          <cell r="AV2397">
            <v>305</v>
          </cell>
        </row>
        <row r="2398">
          <cell r="AV2398">
            <v>305</v>
          </cell>
        </row>
        <row r="2399">
          <cell r="AV2399">
            <v>365</v>
          </cell>
          <cell r="AX2399">
            <v>130</v>
          </cell>
        </row>
        <row r="2400">
          <cell r="AV2400">
            <v>365</v>
          </cell>
          <cell r="AX2400">
            <v>130</v>
          </cell>
        </row>
        <row r="2401">
          <cell r="AV2401">
            <v>365</v>
          </cell>
          <cell r="AX2401">
            <v>130</v>
          </cell>
        </row>
        <row r="2402">
          <cell r="AV2402">
            <v>365</v>
          </cell>
          <cell r="AX2402">
            <v>366</v>
          </cell>
        </row>
        <row r="2403">
          <cell r="AV2403">
            <v>365</v>
          </cell>
          <cell r="AX2403">
            <v>366</v>
          </cell>
        </row>
        <row r="2404">
          <cell r="AV2404">
            <v>365</v>
          </cell>
          <cell r="AX2404">
            <v>366</v>
          </cell>
        </row>
        <row r="2405">
          <cell r="AV2405">
            <v>365</v>
          </cell>
          <cell r="AX2405">
            <v>366</v>
          </cell>
        </row>
        <row r="2406">
          <cell r="AV2406">
            <v>365</v>
          </cell>
          <cell r="AX2406">
            <v>337</v>
          </cell>
        </row>
        <row r="2407">
          <cell r="AV2407">
            <v>365</v>
          </cell>
          <cell r="AX2407">
            <v>337</v>
          </cell>
        </row>
        <row r="2408">
          <cell r="AV2408">
            <v>365</v>
          </cell>
          <cell r="AX2408">
            <v>337</v>
          </cell>
        </row>
        <row r="2409">
          <cell r="AV2409">
            <v>365</v>
          </cell>
          <cell r="AX2409">
            <v>337</v>
          </cell>
        </row>
        <row r="2410">
          <cell r="AV2410">
            <v>365</v>
          </cell>
          <cell r="AX2410">
            <v>337</v>
          </cell>
        </row>
        <row r="2411">
          <cell r="AV2411">
            <v>365</v>
          </cell>
          <cell r="AX2411">
            <v>337</v>
          </cell>
        </row>
        <row r="2412">
          <cell r="AV2412">
            <v>365</v>
          </cell>
          <cell r="AX2412">
            <v>337</v>
          </cell>
        </row>
        <row r="2413">
          <cell r="AV2413">
            <v>365</v>
          </cell>
          <cell r="AX2413">
            <v>337</v>
          </cell>
        </row>
        <row r="2414">
          <cell r="AV2414">
            <v>365</v>
          </cell>
          <cell r="AX2414">
            <v>337</v>
          </cell>
        </row>
        <row r="2415">
          <cell r="AV2415">
            <v>365</v>
          </cell>
          <cell r="AX2415">
            <v>337</v>
          </cell>
        </row>
        <row r="2416">
          <cell r="AV2416">
            <v>365</v>
          </cell>
          <cell r="AX2416">
            <v>180</v>
          </cell>
        </row>
        <row r="2417">
          <cell r="AV2417">
            <v>365</v>
          </cell>
          <cell r="AX2417">
            <v>1</v>
          </cell>
        </row>
        <row r="2418">
          <cell r="AV2418">
            <v>365</v>
          </cell>
          <cell r="AX2418">
            <v>1</v>
          </cell>
        </row>
        <row r="2419">
          <cell r="AV2419">
            <v>365</v>
          </cell>
          <cell r="AX2419">
            <v>1</v>
          </cell>
        </row>
        <row r="2420">
          <cell r="AV2420">
            <v>365</v>
          </cell>
          <cell r="AX2420">
            <v>1</v>
          </cell>
        </row>
        <row r="2421">
          <cell r="AV2421">
            <v>365</v>
          </cell>
          <cell r="AX2421">
            <v>1</v>
          </cell>
        </row>
        <row r="2422">
          <cell r="AV2422">
            <v>365</v>
          </cell>
          <cell r="AX2422">
            <v>1</v>
          </cell>
        </row>
        <row r="2423">
          <cell r="AV2423">
            <v>365</v>
          </cell>
          <cell r="AX2423">
            <v>1</v>
          </cell>
        </row>
        <row r="2424">
          <cell r="AV2424">
            <v>365</v>
          </cell>
          <cell r="AX2424">
            <v>1</v>
          </cell>
        </row>
        <row r="2425">
          <cell r="AV2425">
            <v>365</v>
          </cell>
          <cell r="AX2425">
            <v>1</v>
          </cell>
        </row>
        <row r="2426">
          <cell r="AV2426">
            <v>365</v>
          </cell>
          <cell r="AX2426">
            <v>1</v>
          </cell>
        </row>
        <row r="2427">
          <cell r="AV2427">
            <v>365</v>
          </cell>
          <cell r="AX2427">
            <v>1</v>
          </cell>
        </row>
        <row r="2428">
          <cell r="AV2428">
            <v>365</v>
          </cell>
          <cell r="AX2428">
            <v>1</v>
          </cell>
        </row>
        <row r="2429">
          <cell r="AV2429">
            <v>365</v>
          </cell>
          <cell r="AX2429">
            <v>1</v>
          </cell>
        </row>
        <row r="2430">
          <cell r="AV2430">
            <v>365</v>
          </cell>
          <cell r="AX2430">
            <v>1</v>
          </cell>
        </row>
        <row r="2431">
          <cell r="AV2431">
            <v>365</v>
          </cell>
          <cell r="AX2431">
            <v>1</v>
          </cell>
        </row>
        <row r="2432">
          <cell r="E2432" t="str">
            <v>GF</v>
          </cell>
          <cell r="AV2432">
            <v>365</v>
          </cell>
          <cell r="AX2432">
            <v>130</v>
          </cell>
        </row>
        <row r="2433">
          <cell r="AV2433">
            <v>335</v>
          </cell>
        </row>
        <row r="2434">
          <cell r="AV2434">
            <v>335</v>
          </cell>
        </row>
        <row r="2435">
          <cell r="AV2435">
            <v>335</v>
          </cell>
        </row>
        <row r="2436">
          <cell r="AV2436">
            <v>305</v>
          </cell>
        </row>
        <row r="2437">
          <cell r="AV2437">
            <v>305</v>
          </cell>
        </row>
        <row r="2438">
          <cell r="E2438" t="str">
            <v>FF</v>
          </cell>
          <cell r="AV2438">
            <v>365</v>
          </cell>
          <cell r="AX2438">
            <v>266</v>
          </cell>
        </row>
        <row r="2439">
          <cell r="AV2439">
            <v>365</v>
          </cell>
          <cell r="AX2439">
            <v>184</v>
          </cell>
        </row>
        <row r="2440">
          <cell r="AV2440">
            <v>335</v>
          </cell>
        </row>
        <row r="2441">
          <cell r="E2441" t="str">
            <v>FF</v>
          </cell>
          <cell r="F2441" t="str">
            <v>Intermediate</v>
          </cell>
          <cell r="AV2441">
            <v>365</v>
          </cell>
          <cell r="AX2441">
            <v>129</v>
          </cell>
        </row>
        <row r="2442">
          <cell r="E2442" t="str">
            <v>Mezzanine</v>
          </cell>
          <cell r="F2442" t="str">
            <v>Intermediate</v>
          </cell>
          <cell r="AV2442">
            <v>365</v>
          </cell>
          <cell r="AX2442">
            <v>129</v>
          </cell>
        </row>
        <row r="2443">
          <cell r="AV2443">
            <v>335</v>
          </cell>
        </row>
        <row r="2444">
          <cell r="AV2444">
            <v>365</v>
          </cell>
          <cell r="AX2444">
            <v>113</v>
          </cell>
        </row>
        <row r="2445">
          <cell r="AV2445">
            <v>365</v>
          </cell>
          <cell r="AX2445">
            <v>266</v>
          </cell>
        </row>
        <row r="2446">
          <cell r="E2446" t="str">
            <v>FF</v>
          </cell>
          <cell r="AV2446">
            <v>365</v>
          </cell>
          <cell r="AX2446">
            <v>1</v>
          </cell>
        </row>
        <row r="2447">
          <cell r="D2447" t="str">
            <v>GC - IA</v>
          </cell>
          <cell r="E2447" t="str">
            <v>GF</v>
          </cell>
          <cell r="F2447" t="str">
            <v>Intermediate</v>
          </cell>
          <cell r="AV2447">
            <v>365</v>
          </cell>
          <cell r="AX2447">
            <v>129</v>
          </cell>
        </row>
        <row r="2448">
          <cell r="D2448" t="str">
            <v>GC - IA</v>
          </cell>
          <cell r="E2448" t="str">
            <v>GF</v>
          </cell>
          <cell r="F2448" t="str">
            <v>Pharma</v>
          </cell>
          <cell r="AV2448">
            <v>365</v>
          </cell>
          <cell r="AX2448">
            <v>129</v>
          </cell>
        </row>
        <row r="2449">
          <cell r="D2449" t="str">
            <v>GC - IA</v>
          </cell>
          <cell r="E2449" t="str">
            <v>GF</v>
          </cell>
          <cell r="F2449" t="str">
            <v>Pharma</v>
          </cell>
          <cell r="AV2449">
            <v>365</v>
          </cell>
          <cell r="AX2449">
            <v>33</v>
          </cell>
        </row>
        <row r="2450">
          <cell r="AV2450">
            <v>365</v>
          </cell>
          <cell r="AX2450">
            <v>366</v>
          </cell>
          <cell r="AZ2450">
            <v>6.3299999999999995E-2</v>
          </cell>
          <cell r="BA2450">
            <v>43</v>
          </cell>
          <cell r="BB2450">
            <v>3197.287369463425</v>
          </cell>
        </row>
        <row r="2451">
          <cell r="AV2451">
            <v>365</v>
          </cell>
          <cell r="AX2451">
            <v>366</v>
          </cell>
          <cell r="AZ2451">
            <v>6.3299999999999995E-2</v>
          </cell>
          <cell r="BA2451">
            <v>43</v>
          </cell>
          <cell r="BB2451">
            <v>807.51232451450358</v>
          </cell>
        </row>
        <row r="2452">
          <cell r="AV2452">
            <v>365</v>
          </cell>
          <cell r="AX2452">
            <v>366</v>
          </cell>
          <cell r="AZ2452">
            <v>6.3299999999999995E-2</v>
          </cell>
          <cell r="BA2452">
            <v>43</v>
          </cell>
          <cell r="BB2452">
            <v>1115.1360671866951</v>
          </cell>
        </row>
        <row r="2453">
          <cell r="AV2453">
            <v>365</v>
          </cell>
          <cell r="AX2453">
            <v>366</v>
          </cell>
          <cell r="AZ2453">
            <v>6.3299999999999995E-2</v>
          </cell>
          <cell r="BA2453">
            <v>43</v>
          </cell>
          <cell r="BB2453">
            <v>169.19305846970545</v>
          </cell>
        </row>
        <row r="2454">
          <cell r="AV2454">
            <v>365</v>
          </cell>
          <cell r="AX2454">
            <v>366</v>
          </cell>
          <cell r="AZ2454">
            <v>6.3299999999999995E-2</v>
          </cell>
          <cell r="BA2454">
            <v>43</v>
          </cell>
          <cell r="BB2454">
            <v>1749.6100364480906</v>
          </cell>
        </row>
        <row r="2455">
          <cell r="AV2455">
            <v>365</v>
          </cell>
          <cell r="AX2455">
            <v>366</v>
          </cell>
          <cell r="AZ2455">
            <v>6.3299999999999995E-2</v>
          </cell>
          <cell r="BA2455">
            <v>43</v>
          </cell>
          <cell r="BB2455">
            <v>221.48909472397807</v>
          </cell>
        </row>
        <row r="2456">
          <cell r="E2456" t="str">
            <v>Intermediate</v>
          </cell>
          <cell r="AV2456">
            <v>305</v>
          </cell>
        </row>
        <row r="2457">
          <cell r="E2457" t="str">
            <v>Intermediate</v>
          </cell>
          <cell r="AV2457">
            <v>305</v>
          </cell>
        </row>
        <row r="2458">
          <cell r="AV2458">
            <v>365</v>
          </cell>
          <cell r="AX2458">
            <v>83</v>
          </cell>
        </row>
        <row r="2459">
          <cell r="AV2459">
            <v>365</v>
          </cell>
          <cell r="AX2459">
            <v>130</v>
          </cell>
        </row>
        <row r="2460">
          <cell r="D2460" t="str">
            <v>GC - IA</v>
          </cell>
          <cell r="E2460" t="str">
            <v>Pumps &amp; Motors</v>
          </cell>
          <cell r="AV2460">
            <v>365</v>
          </cell>
          <cell r="AX2460">
            <v>130</v>
          </cell>
        </row>
        <row r="2461">
          <cell r="D2461" t="str">
            <v>GC - IA</v>
          </cell>
          <cell r="E2461" t="str">
            <v>Pumps &amp; Motors</v>
          </cell>
          <cell r="AV2461">
            <v>365</v>
          </cell>
          <cell r="AX2461">
            <v>130</v>
          </cell>
        </row>
        <row r="2462">
          <cell r="AV2462">
            <v>365</v>
          </cell>
          <cell r="AX2462">
            <v>130</v>
          </cell>
        </row>
        <row r="2463">
          <cell r="AV2463">
            <v>365</v>
          </cell>
          <cell r="AX2463">
            <v>130</v>
          </cell>
        </row>
        <row r="2464">
          <cell r="AV2464">
            <v>365</v>
          </cell>
          <cell r="AX2464">
            <v>130</v>
          </cell>
        </row>
        <row r="2465">
          <cell r="E2465" t="str">
            <v>Mezzanine</v>
          </cell>
          <cell r="F2465" t="str">
            <v>Intermediate</v>
          </cell>
          <cell r="AV2465">
            <v>365</v>
          </cell>
          <cell r="AX2465">
            <v>89</v>
          </cell>
        </row>
        <row r="2466">
          <cell r="E2466" t="str">
            <v>FF</v>
          </cell>
          <cell r="F2466" t="str">
            <v>Intermediate</v>
          </cell>
          <cell r="AV2466">
            <v>365</v>
          </cell>
          <cell r="AX2466">
            <v>89</v>
          </cell>
        </row>
        <row r="2467">
          <cell r="AV2467">
            <v>365</v>
          </cell>
          <cell r="AX2467">
            <v>366</v>
          </cell>
          <cell r="AZ2467">
            <v>0.16209999999999999</v>
          </cell>
          <cell r="BA2467">
            <v>0</v>
          </cell>
          <cell r="BB2467">
            <v>0</v>
          </cell>
        </row>
        <row r="2468">
          <cell r="AV2468">
            <v>365</v>
          </cell>
          <cell r="AX2468">
            <v>366</v>
          </cell>
          <cell r="AZ2468">
            <v>0.16209999999999999</v>
          </cell>
          <cell r="BA2468">
            <v>0</v>
          </cell>
          <cell r="BB2468">
            <v>0</v>
          </cell>
        </row>
        <row r="2469">
          <cell r="AV2469">
            <v>365</v>
          </cell>
          <cell r="AX2469">
            <v>366</v>
          </cell>
          <cell r="AZ2469">
            <v>0.16209999999999999</v>
          </cell>
          <cell r="BA2469">
            <v>0</v>
          </cell>
          <cell r="BB2469">
            <v>0</v>
          </cell>
        </row>
        <row r="2470">
          <cell r="AV2470">
            <v>365</v>
          </cell>
          <cell r="AX2470">
            <v>366</v>
          </cell>
          <cell r="AZ2470">
            <v>0.16209999999999999</v>
          </cell>
          <cell r="BA2470">
            <v>0</v>
          </cell>
          <cell r="BB2470">
            <v>0</v>
          </cell>
        </row>
        <row r="2471">
          <cell r="AV2471">
            <v>365</v>
          </cell>
          <cell r="AX2471">
            <v>366</v>
          </cell>
          <cell r="AZ2471">
            <v>0.16209999999999999</v>
          </cell>
          <cell r="BA2471">
            <v>0</v>
          </cell>
          <cell r="BB2471">
            <v>0</v>
          </cell>
        </row>
        <row r="2472">
          <cell r="AV2472">
            <v>365</v>
          </cell>
          <cell r="AX2472">
            <v>366</v>
          </cell>
          <cell r="AZ2472">
            <v>0.16209999999999999</v>
          </cell>
          <cell r="BA2472">
            <v>0</v>
          </cell>
          <cell r="BB2472">
            <v>0</v>
          </cell>
        </row>
        <row r="2473">
          <cell r="AV2473">
            <v>365</v>
          </cell>
          <cell r="AX2473">
            <v>366</v>
          </cell>
          <cell r="AZ2473">
            <v>0.16209999999999999</v>
          </cell>
          <cell r="BA2473">
            <v>0</v>
          </cell>
          <cell r="BB2473">
            <v>0</v>
          </cell>
        </row>
        <row r="2474">
          <cell r="AV2474">
            <v>365</v>
          </cell>
          <cell r="AX2474">
            <v>366</v>
          </cell>
          <cell r="AZ2474">
            <v>0.16209999999999999</v>
          </cell>
          <cell r="BA2474">
            <v>0</v>
          </cell>
          <cell r="BB2474">
            <v>0</v>
          </cell>
        </row>
        <row r="2475">
          <cell r="AV2475">
            <v>365</v>
          </cell>
          <cell r="AX2475">
            <v>366</v>
          </cell>
          <cell r="AZ2475">
            <v>0.16209999999999999</v>
          </cell>
          <cell r="BA2475">
            <v>0</v>
          </cell>
          <cell r="BB2475">
            <v>0</v>
          </cell>
        </row>
        <row r="2476">
          <cell r="AV2476">
            <v>365</v>
          </cell>
          <cell r="AX2476">
            <v>366</v>
          </cell>
          <cell r="AZ2476">
            <v>0.16209999999999999</v>
          </cell>
          <cell r="BA2476">
            <v>0</v>
          </cell>
          <cell r="BB2476">
            <v>0</v>
          </cell>
        </row>
        <row r="2477">
          <cell r="AV2477">
            <v>365</v>
          </cell>
          <cell r="AX2477">
            <v>366</v>
          </cell>
          <cell r="AZ2477">
            <v>0.16209999999999999</v>
          </cell>
          <cell r="BA2477">
            <v>0</v>
          </cell>
          <cell r="BB2477">
            <v>0</v>
          </cell>
        </row>
        <row r="2478">
          <cell r="AV2478">
            <v>365</v>
          </cell>
          <cell r="AX2478">
            <v>366</v>
          </cell>
          <cell r="AZ2478">
            <v>0.16209999999999999</v>
          </cell>
          <cell r="BA2478">
            <v>0</v>
          </cell>
          <cell r="BB2478">
            <v>0</v>
          </cell>
        </row>
        <row r="2479">
          <cell r="AV2479">
            <v>365</v>
          </cell>
          <cell r="AX2479">
            <v>366</v>
          </cell>
          <cell r="AZ2479">
            <v>0.16209999999999999</v>
          </cell>
          <cell r="BA2479">
            <v>0</v>
          </cell>
          <cell r="BB2479">
            <v>0</v>
          </cell>
        </row>
        <row r="2480">
          <cell r="AV2480">
            <v>365</v>
          </cell>
          <cell r="AX2480">
            <v>366</v>
          </cell>
          <cell r="AZ2480">
            <v>0.16209999999999999</v>
          </cell>
          <cell r="BA2480">
            <v>0</v>
          </cell>
          <cell r="BB2480">
            <v>0</v>
          </cell>
        </row>
        <row r="2481">
          <cell r="AV2481">
            <v>365</v>
          </cell>
          <cell r="AX2481">
            <v>366</v>
          </cell>
          <cell r="AZ2481">
            <v>0.16209999999999999</v>
          </cell>
          <cell r="BA2481">
            <v>0</v>
          </cell>
          <cell r="BB2481">
            <v>0</v>
          </cell>
        </row>
        <row r="2482">
          <cell r="E2482" t="str">
            <v>GF</v>
          </cell>
          <cell r="AV2482">
            <v>365</v>
          </cell>
          <cell r="AX2482">
            <v>60</v>
          </cell>
        </row>
        <row r="2483">
          <cell r="AV2483">
            <v>365</v>
          </cell>
          <cell r="AX2483">
            <v>72</v>
          </cell>
        </row>
        <row r="2484">
          <cell r="AV2484">
            <v>365</v>
          </cell>
          <cell r="AX2484">
            <v>72</v>
          </cell>
        </row>
        <row r="2485">
          <cell r="AV2485">
            <v>365</v>
          </cell>
          <cell r="AX2485">
            <v>72</v>
          </cell>
        </row>
        <row r="2486">
          <cell r="AV2486">
            <v>365</v>
          </cell>
          <cell r="AX2486">
            <v>12</v>
          </cell>
        </row>
        <row r="2487">
          <cell r="AV2487">
            <v>365</v>
          </cell>
          <cell r="AX2487">
            <v>366</v>
          </cell>
        </row>
        <row r="2488">
          <cell r="D2488" t="str">
            <v>Utilities</v>
          </cell>
          <cell r="E2488" t="str">
            <v>Main PCC</v>
          </cell>
          <cell r="AV2488">
            <v>365</v>
          </cell>
          <cell r="AX2488">
            <v>130</v>
          </cell>
        </row>
        <row r="2489">
          <cell r="D2489" t="str">
            <v>Utilities</v>
          </cell>
          <cell r="E2489" t="str">
            <v>Main PCC</v>
          </cell>
          <cell r="AV2489">
            <v>365</v>
          </cell>
          <cell r="AX2489">
            <v>130</v>
          </cell>
        </row>
        <row r="2490">
          <cell r="AV2490">
            <v>365</v>
          </cell>
          <cell r="AX2490">
            <v>366</v>
          </cell>
          <cell r="AZ2490">
            <v>0.16209999999999999</v>
          </cell>
          <cell r="BA2490">
            <v>365</v>
          </cell>
          <cell r="BB2490">
            <v>2593.6</v>
          </cell>
          <cell r="BC2490">
            <v>49</v>
          </cell>
        </row>
        <row r="2491">
          <cell r="AV2491">
            <v>365</v>
          </cell>
          <cell r="AX2491">
            <v>366</v>
          </cell>
          <cell r="AZ2491">
            <v>6.3299999999999995E-2</v>
          </cell>
          <cell r="BA2491">
            <v>247</v>
          </cell>
          <cell r="BB2491">
            <v>36123.506383561646</v>
          </cell>
        </row>
        <row r="2492">
          <cell r="E2492" t="str">
            <v>GF</v>
          </cell>
          <cell r="AV2492">
            <v>365</v>
          </cell>
          <cell r="AX2492">
            <v>366</v>
          </cell>
        </row>
        <row r="2493">
          <cell r="E2493" t="str">
            <v>GF</v>
          </cell>
          <cell r="AV2493">
            <v>365</v>
          </cell>
          <cell r="AX2493">
            <v>266</v>
          </cell>
        </row>
        <row r="2494">
          <cell r="AV2494">
            <v>365</v>
          </cell>
          <cell r="AX2494">
            <v>267</v>
          </cell>
        </row>
        <row r="2495">
          <cell r="AV2495">
            <v>365</v>
          </cell>
          <cell r="AX2495">
            <v>267</v>
          </cell>
        </row>
        <row r="2496">
          <cell r="AV2496">
            <v>365</v>
          </cell>
          <cell r="AX2496">
            <v>267</v>
          </cell>
        </row>
        <row r="2497">
          <cell r="AV2497">
            <v>365</v>
          </cell>
          <cell r="AX2497">
            <v>267</v>
          </cell>
        </row>
        <row r="2498">
          <cell r="AV2498">
            <v>365</v>
          </cell>
          <cell r="AX2498">
            <v>267</v>
          </cell>
        </row>
        <row r="2499">
          <cell r="AV2499">
            <v>365</v>
          </cell>
          <cell r="AX2499">
            <v>130</v>
          </cell>
        </row>
        <row r="2500">
          <cell r="AV2500">
            <v>365</v>
          </cell>
          <cell r="AX2500">
            <v>130</v>
          </cell>
        </row>
        <row r="2501">
          <cell r="AV2501">
            <v>365</v>
          </cell>
          <cell r="AX2501">
            <v>130</v>
          </cell>
        </row>
        <row r="2502">
          <cell r="AV2502">
            <v>365</v>
          </cell>
          <cell r="AX2502">
            <v>130</v>
          </cell>
        </row>
        <row r="2503">
          <cell r="AV2503">
            <v>365</v>
          </cell>
          <cell r="AX2503">
            <v>130</v>
          </cell>
        </row>
        <row r="2504">
          <cell r="AV2504">
            <v>365</v>
          </cell>
          <cell r="AX2504">
            <v>130</v>
          </cell>
        </row>
        <row r="2505">
          <cell r="AV2505">
            <v>365</v>
          </cell>
          <cell r="AX2505">
            <v>130</v>
          </cell>
        </row>
        <row r="2506">
          <cell r="E2506" t="str">
            <v>SF</v>
          </cell>
          <cell r="AV2506">
            <v>365</v>
          </cell>
          <cell r="AX2506">
            <v>337</v>
          </cell>
        </row>
        <row r="2507">
          <cell r="E2507" t="str">
            <v>FF</v>
          </cell>
          <cell r="F2507" t="str">
            <v>Intermediate</v>
          </cell>
          <cell r="AV2507">
            <v>365</v>
          </cell>
          <cell r="AX2507">
            <v>129</v>
          </cell>
        </row>
        <row r="2508">
          <cell r="E2508" t="str">
            <v>FF</v>
          </cell>
          <cell r="F2508" t="str">
            <v>Intermediate</v>
          </cell>
          <cell r="AV2508">
            <v>365</v>
          </cell>
          <cell r="AX2508">
            <v>129</v>
          </cell>
        </row>
        <row r="2509">
          <cell r="E2509" t="str">
            <v>GF</v>
          </cell>
          <cell r="AV2509">
            <v>365</v>
          </cell>
          <cell r="AX2509">
            <v>336</v>
          </cell>
        </row>
        <row r="2510">
          <cell r="AV2510">
            <v>365</v>
          </cell>
          <cell r="AX2510">
            <v>366</v>
          </cell>
          <cell r="AZ2510">
            <v>6.3299999999999995E-2</v>
          </cell>
          <cell r="BA2510">
            <v>90</v>
          </cell>
          <cell r="BB2510">
            <v>15386.566857534246</v>
          </cell>
        </row>
        <row r="2511">
          <cell r="AX2511">
            <v>366</v>
          </cell>
          <cell r="AZ2511">
            <v>0.16209999999999999</v>
          </cell>
          <cell r="BA2511">
            <v>365</v>
          </cell>
          <cell r="BB2511">
            <v>2382.87</v>
          </cell>
          <cell r="BC2511">
            <v>41</v>
          </cell>
        </row>
        <row r="2512">
          <cell r="AX2512">
            <v>366</v>
          </cell>
          <cell r="AZ2512">
            <v>6.3299999999999995E-2</v>
          </cell>
          <cell r="BA2512">
            <v>59</v>
          </cell>
          <cell r="BB2512">
            <v>149.64380136986301</v>
          </cell>
        </row>
        <row r="2513">
          <cell r="E2513" t="str">
            <v>UTILITY</v>
          </cell>
          <cell r="AV2513">
            <v>365</v>
          </cell>
          <cell r="AX2513">
            <v>130</v>
          </cell>
        </row>
        <row r="2514">
          <cell r="E2514" t="str">
            <v>GF</v>
          </cell>
          <cell r="AV2514">
            <v>365</v>
          </cell>
          <cell r="AX2514">
            <v>130</v>
          </cell>
        </row>
        <row r="2515">
          <cell r="G2515">
            <v>1028</v>
          </cell>
          <cell r="AV2515">
            <v>365</v>
          </cell>
          <cell r="AX2515">
            <v>366</v>
          </cell>
          <cell r="AZ2515">
            <v>0.16209999999999999</v>
          </cell>
          <cell r="BA2515">
            <v>121</v>
          </cell>
          <cell r="BB2515">
            <v>776.50341095890406</v>
          </cell>
        </row>
        <row r="2516">
          <cell r="AV2516">
            <v>365</v>
          </cell>
          <cell r="AX2516">
            <v>72</v>
          </cell>
        </row>
        <row r="2517">
          <cell r="AV2517">
            <v>365</v>
          </cell>
          <cell r="AX2517">
            <v>61</v>
          </cell>
        </row>
        <row r="2518">
          <cell r="AV2518">
            <v>365</v>
          </cell>
          <cell r="AX2518">
            <v>61</v>
          </cell>
        </row>
        <row r="2519">
          <cell r="AV2519">
            <v>365</v>
          </cell>
          <cell r="AX2519">
            <v>61</v>
          </cell>
        </row>
        <row r="2520">
          <cell r="AV2520">
            <v>365</v>
          </cell>
          <cell r="AX2520">
            <v>366</v>
          </cell>
          <cell r="AZ2520">
            <v>0.16209999999999999</v>
          </cell>
          <cell r="BA2520">
            <v>287</v>
          </cell>
          <cell r="BB2520">
            <v>1822.6701643835613</v>
          </cell>
        </row>
        <row r="2521">
          <cell r="AV2521">
            <v>365</v>
          </cell>
          <cell r="AX2521">
            <v>366</v>
          </cell>
          <cell r="AZ2521">
            <v>0.16209999999999999</v>
          </cell>
          <cell r="BA2521">
            <v>274</v>
          </cell>
          <cell r="BB2521">
            <v>1740.1101917808217</v>
          </cell>
        </row>
        <row r="2522">
          <cell r="D2522" t="str">
            <v>GC - IA</v>
          </cell>
          <cell r="E2522" t="str">
            <v>GF</v>
          </cell>
          <cell r="F2522" t="str">
            <v>Intermediate</v>
          </cell>
          <cell r="AV2522">
            <v>365</v>
          </cell>
          <cell r="AX2522">
            <v>27</v>
          </cell>
        </row>
        <row r="2523">
          <cell r="AV2523">
            <v>365</v>
          </cell>
          <cell r="AX2523">
            <v>267</v>
          </cell>
        </row>
        <row r="2524">
          <cell r="AV2524">
            <v>365</v>
          </cell>
          <cell r="AX2524">
            <v>267</v>
          </cell>
        </row>
        <row r="2525">
          <cell r="AV2525">
            <v>365</v>
          </cell>
          <cell r="AX2525">
            <v>267</v>
          </cell>
        </row>
        <row r="2526">
          <cell r="AX2526">
            <v>366</v>
          </cell>
          <cell r="AZ2526">
            <v>0.16209999999999999</v>
          </cell>
          <cell r="BA2526">
            <v>365</v>
          </cell>
          <cell r="BB2526">
            <v>2275.884</v>
          </cell>
          <cell r="BC2526">
            <v>63</v>
          </cell>
        </row>
        <row r="2527">
          <cell r="E2527" t="str">
            <v>FF</v>
          </cell>
          <cell r="F2527" t="str">
            <v>Intermediate</v>
          </cell>
          <cell r="AV2527">
            <v>365</v>
          </cell>
          <cell r="AX2527">
            <v>129</v>
          </cell>
        </row>
        <row r="2528">
          <cell r="E2528" t="str">
            <v>FF</v>
          </cell>
          <cell r="F2528" t="str">
            <v>Intermediate</v>
          </cell>
          <cell r="AV2528">
            <v>365</v>
          </cell>
          <cell r="AX2528">
            <v>129</v>
          </cell>
        </row>
        <row r="2529">
          <cell r="AV2529">
            <v>365</v>
          </cell>
          <cell r="AX2529">
            <v>107</v>
          </cell>
        </row>
        <row r="2530">
          <cell r="AV2530">
            <v>365</v>
          </cell>
          <cell r="AX2530">
            <v>107</v>
          </cell>
        </row>
        <row r="2531">
          <cell r="AV2531">
            <v>365</v>
          </cell>
          <cell r="AX2531">
            <v>107</v>
          </cell>
        </row>
        <row r="2532">
          <cell r="AV2532">
            <v>365</v>
          </cell>
          <cell r="AX2532">
            <v>107</v>
          </cell>
        </row>
        <row r="2533">
          <cell r="AV2533">
            <v>365</v>
          </cell>
          <cell r="AX2533">
            <v>107</v>
          </cell>
        </row>
        <row r="2534">
          <cell r="AV2534">
            <v>365</v>
          </cell>
          <cell r="AX2534">
            <v>107</v>
          </cell>
        </row>
        <row r="2535">
          <cell r="AV2535">
            <v>365</v>
          </cell>
          <cell r="AX2535">
            <v>107</v>
          </cell>
        </row>
        <row r="2536">
          <cell r="AV2536">
            <v>365</v>
          </cell>
          <cell r="AX2536">
            <v>107</v>
          </cell>
        </row>
        <row r="2537">
          <cell r="AV2537">
            <v>365</v>
          </cell>
          <cell r="AX2537">
            <v>107</v>
          </cell>
        </row>
        <row r="2538">
          <cell r="AV2538">
            <v>365</v>
          </cell>
          <cell r="AX2538">
            <v>107</v>
          </cell>
        </row>
        <row r="2539">
          <cell r="AV2539">
            <v>365</v>
          </cell>
          <cell r="AX2539">
            <v>107</v>
          </cell>
        </row>
        <row r="2540">
          <cell r="AV2540">
            <v>365</v>
          </cell>
          <cell r="AX2540">
            <v>107</v>
          </cell>
        </row>
        <row r="2541">
          <cell r="AV2541">
            <v>365</v>
          </cell>
          <cell r="AX2541">
            <v>107</v>
          </cell>
        </row>
        <row r="2542">
          <cell r="AV2542">
            <v>335</v>
          </cell>
        </row>
        <row r="2543">
          <cell r="AV2543">
            <v>365</v>
          </cell>
          <cell r="AX2543">
            <v>21</v>
          </cell>
        </row>
        <row r="2544">
          <cell r="E2544" t="str">
            <v>GF</v>
          </cell>
          <cell r="AV2544">
            <v>365</v>
          </cell>
          <cell r="AX2544">
            <v>130</v>
          </cell>
        </row>
        <row r="2545">
          <cell r="AV2545">
            <v>289</v>
          </cell>
        </row>
        <row r="2546">
          <cell r="E2546" t="str">
            <v>FF</v>
          </cell>
          <cell r="AV2546">
            <v>365</v>
          </cell>
          <cell r="AX2546">
            <v>71</v>
          </cell>
        </row>
        <row r="2547">
          <cell r="AX2547">
            <v>366</v>
          </cell>
          <cell r="AZ2547">
            <v>0.16209999999999999</v>
          </cell>
          <cell r="BA2547">
            <v>358</v>
          </cell>
          <cell r="BB2547">
            <v>2162.2807671232877</v>
          </cell>
        </row>
        <row r="2548">
          <cell r="AV2548">
            <v>365</v>
          </cell>
          <cell r="AX2548">
            <v>129</v>
          </cell>
        </row>
        <row r="2549">
          <cell r="AV2549">
            <v>365</v>
          </cell>
          <cell r="AX2549">
            <v>129</v>
          </cell>
        </row>
        <row r="2550">
          <cell r="AV2550">
            <v>365</v>
          </cell>
          <cell r="AX2550">
            <v>129</v>
          </cell>
        </row>
        <row r="2551">
          <cell r="AV2551">
            <v>365</v>
          </cell>
          <cell r="AX2551">
            <v>129</v>
          </cell>
        </row>
        <row r="2552">
          <cell r="AV2552">
            <v>365</v>
          </cell>
          <cell r="AX2552">
            <v>129</v>
          </cell>
        </row>
        <row r="2553">
          <cell r="AV2553">
            <v>365</v>
          </cell>
          <cell r="AX2553">
            <v>129</v>
          </cell>
        </row>
        <row r="2554">
          <cell r="AV2554">
            <v>365</v>
          </cell>
          <cell r="AX2554">
            <v>129</v>
          </cell>
        </row>
        <row r="2555">
          <cell r="E2555" t="str">
            <v>FF</v>
          </cell>
          <cell r="AV2555">
            <v>365</v>
          </cell>
          <cell r="AX2555">
            <v>267</v>
          </cell>
        </row>
        <row r="2556">
          <cell r="E2556" t="str">
            <v>FF</v>
          </cell>
          <cell r="AV2556">
            <v>365</v>
          </cell>
          <cell r="AX2556">
            <v>267</v>
          </cell>
        </row>
        <row r="2557">
          <cell r="E2557" t="str">
            <v>FF</v>
          </cell>
          <cell r="AV2557">
            <v>365</v>
          </cell>
          <cell r="AX2557">
            <v>267</v>
          </cell>
        </row>
        <row r="2558">
          <cell r="E2558" t="str">
            <v>FF</v>
          </cell>
          <cell r="AV2558">
            <v>365</v>
          </cell>
          <cell r="AX2558">
            <v>267</v>
          </cell>
        </row>
        <row r="2559">
          <cell r="E2559" t="str">
            <v>FF</v>
          </cell>
          <cell r="AV2559">
            <v>365</v>
          </cell>
          <cell r="AX2559">
            <v>267</v>
          </cell>
        </row>
        <row r="2560">
          <cell r="E2560" t="str">
            <v>FF</v>
          </cell>
          <cell r="AV2560">
            <v>365</v>
          </cell>
          <cell r="AX2560">
            <v>267</v>
          </cell>
        </row>
        <row r="2561">
          <cell r="E2561" t="str">
            <v>FF</v>
          </cell>
          <cell r="AV2561">
            <v>365</v>
          </cell>
          <cell r="AX2561">
            <v>267</v>
          </cell>
        </row>
        <row r="2562">
          <cell r="E2562" t="str">
            <v>FF</v>
          </cell>
          <cell r="AV2562">
            <v>365</v>
          </cell>
          <cell r="AX2562">
            <v>267</v>
          </cell>
        </row>
        <row r="2563">
          <cell r="E2563" t="str">
            <v>FF</v>
          </cell>
          <cell r="AV2563">
            <v>365</v>
          </cell>
          <cell r="AX2563">
            <v>267</v>
          </cell>
        </row>
        <row r="2564">
          <cell r="E2564" t="str">
            <v>FF</v>
          </cell>
          <cell r="AV2564">
            <v>365</v>
          </cell>
          <cell r="AX2564">
            <v>267</v>
          </cell>
        </row>
        <row r="2565">
          <cell r="AV2565">
            <v>305</v>
          </cell>
        </row>
        <row r="2566">
          <cell r="AV2566">
            <v>305</v>
          </cell>
        </row>
        <row r="2567">
          <cell r="AV2567">
            <v>365</v>
          </cell>
          <cell r="AX2567">
            <v>366</v>
          </cell>
          <cell r="AZ2567">
            <v>0.16209999999999999</v>
          </cell>
          <cell r="BA2567">
            <v>365</v>
          </cell>
          <cell r="BB2567">
            <v>2188.35</v>
          </cell>
          <cell r="BC2567">
            <v>30</v>
          </cell>
        </row>
        <row r="2568">
          <cell r="AV2568">
            <v>305</v>
          </cell>
        </row>
        <row r="2569">
          <cell r="AV2569">
            <v>365</v>
          </cell>
          <cell r="AX2569">
            <v>221</v>
          </cell>
        </row>
        <row r="2570">
          <cell r="E2570" t="str">
            <v>GF</v>
          </cell>
          <cell r="AV2570">
            <v>365</v>
          </cell>
          <cell r="AX2570">
            <v>130</v>
          </cell>
        </row>
        <row r="2571">
          <cell r="AV2571">
            <v>365</v>
          </cell>
          <cell r="AX2571">
            <v>130</v>
          </cell>
        </row>
        <row r="2572">
          <cell r="E2572" t="str">
            <v>SF</v>
          </cell>
          <cell r="AV2572">
            <v>365</v>
          </cell>
          <cell r="AX2572">
            <v>62</v>
          </cell>
        </row>
        <row r="2573">
          <cell r="AV2573">
            <v>365</v>
          </cell>
          <cell r="AX2573">
            <v>130</v>
          </cell>
        </row>
        <row r="2574">
          <cell r="AV2574">
            <v>365</v>
          </cell>
          <cell r="AX2574">
            <v>181</v>
          </cell>
        </row>
        <row r="2575">
          <cell r="D2575" t="str">
            <v>GC - IA</v>
          </cell>
          <cell r="E2575" t="str">
            <v>GF</v>
          </cell>
          <cell r="F2575" t="str">
            <v>Pharma</v>
          </cell>
          <cell r="AV2575">
            <v>365</v>
          </cell>
          <cell r="AX2575">
            <v>123</v>
          </cell>
        </row>
        <row r="2576">
          <cell r="D2576" t="str">
            <v>GC - IA</v>
          </cell>
          <cell r="E2576" t="str">
            <v>GF</v>
          </cell>
          <cell r="F2576" t="str">
            <v>Intermediate</v>
          </cell>
          <cell r="AV2576">
            <v>365</v>
          </cell>
          <cell r="AX2576">
            <v>123</v>
          </cell>
        </row>
        <row r="2577">
          <cell r="D2577" t="str">
            <v>GC - IA</v>
          </cell>
          <cell r="E2577" t="str">
            <v>GF</v>
          </cell>
          <cell r="F2577" t="str">
            <v>Intermediate</v>
          </cell>
          <cell r="AV2577">
            <v>365</v>
          </cell>
          <cell r="AX2577">
            <v>123</v>
          </cell>
        </row>
        <row r="2578">
          <cell r="D2578" t="str">
            <v>GC- IC</v>
          </cell>
          <cell r="E2578" t="str">
            <v>GF</v>
          </cell>
          <cell r="F2578" t="str">
            <v>Pharma</v>
          </cell>
          <cell r="AV2578">
            <v>365</v>
          </cell>
          <cell r="AX2578">
            <v>129</v>
          </cell>
        </row>
        <row r="2579">
          <cell r="AV2579">
            <v>365</v>
          </cell>
          <cell r="AX2579">
            <v>129</v>
          </cell>
        </row>
        <row r="2580">
          <cell r="AV2580">
            <v>198</v>
          </cell>
        </row>
        <row r="2581">
          <cell r="AV2581">
            <v>365</v>
          </cell>
          <cell r="AX2581">
            <v>154</v>
          </cell>
        </row>
        <row r="2582">
          <cell r="E2582" t="str">
            <v>GF</v>
          </cell>
          <cell r="AV2582">
            <v>365</v>
          </cell>
          <cell r="AX2582">
            <v>130</v>
          </cell>
        </row>
        <row r="2583">
          <cell r="AV2583">
            <v>365</v>
          </cell>
          <cell r="AX2583">
            <v>366</v>
          </cell>
          <cell r="AZ2583">
            <v>0.16209999999999999</v>
          </cell>
          <cell r="BA2583">
            <v>175</v>
          </cell>
          <cell r="BB2583">
            <v>1002.577397260274</v>
          </cell>
        </row>
        <row r="2584">
          <cell r="AV2584">
            <v>365</v>
          </cell>
          <cell r="AX2584">
            <v>267</v>
          </cell>
        </row>
        <row r="2585">
          <cell r="AV2585">
            <v>365</v>
          </cell>
          <cell r="AX2585">
            <v>267</v>
          </cell>
        </row>
        <row r="2586">
          <cell r="AV2586">
            <v>365</v>
          </cell>
          <cell r="AX2586">
            <v>267</v>
          </cell>
        </row>
        <row r="2587">
          <cell r="AV2587">
            <v>365</v>
          </cell>
          <cell r="AX2587">
            <v>267</v>
          </cell>
        </row>
        <row r="2588">
          <cell r="AV2588">
            <v>365</v>
          </cell>
          <cell r="AX2588">
            <v>267</v>
          </cell>
        </row>
        <row r="2589">
          <cell r="AV2589">
            <v>365</v>
          </cell>
          <cell r="AX2589">
            <v>267</v>
          </cell>
        </row>
        <row r="2590">
          <cell r="AV2590">
            <v>365</v>
          </cell>
          <cell r="AX2590">
            <v>366</v>
          </cell>
          <cell r="AZ2590">
            <v>6.3299999999999995E-2</v>
          </cell>
          <cell r="BA2590">
            <v>36</v>
          </cell>
          <cell r="BB2590">
            <v>351.18493150684924</v>
          </cell>
        </row>
        <row r="2591">
          <cell r="AV2591">
            <v>365</v>
          </cell>
          <cell r="AX2591">
            <v>366</v>
          </cell>
          <cell r="AZ2591">
            <v>6.3299999999999995E-2</v>
          </cell>
          <cell r="BA2591">
            <v>36</v>
          </cell>
          <cell r="BB2591">
            <v>109.92244438356164</v>
          </cell>
        </row>
        <row r="2592">
          <cell r="AV2592">
            <v>365</v>
          </cell>
          <cell r="AX2592">
            <v>366</v>
          </cell>
          <cell r="AZ2592">
            <v>6.3299999999999995E-2</v>
          </cell>
          <cell r="BA2592">
            <v>36</v>
          </cell>
          <cell r="BB2592">
            <v>315.33597369863014</v>
          </cell>
        </row>
        <row r="2593">
          <cell r="AV2593">
            <v>365</v>
          </cell>
          <cell r="AX2593">
            <v>366</v>
          </cell>
          <cell r="AZ2593">
            <v>6.3299999999999995E-2</v>
          </cell>
          <cell r="BA2593">
            <v>36</v>
          </cell>
          <cell r="BB2593">
            <v>210.71095890410959</v>
          </cell>
        </row>
        <row r="2594">
          <cell r="AV2594">
            <v>365</v>
          </cell>
          <cell r="AX2594">
            <v>366</v>
          </cell>
          <cell r="AZ2594">
            <v>6.3299999999999995E-2</v>
          </cell>
          <cell r="BA2594">
            <v>36</v>
          </cell>
          <cell r="BB2594">
            <v>790.16609589041093</v>
          </cell>
        </row>
        <row r="2595">
          <cell r="AV2595">
            <v>365</v>
          </cell>
          <cell r="AX2595">
            <v>366</v>
          </cell>
          <cell r="AZ2595">
            <v>6.3299999999999995E-2</v>
          </cell>
          <cell r="BA2595">
            <v>36</v>
          </cell>
          <cell r="BB2595">
            <v>84.354620547945188</v>
          </cell>
        </row>
        <row r="2596">
          <cell r="AV2596">
            <v>365</v>
          </cell>
          <cell r="AX2596">
            <v>366</v>
          </cell>
          <cell r="AZ2596">
            <v>6.3299999999999995E-2</v>
          </cell>
          <cell r="BA2596">
            <v>36</v>
          </cell>
          <cell r="BB2596">
            <v>1158.9102739726027</v>
          </cell>
        </row>
        <row r="2597">
          <cell r="AV2597">
            <v>365</v>
          </cell>
          <cell r="AX2597">
            <v>366</v>
          </cell>
          <cell r="AZ2597">
            <v>6.3299999999999995E-2</v>
          </cell>
          <cell r="BA2597">
            <v>36</v>
          </cell>
          <cell r="BB2597">
            <v>154.52136986301369</v>
          </cell>
        </row>
        <row r="2598">
          <cell r="AV2598">
            <v>365</v>
          </cell>
          <cell r="AX2598">
            <v>366</v>
          </cell>
          <cell r="AZ2598">
            <v>6.3299999999999995E-2</v>
          </cell>
          <cell r="BA2598">
            <v>36</v>
          </cell>
          <cell r="BB2598">
            <v>737.4883561643835</v>
          </cell>
        </row>
        <row r="2599">
          <cell r="AV2599">
            <v>365</v>
          </cell>
          <cell r="AX2599">
            <v>366</v>
          </cell>
          <cell r="AZ2599">
            <v>6.3299999999999995E-2</v>
          </cell>
          <cell r="BA2599">
            <v>36</v>
          </cell>
          <cell r="BB2599">
            <v>56.189589041095886</v>
          </cell>
        </row>
        <row r="2600">
          <cell r="AV2600">
            <v>365</v>
          </cell>
          <cell r="AX2600">
            <v>366</v>
          </cell>
          <cell r="AZ2600">
            <v>6.3299999999999995E-2</v>
          </cell>
          <cell r="BA2600">
            <v>36</v>
          </cell>
          <cell r="BB2600">
            <v>31.606643835616435</v>
          </cell>
        </row>
        <row r="2601">
          <cell r="AV2601">
            <v>365</v>
          </cell>
          <cell r="AX2601">
            <v>366</v>
          </cell>
          <cell r="AZ2601">
            <v>6.3299999999999995E-2</v>
          </cell>
          <cell r="BA2601">
            <v>36</v>
          </cell>
          <cell r="BB2601">
            <v>346.41994231060511</v>
          </cell>
        </row>
        <row r="2602">
          <cell r="AV2602">
            <v>365</v>
          </cell>
          <cell r="AX2602">
            <v>366</v>
          </cell>
          <cell r="AZ2602">
            <v>6.3299999999999995E-2</v>
          </cell>
          <cell r="BA2602">
            <v>36</v>
          </cell>
          <cell r="BB2602">
            <v>278.57937027477823</v>
          </cell>
        </row>
        <row r="2603">
          <cell r="AV2603">
            <v>365</v>
          </cell>
          <cell r="AX2603">
            <v>366</v>
          </cell>
          <cell r="AZ2603">
            <v>6.3299999999999995E-2</v>
          </cell>
          <cell r="BA2603">
            <v>36</v>
          </cell>
          <cell r="BB2603">
            <v>682.15860306663319</v>
          </cell>
        </row>
        <row r="2604">
          <cell r="AV2604">
            <v>365</v>
          </cell>
          <cell r="AX2604">
            <v>366</v>
          </cell>
          <cell r="AZ2604">
            <v>6.3299999999999995E-2</v>
          </cell>
          <cell r="BA2604">
            <v>36</v>
          </cell>
          <cell r="BB2604">
            <v>155.88897403977228</v>
          </cell>
        </row>
        <row r="2605">
          <cell r="AV2605">
            <v>365</v>
          </cell>
          <cell r="AX2605">
            <v>366</v>
          </cell>
          <cell r="AZ2605">
            <v>6.3299999999999995E-2</v>
          </cell>
          <cell r="BA2605">
            <v>36</v>
          </cell>
          <cell r="BB2605">
            <v>180.42705328677349</v>
          </cell>
        </row>
        <row r="2606">
          <cell r="AV2606">
            <v>365</v>
          </cell>
          <cell r="AX2606">
            <v>366</v>
          </cell>
          <cell r="AZ2606">
            <v>6.3299999999999995E-2</v>
          </cell>
          <cell r="BA2606">
            <v>36</v>
          </cell>
          <cell r="BB2606">
            <v>329.09894519507486</v>
          </cell>
        </row>
        <row r="2607">
          <cell r="AV2607">
            <v>365</v>
          </cell>
          <cell r="AX2607">
            <v>366</v>
          </cell>
          <cell r="AZ2607">
            <v>6.3299999999999995E-2</v>
          </cell>
          <cell r="BA2607">
            <v>36</v>
          </cell>
          <cell r="BB2607">
            <v>144.34164262941877</v>
          </cell>
        </row>
        <row r="2608">
          <cell r="AV2608">
            <v>365</v>
          </cell>
          <cell r="AX2608">
            <v>366</v>
          </cell>
          <cell r="AZ2608">
            <v>6.3299999999999995E-2</v>
          </cell>
          <cell r="BA2608">
            <v>36</v>
          </cell>
          <cell r="BB2608">
            <v>142.60954291786578</v>
          </cell>
        </row>
        <row r="2609">
          <cell r="AV2609">
            <v>365</v>
          </cell>
          <cell r="AX2609">
            <v>366</v>
          </cell>
          <cell r="AZ2609">
            <v>6.3299999999999995E-2</v>
          </cell>
          <cell r="BA2609">
            <v>36</v>
          </cell>
          <cell r="BB2609">
            <v>207.85196538636308</v>
          </cell>
        </row>
        <row r="2610">
          <cell r="AV2610">
            <v>365</v>
          </cell>
          <cell r="AX2610">
            <v>366</v>
          </cell>
          <cell r="AZ2610">
            <v>6.3299999999999995E-2</v>
          </cell>
          <cell r="BA2610">
            <v>36</v>
          </cell>
          <cell r="BB2610">
            <v>968.53242204340006</v>
          </cell>
        </row>
        <row r="2611">
          <cell r="AV2611">
            <v>198</v>
          </cell>
        </row>
        <row r="2612">
          <cell r="D2612" t="str">
            <v>Utilities</v>
          </cell>
          <cell r="E2612" t="str">
            <v>UTILITY</v>
          </cell>
          <cell r="AV2612">
            <v>365</v>
          </cell>
          <cell r="AX2612">
            <v>130</v>
          </cell>
        </row>
        <row r="2613">
          <cell r="AV2613">
            <v>365</v>
          </cell>
          <cell r="AX2613">
            <v>366</v>
          </cell>
          <cell r="AZ2613">
            <v>0.16209999999999999</v>
          </cell>
          <cell r="BA2613">
            <v>365</v>
          </cell>
          <cell r="BB2613">
            <v>1989.7774999999999</v>
          </cell>
          <cell r="BC2613">
            <v>49</v>
          </cell>
        </row>
        <row r="2614">
          <cell r="E2614" t="str">
            <v>TF</v>
          </cell>
          <cell r="AV2614">
            <v>365</v>
          </cell>
          <cell r="AX2614">
            <v>62</v>
          </cell>
        </row>
        <row r="2615">
          <cell r="E2615" t="str">
            <v>GF</v>
          </cell>
          <cell r="AV2615">
            <v>365</v>
          </cell>
          <cell r="AX2615">
            <v>130</v>
          </cell>
        </row>
        <row r="2616">
          <cell r="AV2616">
            <v>365</v>
          </cell>
          <cell r="AX2616">
            <v>366</v>
          </cell>
          <cell r="AZ2616">
            <v>6.3299999999999995E-2</v>
          </cell>
          <cell r="BA2616">
            <v>10</v>
          </cell>
          <cell r="BB2616">
            <v>2223.3439972602737</v>
          </cell>
        </row>
        <row r="2617">
          <cell r="AV2617">
            <v>365</v>
          </cell>
          <cell r="AX2617">
            <v>336</v>
          </cell>
        </row>
        <row r="2618">
          <cell r="AV2618">
            <v>365</v>
          </cell>
          <cell r="AX2618">
            <v>336</v>
          </cell>
        </row>
        <row r="2619">
          <cell r="AV2619">
            <v>365</v>
          </cell>
          <cell r="AX2619">
            <v>336</v>
          </cell>
        </row>
        <row r="2620">
          <cell r="AV2620">
            <v>365</v>
          </cell>
          <cell r="AX2620">
            <v>336</v>
          </cell>
        </row>
        <row r="2621">
          <cell r="AV2621">
            <v>365</v>
          </cell>
          <cell r="AX2621">
            <v>336</v>
          </cell>
        </row>
        <row r="2622">
          <cell r="AV2622">
            <v>365</v>
          </cell>
          <cell r="AX2622">
            <v>336</v>
          </cell>
        </row>
        <row r="2623">
          <cell r="AV2623">
            <v>365</v>
          </cell>
          <cell r="AX2623">
            <v>336</v>
          </cell>
        </row>
        <row r="2624">
          <cell r="AV2624">
            <v>365</v>
          </cell>
          <cell r="AX2624">
            <v>336</v>
          </cell>
        </row>
        <row r="2625">
          <cell r="AV2625">
            <v>365</v>
          </cell>
          <cell r="AX2625">
            <v>336</v>
          </cell>
        </row>
        <row r="2626">
          <cell r="AV2626">
            <v>365</v>
          </cell>
          <cell r="AX2626">
            <v>336</v>
          </cell>
        </row>
        <row r="2627">
          <cell r="AV2627">
            <v>365</v>
          </cell>
          <cell r="AX2627">
            <v>1</v>
          </cell>
        </row>
        <row r="2628">
          <cell r="AV2628">
            <v>365</v>
          </cell>
          <cell r="AX2628">
            <v>1</v>
          </cell>
        </row>
        <row r="2629">
          <cell r="AV2629">
            <v>365</v>
          </cell>
          <cell r="AX2629">
            <v>1</v>
          </cell>
        </row>
        <row r="2630">
          <cell r="AV2630">
            <v>365</v>
          </cell>
          <cell r="AX2630">
            <v>1</v>
          </cell>
        </row>
        <row r="2631">
          <cell r="AV2631">
            <v>365</v>
          </cell>
          <cell r="AX2631">
            <v>1</v>
          </cell>
        </row>
        <row r="2632">
          <cell r="AV2632">
            <v>365</v>
          </cell>
          <cell r="AX2632">
            <v>1</v>
          </cell>
        </row>
        <row r="2633">
          <cell r="AV2633">
            <v>365</v>
          </cell>
          <cell r="AX2633">
            <v>1</v>
          </cell>
        </row>
        <row r="2634">
          <cell r="AV2634">
            <v>365</v>
          </cell>
          <cell r="AX2634">
            <v>366</v>
          </cell>
          <cell r="AZ2634">
            <v>6.3299999999999995E-2</v>
          </cell>
          <cell r="BA2634">
            <v>70</v>
          </cell>
          <cell r="BB2634">
            <v>14820.699542465751</v>
          </cell>
        </row>
        <row r="2635">
          <cell r="AV2635">
            <v>365</v>
          </cell>
          <cell r="AX2635">
            <v>184</v>
          </cell>
        </row>
        <row r="2636">
          <cell r="AV2636">
            <v>365</v>
          </cell>
          <cell r="AX2636">
            <v>184</v>
          </cell>
        </row>
        <row r="2637">
          <cell r="AV2637">
            <v>365</v>
          </cell>
          <cell r="AX2637">
            <v>184</v>
          </cell>
        </row>
        <row r="2638">
          <cell r="AV2638">
            <v>365</v>
          </cell>
          <cell r="AX2638">
            <v>184</v>
          </cell>
        </row>
        <row r="2639">
          <cell r="AV2639">
            <v>365</v>
          </cell>
          <cell r="AX2639">
            <v>184</v>
          </cell>
        </row>
        <row r="2640">
          <cell r="AV2640">
            <v>365</v>
          </cell>
          <cell r="AX2640">
            <v>184</v>
          </cell>
        </row>
        <row r="2641">
          <cell r="AV2641">
            <v>365</v>
          </cell>
          <cell r="AX2641">
            <v>184</v>
          </cell>
        </row>
        <row r="2642">
          <cell r="E2642" t="str">
            <v>GF</v>
          </cell>
          <cell r="AV2642">
            <v>365</v>
          </cell>
          <cell r="AX2642">
            <v>130</v>
          </cell>
        </row>
        <row r="2643">
          <cell r="E2643" t="str">
            <v>FF</v>
          </cell>
          <cell r="AV2643">
            <v>365</v>
          </cell>
          <cell r="AX2643">
            <v>245</v>
          </cell>
        </row>
        <row r="2644">
          <cell r="E2644" t="str">
            <v>FF</v>
          </cell>
          <cell r="AV2644">
            <v>365</v>
          </cell>
          <cell r="AX2644">
            <v>245</v>
          </cell>
        </row>
        <row r="2645">
          <cell r="E2645" t="str">
            <v>FF</v>
          </cell>
          <cell r="AV2645">
            <v>365</v>
          </cell>
          <cell r="AX2645">
            <v>245</v>
          </cell>
        </row>
        <row r="2646">
          <cell r="E2646" t="str">
            <v>FF</v>
          </cell>
          <cell r="AV2646">
            <v>365</v>
          </cell>
          <cell r="AX2646">
            <v>245</v>
          </cell>
        </row>
        <row r="2647">
          <cell r="E2647" t="str">
            <v>FF</v>
          </cell>
          <cell r="AV2647">
            <v>365</v>
          </cell>
          <cell r="AX2647">
            <v>245</v>
          </cell>
        </row>
        <row r="2648">
          <cell r="AV2648">
            <v>305</v>
          </cell>
        </row>
        <row r="2649">
          <cell r="AV2649">
            <v>265</v>
          </cell>
        </row>
        <row r="2650">
          <cell r="AV2650">
            <v>365</v>
          </cell>
          <cell r="AX2650">
            <v>276</v>
          </cell>
        </row>
        <row r="2651">
          <cell r="AV2651">
            <v>365</v>
          </cell>
          <cell r="AX2651">
            <v>366</v>
          </cell>
          <cell r="AZ2651">
            <v>6.3299999999999995E-2</v>
          </cell>
          <cell r="BA2651">
            <v>343</v>
          </cell>
          <cell r="BB2651">
            <v>682.58644520547944</v>
          </cell>
        </row>
        <row r="2652">
          <cell r="AV2652">
            <v>365</v>
          </cell>
          <cell r="AX2652">
            <v>366</v>
          </cell>
          <cell r="AZ2652">
            <v>6.3299999999999995E-2</v>
          </cell>
          <cell r="BA2652">
            <v>218</v>
          </cell>
          <cell r="BB2652">
            <v>23555.008701369861</v>
          </cell>
        </row>
        <row r="2653">
          <cell r="AV2653">
            <v>365</v>
          </cell>
          <cell r="AX2653">
            <v>366</v>
          </cell>
          <cell r="AZ2653">
            <v>6.3299999999999995E-2</v>
          </cell>
          <cell r="BA2653">
            <v>218</v>
          </cell>
          <cell r="BB2653">
            <v>3212.0466410958902</v>
          </cell>
        </row>
        <row r="2654">
          <cell r="AV2654">
            <v>365</v>
          </cell>
          <cell r="AX2654">
            <v>366</v>
          </cell>
          <cell r="AZ2654">
            <v>6.3299999999999995E-2</v>
          </cell>
          <cell r="BA2654">
            <v>218</v>
          </cell>
          <cell r="BB2654">
            <v>11599.057315068492</v>
          </cell>
        </row>
        <row r="2655">
          <cell r="AV2655">
            <v>365</v>
          </cell>
          <cell r="AX2655">
            <v>366</v>
          </cell>
          <cell r="AZ2655">
            <v>6.3299999999999995E-2</v>
          </cell>
          <cell r="BA2655">
            <v>218</v>
          </cell>
          <cell r="BB2655">
            <v>1070.68221369863</v>
          </cell>
        </row>
        <row r="2656">
          <cell r="AV2656">
            <v>365</v>
          </cell>
          <cell r="AX2656">
            <v>366</v>
          </cell>
          <cell r="AZ2656">
            <v>6.3299999999999995E-2</v>
          </cell>
          <cell r="BA2656">
            <v>218</v>
          </cell>
          <cell r="BB2656">
            <v>803.01166027397255</v>
          </cell>
        </row>
        <row r="2657">
          <cell r="AV2657">
            <v>365</v>
          </cell>
          <cell r="AX2657">
            <v>366</v>
          </cell>
          <cell r="AZ2657">
            <v>6.3299999999999995E-2</v>
          </cell>
          <cell r="BA2657">
            <v>218</v>
          </cell>
          <cell r="BB2657">
            <v>1606.0233205479451</v>
          </cell>
        </row>
        <row r="2658">
          <cell r="AV2658">
            <v>365</v>
          </cell>
          <cell r="AX2658">
            <v>366</v>
          </cell>
          <cell r="AZ2658">
            <v>6.3299999999999995E-2</v>
          </cell>
          <cell r="BA2658">
            <v>218</v>
          </cell>
          <cell r="BB2658">
            <v>224.84326487671237</v>
          </cell>
        </row>
        <row r="2659">
          <cell r="AV2659">
            <v>365</v>
          </cell>
          <cell r="AX2659">
            <v>366</v>
          </cell>
          <cell r="AZ2659">
            <v>6.3299999999999995E-2</v>
          </cell>
          <cell r="BA2659">
            <v>123</v>
          </cell>
          <cell r="BB2659">
            <v>24488.255342465749</v>
          </cell>
        </row>
        <row r="2660">
          <cell r="AV2660">
            <v>365</v>
          </cell>
          <cell r="AX2660">
            <v>366</v>
          </cell>
          <cell r="AZ2660">
            <v>6.3299999999999995E-2</v>
          </cell>
          <cell r="BA2660">
            <v>123</v>
          </cell>
          <cell r="BB2660">
            <v>1077.0139479452055</v>
          </cell>
        </row>
        <row r="2661">
          <cell r="AV2661">
            <v>365</v>
          </cell>
          <cell r="AX2661">
            <v>366</v>
          </cell>
          <cell r="AZ2661">
            <v>6.3299999999999995E-2</v>
          </cell>
          <cell r="BA2661">
            <v>123</v>
          </cell>
          <cell r="BB2661">
            <v>511.94958904109581</v>
          </cell>
        </row>
        <row r="2662">
          <cell r="AV2662">
            <v>365</v>
          </cell>
          <cell r="AX2662">
            <v>266</v>
          </cell>
        </row>
        <row r="2663">
          <cell r="AX2663">
            <v>122</v>
          </cell>
        </row>
        <row r="2664">
          <cell r="AV2664">
            <v>289</v>
          </cell>
        </row>
        <row r="2665">
          <cell r="E2665" t="str">
            <v>GF</v>
          </cell>
          <cell r="AV2665">
            <v>365</v>
          </cell>
          <cell r="AX2665">
            <v>336</v>
          </cell>
        </row>
        <row r="2666">
          <cell r="E2666" t="str">
            <v>GF</v>
          </cell>
          <cell r="AV2666">
            <v>365</v>
          </cell>
          <cell r="AX2666">
            <v>336</v>
          </cell>
        </row>
        <row r="2667">
          <cell r="E2667" t="str">
            <v>FF</v>
          </cell>
          <cell r="AV2667">
            <v>365</v>
          </cell>
          <cell r="AX2667">
            <v>366</v>
          </cell>
        </row>
        <row r="2668">
          <cell r="AV2668">
            <v>365</v>
          </cell>
          <cell r="AX2668">
            <v>108</v>
          </cell>
        </row>
        <row r="2669">
          <cell r="AV2669">
            <v>365</v>
          </cell>
          <cell r="AX2669">
            <v>130</v>
          </cell>
        </row>
        <row r="2670">
          <cell r="AV2670">
            <v>365</v>
          </cell>
          <cell r="AX2670">
            <v>130</v>
          </cell>
        </row>
        <row r="2671">
          <cell r="AV2671">
            <v>365</v>
          </cell>
          <cell r="AX2671">
            <v>130</v>
          </cell>
        </row>
        <row r="2672">
          <cell r="AV2672">
            <v>365</v>
          </cell>
          <cell r="AX2672">
            <v>366</v>
          </cell>
          <cell r="AZ2672">
            <v>0.16209999999999999</v>
          </cell>
          <cell r="BA2672">
            <v>178</v>
          </cell>
          <cell r="BB2672">
            <v>52790.596273972595</v>
          </cell>
        </row>
        <row r="2673">
          <cell r="D2673" t="str">
            <v>R&amp;D</v>
          </cell>
          <cell r="AV2673">
            <v>365</v>
          </cell>
          <cell r="AX2673">
            <v>167</v>
          </cell>
        </row>
        <row r="2674">
          <cell r="AV2674">
            <v>289</v>
          </cell>
        </row>
        <row r="2675">
          <cell r="AV2675">
            <v>365</v>
          </cell>
          <cell r="AX2675">
            <v>130</v>
          </cell>
        </row>
        <row r="2676">
          <cell r="AV2676">
            <v>365</v>
          </cell>
          <cell r="AX2676">
            <v>130</v>
          </cell>
        </row>
        <row r="2677">
          <cell r="AV2677">
            <v>365</v>
          </cell>
          <cell r="AX2677">
            <v>130</v>
          </cell>
        </row>
        <row r="2678">
          <cell r="AV2678">
            <v>365</v>
          </cell>
          <cell r="AX2678">
            <v>130</v>
          </cell>
        </row>
        <row r="2679">
          <cell r="AV2679">
            <v>365</v>
          </cell>
          <cell r="AX2679">
            <v>267</v>
          </cell>
        </row>
        <row r="2680">
          <cell r="AV2680">
            <v>365</v>
          </cell>
          <cell r="AX2680">
            <v>267</v>
          </cell>
        </row>
        <row r="2681">
          <cell r="AV2681">
            <v>365</v>
          </cell>
          <cell r="AX2681">
            <v>1</v>
          </cell>
        </row>
        <row r="2682">
          <cell r="E2682" t="str">
            <v>GF (50%)</v>
          </cell>
          <cell r="AV2682">
            <v>365</v>
          </cell>
          <cell r="AX2682">
            <v>60</v>
          </cell>
        </row>
        <row r="2683">
          <cell r="AV2683">
            <v>365</v>
          </cell>
          <cell r="AX2683">
            <v>125</v>
          </cell>
        </row>
        <row r="2684">
          <cell r="AV2684">
            <v>365</v>
          </cell>
          <cell r="AX2684">
            <v>125</v>
          </cell>
        </row>
        <row r="2685">
          <cell r="AV2685">
            <v>365</v>
          </cell>
          <cell r="AX2685">
            <v>125</v>
          </cell>
        </row>
        <row r="2686">
          <cell r="AV2686">
            <v>365</v>
          </cell>
          <cell r="AX2686">
            <v>125</v>
          </cell>
        </row>
        <row r="2687">
          <cell r="AV2687">
            <v>365</v>
          </cell>
          <cell r="AX2687">
            <v>125</v>
          </cell>
        </row>
        <row r="2688">
          <cell r="AV2688">
            <v>365</v>
          </cell>
          <cell r="AX2688">
            <v>125</v>
          </cell>
        </row>
        <row r="2689">
          <cell r="AV2689">
            <v>365</v>
          </cell>
          <cell r="AX2689">
            <v>125</v>
          </cell>
        </row>
        <row r="2690">
          <cell r="AV2690">
            <v>365</v>
          </cell>
          <cell r="AX2690">
            <v>125</v>
          </cell>
        </row>
        <row r="2691">
          <cell r="D2691" t="str">
            <v>Utilities</v>
          </cell>
          <cell r="E2691" t="str">
            <v>UTILITY</v>
          </cell>
          <cell r="AV2691">
            <v>365</v>
          </cell>
          <cell r="AX2691">
            <v>130</v>
          </cell>
        </row>
        <row r="2692">
          <cell r="AV2692">
            <v>365</v>
          </cell>
          <cell r="AX2692">
            <v>180</v>
          </cell>
        </row>
        <row r="2693">
          <cell r="AV2693">
            <v>289</v>
          </cell>
        </row>
        <row r="2694">
          <cell r="AV2694">
            <v>365</v>
          </cell>
          <cell r="AX2694">
            <v>19</v>
          </cell>
        </row>
        <row r="2695">
          <cell r="AV2695">
            <v>365</v>
          </cell>
          <cell r="AX2695">
            <v>19</v>
          </cell>
        </row>
        <row r="2696">
          <cell r="AV2696">
            <v>365</v>
          </cell>
          <cell r="AX2696">
            <v>19</v>
          </cell>
        </row>
        <row r="2697">
          <cell r="AV2697">
            <v>365</v>
          </cell>
          <cell r="AX2697">
            <v>19</v>
          </cell>
        </row>
        <row r="2698">
          <cell r="AV2698">
            <v>365</v>
          </cell>
          <cell r="AX2698">
            <v>19</v>
          </cell>
        </row>
        <row r="2699">
          <cell r="AV2699">
            <v>365</v>
          </cell>
          <cell r="AX2699">
            <v>19</v>
          </cell>
        </row>
        <row r="2700">
          <cell r="AV2700">
            <v>365</v>
          </cell>
          <cell r="AX2700">
            <v>19</v>
          </cell>
        </row>
        <row r="2701">
          <cell r="AV2701">
            <v>365</v>
          </cell>
          <cell r="AX2701">
            <v>19</v>
          </cell>
        </row>
        <row r="2702">
          <cell r="E2702" t="str">
            <v>FF</v>
          </cell>
          <cell r="AV2702">
            <v>365</v>
          </cell>
          <cell r="AX2702">
            <v>266</v>
          </cell>
        </row>
        <row r="2703">
          <cell r="E2703" t="str">
            <v>SF</v>
          </cell>
          <cell r="F2703" t="str">
            <v>Terrace</v>
          </cell>
          <cell r="AV2703">
            <v>365</v>
          </cell>
          <cell r="AX2703">
            <v>21</v>
          </cell>
        </row>
        <row r="2704">
          <cell r="E2704" t="str">
            <v>SF</v>
          </cell>
          <cell r="F2704" t="str">
            <v>Terrace</v>
          </cell>
          <cell r="AV2704">
            <v>365</v>
          </cell>
          <cell r="AX2704">
            <v>21</v>
          </cell>
        </row>
        <row r="2705">
          <cell r="E2705" t="str">
            <v>SF</v>
          </cell>
          <cell r="F2705" t="str">
            <v>Terrace</v>
          </cell>
          <cell r="AV2705">
            <v>365</v>
          </cell>
          <cell r="AX2705">
            <v>21</v>
          </cell>
        </row>
        <row r="2706">
          <cell r="E2706" t="str">
            <v>SF</v>
          </cell>
          <cell r="AV2706">
            <v>365</v>
          </cell>
          <cell r="AX2706">
            <v>21</v>
          </cell>
        </row>
        <row r="2707">
          <cell r="E2707" t="str">
            <v>SF</v>
          </cell>
          <cell r="AV2707">
            <v>365</v>
          </cell>
          <cell r="AX2707">
            <v>21</v>
          </cell>
        </row>
        <row r="2708">
          <cell r="E2708" t="str">
            <v>SF</v>
          </cell>
          <cell r="AV2708">
            <v>365</v>
          </cell>
          <cell r="AX2708">
            <v>21</v>
          </cell>
        </row>
        <row r="2709">
          <cell r="E2709" t="str">
            <v>SF</v>
          </cell>
          <cell r="AV2709">
            <v>365</v>
          </cell>
          <cell r="AX2709">
            <v>21</v>
          </cell>
        </row>
        <row r="2710">
          <cell r="E2710" t="str">
            <v>SF</v>
          </cell>
          <cell r="AV2710">
            <v>365</v>
          </cell>
          <cell r="AX2710">
            <v>21</v>
          </cell>
        </row>
        <row r="2711">
          <cell r="E2711" t="str">
            <v>SF</v>
          </cell>
          <cell r="AV2711">
            <v>365</v>
          </cell>
          <cell r="AX2711">
            <v>21</v>
          </cell>
        </row>
        <row r="2712">
          <cell r="E2712" t="str">
            <v>SF</v>
          </cell>
          <cell r="AV2712">
            <v>365</v>
          </cell>
          <cell r="AX2712">
            <v>21</v>
          </cell>
        </row>
        <row r="2713">
          <cell r="E2713" t="str">
            <v>SF</v>
          </cell>
          <cell r="AV2713">
            <v>365</v>
          </cell>
          <cell r="AX2713">
            <v>21</v>
          </cell>
        </row>
        <row r="2714">
          <cell r="E2714" t="str">
            <v>SF</v>
          </cell>
          <cell r="AV2714">
            <v>365</v>
          </cell>
          <cell r="AX2714">
            <v>21</v>
          </cell>
        </row>
        <row r="2715">
          <cell r="E2715" t="str">
            <v>SF</v>
          </cell>
          <cell r="AV2715">
            <v>365</v>
          </cell>
          <cell r="AX2715">
            <v>21</v>
          </cell>
        </row>
        <row r="2716">
          <cell r="E2716" t="str">
            <v>SF</v>
          </cell>
          <cell r="AV2716">
            <v>365</v>
          </cell>
          <cell r="AX2716">
            <v>21</v>
          </cell>
        </row>
        <row r="2717">
          <cell r="E2717" t="str">
            <v>SF</v>
          </cell>
          <cell r="AV2717">
            <v>365</v>
          </cell>
          <cell r="AX2717">
            <v>21</v>
          </cell>
        </row>
        <row r="2718">
          <cell r="E2718" t="str">
            <v>SF</v>
          </cell>
          <cell r="AV2718">
            <v>365</v>
          </cell>
          <cell r="AX2718">
            <v>21</v>
          </cell>
        </row>
        <row r="2719">
          <cell r="E2719" t="str">
            <v>SF</v>
          </cell>
          <cell r="AV2719">
            <v>365</v>
          </cell>
          <cell r="AX2719">
            <v>21</v>
          </cell>
        </row>
        <row r="2720">
          <cell r="E2720" t="str">
            <v>SF</v>
          </cell>
          <cell r="AV2720">
            <v>365</v>
          </cell>
          <cell r="AX2720">
            <v>21</v>
          </cell>
        </row>
        <row r="2721">
          <cell r="E2721" t="str">
            <v>SF</v>
          </cell>
          <cell r="AV2721">
            <v>365</v>
          </cell>
          <cell r="AX2721">
            <v>21</v>
          </cell>
        </row>
        <row r="2722">
          <cell r="E2722" t="str">
            <v>SF</v>
          </cell>
          <cell r="AV2722">
            <v>365</v>
          </cell>
          <cell r="AX2722">
            <v>21</v>
          </cell>
        </row>
        <row r="2723">
          <cell r="E2723" t="str">
            <v>SF</v>
          </cell>
          <cell r="AV2723">
            <v>365</v>
          </cell>
          <cell r="AX2723">
            <v>21</v>
          </cell>
        </row>
        <row r="2724">
          <cell r="AV2724">
            <v>365</v>
          </cell>
          <cell r="AX2724">
            <v>366</v>
          </cell>
          <cell r="AZ2724">
            <v>6.3299999999999995E-2</v>
          </cell>
          <cell r="BA2724">
            <v>52</v>
          </cell>
          <cell r="BB2724">
            <v>85.671780821917793</v>
          </cell>
        </row>
        <row r="2725">
          <cell r="AV2725">
            <v>289</v>
          </cell>
        </row>
        <row r="2726">
          <cell r="E2726" t="str">
            <v>GF</v>
          </cell>
          <cell r="AV2726">
            <v>365</v>
          </cell>
          <cell r="AX2726">
            <v>130</v>
          </cell>
        </row>
        <row r="2727">
          <cell r="AX2727">
            <v>366</v>
          </cell>
          <cell r="AZ2727">
            <v>0.16209999999999999</v>
          </cell>
          <cell r="BA2727">
            <v>352</v>
          </cell>
          <cell r="BB2727">
            <v>1469.469808219178</v>
          </cell>
        </row>
        <row r="2728">
          <cell r="AX2728">
            <v>366</v>
          </cell>
          <cell r="AZ2728">
            <v>0.16209999999999999</v>
          </cell>
          <cell r="BA2728">
            <v>231</v>
          </cell>
          <cell r="BB2728">
            <v>964.33956164383551</v>
          </cell>
        </row>
        <row r="2729">
          <cell r="AV2729">
            <v>365</v>
          </cell>
          <cell r="AX2729">
            <v>141</v>
          </cell>
        </row>
        <row r="2730">
          <cell r="AV2730">
            <v>365</v>
          </cell>
          <cell r="AX2730">
            <v>129</v>
          </cell>
        </row>
        <row r="2731">
          <cell r="AV2731">
            <v>365</v>
          </cell>
          <cell r="AX2731">
            <v>129</v>
          </cell>
        </row>
        <row r="2732">
          <cell r="AV2732">
            <v>365</v>
          </cell>
          <cell r="AX2732">
            <v>129</v>
          </cell>
        </row>
        <row r="2733">
          <cell r="AV2733">
            <v>365</v>
          </cell>
          <cell r="AX2733">
            <v>129</v>
          </cell>
        </row>
        <row r="2734">
          <cell r="AV2734">
            <v>365</v>
          </cell>
          <cell r="AX2734">
            <v>129</v>
          </cell>
        </row>
        <row r="2735">
          <cell r="AV2735">
            <v>365</v>
          </cell>
          <cell r="AX2735">
            <v>366</v>
          </cell>
          <cell r="AZ2735">
            <v>0.16209999999999999</v>
          </cell>
          <cell r="BA2735">
            <v>245</v>
          </cell>
          <cell r="BB2735">
            <v>1017.3440410958904</v>
          </cell>
        </row>
        <row r="2736">
          <cell r="AV2736">
            <v>365</v>
          </cell>
          <cell r="AX2736">
            <v>113</v>
          </cell>
        </row>
        <row r="2737">
          <cell r="AV2737">
            <v>365</v>
          </cell>
          <cell r="AX2737">
            <v>130</v>
          </cell>
        </row>
        <row r="2738">
          <cell r="AV2738">
            <v>365</v>
          </cell>
          <cell r="AX2738">
            <v>130</v>
          </cell>
        </row>
        <row r="2739">
          <cell r="AV2739">
            <v>365</v>
          </cell>
          <cell r="AX2739">
            <v>130</v>
          </cell>
        </row>
        <row r="2740">
          <cell r="AV2740">
            <v>365</v>
          </cell>
          <cell r="AX2740">
            <v>130</v>
          </cell>
        </row>
        <row r="2741">
          <cell r="AV2741">
            <v>365</v>
          </cell>
          <cell r="AX2741">
            <v>366</v>
          </cell>
          <cell r="AZ2741">
            <v>0.16209999999999999</v>
          </cell>
          <cell r="BA2741">
            <v>212</v>
          </cell>
          <cell r="BB2741">
            <v>4170.6201005084304</v>
          </cell>
        </row>
        <row r="2742">
          <cell r="AV2742">
            <v>365</v>
          </cell>
          <cell r="AX2742">
            <v>366</v>
          </cell>
          <cell r="AZ2742">
            <v>0.16209999999999999</v>
          </cell>
          <cell r="BA2742">
            <v>212</v>
          </cell>
          <cell r="BB2742">
            <v>2143.8235726027397</v>
          </cell>
        </row>
        <row r="2743">
          <cell r="AV2743">
            <v>365</v>
          </cell>
          <cell r="AX2743">
            <v>366</v>
          </cell>
          <cell r="AZ2743">
            <v>0.16209999999999999</v>
          </cell>
          <cell r="BA2743">
            <v>212</v>
          </cell>
          <cell r="BB2743">
            <v>5261.6683968439711</v>
          </cell>
        </row>
        <row r="2744">
          <cell r="AV2744">
            <v>365</v>
          </cell>
          <cell r="AX2744">
            <v>366</v>
          </cell>
          <cell r="AZ2744">
            <v>0.16209999999999999</v>
          </cell>
          <cell r="BA2744">
            <v>212</v>
          </cell>
          <cell r="BB2744">
            <v>5450.2136093443514</v>
          </cell>
        </row>
        <row r="2745">
          <cell r="AV2745">
            <v>365</v>
          </cell>
          <cell r="AX2745">
            <v>366</v>
          </cell>
          <cell r="AZ2745">
            <v>0.16209999999999999</v>
          </cell>
          <cell r="BA2745">
            <v>212</v>
          </cell>
          <cell r="BB2745">
            <v>2994.0979745060531</v>
          </cell>
        </row>
        <row r="2746">
          <cell r="AV2746">
            <v>365</v>
          </cell>
          <cell r="AX2746">
            <v>366</v>
          </cell>
          <cell r="AZ2746">
            <v>0.16209999999999999</v>
          </cell>
          <cell r="BA2746">
            <v>212</v>
          </cell>
          <cell r="BB2746">
            <v>1317.9310353776643</v>
          </cell>
        </row>
        <row r="2747">
          <cell r="AV2747">
            <v>365</v>
          </cell>
          <cell r="AX2747">
            <v>366</v>
          </cell>
          <cell r="AZ2747">
            <v>0.16209999999999999</v>
          </cell>
          <cell r="BA2747">
            <v>212</v>
          </cell>
          <cell r="BB2747">
            <v>3672.8607395074259</v>
          </cell>
        </row>
        <row r="2748">
          <cell r="AV2748">
            <v>365</v>
          </cell>
          <cell r="AX2748">
            <v>366</v>
          </cell>
          <cell r="AZ2748">
            <v>0.16209999999999999</v>
          </cell>
          <cell r="BA2748">
            <v>212</v>
          </cell>
          <cell r="BB2748">
            <v>697.66063561643841</v>
          </cell>
        </row>
        <row r="2749">
          <cell r="F2749" t="str">
            <v>GB</v>
          </cell>
          <cell r="AV2749">
            <v>365</v>
          </cell>
          <cell r="AX2749">
            <v>366</v>
          </cell>
          <cell r="AZ2749">
            <v>0.16209999999999999</v>
          </cell>
          <cell r="BA2749">
            <v>212</v>
          </cell>
          <cell r="BB2749">
            <v>26787.947195191995</v>
          </cell>
        </row>
        <row r="2750">
          <cell r="AV2750">
            <v>365</v>
          </cell>
          <cell r="AX2750">
            <v>366</v>
          </cell>
          <cell r="AZ2750">
            <v>0.16209999999999999</v>
          </cell>
          <cell r="BA2750">
            <v>212</v>
          </cell>
          <cell r="BB2750">
            <v>16504.323156923656</v>
          </cell>
        </row>
        <row r="2751">
          <cell r="E2751" t="str">
            <v>FF</v>
          </cell>
          <cell r="AV2751">
            <v>365</v>
          </cell>
          <cell r="AX2751">
            <v>336</v>
          </cell>
        </row>
        <row r="2752">
          <cell r="E2752" t="str">
            <v>FF</v>
          </cell>
          <cell r="AV2752">
            <v>365</v>
          </cell>
          <cell r="AX2752">
            <v>336</v>
          </cell>
        </row>
        <row r="2753">
          <cell r="E2753" t="str">
            <v>FF</v>
          </cell>
          <cell r="AV2753">
            <v>365</v>
          </cell>
          <cell r="AX2753">
            <v>336</v>
          </cell>
        </row>
        <row r="2754">
          <cell r="E2754" t="str">
            <v>FF</v>
          </cell>
          <cell r="AV2754">
            <v>365</v>
          </cell>
          <cell r="AX2754">
            <v>336</v>
          </cell>
        </row>
        <row r="2755">
          <cell r="E2755" t="str">
            <v>SF</v>
          </cell>
          <cell r="AV2755">
            <v>365</v>
          </cell>
          <cell r="AX2755">
            <v>21</v>
          </cell>
        </row>
        <row r="2756">
          <cell r="E2756" t="str">
            <v>SF</v>
          </cell>
          <cell r="AV2756">
            <v>365</v>
          </cell>
          <cell r="AX2756">
            <v>21</v>
          </cell>
        </row>
        <row r="2757">
          <cell r="E2757" t="str">
            <v>SF</v>
          </cell>
          <cell r="AV2757">
            <v>365</v>
          </cell>
          <cell r="AX2757">
            <v>21</v>
          </cell>
        </row>
        <row r="2758">
          <cell r="AV2758">
            <v>365</v>
          </cell>
          <cell r="AX2758">
            <v>153</v>
          </cell>
        </row>
        <row r="2759">
          <cell r="AV2759">
            <v>365</v>
          </cell>
          <cell r="AX2759">
            <v>153</v>
          </cell>
        </row>
        <row r="2760">
          <cell r="AV2760">
            <v>365</v>
          </cell>
          <cell r="AX2760">
            <v>153</v>
          </cell>
        </row>
        <row r="2761">
          <cell r="AV2761">
            <v>365</v>
          </cell>
          <cell r="AX2761">
            <v>153</v>
          </cell>
        </row>
        <row r="2762">
          <cell r="AV2762">
            <v>365</v>
          </cell>
          <cell r="AX2762">
            <v>153</v>
          </cell>
        </row>
        <row r="2763">
          <cell r="AV2763">
            <v>365</v>
          </cell>
          <cell r="AX2763">
            <v>153</v>
          </cell>
        </row>
        <row r="2764">
          <cell r="AV2764">
            <v>365</v>
          </cell>
          <cell r="AX2764">
            <v>153</v>
          </cell>
        </row>
        <row r="2765">
          <cell r="AX2765">
            <v>351</v>
          </cell>
        </row>
        <row r="2766">
          <cell r="AV2766">
            <v>365</v>
          </cell>
          <cell r="AX2766">
            <v>72</v>
          </cell>
        </row>
        <row r="2767">
          <cell r="AV2767">
            <v>365</v>
          </cell>
          <cell r="AX2767">
            <v>12</v>
          </cell>
        </row>
        <row r="2768">
          <cell r="AV2768">
            <v>305</v>
          </cell>
        </row>
        <row r="2769">
          <cell r="AV2769">
            <v>305</v>
          </cell>
        </row>
        <row r="2770">
          <cell r="AV2770">
            <v>305</v>
          </cell>
        </row>
        <row r="2771">
          <cell r="E2771" t="str">
            <v>GF</v>
          </cell>
          <cell r="AV2771">
            <v>365</v>
          </cell>
          <cell r="AX2771">
            <v>366</v>
          </cell>
        </row>
        <row r="2772">
          <cell r="E2772" t="str">
            <v>GF</v>
          </cell>
          <cell r="AV2772">
            <v>365</v>
          </cell>
          <cell r="AX2772">
            <v>266</v>
          </cell>
        </row>
        <row r="2773">
          <cell r="E2773" t="str">
            <v>GF</v>
          </cell>
          <cell r="AV2773">
            <v>365</v>
          </cell>
          <cell r="AX2773">
            <v>159</v>
          </cell>
        </row>
        <row r="2774">
          <cell r="AV2774">
            <v>289</v>
          </cell>
        </row>
        <row r="2775">
          <cell r="AV2775">
            <v>289</v>
          </cell>
        </row>
        <row r="2776">
          <cell r="E2776" t="str">
            <v>GF</v>
          </cell>
          <cell r="AV2776">
            <v>365</v>
          </cell>
          <cell r="AX2776">
            <v>336</v>
          </cell>
        </row>
        <row r="2777">
          <cell r="E2777" t="str">
            <v>FF</v>
          </cell>
          <cell r="AV2777">
            <v>365</v>
          </cell>
          <cell r="AX2777">
            <v>123</v>
          </cell>
        </row>
        <row r="2778">
          <cell r="E2778" t="str">
            <v>FF</v>
          </cell>
          <cell r="AV2778">
            <v>365</v>
          </cell>
          <cell r="AX2778">
            <v>123</v>
          </cell>
        </row>
        <row r="2779">
          <cell r="E2779" t="str">
            <v>FF</v>
          </cell>
          <cell r="AV2779">
            <v>365</v>
          </cell>
          <cell r="AX2779">
            <v>123</v>
          </cell>
        </row>
        <row r="2780">
          <cell r="E2780" t="str">
            <v>FF</v>
          </cell>
          <cell r="AV2780">
            <v>365</v>
          </cell>
          <cell r="AX2780">
            <v>123</v>
          </cell>
        </row>
        <row r="2781">
          <cell r="E2781" t="str">
            <v>FF</v>
          </cell>
          <cell r="AV2781">
            <v>365</v>
          </cell>
          <cell r="AX2781">
            <v>123</v>
          </cell>
        </row>
        <row r="2782">
          <cell r="E2782" t="str">
            <v>FF</v>
          </cell>
          <cell r="AV2782">
            <v>365</v>
          </cell>
          <cell r="AX2782">
            <v>123</v>
          </cell>
        </row>
        <row r="2783">
          <cell r="E2783" t="str">
            <v>FF</v>
          </cell>
          <cell r="AV2783">
            <v>365</v>
          </cell>
          <cell r="AX2783">
            <v>123</v>
          </cell>
        </row>
        <row r="2784">
          <cell r="E2784" t="str">
            <v>FF</v>
          </cell>
          <cell r="AV2784">
            <v>365</v>
          </cell>
          <cell r="AX2784">
            <v>123</v>
          </cell>
        </row>
        <row r="2785">
          <cell r="E2785" t="str">
            <v>FF</v>
          </cell>
          <cell r="AV2785">
            <v>365</v>
          </cell>
          <cell r="AX2785">
            <v>123</v>
          </cell>
        </row>
        <row r="2786">
          <cell r="E2786" t="str">
            <v>FF</v>
          </cell>
          <cell r="AV2786">
            <v>365</v>
          </cell>
          <cell r="AX2786">
            <v>123</v>
          </cell>
        </row>
        <row r="2787">
          <cell r="E2787" t="str">
            <v>FF</v>
          </cell>
          <cell r="AV2787">
            <v>365</v>
          </cell>
          <cell r="AX2787">
            <v>123</v>
          </cell>
        </row>
        <row r="2788">
          <cell r="E2788" t="str">
            <v>FF</v>
          </cell>
          <cell r="AV2788">
            <v>365</v>
          </cell>
          <cell r="AX2788">
            <v>123</v>
          </cell>
        </row>
        <row r="2789">
          <cell r="D2789" t="str">
            <v>Utilities</v>
          </cell>
          <cell r="E2789" t="str">
            <v>Near OCB</v>
          </cell>
          <cell r="AV2789">
            <v>365</v>
          </cell>
          <cell r="AX2789">
            <v>130</v>
          </cell>
        </row>
        <row r="2790">
          <cell r="AV2790">
            <v>305</v>
          </cell>
        </row>
        <row r="2791">
          <cell r="AV2791">
            <v>305</v>
          </cell>
        </row>
        <row r="2792">
          <cell r="AV2792">
            <v>305</v>
          </cell>
        </row>
        <row r="2793">
          <cell r="AV2793">
            <v>305</v>
          </cell>
        </row>
        <row r="2794">
          <cell r="AV2794">
            <v>305</v>
          </cell>
        </row>
        <row r="2795">
          <cell r="E2795" t="str">
            <v>GF</v>
          </cell>
          <cell r="AV2795">
            <v>365</v>
          </cell>
          <cell r="AX2795">
            <v>130</v>
          </cell>
        </row>
        <row r="2796">
          <cell r="E2796" t="str">
            <v>FF</v>
          </cell>
          <cell r="AV2796">
            <v>365</v>
          </cell>
          <cell r="AX2796">
            <v>336</v>
          </cell>
        </row>
        <row r="2797">
          <cell r="AV2797">
            <v>365</v>
          </cell>
          <cell r="AX2797">
            <v>366</v>
          </cell>
          <cell r="AZ2797">
            <v>0.16209999999999999</v>
          </cell>
          <cell r="BA2797">
            <v>0</v>
          </cell>
          <cell r="BB2797">
            <v>0</v>
          </cell>
        </row>
        <row r="2798">
          <cell r="AV2798">
            <v>365</v>
          </cell>
          <cell r="AX2798">
            <v>366</v>
          </cell>
          <cell r="AZ2798">
            <v>0.16209999999999999</v>
          </cell>
          <cell r="BA2798">
            <v>0</v>
          </cell>
          <cell r="BB2798">
            <v>0</v>
          </cell>
        </row>
        <row r="2799">
          <cell r="AV2799">
            <v>365</v>
          </cell>
          <cell r="AX2799">
            <v>366</v>
          </cell>
          <cell r="AZ2799">
            <v>0.16209999999999999</v>
          </cell>
          <cell r="BA2799">
            <v>0</v>
          </cell>
          <cell r="BB2799">
            <v>0</v>
          </cell>
        </row>
        <row r="2800">
          <cell r="AV2800">
            <v>365</v>
          </cell>
          <cell r="AX2800">
            <v>366</v>
          </cell>
          <cell r="AZ2800">
            <v>0.16209999999999999</v>
          </cell>
          <cell r="BA2800">
            <v>0</v>
          </cell>
          <cell r="BB2800">
            <v>0</v>
          </cell>
        </row>
        <row r="2801">
          <cell r="AV2801">
            <v>365</v>
          </cell>
          <cell r="AX2801">
            <v>366</v>
          </cell>
          <cell r="AZ2801">
            <v>0.16209999999999999</v>
          </cell>
          <cell r="BA2801">
            <v>0</v>
          </cell>
          <cell r="BB2801">
            <v>0</v>
          </cell>
        </row>
        <row r="2802">
          <cell r="AV2802">
            <v>365</v>
          </cell>
          <cell r="AX2802">
            <v>21</v>
          </cell>
        </row>
        <row r="2803">
          <cell r="AV2803">
            <v>365</v>
          </cell>
          <cell r="AX2803">
            <v>267</v>
          </cell>
        </row>
        <row r="2804">
          <cell r="AV2804">
            <v>365</v>
          </cell>
          <cell r="AX2804">
            <v>267</v>
          </cell>
        </row>
        <row r="2805">
          <cell r="AV2805">
            <v>365</v>
          </cell>
          <cell r="AX2805">
            <v>267</v>
          </cell>
        </row>
        <row r="2806">
          <cell r="AV2806">
            <v>365</v>
          </cell>
          <cell r="AX2806">
            <v>267</v>
          </cell>
        </row>
        <row r="2807">
          <cell r="AV2807">
            <v>365</v>
          </cell>
          <cell r="AX2807">
            <v>267</v>
          </cell>
        </row>
        <row r="2808">
          <cell r="AV2808">
            <v>365</v>
          </cell>
          <cell r="AX2808">
            <v>130</v>
          </cell>
        </row>
        <row r="2809">
          <cell r="AV2809">
            <v>365</v>
          </cell>
          <cell r="AX2809">
            <v>107</v>
          </cell>
        </row>
        <row r="2810">
          <cell r="AV2810">
            <v>365</v>
          </cell>
          <cell r="AX2810">
            <v>107</v>
          </cell>
        </row>
        <row r="2811">
          <cell r="AV2811">
            <v>365</v>
          </cell>
          <cell r="AX2811">
            <v>107</v>
          </cell>
        </row>
        <row r="2812">
          <cell r="AV2812">
            <v>365</v>
          </cell>
          <cell r="AX2812">
            <v>107</v>
          </cell>
        </row>
        <row r="2813">
          <cell r="AV2813">
            <v>365</v>
          </cell>
          <cell r="AX2813">
            <v>107</v>
          </cell>
        </row>
        <row r="2814">
          <cell r="AV2814">
            <v>365</v>
          </cell>
          <cell r="AX2814">
            <v>107</v>
          </cell>
        </row>
        <row r="2815">
          <cell r="AV2815">
            <v>365</v>
          </cell>
          <cell r="AX2815">
            <v>107</v>
          </cell>
        </row>
        <row r="2816">
          <cell r="AV2816">
            <v>365</v>
          </cell>
          <cell r="AX2816">
            <v>107</v>
          </cell>
        </row>
        <row r="2817">
          <cell r="AV2817">
            <v>365</v>
          </cell>
          <cell r="AX2817">
            <v>107</v>
          </cell>
        </row>
        <row r="2818">
          <cell r="AV2818">
            <v>365</v>
          </cell>
          <cell r="AX2818">
            <v>107</v>
          </cell>
        </row>
        <row r="2819">
          <cell r="AV2819">
            <v>365</v>
          </cell>
          <cell r="AX2819">
            <v>107</v>
          </cell>
        </row>
        <row r="2820">
          <cell r="AV2820">
            <v>365</v>
          </cell>
          <cell r="AX2820">
            <v>107</v>
          </cell>
        </row>
        <row r="2821">
          <cell r="AV2821">
            <v>365</v>
          </cell>
          <cell r="AX2821">
            <v>107</v>
          </cell>
        </row>
        <row r="2822">
          <cell r="AV2822">
            <v>365</v>
          </cell>
          <cell r="AX2822">
            <v>107</v>
          </cell>
        </row>
        <row r="2823">
          <cell r="AV2823">
            <v>365</v>
          </cell>
          <cell r="AX2823">
            <v>107</v>
          </cell>
        </row>
        <row r="2824">
          <cell r="AV2824">
            <v>365</v>
          </cell>
          <cell r="AX2824">
            <v>107</v>
          </cell>
        </row>
        <row r="2825">
          <cell r="AV2825">
            <v>365</v>
          </cell>
          <cell r="AX2825">
            <v>107</v>
          </cell>
        </row>
        <row r="2826">
          <cell r="AV2826">
            <v>365</v>
          </cell>
          <cell r="AX2826">
            <v>107</v>
          </cell>
        </row>
        <row r="2827">
          <cell r="AV2827">
            <v>365</v>
          </cell>
          <cell r="AX2827">
            <v>107</v>
          </cell>
        </row>
        <row r="2828">
          <cell r="AV2828">
            <v>365</v>
          </cell>
          <cell r="AX2828">
            <v>107</v>
          </cell>
        </row>
        <row r="2829">
          <cell r="AV2829">
            <v>365</v>
          </cell>
          <cell r="AX2829">
            <v>107</v>
          </cell>
        </row>
        <row r="2830">
          <cell r="AV2830">
            <v>365</v>
          </cell>
          <cell r="AX2830">
            <v>107</v>
          </cell>
        </row>
        <row r="2831">
          <cell r="AV2831">
            <v>365</v>
          </cell>
          <cell r="AX2831">
            <v>366</v>
          </cell>
          <cell r="AZ2831">
            <v>6.3299999999999995E-2</v>
          </cell>
          <cell r="BA2831">
            <v>59</v>
          </cell>
          <cell r="BB2831">
            <v>1596.2005479452055</v>
          </cell>
        </row>
        <row r="2832">
          <cell r="AV2832">
            <v>365</v>
          </cell>
          <cell r="AX2832">
            <v>366</v>
          </cell>
          <cell r="AZ2832">
            <v>6.3299999999999995E-2</v>
          </cell>
          <cell r="BA2832">
            <v>59</v>
          </cell>
          <cell r="BB2832">
            <v>1596.2005479452055</v>
          </cell>
        </row>
        <row r="2833">
          <cell r="AV2833">
            <v>365</v>
          </cell>
          <cell r="AX2833">
            <v>366</v>
          </cell>
          <cell r="AZ2833">
            <v>6.3299999999999995E-2</v>
          </cell>
          <cell r="BA2833">
            <v>59</v>
          </cell>
          <cell r="BB2833">
            <v>947.07899178082187</v>
          </cell>
        </row>
        <row r="2834">
          <cell r="AV2834">
            <v>365</v>
          </cell>
          <cell r="AX2834">
            <v>366</v>
          </cell>
          <cell r="AZ2834">
            <v>6.3299999999999995E-2</v>
          </cell>
          <cell r="BA2834">
            <v>59</v>
          </cell>
          <cell r="BB2834">
            <v>1058.8130301369863</v>
          </cell>
        </row>
        <row r="2835">
          <cell r="AV2835">
            <v>365</v>
          </cell>
          <cell r="AX2835">
            <v>366</v>
          </cell>
          <cell r="AZ2835">
            <v>6.3299999999999995E-2</v>
          </cell>
          <cell r="BA2835">
            <v>59</v>
          </cell>
          <cell r="BB2835">
            <v>8938.723068493151</v>
          </cell>
        </row>
        <row r="2836">
          <cell r="AV2836">
            <v>365</v>
          </cell>
          <cell r="AX2836">
            <v>366</v>
          </cell>
          <cell r="AZ2836">
            <v>6.3299999999999995E-2</v>
          </cell>
          <cell r="BA2836">
            <v>59</v>
          </cell>
          <cell r="BB2836">
            <v>2979.5743561643831</v>
          </cell>
        </row>
        <row r="2837">
          <cell r="AV2837">
            <v>365</v>
          </cell>
          <cell r="AX2837">
            <v>366</v>
          </cell>
          <cell r="AZ2837">
            <v>6.3299999999999995E-2</v>
          </cell>
          <cell r="BA2837">
            <v>59</v>
          </cell>
          <cell r="BB2837">
            <v>1202.4710794520547</v>
          </cell>
        </row>
        <row r="2838">
          <cell r="E2838" t="str">
            <v>oncology</v>
          </cell>
          <cell r="AV2838">
            <v>365</v>
          </cell>
          <cell r="AX2838">
            <v>102</v>
          </cell>
        </row>
        <row r="2839">
          <cell r="E2839" t="str">
            <v>oncology</v>
          </cell>
          <cell r="AV2839">
            <v>365</v>
          </cell>
          <cell r="AX2839">
            <v>102</v>
          </cell>
        </row>
        <row r="2840">
          <cell r="E2840" t="str">
            <v>oncology</v>
          </cell>
          <cell r="AV2840">
            <v>365</v>
          </cell>
          <cell r="AX2840">
            <v>102</v>
          </cell>
        </row>
        <row r="2841">
          <cell r="E2841" t="str">
            <v>oncology</v>
          </cell>
          <cell r="AV2841">
            <v>365</v>
          </cell>
          <cell r="AX2841">
            <v>102</v>
          </cell>
        </row>
        <row r="2842">
          <cell r="E2842" t="str">
            <v>FF</v>
          </cell>
          <cell r="AV2842">
            <v>365</v>
          </cell>
          <cell r="AX2842">
            <v>123</v>
          </cell>
        </row>
        <row r="2843">
          <cell r="E2843" t="str">
            <v>GF</v>
          </cell>
          <cell r="AV2843">
            <v>365</v>
          </cell>
          <cell r="AX2843">
            <v>245</v>
          </cell>
        </row>
        <row r="2844">
          <cell r="AV2844">
            <v>365</v>
          </cell>
          <cell r="AX2844">
            <v>130</v>
          </cell>
        </row>
        <row r="2845">
          <cell r="AV2845">
            <v>365</v>
          </cell>
          <cell r="AX2845">
            <v>33</v>
          </cell>
        </row>
        <row r="2846">
          <cell r="AV2846">
            <v>365</v>
          </cell>
          <cell r="AX2846">
            <v>33</v>
          </cell>
        </row>
        <row r="2847">
          <cell r="AV2847">
            <v>365</v>
          </cell>
          <cell r="AX2847">
            <v>33</v>
          </cell>
        </row>
        <row r="2848">
          <cell r="AV2848">
            <v>365</v>
          </cell>
          <cell r="AX2848">
            <v>33</v>
          </cell>
        </row>
        <row r="2849">
          <cell r="AV2849">
            <v>365</v>
          </cell>
          <cell r="AX2849">
            <v>33</v>
          </cell>
        </row>
        <row r="2850">
          <cell r="AV2850">
            <v>365</v>
          </cell>
          <cell r="AX2850">
            <v>33</v>
          </cell>
        </row>
        <row r="2851">
          <cell r="AV2851">
            <v>365</v>
          </cell>
          <cell r="AX2851">
            <v>33</v>
          </cell>
        </row>
        <row r="2852">
          <cell r="AV2852">
            <v>365</v>
          </cell>
          <cell r="AX2852">
            <v>33</v>
          </cell>
        </row>
        <row r="2853">
          <cell r="AV2853">
            <v>365</v>
          </cell>
          <cell r="AX2853">
            <v>33</v>
          </cell>
        </row>
        <row r="2854">
          <cell r="AV2854">
            <v>365</v>
          </cell>
          <cell r="AX2854">
            <v>33</v>
          </cell>
        </row>
        <row r="2855">
          <cell r="AV2855">
            <v>365</v>
          </cell>
          <cell r="AX2855">
            <v>33</v>
          </cell>
        </row>
        <row r="2856">
          <cell r="AV2856">
            <v>365</v>
          </cell>
          <cell r="AX2856">
            <v>33</v>
          </cell>
        </row>
        <row r="2857">
          <cell r="AV2857">
            <v>365</v>
          </cell>
          <cell r="AX2857">
            <v>33</v>
          </cell>
        </row>
        <row r="2858">
          <cell r="AV2858">
            <v>365</v>
          </cell>
          <cell r="AX2858">
            <v>33</v>
          </cell>
        </row>
        <row r="2859">
          <cell r="AV2859">
            <v>365</v>
          </cell>
          <cell r="AX2859">
            <v>33</v>
          </cell>
        </row>
        <row r="2860">
          <cell r="AV2860">
            <v>365</v>
          </cell>
          <cell r="AX2860">
            <v>33</v>
          </cell>
        </row>
        <row r="2861">
          <cell r="AV2861">
            <v>365</v>
          </cell>
          <cell r="AX2861">
            <v>33</v>
          </cell>
        </row>
        <row r="2862">
          <cell r="AV2862">
            <v>365</v>
          </cell>
          <cell r="AX2862">
            <v>33</v>
          </cell>
        </row>
        <row r="2863">
          <cell r="AV2863">
            <v>365</v>
          </cell>
          <cell r="AX2863">
            <v>33</v>
          </cell>
        </row>
        <row r="2864">
          <cell r="AV2864">
            <v>365</v>
          </cell>
          <cell r="AX2864">
            <v>33</v>
          </cell>
        </row>
        <row r="2865">
          <cell r="AV2865">
            <v>365</v>
          </cell>
          <cell r="AX2865">
            <v>33</v>
          </cell>
        </row>
        <row r="2866">
          <cell r="AV2866">
            <v>365</v>
          </cell>
          <cell r="AX2866">
            <v>181</v>
          </cell>
        </row>
        <row r="2867">
          <cell r="E2867" t="str">
            <v>GF</v>
          </cell>
          <cell r="AV2867">
            <v>365</v>
          </cell>
          <cell r="AX2867">
            <v>167</v>
          </cell>
        </row>
        <row r="2868">
          <cell r="E2868" t="str">
            <v>GF</v>
          </cell>
          <cell r="AV2868">
            <v>365</v>
          </cell>
          <cell r="AX2868">
            <v>167</v>
          </cell>
        </row>
        <row r="2869">
          <cell r="E2869" t="str">
            <v>GF</v>
          </cell>
          <cell r="AV2869">
            <v>365</v>
          </cell>
          <cell r="AX2869">
            <v>167</v>
          </cell>
        </row>
        <row r="2870">
          <cell r="E2870" t="str">
            <v>GF</v>
          </cell>
          <cell r="AV2870">
            <v>365</v>
          </cell>
          <cell r="AX2870">
            <v>167</v>
          </cell>
        </row>
        <row r="2871">
          <cell r="E2871" t="str">
            <v>GF</v>
          </cell>
          <cell r="AV2871">
            <v>365</v>
          </cell>
          <cell r="AX2871">
            <v>167</v>
          </cell>
        </row>
        <row r="2872">
          <cell r="E2872" t="str">
            <v>GF</v>
          </cell>
          <cell r="AV2872">
            <v>365</v>
          </cell>
          <cell r="AX2872">
            <v>167</v>
          </cell>
        </row>
        <row r="2873">
          <cell r="E2873" t="str">
            <v>GF</v>
          </cell>
          <cell r="AV2873">
            <v>365</v>
          </cell>
          <cell r="AX2873">
            <v>167</v>
          </cell>
        </row>
        <row r="2874">
          <cell r="E2874" t="str">
            <v>GF</v>
          </cell>
          <cell r="AV2874">
            <v>365</v>
          </cell>
          <cell r="AX2874">
            <v>167</v>
          </cell>
        </row>
        <row r="2875">
          <cell r="E2875" t="str">
            <v>GF</v>
          </cell>
          <cell r="AV2875">
            <v>365</v>
          </cell>
          <cell r="AX2875">
            <v>167</v>
          </cell>
        </row>
        <row r="2876">
          <cell r="E2876" t="str">
            <v>GF</v>
          </cell>
          <cell r="AV2876">
            <v>365</v>
          </cell>
          <cell r="AX2876">
            <v>167</v>
          </cell>
        </row>
        <row r="2877">
          <cell r="E2877" t="str">
            <v>GF</v>
          </cell>
          <cell r="AV2877">
            <v>365</v>
          </cell>
          <cell r="AX2877">
            <v>167</v>
          </cell>
        </row>
        <row r="2878">
          <cell r="E2878" t="str">
            <v>GF</v>
          </cell>
          <cell r="AV2878">
            <v>365</v>
          </cell>
          <cell r="AX2878">
            <v>167</v>
          </cell>
        </row>
        <row r="2879">
          <cell r="E2879" t="str">
            <v>GF</v>
          </cell>
          <cell r="AV2879">
            <v>365</v>
          </cell>
          <cell r="AX2879">
            <v>167</v>
          </cell>
        </row>
        <row r="2880">
          <cell r="E2880" t="str">
            <v>GF</v>
          </cell>
          <cell r="AV2880">
            <v>365</v>
          </cell>
          <cell r="AX2880">
            <v>167</v>
          </cell>
        </row>
        <row r="2881">
          <cell r="E2881" t="str">
            <v>GF</v>
          </cell>
          <cell r="AV2881">
            <v>365</v>
          </cell>
          <cell r="AX2881">
            <v>167</v>
          </cell>
        </row>
        <row r="2882">
          <cell r="E2882" t="str">
            <v>GF</v>
          </cell>
          <cell r="AV2882">
            <v>365</v>
          </cell>
          <cell r="AX2882">
            <v>167</v>
          </cell>
        </row>
        <row r="2883">
          <cell r="E2883" t="str">
            <v>GF</v>
          </cell>
          <cell r="AV2883">
            <v>365</v>
          </cell>
          <cell r="AX2883">
            <v>167</v>
          </cell>
        </row>
        <row r="2884">
          <cell r="E2884" t="str">
            <v>GF</v>
          </cell>
          <cell r="AV2884">
            <v>365</v>
          </cell>
          <cell r="AX2884">
            <v>167</v>
          </cell>
        </row>
        <row r="2885">
          <cell r="E2885" t="str">
            <v>GF</v>
          </cell>
          <cell r="AV2885">
            <v>365</v>
          </cell>
          <cell r="AX2885">
            <v>167</v>
          </cell>
        </row>
        <row r="2886">
          <cell r="E2886" t="str">
            <v>GF</v>
          </cell>
          <cell r="AV2886">
            <v>365</v>
          </cell>
          <cell r="AX2886">
            <v>167</v>
          </cell>
        </row>
        <row r="2887">
          <cell r="E2887" t="str">
            <v>GF</v>
          </cell>
          <cell r="AV2887">
            <v>365</v>
          </cell>
          <cell r="AX2887">
            <v>167</v>
          </cell>
        </row>
        <row r="2888">
          <cell r="E2888" t="str">
            <v>GF</v>
          </cell>
          <cell r="AV2888">
            <v>365</v>
          </cell>
          <cell r="AX2888">
            <v>167</v>
          </cell>
        </row>
        <row r="2889">
          <cell r="E2889" t="str">
            <v>FF</v>
          </cell>
          <cell r="AV2889">
            <v>365</v>
          </cell>
          <cell r="AX2889">
            <v>280</v>
          </cell>
        </row>
        <row r="2890">
          <cell r="AV2890">
            <v>365</v>
          </cell>
          <cell r="AX2890">
            <v>62</v>
          </cell>
        </row>
        <row r="2891">
          <cell r="AV2891">
            <v>365</v>
          </cell>
          <cell r="AX2891">
            <v>62</v>
          </cell>
        </row>
        <row r="2892">
          <cell r="AV2892">
            <v>365</v>
          </cell>
          <cell r="AX2892">
            <v>62</v>
          </cell>
        </row>
        <row r="2893">
          <cell r="AV2893">
            <v>365</v>
          </cell>
          <cell r="AX2893">
            <v>62</v>
          </cell>
        </row>
        <row r="2894">
          <cell r="AV2894">
            <v>365</v>
          </cell>
          <cell r="AX2894">
            <v>62</v>
          </cell>
        </row>
        <row r="2895">
          <cell r="AV2895">
            <v>365</v>
          </cell>
          <cell r="AX2895">
            <v>62</v>
          </cell>
        </row>
        <row r="2896">
          <cell r="AV2896">
            <v>365</v>
          </cell>
          <cell r="AX2896">
            <v>62</v>
          </cell>
        </row>
        <row r="2897">
          <cell r="AV2897">
            <v>365</v>
          </cell>
          <cell r="AX2897">
            <v>62</v>
          </cell>
        </row>
        <row r="2898">
          <cell r="AV2898">
            <v>365</v>
          </cell>
          <cell r="AX2898">
            <v>62</v>
          </cell>
        </row>
        <row r="2899">
          <cell r="AV2899">
            <v>365</v>
          </cell>
          <cell r="AX2899">
            <v>62</v>
          </cell>
        </row>
        <row r="2900">
          <cell r="AV2900">
            <v>365</v>
          </cell>
          <cell r="AX2900">
            <v>62</v>
          </cell>
        </row>
        <row r="2901">
          <cell r="AV2901">
            <v>365</v>
          </cell>
          <cell r="AX2901">
            <v>62</v>
          </cell>
        </row>
        <row r="2902">
          <cell r="AV2902">
            <v>365</v>
          </cell>
          <cell r="AX2902">
            <v>62</v>
          </cell>
        </row>
        <row r="2903">
          <cell r="AV2903">
            <v>365</v>
          </cell>
          <cell r="AX2903">
            <v>62</v>
          </cell>
        </row>
        <row r="2904">
          <cell r="AV2904">
            <v>365</v>
          </cell>
          <cell r="AX2904">
            <v>62</v>
          </cell>
        </row>
        <row r="2905">
          <cell r="AV2905">
            <v>365</v>
          </cell>
          <cell r="AX2905">
            <v>62</v>
          </cell>
        </row>
        <row r="2906">
          <cell r="AV2906">
            <v>365</v>
          </cell>
          <cell r="AX2906">
            <v>62</v>
          </cell>
        </row>
        <row r="2907">
          <cell r="AV2907">
            <v>365</v>
          </cell>
          <cell r="AX2907">
            <v>62</v>
          </cell>
        </row>
        <row r="2908">
          <cell r="AV2908">
            <v>365</v>
          </cell>
          <cell r="AX2908">
            <v>62</v>
          </cell>
        </row>
        <row r="2909">
          <cell r="AV2909">
            <v>365</v>
          </cell>
          <cell r="AX2909">
            <v>62</v>
          </cell>
        </row>
        <row r="2910">
          <cell r="AV2910">
            <v>365</v>
          </cell>
          <cell r="AX2910">
            <v>62</v>
          </cell>
        </row>
        <row r="2911">
          <cell r="AV2911">
            <v>365</v>
          </cell>
          <cell r="AX2911">
            <v>62</v>
          </cell>
        </row>
        <row r="2912">
          <cell r="AV2912">
            <v>365</v>
          </cell>
          <cell r="AX2912">
            <v>62</v>
          </cell>
        </row>
        <row r="2913">
          <cell r="AV2913">
            <v>365</v>
          </cell>
          <cell r="AX2913">
            <v>62</v>
          </cell>
        </row>
        <row r="2914">
          <cell r="AV2914">
            <v>365</v>
          </cell>
          <cell r="AX2914">
            <v>62</v>
          </cell>
        </row>
        <row r="2915">
          <cell r="AV2915">
            <v>365</v>
          </cell>
          <cell r="AX2915">
            <v>62</v>
          </cell>
        </row>
        <row r="2916">
          <cell r="AV2916">
            <v>365</v>
          </cell>
          <cell r="AX2916">
            <v>62</v>
          </cell>
        </row>
        <row r="2917">
          <cell r="AV2917">
            <v>365</v>
          </cell>
          <cell r="AX2917">
            <v>62</v>
          </cell>
        </row>
        <row r="2918">
          <cell r="AV2918">
            <v>365</v>
          </cell>
          <cell r="AX2918">
            <v>62</v>
          </cell>
        </row>
        <row r="2919">
          <cell r="AV2919">
            <v>365</v>
          </cell>
          <cell r="AX2919">
            <v>62</v>
          </cell>
        </row>
        <row r="2920">
          <cell r="AV2920">
            <v>365</v>
          </cell>
          <cell r="AX2920">
            <v>129</v>
          </cell>
        </row>
        <row r="2921">
          <cell r="AV2921">
            <v>365</v>
          </cell>
          <cell r="AX2921">
            <v>129</v>
          </cell>
        </row>
        <row r="2922">
          <cell r="AV2922">
            <v>365</v>
          </cell>
          <cell r="AX2922">
            <v>129</v>
          </cell>
        </row>
        <row r="2923">
          <cell r="AV2923">
            <v>365</v>
          </cell>
          <cell r="AX2923">
            <v>129</v>
          </cell>
        </row>
        <row r="2924">
          <cell r="AV2924">
            <v>365</v>
          </cell>
          <cell r="AX2924">
            <v>129</v>
          </cell>
        </row>
        <row r="2925">
          <cell r="AV2925">
            <v>365</v>
          </cell>
          <cell r="AX2925">
            <v>129</v>
          </cell>
        </row>
        <row r="2926">
          <cell r="AV2926">
            <v>365</v>
          </cell>
          <cell r="AX2926">
            <v>129</v>
          </cell>
        </row>
        <row r="2927">
          <cell r="AV2927">
            <v>365</v>
          </cell>
          <cell r="AX2927">
            <v>129</v>
          </cell>
        </row>
        <row r="2928">
          <cell r="AV2928">
            <v>365</v>
          </cell>
          <cell r="AX2928">
            <v>129</v>
          </cell>
        </row>
        <row r="2929">
          <cell r="AV2929">
            <v>365</v>
          </cell>
          <cell r="AX2929">
            <v>129</v>
          </cell>
        </row>
        <row r="2930">
          <cell r="AV2930">
            <v>365</v>
          </cell>
          <cell r="AX2930">
            <v>129</v>
          </cell>
        </row>
        <row r="2931">
          <cell r="AV2931">
            <v>365</v>
          </cell>
          <cell r="AX2931">
            <v>129</v>
          </cell>
        </row>
        <row r="2932">
          <cell r="AV2932">
            <v>365</v>
          </cell>
          <cell r="AX2932">
            <v>366</v>
          </cell>
          <cell r="AZ2932">
            <v>0.16209999999999999</v>
          </cell>
          <cell r="BA2932">
            <v>212</v>
          </cell>
          <cell r="BB2932">
            <v>3328.2475886115062</v>
          </cell>
        </row>
        <row r="2933">
          <cell r="AV2933">
            <v>365</v>
          </cell>
          <cell r="AX2933">
            <v>366</v>
          </cell>
          <cell r="AZ2933">
            <v>0.16209999999999999</v>
          </cell>
          <cell r="BA2933">
            <v>212</v>
          </cell>
          <cell r="BB2933">
            <v>3328.2475886115062</v>
          </cell>
        </row>
        <row r="2934">
          <cell r="AV2934">
            <v>365</v>
          </cell>
          <cell r="AX2934">
            <v>366</v>
          </cell>
          <cell r="AZ2934">
            <v>0.16209999999999999</v>
          </cell>
          <cell r="BA2934">
            <v>212</v>
          </cell>
          <cell r="BB2934">
            <v>3328.2475886115062</v>
          </cell>
        </row>
        <row r="2935">
          <cell r="AV2935">
            <v>365</v>
          </cell>
          <cell r="AX2935">
            <v>366</v>
          </cell>
          <cell r="AZ2935">
            <v>0.16209999999999999</v>
          </cell>
          <cell r="BA2935">
            <v>212</v>
          </cell>
          <cell r="BB2935">
            <v>3328.2475886115062</v>
          </cell>
        </row>
        <row r="2936">
          <cell r="AV2936">
            <v>365</v>
          </cell>
          <cell r="AX2936">
            <v>366</v>
          </cell>
          <cell r="AZ2936">
            <v>0.16209999999999999</v>
          </cell>
          <cell r="BA2936">
            <v>212</v>
          </cell>
          <cell r="BB2936">
            <v>3328.2475886115062</v>
          </cell>
        </row>
        <row r="2937">
          <cell r="AV2937">
            <v>365</v>
          </cell>
          <cell r="AX2937">
            <v>366</v>
          </cell>
          <cell r="AZ2937">
            <v>0.16209999999999999</v>
          </cell>
          <cell r="BA2937">
            <v>212</v>
          </cell>
          <cell r="BB2937">
            <v>3328.2475886115062</v>
          </cell>
        </row>
        <row r="2938">
          <cell r="AV2938">
            <v>365</v>
          </cell>
          <cell r="AX2938">
            <v>366</v>
          </cell>
          <cell r="AZ2938">
            <v>0.16209999999999999</v>
          </cell>
          <cell r="BA2938">
            <v>212</v>
          </cell>
          <cell r="BB2938">
            <v>3328.2475886115062</v>
          </cell>
        </row>
        <row r="2939">
          <cell r="AV2939">
            <v>365</v>
          </cell>
          <cell r="AX2939">
            <v>366</v>
          </cell>
          <cell r="AZ2939">
            <v>0.16209999999999999</v>
          </cell>
          <cell r="BA2939">
            <v>212</v>
          </cell>
          <cell r="BB2939">
            <v>3328.2475886115062</v>
          </cell>
        </row>
        <row r="2940">
          <cell r="AV2940">
            <v>365</v>
          </cell>
          <cell r="AX2940">
            <v>366</v>
          </cell>
          <cell r="AZ2940">
            <v>0.16209999999999999</v>
          </cell>
          <cell r="BA2940">
            <v>212</v>
          </cell>
          <cell r="BB2940">
            <v>3328.2475886115062</v>
          </cell>
        </row>
        <row r="2941">
          <cell r="AV2941">
            <v>365</v>
          </cell>
          <cell r="AX2941">
            <v>366</v>
          </cell>
          <cell r="AZ2941">
            <v>0.16209999999999999</v>
          </cell>
          <cell r="BA2941">
            <v>212</v>
          </cell>
          <cell r="BB2941">
            <v>3328.2475886115062</v>
          </cell>
        </row>
        <row r="2942">
          <cell r="AV2942">
            <v>365</v>
          </cell>
          <cell r="AX2942">
            <v>366</v>
          </cell>
          <cell r="AZ2942">
            <v>0.16209999999999999</v>
          </cell>
          <cell r="BA2942">
            <v>212</v>
          </cell>
          <cell r="BB2942">
            <v>3328.2475886115062</v>
          </cell>
        </row>
        <row r="2943">
          <cell r="AV2943">
            <v>365</v>
          </cell>
          <cell r="AX2943">
            <v>366</v>
          </cell>
          <cell r="AZ2943">
            <v>0.16209999999999999</v>
          </cell>
          <cell r="BA2943">
            <v>212</v>
          </cell>
          <cell r="BB2943">
            <v>3328.2475886115062</v>
          </cell>
        </row>
        <row r="2944">
          <cell r="AV2944">
            <v>365</v>
          </cell>
          <cell r="AX2944">
            <v>366</v>
          </cell>
          <cell r="AZ2944">
            <v>0.16209999999999999</v>
          </cell>
          <cell r="BA2944">
            <v>212</v>
          </cell>
          <cell r="BB2944">
            <v>3328.2475886115062</v>
          </cell>
        </row>
        <row r="2945">
          <cell r="AV2945">
            <v>365</v>
          </cell>
          <cell r="AX2945">
            <v>366</v>
          </cell>
          <cell r="AZ2945">
            <v>0.16209999999999999</v>
          </cell>
          <cell r="BA2945">
            <v>212</v>
          </cell>
          <cell r="BB2945">
            <v>3328.2475886115062</v>
          </cell>
        </row>
        <row r="2946">
          <cell r="AV2946">
            <v>365</v>
          </cell>
          <cell r="AX2946">
            <v>366</v>
          </cell>
          <cell r="AZ2946">
            <v>0.16209999999999999</v>
          </cell>
          <cell r="BA2946">
            <v>212</v>
          </cell>
          <cell r="BB2946">
            <v>3328.2475886115062</v>
          </cell>
        </row>
        <row r="2947">
          <cell r="AV2947">
            <v>365</v>
          </cell>
          <cell r="AX2947">
            <v>366</v>
          </cell>
          <cell r="AZ2947">
            <v>0.16209999999999999</v>
          </cell>
          <cell r="BA2947">
            <v>212</v>
          </cell>
          <cell r="BB2947">
            <v>3328.2475886115062</v>
          </cell>
        </row>
        <row r="2948">
          <cell r="AV2948">
            <v>365</v>
          </cell>
          <cell r="AX2948">
            <v>366</v>
          </cell>
          <cell r="AZ2948">
            <v>0.16209999999999999</v>
          </cell>
          <cell r="BA2948">
            <v>212</v>
          </cell>
          <cell r="BB2948">
            <v>3328.2475886115062</v>
          </cell>
        </row>
        <row r="2949">
          <cell r="AV2949">
            <v>365</v>
          </cell>
          <cell r="AX2949">
            <v>366</v>
          </cell>
          <cell r="AZ2949">
            <v>0.16209999999999999</v>
          </cell>
          <cell r="BA2949">
            <v>212</v>
          </cell>
          <cell r="BB2949">
            <v>3328.2475886115062</v>
          </cell>
        </row>
        <row r="2950">
          <cell r="AV2950">
            <v>365</v>
          </cell>
          <cell r="AX2950">
            <v>366</v>
          </cell>
          <cell r="AZ2950">
            <v>0.16209999999999999</v>
          </cell>
          <cell r="BA2950">
            <v>212</v>
          </cell>
          <cell r="BB2950">
            <v>3328.2475886115062</v>
          </cell>
        </row>
        <row r="2951">
          <cell r="AV2951">
            <v>365</v>
          </cell>
          <cell r="AX2951">
            <v>366</v>
          </cell>
          <cell r="AZ2951">
            <v>0.16209999999999999</v>
          </cell>
          <cell r="BA2951">
            <v>212</v>
          </cell>
          <cell r="BB2951">
            <v>3328.2475886115062</v>
          </cell>
        </row>
        <row r="2952">
          <cell r="AV2952">
            <v>365</v>
          </cell>
          <cell r="AX2952">
            <v>366</v>
          </cell>
          <cell r="AZ2952">
            <v>0.16209999999999999</v>
          </cell>
          <cell r="BA2952">
            <v>212</v>
          </cell>
          <cell r="BB2952">
            <v>1012.1219873753424</v>
          </cell>
        </row>
        <row r="2953">
          <cell r="AV2953">
            <v>365</v>
          </cell>
          <cell r="AX2953">
            <v>366</v>
          </cell>
          <cell r="AZ2953">
            <v>0.16209999999999999</v>
          </cell>
          <cell r="BA2953">
            <v>212</v>
          </cell>
          <cell r="BB2953">
            <v>1012.1219873753424</v>
          </cell>
        </row>
        <row r="2954">
          <cell r="AV2954">
            <v>365</v>
          </cell>
          <cell r="AX2954">
            <v>366</v>
          </cell>
          <cell r="AZ2954">
            <v>0.16209999999999999</v>
          </cell>
          <cell r="BA2954">
            <v>212</v>
          </cell>
          <cell r="BB2954">
            <v>1012.1219873753424</v>
          </cell>
        </row>
        <row r="2955">
          <cell r="AV2955">
            <v>365</v>
          </cell>
          <cell r="AX2955">
            <v>366</v>
          </cell>
          <cell r="AZ2955">
            <v>0.16209999999999999</v>
          </cell>
          <cell r="BA2955">
            <v>212</v>
          </cell>
          <cell r="BB2955">
            <v>1012.1219873753424</v>
          </cell>
        </row>
        <row r="2956">
          <cell r="AV2956">
            <v>365</v>
          </cell>
          <cell r="AX2956">
            <v>366</v>
          </cell>
          <cell r="AZ2956">
            <v>0.16209999999999999</v>
          </cell>
          <cell r="BA2956">
            <v>212</v>
          </cell>
          <cell r="BB2956">
            <v>1012.1219873753424</v>
          </cell>
        </row>
        <row r="2957">
          <cell r="AV2957">
            <v>365</v>
          </cell>
          <cell r="AX2957">
            <v>366</v>
          </cell>
          <cell r="AZ2957">
            <v>0.16209999999999999</v>
          </cell>
          <cell r="BA2957">
            <v>212</v>
          </cell>
          <cell r="BB2957">
            <v>1012.1219873753424</v>
          </cell>
        </row>
        <row r="2958">
          <cell r="AV2958">
            <v>365</v>
          </cell>
          <cell r="AX2958">
            <v>366</v>
          </cell>
          <cell r="AZ2958">
            <v>0.16209999999999999</v>
          </cell>
          <cell r="BA2958">
            <v>212</v>
          </cell>
          <cell r="BB2958">
            <v>1012.1219873753424</v>
          </cell>
        </row>
        <row r="2959">
          <cell r="AV2959">
            <v>365</v>
          </cell>
          <cell r="AX2959">
            <v>366</v>
          </cell>
          <cell r="AZ2959">
            <v>0.16209999999999999</v>
          </cell>
          <cell r="BA2959">
            <v>212</v>
          </cell>
          <cell r="BB2959">
            <v>1012.1219873753424</v>
          </cell>
        </row>
        <row r="2960">
          <cell r="AV2960">
            <v>365</v>
          </cell>
          <cell r="AX2960">
            <v>366</v>
          </cell>
          <cell r="AZ2960">
            <v>0.16209999999999999</v>
          </cell>
          <cell r="BA2960">
            <v>212</v>
          </cell>
          <cell r="BB2960">
            <v>1012.1219873753424</v>
          </cell>
        </row>
        <row r="2961">
          <cell r="AV2961">
            <v>365</v>
          </cell>
          <cell r="AX2961">
            <v>366</v>
          </cell>
          <cell r="AZ2961">
            <v>0.16209999999999999</v>
          </cell>
          <cell r="BA2961">
            <v>212</v>
          </cell>
          <cell r="BB2961">
            <v>1012.1219873753424</v>
          </cell>
        </row>
        <row r="2962">
          <cell r="AV2962">
            <v>365</v>
          </cell>
          <cell r="AX2962">
            <v>366</v>
          </cell>
          <cell r="AZ2962">
            <v>0.16209999999999999</v>
          </cell>
          <cell r="BA2962">
            <v>212</v>
          </cell>
          <cell r="BB2962">
            <v>1012.1219873753424</v>
          </cell>
        </row>
        <row r="2963">
          <cell r="AV2963">
            <v>365</v>
          </cell>
          <cell r="AX2963">
            <v>366</v>
          </cell>
          <cell r="AZ2963">
            <v>0.16209999999999999</v>
          </cell>
          <cell r="BA2963">
            <v>212</v>
          </cell>
          <cell r="BB2963">
            <v>1012.1219873753424</v>
          </cell>
        </row>
        <row r="2964">
          <cell r="AV2964">
            <v>365</v>
          </cell>
          <cell r="AX2964">
            <v>366</v>
          </cell>
          <cell r="AZ2964">
            <v>0.16209999999999999</v>
          </cell>
          <cell r="BA2964">
            <v>212</v>
          </cell>
          <cell r="BB2964">
            <v>1012.1219873753424</v>
          </cell>
        </row>
        <row r="2965">
          <cell r="AV2965">
            <v>365</v>
          </cell>
          <cell r="AX2965">
            <v>366</v>
          </cell>
          <cell r="AZ2965">
            <v>0.16209999999999999</v>
          </cell>
          <cell r="BA2965">
            <v>212</v>
          </cell>
          <cell r="BB2965">
            <v>1012.1219873753424</v>
          </cell>
        </row>
        <row r="2966">
          <cell r="AV2966">
            <v>365</v>
          </cell>
          <cell r="AX2966">
            <v>366</v>
          </cell>
          <cell r="AZ2966">
            <v>0.16209999999999999</v>
          </cell>
          <cell r="BA2966">
            <v>212</v>
          </cell>
          <cell r="BB2966">
            <v>1012.1219873753424</v>
          </cell>
        </row>
        <row r="2967">
          <cell r="AV2967">
            <v>365</v>
          </cell>
          <cell r="AX2967">
            <v>366</v>
          </cell>
          <cell r="AZ2967">
            <v>0.16209999999999999</v>
          </cell>
          <cell r="BA2967">
            <v>212</v>
          </cell>
          <cell r="BB2967">
            <v>1012.1219873753424</v>
          </cell>
        </row>
        <row r="2968">
          <cell r="AV2968">
            <v>365</v>
          </cell>
          <cell r="AX2968">
            <v>366</v>
          </cell>
          <cell r="AZ2968">
            <v>0.16209999999999999</v>
          </cell>
          <cell r="BA2968">
            <v>212</v>
          </cell>
          <cell r="BB2968">
            <v>1012.1219873753424</v>
          </cell>
        </row>
        <row r="2969">
          <cell r="AV2969">
            <v>365</v>
          </cell>
          <cell r="AX2969">
            <v>366</v>
          </cell>
          <cell r="AZ2969">
            <v>0.16209999999999999</v>
          </cell>
          <cell r="BA2969">
            <v>212</v>
          </cell>
          <cell r="BB2969">
            <v>1012.1219873753424</v>
          </cell>
        </row>
        <row r="2970">
          <cell r="AV2970">
            <v>365</v>
          </cell>
          <cell r="AX2970">
            <v>366</v>
          </cell>
          <cell r="AZ2970">
            <v>0.16209999999999999</v>
          </cell>
          <cell r="BA2970">
            <v>212</v>
          </cell>
          <cell r="BB2970">
            <v>1012.1219873753424</v>
          </cell>
        </row>
        <row r="2971">
          <cell r="AV2971">
            <v>365</v>
          </cell>
          <cell r="AX2971">
            <v>366</v>
          </cell>
          <cell r="AZ2971">
            <v>0.16209999999999999</v>
          </cell>
          <cell r="BA2971">
            <v>212</v>
          </cell>
          <cell r="BB2971">
            <v>1012.1219873753424</v>
          </cell>
        </row>
        <row r="2972">
          <cell r="AV2972">
            <v>365</v>
          </cell>
          <cell r="AX2972">
            <v>129</v>
          </cell>
        </row>
        <row r="2973">
          <cell r="AV2973">
            <v>365</v>
          </cell>
          <cell r="AX2973">
            <v>129</v>
          </cell>
        </row>
        <row r="2974">
          <cell r="AV2974">
            <v>365</v>
          </cell>
          <cell r="AX2974">
            <v>129</v>
          </cell>
        </row>
        <row r="2975">
          <cell r="AV2975">
            <v>365</v>
          </cell>
          <cell r="AX2975">
            <v>129</v>
          </cell>
        </row>
        <row r="2976">
          <cell r="AV2976">
            <v>365</v>
          </cell>
          <cell r="AX2976">
            <v>129</v>
          </cell>
        </row>
        <row r="2977">
          <cell r="AV2977">
            <v>365</v>
          </cell>
          <cell r="AX2977">
            <v>129</v>
          </cell>
        </row>
        <row r="2978">
          <cell r="AV2978">
            <v>365</v>
          </cell>
          <cell r="AX2978">
            <v>129</v>
          </cell>
        </row>
        <row r="2979">
          <cell r="AV2979">
            <v>365</v>
          </cell>
          <cell r="AX2979">
            <v>129</v>
          </cell>
        </row>
        <row r="2980">
          <cell r="AV2980">
            <v>365</v>
          </cell>
          <cell r="AX2980">
            <v>129</v>
          </cell>
        </row>
        <row r="2981">
          <cell r="AV2981">
            <v>365</v>
          </cell>
          <cell r="AX2981">
            <v>129</v>
          </cell>
        </row>
        <row r="2982">
          <cell r="AV2982">
            <v>365</v>
          </cell>
          <cell r="AX2982">
            <v>129</v>
          </cell>
        </row>
        <row r="2983">
          <cell r="AV2983">
            <v>365</v>
          </cell>
          <cell r="AX2983">
            <v>129</v>
          </cell>
        </row>
        <row r="2984">
          <cell r="AV2984">
            <v>365</v>
          </cell>
          <cell r="AX2984">
            <v>129</v>
          </cell>
        </row>
        <row r="2985">
          <cell r="AV2985">
            <v>365</v>
          </cell>
          <cell r="AX2985">
            <v>129</v>
          </cell>
        </row>
        <row r="2986">
          <cell r="AX2986">
            <v>366</v>
          </cell>
          <cell r="AZ2986">
            <v>6.3299999999999995E-2</v>
          </cell>
          <cell r="BA2986">
            <v>365</v>
          </cell>
          <cell r="BB2986">
            <v>470.00249999999994</v>
          </cell>
          <cell r="BC2986">
            <v>58</v>
          </cell>
        </row>
        <row r="2987">
          <cell r="E2987" t="str">
            <v>GF</v>
          </cell>
          <cell r="AV2987">
            <v>365</v>
          </cell>
          <cell r="AX2987">
            <v>130</v>
          </cell>
        </row>
        <row r="2988">
          <cell r="AV2988">
            <v>365</v>
          </cell>
          <cell r="AX2988">
            <v>267</v>
          </cell>
        </row>
        <row r="2989">
          <cell r="AV2989">
            <v>365</v>
          </cell>
          <cell r="AX2989">
            <v>267</v>
          </cell>
        </row>
        <row r="2990">
          <cell r="AV2990">
            <v>365</v>
          </cell>
          <cell r="AX2990">
            <v>267</v>
          </cell>
        </row>
        <row r="2991">
          <cell r="AV2991">
            <v>365</v>
          </cell>
          <cell r="AX2991">
            <v>267</v>
          </cell>
        </row>
        <row r="2992">
          <cell r="AV2992">
            <v>365</v>
          </cell>
          <cell r="AX2992">
            <v>267</v>
          </cell>
        </row>
        <row r="2993">
          <cell r="AV2993">
            <v>365</v>
          </cell>
          <cell r="AX2993">
            <v>267</v>
          </cell>
        </row>
        <row r="2994">
          <cell r="AV2994">
            <v>365</v>
          </cell>
          <cell r="AX2994">
            <v>267</v>
          </cell>
        </row>
        <row r="2995">
          <cell r="AV2995">
            <v>365</v>
          </cell>
          <cell r="AX2995">
            <v>267</v>
          </cell>
        </row>
        <row r="2996">
          <cell r="AV2996">
            <v>365</v>
          </cell>
          <cell r="AX2996">
            <v>267</v>
          </cell>
        </row>
        <row r="2997">
          <cell r="AV2997">
            <v>365</v>
          </cell>
          <cell r="AX2997">
            <v>267</v>
          </cell>
        </row>
        <row r="2998">
          <cell r="AV2998">
            <v>365</v>
          </cell>
          <cell r="AX2998">
            <v>267</v>
          </cell>
        </row>
        <row r="2999">
          <cell r="AV2999">
            <v>365</v>
          </cell>
          <cell r="AX2999">
            <v>267</v>
          </cell>
        </row>
        <row r="3000">
          <cell r="AV3000">
            <v>365</v>
          </cell>
          <cell r="AX3000">
            <v>267</v>
          </cell>
        </row>
        <row r="3001">
          <cell r="D3001" t="str">
            <v>Utilities</v>
          </cell>
          <cell r="E3001" t="str">
            <v>Near Main PCC</v>
          </cell>
          <cell r="AV3001">
            <v>365</v>
          </cell>
          <cell r="AX3001">
            <v>130</v>
          </cell>
        </row>
        <row r="3002">
          <cell r="AV3002">
            <v>365</v>
          </cell>
          <cell r="AX3002">
            <v>267</v>
          </cell>
        </row>
        <row r="3003">
          <cell r="AV3003">
            <v>365</v>
          </cell>
          <cell r="AX3003">
            <v>267</v>
          </cell>
        </row>
        <row r="3004">
          <cell r="AV3004">
            <v>365</v>
          </cell>
          <cell r="AX3004">
            <v>267</v>
          </cell>
        </row>
        <row r="3005">
          <cell r="AV3005">
            <v>365</v>
          </cell>
          <cell r="AX3005">
            <v>267</v>
          </cell>
        </row>
        <row r="3006">
          <cell r="AV3006">
            <v>289</v>
          </cell>
        </row>
        <row r="3007">
          <cell r="AV3007">
            <v>365</v>
          </cell>
          <cell r="AX3007">
            <v>184</v>
          </cell>
        </row>
        <row r="3008">
          <cell r="AV3008">
            <v>365</v>
          </cell>
          <cell r="AX3008">
            <v>184</v>
          </cell>
        </row>
        <row r="3009">
          <cell r="AV3009">
            <v>365</v>
          </cell>
          <cell r="AX3009">
            <v>184</v>
          </cell>
        </row>
        <row r="3010">
          <cell r="AV3010">
            <v>365</v>
          </cell>
          <cell r="AX3010">
            <v>184</v>
          </cell>
        </row>
        <row r="3011">
          <cell r="AV3011">
            <v>365</v>
          </cell>
          <cell r="AX3011">
            <v>184</v>
          </cell>
        </row>
        <row r="3012">
          <cell r="AV3012">
            <v>365</v>
          </cell>
          <cell r="AX3012">
            <v>184</v>
          </cell>
        </row>
        <row r="3013">
          <cell r="AV3013">
            <v>365</v>
          </cell>
          <cell r="AX3013">
            <v>184</v>
          </cell>
        </row>
        <row r="3014">
          <cell r="AV3014">
            <v>365</v>
          </cell>
          <cell r="AX3014">
            <v>184</v>
          </cell>
        </row>
        <row r="3015">
          <cell r="AV3015">
            <v>365</v>
          </cell>
          <cell r="AX3015">
            <v>184</v>
          </cell>
        </row>
        <row r="3016">
          <cell r="AV3016">
            <v>365</v>
          </cell>
          <cell r="AX3016">
            <v>184</v>
          </cell>
        </row>
        <row r="3017">
          <cell r="AV3017">
            <v>365</v>
          </cell>
          <cell r="AX3017">
            <v>130</v>
          </cell>
        </row>
        <row r="3018">
          <cell r="AV3018">
            <v>365</v>
          </cell>
          <cell r="AX3018">
            <v>130</v>
          </cell>
        </row>
        <row r="3019">
          <cell r="AV3019">
            <v>365</v>
          </cell>
          <cell r="AX3019">
            <v>130</v>
          </cell>
        </row>
        <row r="3020">
          <cell r="AV3020">
            <v>365</v>
          </cell>
          <cell r="AX3020">
            <v>130</v>
          </cell>
        </row>
        <row r="3021">
          <cell r="AV3021">
            <v>365</v>
          </cell>
          <cell r="AX3021">
            <v>130</v>
          </cell>
        </row>
        <row r="3022">
          <cell r="AV3022">
            <v>365</v>
          </cell>
          <cell r="AX3022">
            <v>130</v>
          </cell>
        </row>
        <row r="3023">
          <cell r="AV3023">
            <v>365</v>
          </cell>
          <cell r="AX3023">
            <v>130</v>
          </cell>
        </row>
        <row r="3024">
          <cell r="AV3024">
            <v>365</v>
          </cell>
          <cell r="AX3024">
            <v>130</v>
          </cell>
        </row>
        <row r="3025">
          <cell r="AV3025">
            <v>365</v>
          </cell>
          <cell r="AX3025">
            <v>130</v>
          </cell>
        </row>
        <row r="3026">
          <cell r="AV3026">
            <v>365</v>
          </cell>
          <cell r="AX3026">
            <v>130</v>
          </cell>
        </row>
        <row r="3027">
          <cell r="E3027" t="str">
            <v>oncology</v>
          </cell>
          <cell r="AV3027">
            <v>365</v>
          </cell>
          <cell r="AX3027">
            <v>113</v>
          </cell>
        </row>
        <row r="3028">
          <cell r="E3028" t="str">
            <v>oncology</v>
          </cell>
          <cell r="AV3028">
            <v>365</v>
          </cell>
          <cell r="AX3028">
            <v>113</v>
          </cell>
        </row>
        <row r="3029">
          <cell r="E3029" t="str">
            <v>oncology</v>
          </cell>
          <cell r="AV3029">
            <v>365</v>
          </cell>
          <cell r="AX3029">
            <v>113</v>
          </cell>
        </row>
        <row r="3030">
          <cell r="E3030" t="str">
            <v>oncology</v>
          </cell>
          <cell r="AV3030">
            <v>365</v>
          </cell>
          <cell r="AX3030">
            <v>113</v>
          </cell>
        </row>
        <row r="3031">
          <cell r="E3031" t="str">
            <v>oncology</v>
          </cell>
          <cell r="AV3031">
            <v>365</v>
          </cell>
          <cell r="AX3031">
            <v>113</v>
          </cell>
        </row>
        <row r="3032">
          <cell r="E3032" t="str">
            <v>oncology</v>
          </cell>
          <cell r="AV3032">
            <v>365</v>
          </cell>
          <cell r="AX3032">
            <v>113</v>
          </cell>
        </row>
        <row r="3033">
          <cell r="AV3033">
            <v>335</v>
          </cell>
        </row>
        <row r="3034">
          <cell r="E3034" t="str">
            <v>FF</v>
          </cell>
          <cell r="F3034" t="str">
            <v>Intermediate</v>
          </cell>
          <cell r="AV3034">
            <v>365</v>
          </cell>
          <cell r="AX3034">
            <v>129</v>
          </cell>
        </row>
        <row r="3035">
          <cell r="E3035" t="str">
            <v>FF</v>
          </cell>
          <cell r="F3035" t="str">
            <v>Intermediate</v>
          </cell>
          <cell r="AV3035">
            <v>365</v>
          </cell>
          <cell r="AX3035">
            <v>129</v>
          </cell>
        </row>
        <row r="3036">
          <cell r="AV3036">
            <v>365</v>
          </cell>
          <cell r="AX3036">
            <v>129</v>
          </cell>
        </row>
        <row r="3037">
          <cell r="E3037" t="str">
            <v>FF</v>
          </cell>
          <cell r="F3037" t="str">
            <v>Intermediate</v>
          </cell>
          <cell r="AV3037">
            <v>365</v>
          </cell>
          <cell r="AX3037">
            <v>129</v>
          </cell>
        </row>
        <row r="3038">
          <cell r="E3038" t="str">
            <v>FF</v>
          </cell>
          <cell r="F3038" t="str">
            <v>Intermediate</v>
          </cell>
          <cell r="AV3038">
            <v>365</v>
          </cell>
          <cell r="AX3038">
            <v>129</v>
          </cell>
        </row>
        <row r="3039">
          <cell r="E3039" t="str">
            <v>FF</v>
          </cell>
          <cell r="F3039" t="str">
            <v>Intermediate</v>
          </cell>
          <cell r="AV3039">
            <v>365</v>
          </cell>
          <cell r="AX3039">
            <v>129</v>
          </cell>
        </row>
        <row r="3040">
          <cell r="E3040" t="str">
            <v>Tech Area</v>
          </cell>
          <cell r="F3040" t="str">
            <v>Pharma</v>
          </cell>
          <cell r="AV3040">
            <v>365</v>
          </cell>
          <cell r="AX3040">
            <v>129</v>
          </cell>
        </row>
        <row r="3041">
          <cell r="E3041" t="str">
            <v>Tech Area</v>
          </cell>
          <cell r="F3041" t="str">
            <v>Pharma</v>
          </cell>
          <cell r="AV3041">
            <v>365</v>
          </cell>
          <cell r="AX3041">
            <v>129</v>
          </cell>
        </row>
        <row r="3042">
          <cell r="E3042" t="str">
            <v>Tech Area</v>
          </cell>
          <cell r="F3042" t="str">
            <v>Pharma</v>
          </cell>
          <cell r="AV3042">
            <v>365</v>
          </cell>
          <cell r="AX3042">
            <v>129</v>
          </cell>
        </row>
        <row r="3043">
          <cell r="E3043" t="str">
            <v>FF</v>
          </cell>
          <cell r="F3043" t="str">
            <v>Intermediate</v>
          </cell>
          <cell r="AV3043">
            <v>365</v>
          </cell>
          <cell r="AX3043">
            <v>129</v>
          </cell>
        </row>
        <row r="3044">
          <cell r="E3044" t="str">
            <v>FF</v>
          </cell>
          <cell r="F3044" t="str">
            <v>Intermediate</v>
          </cell>
          <cell r="AV3044">
            <v>365</v>
          </cell>
          <cell r="AX3044">
            <v>129</v>
          </cell>
        </row>
        <row r="3045">
          <cell r="E3045" t="str">
            <v>GF</v>
          </cell>
          <cell r="AV3045">
            <v>365</v>
          </cell>
          <cell r="AX3045">
            <v>130</v>
          </cell>
        </row>
        <row r="3046">
          <cell r="AV3046">
            <v>365</v>
          </cell>
          <cell r="AX3046">
            <v>336</v>
          </cell>
        </row>
        <row r="3047">
          <cell r="AV3047">
            <v>365</v>
          </cell>
          <cell r="AX3047">
            <v>336</v>
          </cell>
        </row>
        <row r="3048">
          <cell r="AV3048">
            <v>365</v>
          </cell>
          <cell r="AX3048">
            <v>336</v>
          </cell>
        </row>
        <row r="3049">
          <cell r="AV3049">
            <v>365</v>
          </cell>
          <cell r="AX3049">
            <v>336</v>
          </cell>
        </row>
        <row r="3050">
          <cell r="AV3050">
            <v>365</v>
          </cell>
          <cell r="AX3050">
            <v>336</v>
          </cell>
        </row>
        <row r="3051">
          <cell r="AV3051">
            <v>365</v>
          </cell>
          <cell r="AX3051">
            <v>336</v>
          </cell>
        </row>
        <row r="3052">
          <cell r="AV3052">
            <v>365</v>
          </cell>
          <cell r="AX3052">
            <v>336</v>
          </cell>
        </row>
        <row r="3053">
          <cell r="AV3053">
            <v>365</v>
          </cell>
          <cell r="AX3053">
            <v>266</v>
          </cell>
        </row>
        <row r="3054">
          <cell r="AV3054">
            <v>365</v>
          </cell>
          <cell r="AX3054">
            <v>366</v>
          </cell>
          <cell r="AZ3054">
            <v>0.16209999999999999</v>
          </cell>
          <cell r="BA3054">
            <v>229</v>
          </cell>
          <cell r="BB3054">
            <v>701.73756164383553</v>
          </cell>
        </row>
        <row r="3055">
          <cell r="AV3055">
            <v>365</v>
          </cell>
          <cell r="AX3055">
            <v>123</v>
          </cell>
        </row>
        <row r="3056">
          <cell r="AV3056">
            <v>365</v>
          </cell>
          <cell r="AX3056">
            <v>123</v>
          </cell>
        </row>
        <row r="3057">
          <cell r="AV3057">
            <v>365</v>
          </cell>
          <cell r="AX3057">
            <v>123</v>
          </cell>
        </row>
        <row r="3058">
          <cell r="AV3058">
            <v>365</v>
          </cell>
          <cell r="AX3058">
            <v>123</v>
          </cell>
        </row>
        <row r="3059">
          <cell r="AV3059">
            <v>365</v>
          </cell>
          <cell r="AX3059">
            <v>123</v>
          </cell>
        </row>
        <row r="3060">
          <cell r="AV3060">
            <v>365</v>
          </cell>
          <cell r="AX3060">
            <v>123</v>
          </cell>
        </row>
        <row r="3061">
          <cell r="AV3061">
            <v>365</v>
          </cell>
          <cell r="AX3061">
            <v>123</v>
          </cell>
        </row>
        <row r="3062">
          <cell r="AV3062">
            <v>365</v>
          </cell>
          <cell r="AX3062">
            <v>123</v>
          </cell>
        </row>
        <row r="3063">
          <cell r="AV3063">
            <v>365</v>
          </cell>
          <cell r="AX3063">
            <v>123</v>
          </cell>
        </row>
        <row r="3064">
          <cell r="AV3064">
            <v>365</v>
          </cell>
          <cell r="AX3064">
            <v>123</v>
          </cell>
        </row>
        <row r="3065">
          <cell r="AV3065">
            <v>365</v>
          </cell>
          <cell r="AX3065">
            <v>123</v>
          </cell>
        </row>
        <row r="3066">
          <cell r="AV3066">
            <v>365</v>
          </cell>
          <cell r="AX3066">
            <v>123</v>
          </cell>
        </row>
        <row r="3067">
          <cell r="AV3067">
            <v>365</v>
          </cell>
          <cell r="AX3067">
            <v>123</v>
          </cell>
        </row>
        <row r="3068">
          <cell r="AV3068">
            <v>365</v>
          </cell>
          <cell r="AX3068">
            <v>123</v>
          </cell>
        </row>
        <row r="3069">
          <cell r="AV3069">
            <v>365</v>
          </cell>
          <cell r="AX3069">
            <v>123</v>
          </cell>
        </row>
        <row r="3070">
          <cell r="AV3070">
            <v>365</v>
          </cell>
          <cell r="AX3070">
            <v>123</v>
          </cell>
        </row>
        <row r="3071">
          <cell r="AV3071">
            <v>365</v>
          </cell>
          <cell r="AX3071">
            <v>123</v>
          </cell>
        </row>
        <row r="3072">
          <cell r="E3072" t="str">
            <v>FF</v>
          </cell>
          <cell r="F3072" t="str">
            <v>Intermediate</v>
          </cell>
          <cell r="AV3072">
            <v>365</v>
          </cell>
          <cell r="AX3072">
            <v>129</v>
          </cell>
        </row>
        <row r="3073">
          <cell r="E3073" t="str">
            <v>FF</v>
          </cell>
          <cell r="F3073" t="str">
            <v>Intermediate</v>
          </cell>
          <cell r="AV3073">
            <v>365</v>
          </cell>
          <cell r="AX3073">
            <v>129</v>
          </cell>
        </row>
        <row r="3074">
          <cell r="E3074" t="str">
            <v>FF</v>
          </cell>
          <cell r="F3074" t="str">
            <v>Pharma</v>
          </cell>
          <cell r="AV3074">
            <v>365</v>
          </cell>
          <cell r="AX3074">
            <v>129</v>
          </cell>
        </row>
        <row r="3075">
          <cell r="AV3075">
            <v>365</v>
          </cell>
          <cell r="AX3075">
            <v>366</v>
          </cell>
          <cell r="AZ3075">
            <v>6.3299999999999995E-2</v>
          </cell>
          <cell r="BA3075">
            <v>365</v>
          </cell>
          <cell r="BB3075">
            <v>411.45</v>
          </cell>
          <cell r="BC3075">
            <v>69</v>
          </cell>
        </row>
        <row r="3076">
          <cell r="E3076" t="str">
            <v>GF</v>
          </cell>
          <cell r="AV3076">
            <v>365</v>
          </cell>
          <cell r="AX3076">
            <v>71</v>
          </cell>
        </row>
        <row r="3077">
          <cell r="AV3077">
            <v>365</v>
          </cell>
          <cell r="AX3077">
            <v>33</v>
          </cell>
        </row>
        <row r="3078">
          <cell r="AV3078">
            <v>365</v>
          </cell>
          <cell r="AX3078">
            <v>33</v>
          </cell>
        </row>
        <row r="3079">
          <cell r="AV3079">
            <v>365</v>
          </cell>
          <cell r="AX3079">
            <v>33</v>
          </cell>
        </row>
        <row r="3080">
          <cell r="AV3080">
            <v>365</v>
          </cell>
          <cell r="AX3080">
            <v>33</v>
          </cell>
        </row>
        <row r="3081">
          <cell r="AV3081">
            <v>365</v>
          </cell>
          <cell r="AX3081">
            <v>33</v>
          </cell>
        </row>
        <row r="3082">
          <cell r="AV3082">
            <v>365</v>
          </cell>
          <cell r="AX3082">
            <v>33</v>
          </cell>
        </row>
        <row r="3083">
          <cell r="AV3083">
            <v>365</v>
          </cell>
          <cell r="AX3083">
            <v>33</v>
          </cell>
        </row>
        <row r="3084">
          <cell r="AV3084">
            <v>365</v>
          </cell>
          <cell r="AX3084">
            <v>33</v>
          </cell>
        </row>
        <row r="3085">
          <cell r="AV3085">
            <v>365</v>
          </cell>
          <cell r="AX3085">
            <v>33</v>
          </cell>
        </row>
        <row r="3086">
          <cell r="AV3086">
            <v>365</v>
          </cell>
          <cell r="AX3086">
            <v>33</v>
          </cell>
        </row>
        <row r="3087">
          <cell r="AV3087">
            <v>365</v>
          </cell>
          <cell r="AX3087">
            <v>33</v>
          </cell>
        </row>
        <row r="3088">
          <cell r="AV3088">
            <v>365</v>
          </cell>
          <cell r="AX3088">
            <v>33</v>
          </cell>
        </row>
        <row r="3089">
          <cell r="AV3089">
            <v>365</v>
          </cell>
          <cell r="AX3089">
            <v>33</v>
          </cell>
        </row>
        <row r="3090">
          <cell r="AV3090">
            <v>365</v>
          </cell>
          <cell r="AX3090">
            <v>33</v>
          </cell>
        </row>
        <row r="3091">
          <cell r="AV3091">
            <v>365</v>
          </cell>
          <cell r="AX3091">
            <v>33</v>
          </cell>
        </row>
        <row r="3092">
          <cell r="AV3092">
            <v>365</v>
          </cell>
          <cell r="AX3092">
            <v>33</v>
          </cell>
        </row>
        <row r="3093">
          <cell r="AV3093">
            <v>365</v>
          </cell>
          <cell r="AX3093">
            <v>33</v>
          </cell>
        </row>
        <row r="3094">
          <cell r="AV3094">
            <v>365</v>
          </cell>
          <cell r="AX3094">
            <v>33</v>
          </cell>
        </row>
        <row r="3095">
          <cell r="AV3095">
            <v>322</v>
          </cell>
        </row>
        <row r="3096">
          <cell r="AV3096">
            <v>365</v>
          </cell>
          <cell r="AX3096">
            <v>130</v>
          </cell>
        </row>
        <row r="3097">
          <cell r="AX3097">
            <v>202</v>
          </cell>
        </row>
        <row r="3098">
          <cell r="AV3098">
            <v>365</v>
          </cell>
          <cell r="AX3098">
            <v>1</v>
          </cell>
        </row>
        <row r="3099">
          <cell r="AV3099">
            <v>365</v>
          </cell>
          <cell r="AX3099">
            <v>1</v>
          </cell>
        </row>
        <row r="3100">
          <cell r="AV3100">
            <v>365</v>
          </cell>
          <cell r="AX3100">
            <v>1</v>
          </cell>
        </row>
        <row r="3101">
          <cell r="AV3101">
            <v>365</v>
          </cell>
          <cell r="AX3101">
            <v>1</v>
          </cell>
        </row>
        <row r="3102">
          <cell r="AV3102">
            <v>365</v>
          </cell>
          <cell r="AX3102">
            <v>1</v>
          </cell>
        </row>
        <row r="3103">
          <cell r="AV3103">
            <v>365</v>
          </cell>
          <cell r="AX3103">
            <v>1</v>
          </cell>
        </row>
        <row r="3104">
          <cell r="AV3104">
            <v>365</v>
          </cell>
          <cell r="AX3104">
            <v>1</v>
          </cell>
        </row>
        <row r="3105">
          <cell r="AV3105">
            <v>365</v>
          </cell>
          <cell r="AX3105">
            <v>1</v>
          </cell>
        </row>
        <row r="3106">
          <cell r="AV3106">
            <v>365</v>
          </cell>
          <cell r="AX3106">
            <v>1</v>
          </cell>
        </row>
        <row r="3107">
          <cell r="AV3107">
            <v>365</v>
          </cell>
          <cell r="AX3107">
            <v>1</v>
          </cell>
        </row>
        <row r="3108">
          <cell r="AV3108">
            <v>365</v>
          </cell>
          <cell r="AX3108">
            <v>1</v>
          </cell>
        </row>
        <row r="3109">
          <cell r="AV3109">
            <v>365</v>
          </cell>
          <cell r="AX3109">
            <v>1</v>
          </cell>
        </row>
        <row r="3110">
          <cell r="AV3110">
            <v>365</v>
          </cell>
          <cell r="AX3110">
            <v>1</v>
          </cell>
        </row>
        <row r="3111">
          <cell r="AV3111">
            <v>365</v>
          </cell>
          <cell r="AX3111">
            <v>1</v>
          </cell>
        </row>
        <row r="3112">
          <cell r="AV3112">
            <v>365</v>
          </cell>
          <cell r="AX3112">
            <v>1</v>
          </cell>
        </row>
        <row r="3113">
          <cell r="E3113" t="str">
            <v>GF</v>
          </cell>
          <cell r="AV3113">
            <v>365</v>
          </cell>
          <cell r="AX3113">
            <v>60</v>
          </cell>
        </row>
        <row r="3114">
          <cell r="AV3114">
            <v>365</v>
          </cell>
          <cell r="AX3114">
            <v>366</v>
          </cell>
          <cell r="AZ3114">
            <v>6.3299999999999995E-2</v>
          </cell>
          <cell r="BA3114">
            <v>347</v>
          </cell>
          <cell r="BB3114">
            <v>355.05230136986296</v>
          </cell>
        </row>
        <row r="3115">
          <cell r="AV3115">
            <v>365</v>
          </cell>
          <cell r="AX3115">
            <v>72</v>
          </cell>
        </row>
        <row r="3116">
          <cell r="AV3116">
            <v>365</v>
          </cell>
          <cell r="AX3116">
            <v>72</v>
          </cell>
        </row>
        <row r="3117">
          <cell r="AV3117">
            <v>365</v>
          </cell>
          <cell r="AX3117">
            <v>72</v>
          </cell>
        </row>
        <row r="3118">
          <cell r="AV3118">
            <v>365</v>
          </cell>
          <cell r="AX3118">
            <v>72</v>
          </cell>
        </row>
        <row r="3119">
          <cell r="AV3119">
            <v>365</v>
          </cell>
          <cell r="AX3119">
            <v>72</v>
          </cell>
        </row>
        <row r="3120">
          <cell r="AV3120">
            <v>365</v>
          </cell>
          <cell r="AX3120">
            <v>72</v>
          </cell>
        </row>
        <row r="3121">
          <cell r="AV3121">
            <v>365</v>
          </cell>
          <cell r="AX3121">
            <v>72</v>
          </cell>
        </row>
        <row r="3122">
          <cell r="AV3122">
            <v>365</v>
          </cell>
          <cell r="AX3122">
            <v>72</v>
          </cell>
        </row>
        <row r="3123">
          <cell r="AV3123">
            <v>365</v>
          </cell>
          <cell r="AX3123">
            <v>72</v>
          </cell>
        </row>
        <row r="3124">
          <cell r="AV3124">
            <v>365</v>
          </cell>
          <cell r="AX3124">
            <v>72</v>
          </cell>
        </row>
        <row r="3125">
          <cell r="AV3125">
            <v>365</v>
          </cell>
          <cell r="AX3125">
            <v>72</v>
          </cell>
        </row>
        <row r="3126">
          <cell r="AV3126">
            <v>365</v>
          </cell>
          <cell r="AX3126">
            <v>72</v>
          </cell>
        </row>
        <row r="3127">
          <cell r="AV3127">
            <v>365</v>
          </cell>
          <cell r="AX3127">
            <v>72</v>
          </cell>
        </row>
        <row r="3128">
          <cell r="AV3128">
            <v>365</v>
          </cell>
          <cell r="AX3128">
            <v>130</v>
          </cell>
        </row>
        <row r="3129">
          <cell r="E3129" t="str">
            <v>GF</v>
          </cell>
          <cell r="AV3129">
            <v>365</v>
          </cell>
          <cell r="AX3129">
            <v>184</v>
          </cell>
        </row>
        <row r="3130">
          <cell r="E3130" t="str">
            <v>GF</v>
          </cell>
          <cell r="AV3130">
            <v>365</v>
          </cell>
          <cell r="AX3130">
            <v>184</v>
          </cell>
        </row>
        <row r="3131">
          <cell r="E3131" t="str">
            <v>GF</v>
          </cell>
          <cell r="AV3131">
            <v>365</v>
          </cell>
          <cell r="AX3131">
            <v>184</v>
          </cell>
        </row>
        <row r="3132">
          <cell r="E3132" t="str">
            <v>GF</v>
          </cell>
          <cell r="AV3132">
            <v>365</v>
          </cell>
          <cell r="AX3132">
            <v>184</v>
          </cell>
        </row>
        <row r="3133">
          <cell r="E3133" t="str">
            <v>GF</v>
          </cell>
          <cell r="AV3133">
            <v>365</v>
          </cell>
          <cell r="AX3133">
            <v>184</v>
          </cell>
        </row>
        <row r="3134">
          <cell r="E3134" t="str">
            <v>GF</v>
          </cell>
          <cell r="AV3134">
            <v>365</v>
          </cell>
          <cell r="AX3134">
            <v>184</v>
          </cell>
        </row>
        <row r="3135">
          <cell r="E3135" t="str">
            <v>GF</v>
          </cell>
          <cell r="AV3135">
            <v>365</v>
          </cell>
          <cell r="AX3135">
            <v>184</v>
          </cell>
        </row>
        <row r="3136">
          <cell r="E3136" t="str">
            <v>GF</v>
          </cell>
          <cell r="AV3136">
            <v>365</v>
          </cell>
          <cell r="AX3136">
            <v>184</v>
          </cell>
        </row>
        <row r="3137">
          <cell r="AV3137">
            <v>365</v>
          </cell>
          <cell r="AX3137">
            <v>1</v>
          </cell>
        </row>
        <row r="3138">
          <cell r="AV3138">
            <v>365</v>
          </cell>
          <cell r="AX3138">
            <v>141</v>
          </cell>
        </row>
        <row r="3139">
          <cell r="E3139" t="str">
            <v>GF</v>
          </cell>
          <cell r="AV3139">
            <v>365</v>
          </cell>
          <cell r="AX3139">
            <v>71</v>
          </cell>
        </row>
        <row r="3140">
          <cell r="E3140" t="str">
            <v>FF</v>
          </cell>
          <cell r="AV3140">
            <v>365</v>
          </cell>
          <cell r="AX3140">
            <v>71</v>
          </cell>
        </row>
        <row r="3141">
          <cell r="AX3141">
            <v>366</v>
          </cell>
          <cell r="AZ3141">
            <v>0.16209999999999999</v>
          </cell>
          <cell r="BA3141">
            <v>1</v>
          </cell>
          <cell r="BB3141">
            <v>2.509219178082192</v>
          </cell>
        </row>
        <row r="3142">
          <cell r="AV3142">
            <v>365</v>
          </cell>
          <cell r="AX3142">
            <v>1</v>
          </cell>
        </row>
        <row r="3143">
          <cell r="AV3143">
            <v>361</v>
          </cell>
        </row>
        <row r="3144">
          <cell r="AV3144">
            <v>361</v>
          </cell>
        </row>
        <row r="3145">
          <cell r="AV3145">
            <v>361</v>
          </cell>
        </row>
        <row r="3146">
          <cell r="AV3146">
            <v>361</v>
          </cell>
        </row>
        <row r="3147">
          <cell r="AV3147">
            <v>361</v>
          </cell>
        </row>
        <row r="3148">
          <cell r="AV3148">
            <v>361</v>
          </cell>
        </row>
        <row r="3149">
          <cell r="AV3149">
            <v>361</v>
          </cell>
        </row>
        <row r="3150">
          <cell r="AV3150">
            <v>361</v>
          </cell>
        </row>
        <row r="3151">
          <cell r="AV3151">
            <v>361</v>
          </cell>
        </row>
        <row r="3152">
          <cell r="E3152" t="str">
            <v>GF</v>
          </cell>
          <cell r="AV3152">
            <v>365</v>
          </cell>
          <cell r="AX3152">
            <v>130</v>
          </cell>
        </row>
        <row r="3153">
          <cell r="AX3153">
            <v>276</v>
          </cell>
        </row>
        <row r="3154">
          <cell r="AV3154">
            <v>365</v>
          </cell>
          <cell r="AX3154">
            <v>103</v>
          </cell>
        </row>
        <row r="3155">
          <cell r="AV3155">
            <v>365</v>
          </cell>
          <cell r="AX3155">
            <v>103</v>
          </cell>
        </row>
        <row r="3156">
          <cell r="AV3156">
            <v>365</v>
          </cell>
          <cell r="AX3156">
            <v>103</v>
          </cell>
        </row>
        <row r="3157">
          <cell r="AV3157">
            <v>365</v>
          </cell>
          <cell r="AX3157">
            <v>103</v>
          </cell>
        </row>
        <row r="3158">
          <cell r="AV3158">
            <v>365</v>
          </cell>
          <cell r="AX3158">
            <v>103</v>
          </cell>
        </row>
        <row r="3159">
          <cell r="AV3159">
            <v>365</v>
          </cell>
          <cell r="AX3159">
            <v>103</v>
          </cell>
        </row>
        <row r="3160">
          <cell r="AV3160">
            <v>365</v>
          </cell>
          <cell r="AX3160">
            <v>103</v>
          </cell>
        </row>
        <row r="3161">
          <cell r="AV3161">
            <v>365</v>
          </cell>
          <cell r="AX3161">
            <v>103</v>
          </cell>
        </row>
        <row r="3162">
          <cell r="AV3162">
            <v>365</v>
          </cell>
          <cell r="AX3162">
            <v>103</v>
          </cell>
        </row>
        <row r="3163">
          <cell r="AV3163">
            <v>365</v>
          </cell>
          <cell r="AX3163">
            <v>103</v>
          </cell>
        </row>
        <row r="3164">
          <cell r="AV3164">
            <v>365</v>
          </cell>
          <cell r="AX3164">
            <v>103</v>
          </cell>
        </row>
        <row r="3165">
          <cell r="AV3165">
            <v>365</v>
          </cell>
          <cell r="AX3165">
            <v>103</v>
          </cell>
        </row>
        <row r="3166">
          <cell r="AV3166">
            <v>365</v>
          </cell>
          <cell r="AX3166">
            <v>103</v>
          </cell>
        </row>
        <row r="3167">
          <cell r="AV3167">
            <v>365</v>
          </cell>
          <cell r="AX3167">
            <v>103</v>
          </cell>
        </row>
        <row r="3168">
          <cell r="AV3168">
            <v>365</v>
          </cell>
          <cell r="AX3168">
            <v>103</v>
          </cell>
        </row>
        <row r="3169">
          <cell r="AV3169">
            <v>365</v>
          </cell>
          <cell r="AX3169">
            <v>103</v>
          </cell>
        </row>
        <row r="3170">
          <cell r="AV3170">
            <v>365</v>
          </cell>
          <cell r="AX3170">
            <v>103</v>
          </cell>
        </row>
        <row r="3171">
          <cell r="AV3171">
            <v>365</v>
          </cell>
          <cell r="AX3171">
            <v>366</v>
          </cell>
          <cell r="AZ3171">
            <v>6.3299999999999995E-2</v>
          </cell>
          <cell r="BA3171">
            <v>0</v>
          </cell>
          <cell r="BB3171">
            <v>0</v>
          </cell>
        </row>
        <row r="3172">
          <cell r="AV3172">
            <v>365</v>
          </cell>
          <cell r="AX3172">
            <v>366</v>
          </cell>
          <cell r="AZ3172">
            <v>6.3299999999999995E-2</v>
          </cell>
          <cell r="BA3172">
            <v>0</v>
          </cell>
          <cell r="BB3172">
            <v>0</v>
          </cell>
        </row>
        <row r="3173">
          <cell r="AV3173">
            <v>365</v>
          </cell>
          <cell r="AX3173">
            <v>366</v>
          </cell>
          <cell r="AZ3173">
            <v>6.3299999999999995E-2</v>
          </cell>
          <cell r="BA3173">
            <v>0</v>
          </cell>
          <cell r="BB3173">
            <v>0</v>
          </cell>
        </row>
        <row r="3174">
          <cell r="AV3174">
            <v>365</v>
          </cell>
          <cell r="AX3174">
            <v>366</v>
          </cell>
          <cell r="AZ3174">
            <v>6.3299999999999995E-2</v>
          </cell>
          <cell r="BA3174">
            <v>0</v>
          </cell>
          <cell r="BB3174">
            <v>0</v>
          </cell>
        </row>
        <row r="3175">
          <cell r="AV3175">
            <v>365</v>
          </cell>
          <cell r="AX3175">
            <v>317</v>
          </cell>
        </row>
        <row r="3176">
          <cell r="AV3176">
            <v>365</v>
          </cell>
          <cell r="AX3176">
            <v>202</v>
          </cell>
        </row>
        <row r="3177">
          <cell r="E3177" t="str">
            <v>GF</v>
          </cell>
          <cell r="AV3177">
            <v>365</v>
          </cell>
          <cell r="AX3177">
            <v>336</v>
          </cell>
        </row>
        <row r="3178">
          <cell r="E3178" t="str">
            <v>GF</v>
          </cell>
          <cell r="AV3178">
            <v>365</v>
          </cell>
          <cell r="AX3178">
            <v>336</v>
          </cell>
        </row>
        <row r="3179">
          <cell r="E3179" t="str">
            <v>GF</v>
          </cell>
          <cell r="AV3179">
            <v>365</v>
          </cell>
          <cell r="AX3179">
            <v>336</v>
          </cell>
        </row>
        <row r="3180">
          <cell r="E3180" t="str">
            <v>GF</v>
          </cell>
          <cell r="AV3180">
            <v>365</v>
          </cell>
          <cell r="AX3180">
            <v>336</v>
          </cell>
        </row>
        <row r="3181">
          <cell r="E3181" t="str">
            <v>GF</v>
          </cell>
          <cell r="AV3181">
            <v>365</v>
          </cell>
          <cell r="AX3181">
            <v>336</v>
          </cell>
        </row>
        <row r="3182">
          <cell r="E3182" t="str">
            <v>GF</v>
          </cell>
          <cell r="AV3182">
            <v>365</v>
          </cell>
          <cell r="AX3182">
            <v>336</v>
          </cell>
        </row>
        <row r="3183">
          <cell r="E3183" t="str">
            <v>GF</v>
          </cell>
          <cell r="AV3183">
            <v>365</v>
          </cell>
          <cell r="AX3183">
            <v>336</v>
          </cell>
        </row>
        <row r="3184">
          <cell r="E3184" t="str">
            <v>GF</v>
          </cell>
          <cell r="AV3184">
            <v>365</v>
          </cell>
          <cell r="AX3184">
            <v>336</v>
          </cell>
        </row>
        <row r="3185">
          <cell r="E3185" t="str">
            <v>FF</v>
          </cell>
          <cell r="F3185" t="str">
            <v>Intermediate</v>
          </cell>
          <cell r="AV3185">
            <v>289</v>
          </cell>
        </row>
        <row r="3186">
          <cell r="E3186" t="str">
            <v>GF</v>
          </cell>
          <cell r="AV3186">
            <v>289</v>
          </cell>
        </row>
        <row r="3187">
          <cell r="AV3187">
            <v>289</v>
          </cell>
        </row>
        <row r="3188">
          <cell r="AV3188">
            <v>289</v>
          </cell>
        </row>
        <row r="3189">
          <cell r="E3189" t="str">
            <v>GF</v>
          </cell>
          <cell r="AV3189">
            <v>289</v>
          </cell>
        </row>
        <row r="3190">
          <cell r="AV3190">
            <v>365</v>
          </cell>
          <cell r="AX3190">
            <v>366</v>
          </cell>
          <cell r="AZ3190">
            <v>6.3299999999999995E-2</v>
          </cell>
          <cell r="BA3190">
            <v>256</v>
          </cell>
          <cell r="BB3190">
            <v>10232.305635945204</v>
          </cell>
        </row>
        <row r="3191">
          <cell r="AV3191">
            <v>365</v>
          </cell>
          <cell r="AX3191">
            <v>366</v>
          </cell>
          <cell r="AZ3191">
            <v>6.3299999999999995E-2</v>
          </cell>
          <cell r="BA3191">
            <v>256</v>
          </cell>
          <cell r="BB3191">
            <v>5039.4744000876708</v>
          </cell>
        </row>
        <row r="3192">
          <cell r="AV3192">
            <v>365</v>
          </cell>
          <cell r="AX3192">
            <v>366</v>
          </cell>
          <cell r="AZ3192">
            <v>6.3299999999999995E-2</v>
          </cell>
          <cell r="BA3192">
            <v>256</v>
          </cell>
          <cell r="BB3192">
            <v>5687.7960065753423</v>
          </cell>
        </row>
        <row r="3193">
          <cell r="AV3193">
            <v>365</v>
          </cell>
          <cell r="AX3193">
            <v>366</v>
          </cell>
          <cell r="AZ3193">
            <v>6.3299999999999995E-2</v>
          </cell>
          <cell r="BA3193">
            <v>256</v>
          </cell>
          <cell r="BB3193">
            <v>6781.819791780822</v>
          </cell>
        </row>
        <row r="3194">
          <cell r="AV3194">
            <v>365</v>
          </cell>
          <cell r="AX3194">
            <v>366</v>
          </cell>
          <cell r="AZ3194">
            <v>6.3299999999999995E-2</v>
          </cell>
          <cell r="BA3194">
            <v>256</v>
          </cell>
          <cell r="BB3194">
            <v>23816.648294399994</v>
          </cell>
        </row>
        <row r="3195">
          <cell r="AV3195">
            <v>365</v>
          </cell>
          <cell r="AX3195">
            <v>366</v>
          </cell>
          <cell r="AZ3195">
            <v>6.3299999999999995E-2</v>
          </cell>
          <cell r="BA3195">
            <v>256</v>
          </cell>
          <cell r="BB3195">
            <v>46244.009804449313</v>
          </cell>
        </row>
        <row r="3196">
          <cell r="E3196" t="str">
            <v>FF</v>
          </cell>
          <cell r="AV3196">
            <v>365</v>
          </cell>
          <cell r="AX3196">
            <v>71</v>
          </cell>
        </row>
        <row r="3197">
          <cell r="AV3197">
            <v>232</v>
          </cell>
        </row>
        <row r="3198">
          <cell r="AV3198">
            <v>232</v>
          </cell>
        </row>
        <row r="3199">
          <cell r="E3199" t="str">
            <v>FF</v>
          </cell>
          <cell r="AV3199">
            <v>365</v>
          </cell>
          <cell r="AX3199">
            <v>307</v>
          </cell>
        </row>
        <row r="3200">
          <cell r="E3200" t="str">
            <v>FF</v>
          </cell>
          <cell r="AV3200">
            <v>365</v>
          </cell>
          <cell r="AX3200">
            <v>307</v>
          </cell>
        </row>
        <row r="3201">
          <cell r="E3201" t="str">
            <v>FF</v>
          </cell>
          <cell r="AV3201">
            <v>365</v>
          </cell>
          <cell r="AX3201">
            <v>307</v>
          </cell>
        </row>
        <row r="3202">
          <cell r="E3202" t="str">
            <v>FF</v>
          </cell>
          <cell r="AV3202">
            <v>365</v>
          </cell>
          <cell r="AX3202">
            <v>307</v>
          </cell>
        </row>
        <row r="3203">
          <cell r="E3203" t="str">
            <v>FF</v>
          </cell>
          <cell r="AV3203">
            <v>365</v>
          </cell>
          <cell r="AX3203">
            <v>307</v>
          </cell>
        </row>
        <row r="3204">
          <cell r="E3204" t="str">
            <v>FF</v>
          </cell>
          <cell r="AV3204">
            <v>365</v>
          </cell>
          <cell r="AX3204">
            <v>307</v>
          </cell>
        </row>
        <row r="3205">
          <cell r="E3205" t="str">
            <v>FF</v>
          </cell>
          <cell r="AV3205">
            <v>365</v>
          </cell>
          <cell r="AX3205">
            <v>307</v>
          </cell>
        </row>
        <row r="3206">
          <cell r="E3206" t="str">
            <v>FF</v>
          </cell>
          <cell r="AV3206">
            <v>365</v>
          </cell>
          <cell r="AX3206">
            <v>307</v>
          </cell>
        </row>
        <row r="3207">
          <cell r="E3207" t="str">
            <v>FF</v>
          </cell>
          <cell r="AV3207">
            <v>365</v>
          </cell>
          <cell r="AX3207">
            <v>307</v>
          </cell>
        </row>
        <row r="3208">
          <cell r="E3208" t="str">
            <v>FF</v>
          </cell>
          <cell r="AV3208">
            <v>365</v>
          </cell>
          <cell r="AX3208">
            <v>307</v>
          </cell>
        </row>
        <row r="3209">
          <cell r="AV3209">
            <v>365</v>
          </cell>
          <cell r="AX3209">
            <v>337</v>
          </cell>
        </row>
        <row r="3210">
          <cell r="AV3210">
            <v>365</v>
          </cell>
          <cell r="AX3210">
            <v>337</v>
          </cell>
        </row>
        <row r="3211">
          <cell r="AV3211">
            <v>365</v>
          </cell>
          <cell r="AX3211">
            <v>184</v>
          </cell>
        </row>
        <row r="3212">
          <cell r="AV3212">
            <v>365</v>
          </cell>
          <cell r="AX3212">
            <v>184</v>
          </cell>
        </row>
        <row r="3213">
          <cell r="AV3213">
            <v>365</v>
          </cell>
          <cell r="AX3213">
            <v>184</v>
          </cell>
        </row>
        <row r="3214">
          <cell r="AV3214">
            <v>365</v>
          </cell>
          <cell r="AX3214">
            <v>184</v>
          </cell>
        </row>
        <row r="3215">
          <cell r="AV3215">
            <v>365</v>
          </cell>
          <cell r="AX3215">
            <v>184</v>
          </cell>
        </row>
        <row r="3216">
          <cell r="AV3216">
            <v>365</v>
          </cell>
          <cell r="AX3216">
            <v>184</v>
          </cell>
        </row>
        <row r="3217">
          <cell r="AV3217">
            <v>365</v>
          </cell>
          <cell r="AX3217">
            <v>184</v>
          </cell>
        </row>
        <row r="3218">
          <cell r="AV3218">
            <v>365</v>
          </cell>
          <cell r="AX3218">
            <v>184</v>
          </cell>
        </row>
        <row r="3219">
          <cell r="E3219" t="str">
            <v>GF</v>
          </cell>
          <cell r="AV3219">
            <v>365</v>
          </cell>
          <cell r="AX3219">
            <v>306</v>
          </cell>
        </row>
        <row r="3220">
          <cell r="E3220" t="str">
            <v>GF</v>
          </cell>
          <cell r="AV3220">
            <v>365</v>
          </cell>
          <cell r="AX3220">
            <v>306</v>
          </cell>
        </row>
        <row r="3221">
          <cell r="AV3221">
            <v>289</v>
          </cell>
        </row>
        <row r="3222">
          <cell r="AV3222">
            <v>365</v>
          </cell>
          <cell r="AX3222">
            <v>267</v>
          </cell>
        </row>
        <row r="3223">
          <cell r="AV3223">
            <v>365</v>
          </cell>
          <cell r="AX3223">
            <v>267</v>
          </cell>
        </row>
        <row r="3224">
          <cell r="AV3224">
            <v>365</v>
          </cell>
          <cell r="AX3224">
            <v>267</v>
          </cell>
        </row>
        <row r="3225">
          <cell r="AV3225">
            <v>365</v>
          </cell>
          <cell r="AX3225">
            <v>267</v>
          </cell>
        </row>
        <row r="3226">
          <cell r="AV3226">
            <v>365</v>
          </cell>
          <cell r="AX3226">
            <v>267</v>
          </cell>
        </row>
        <row r="3227">
          <cell r="AV3227">
            <v>365</v>
          </cell>
          <cell r="AX3227">
            <v>267</v>
          </cell>
        </row>
        <row r="3228">
          <cell r="AV3228">
            <v>365</v>
          </cell>
          <cell r="AX3228">
            <v>267</v>
          </cell>
        </row>
        <row r="3229">
          <cell r="AV3229">
            <v>365</v>
          </cell>
          <cell r="AX3229">
            <v>366</v>
          </cell>
          <cell r="AZ3229">
            <v>6.3299999999999995E-2</v>
          </cell>
          <cell r="BA3229">
            <v>70</v>
          </cell>
          <cell r="BB3229">
            <v>893.87230684931512</v>
          </cell>
        </row>
        <row r="3230">
          <cell r="AV3230">
            <v>365</v>
          </cell>
          <cell r="AX3230">
            <v>366</v>
          </cell>
          <cell r="AZ3230">
            <v>6.3299999999999995E-2</v>
          </cell>
          <cell r="BA3230">
            <v>70</v>
          </cell>
          <cell r="BB3230">
            <v>33084.638136986301</v>
          </cell>
        </row>
        <row r="3231">
          <cell r="AV3231">
            <v>365</v>
          </cell>
          <cell r="AX3231">
            <v>366</v>
          </cell>
          <cell r="AZ3231">
            <v>0.16209999999999999</v>
          </cell>
          <cell r="BA3231">
            <v>365</v>
          </cell>
          <cell r="BB3231">
            <v>758.62800000000004</v>
          </cell>
          <cell r="BC3231">
            <v>21</v>
          </cell>
        </row>
        <row r="3232">
          <cell r="AV3232">
            <v>198</v>
          </cell>
        </row>
        <row r="3233">
          <cell r="AV3233">
            <v>198</v>
          </cell>
        </row>
        <row r="3234">
          <cell r="AV3234">
            <v>365</v>
          </cell>
          <cell r="AX3234">
            <v>130</v>
          </cell>
        </row>
        <row r="3235">
          <cell r="E3235" t="str">
            <v>GF</v>
          </cell>
          <cell r="F3235" t="str">
            <v>Intermediate</v>
          </cell>
          <cell r="AV3235">
            <v>365</v>
          </cell>
          <cell r="AX3235">
            <v>130</v>
          </cell>
        </row>
        <row r="3236">
          <cell r="E3236" t="str">
            <v>GF</v>
          </cell>
          <cell r="F3236" t="str">
            <v>Intermediate</v>
          </cell>
          <cell r="AV3236">
            <v>365</v>
          </cell>
          <cell r="AX3236">
            <v>130</v>
          </cell>
        </row>
        <row r="3237">
          <cell r="E3237" t="str">
            <v>GF</v>
          </cell>
          <cell r="F3237" t="str">
            <v>Intermediate</v>
          </cell>
          <cell r="AV3237">
            <v>365</v>
          </cell>
          <cell r="AX3237">
            <v>130</v>
          </cell>
        </row>
        <row r="3238">
          <cell r="E3238" t="str">
            <v>GF</v>
          </cell>
          <cell r="F3238" t="str">
            <v>Intermediate</v>
          </cell>
          <cell r="AV3238">
            <v>365</v>
          </cell>
          <cell r="AX3238">
            <v>130</v>
          </cell>
        </row>
        <row r="3239">
          <cell r="E3239" t="str">
            <v>GF</v>
          </cell>
          <cell r="F3239" t="str">
            <v>Intermediate</v>
          </cell>
          <cell r="AV3239">
            <v>365</v>
          </cell>
          <cell r="AX3239">
            <v>130</v>
          </cell>
        </row>
        <row r="3240">
          <cell r="E3240" t="str">
            <v>GF</v>
          </cell>
          <cell r="F3240" t="str">
            <v>Intermediate</v>
          </cell>
          <cell r="AV3240">
            <v>365</v>
          </cell>
          <cell r="AX3240">
            <v>130</v>
          </cell>
        </row>
        <row r="3241">
          <cell r="E3241" t="str">
            <v>GF</v>
          </cell>
          <cell r="F3241" t="str">
            <v>Pharma</v>
          </cell>
          <cell r="AV3241">
            <v>365</v>
          </cell>
          <cell r="AX3241">
            <v>130</v>
          </cell>
        </row>
        <row r="3242">
          <cell r="E3242" t="str">
            <v>GF</v>
          </cell>
          <cell r="F3242" t="str">
            <v>Pharma</v>
          </cell>
          <cell r="AV3242">
            <v>365</v>
          </cell>
          <cell r="AX3242">
            <v>130</v>
          </cell>
        </row>
        <row r="3243">
          <cell r="E3243" t="str">
            <v>GF</v>
          </cell>
          <cell r="F3243" t="str">
            <v>Intermediate</v>
          </cell>
          <cell r="AV3243">
            <v>365</v>
          </cell>
          <cell r="AX3243">
            <v>130</v>
          </cell>
        </row>
        <row r="3244">
          <cell r="E3244" t="str">
            <v>GF</v>
          </cell>
          <cell r="F3244" t="str">
            <v>Intermediate</v>
          </cell>
          <cell r="AV3244">
            <v>365</v>
          </cell>
          <cell r="AX3244">
            <v>130</v>
          </cell>
        </row>
        <row r="3245">
          <cell r="E3245" t="str">
            <v>GF</v>
          </cell>
          <cell r="F3245" t="str">
            <v>Intermediate</v>
          </cell>
          <cell r="AV3245">
            <v>365</v>
          </cell>
          <cell r="AX3245">
            <v>130</v>
          </cell>
        </row>
        <row r="3246">
          <cell r="E3246" t="str">
            <v>GF</v>
          </cell>
          <cell r="F3246" t="str">
            <v>Intermediate</v>
          </cell>
          <cell r="AV3246">
            <v>365</v>
          </cell>
          <cell r="AX3246">
            <v>130</v>
          </cell>
        </row>
        <row r="3247">
          <cell r="E3247" t="str">
            <v>GF</v>
          </cell>
          <cell r="F3247" t="str">
            <v>Intermediate</v>
          </cell>
          <cell r="AV3247">
            <v>365</v>
          </cell>
          <cell r="AX3247">
            <v>130</v>
          </cell>
        </row>
        <row r="3248">
          <cell r="E3248" t="str">
            <v>GF</v>
          </cell>
          <cell r="F3248" t="str">
            <v>Intermediate</v>
          </cell>
          <cell r="AV3248">
            <v>365</v>
          </cell>
          <cell r="AX3248">
            <v>130</v>
          </cell>
        </row>
        <row r="3249">
          <cell r="E3249" t="str">
            <v>GF</v>
          </cell>
          <cell r="F3249" t="str">
            <v>Intermediate</v>
          </cell>
          <cell r="AV3249">
            <v>365</v>
          </cell>
          <cell r="AX3249">
            <v>130</v>
          </cell>
        </row>
        <row r="3250">
          <cell r="E3250" t="str">
            <v>GF</v>
          </cell>
          <cell r="F3250" t="str">
            <v>Pharma</v>
          </cell>
          <cell r="AV3250">
            <v>365</v>
          </cell>
          <cell r="AX3250">
            <v>130</v>
          </cell>
        </row>
        <row r="3251">
          <cell r="AV3251">
            <v>365</v>
          </cell>
          <cell r="AX3251">
            <v>130</v>
          </cell>
        </row>
        <row r="3252">
          <cell r="AV3252">
            <v>335</v>
          </cell>
        </row>
        <row r="3253">
          <cell r="AV3253">
            <v>335</v>
          </cell>
        </row>
        <row r="3254">
          <cell r="AV3254">
            <v>335</v>
          </cell>
        </row>
        <row r="3255">
          <cell r="AV3255">
            <v>335</v>
          </cell>
        </row>
        <row r="3256">
          <cell r="AV3256">
            <v>335</v>
          </cell>
        </row>
        <row r="3257">
          <cell r="AV3257">
            <v>335</v>
          </cell>
        </row>
        <row r="3258">
          <cell r="AV3258">
            <v>335</v>
          </cell>
        </row>
        <row r="3259">
          <cell r="AV3259">
            <v>335</v>
          </cell>
        </row>
        <row r="3260">
          <cell r="E3260" t="str">
            <v>GF</v>
          </cell>
          <cell r="AV3260">
            <v>365</v>
          </cell>
          <cell r="AX3260">
            <v>336</v>
          </cell>
        </row>
        <row r="3261">
          <cell r="E3261" t="str">
            <v>GF</v>
          </cell>
          <cell r="AV3261">
            <v>365</v>
          </cell>
          <cell r="AX3261">
            <v>336</v>
          </cell>
        </row>
        <row r="3262">
          <cell r="AV3262">
            <v>365</v>
          </cell>
          <cell r="AX3262">
            <v>33</v>
          </cell>
        </row>
        <row r="3263">
          <cell r="AV3263">
            <v>365</v>
          </cell>
          <cell r="AX3263">
            <v>33</v>
          </cell>
        </row>
        <row r="3264">
          <cell r="AV3264">
            <v>365</v>
          </cell>
          <cell r="AX3264">
            <v>33</v>
          </cell>
        </row>
        <row r="3265">
          <cell r="AV3265">
            <v>365</v>
          </cell>
          <cell r="AX3265">
            <v>33</v>
          </cell>
        </row>
        <row r="3266">
          <cell r="AV3266">
            <v>365</v>
          </cell>
          <cell r="AX3266">
            <v>33</v>
          </cell>
        </row>
        <row r="3267">
          <cell r="AV3267">
            <v>365</v>
          </cell>
          <cell r="AX3267">
            <v>33</v>
          </cell>
        </row>
        <row r="3268">
          <cell r="AV3268">
            <v>365</v>
          </cell>
          <cell r="AX3268">
            <v>33</v>
          </cell>
        </row>
        <row r="3269">
          <cell r="AV3269">
            <v>365</v>
          </cell>
          <cell r="AX3269">
            <v>33</v>
          </cell>
        </row>
        <row r="3270">
          <cell r="AV3270">
            <v>365</v>
          </cell>
          <cell r="AX3270">
            <v>33</v>
          </cell>
        </row>
        <row r="3271">
          <cell r="AV3271">
            <v>365</v>
          </cell>
          <cell r="AX3271">
            <v>33</v>
          </cell>
        </row>
        <row r="3272">
          <cell r="AV3272">
            <v>365</v>
          </cell>
          <cell r="AX3272">
            <v>33</v>
          </cell>
        </row>
        <row r="3273">
          <cell r="AV3273">
            <v>365</v>
          </cell>
          <cell r="AX3273">
            <v>33</v>
          </cell>
        </row>
        <row r="3274">
          <cell r="AV3274">
            <v>365</v>
          </cell>
          <cell r="AX3274">
            <v>33</v>
          </cell>
        </row>
        <row r="3275">
          <cell r="AV3275">
            <v>365</v>
          </cell>
          <cell r="AX3275">
            <v>33</v>
          </cell>
        </row>
        <row r="3276">
          <cell r="AV3276">
            <v>365</v>
          </cell>
          <cell r="AX3276">
            <v>33</v>
          </cell>
        </row>
        <row r="3277">
          <cell r="AV3277">
            <v>365</v>
          </cell>
          <cell r="AX3277">
            <v>33</v>
          </cell>
        </row>
        <row r="3278">
          <cell r="AV3278">
            <v>365</v>
          </cell>
          <cell r="AX3278">
            <v>33</v>
          </cell>
        </row>
        <row r="3279">
          <cell r="AV3279">
            <v>365</v>
          </cell>
          <cell r="AX3279">
            <v>33</v>
          </cell>
        </row>
        <row r="3280">
          <cell r="AV3280">
            <v>365</v>
          </cell>
          <cell r="AX3280">
            <v>33</v>
          </cell>
        </row>
        <row r="3281">
          <cell r="AV3281">
            <v>365</v>
          </cell>
          <cell r="AX3281">
            <v>33</v>
          </cell>
        </row>
        <row r="3282">
          <cell r="AV3282">
            <v>365</v>
          </cell>
          <cell r="AX3282">
            <v>33</v>
          </cell>
        </row>
        <row r="3283">
          <cell r="AV3283">
            <v>365</v>
          </cell>
          <cell r="AX3283">
            <v>33</v>
          </cell>
        </row>
        <row r="3284">
          <cell r="AV3284">
            <v>365</v>
          </cell>
          <cell r="AX3284">
            <v>33</v>
          </cell>
        </row>
        <row r="3285">
          <cell r="AV3285">
            <v>365</v>
          </cell>
          <cell r="AX3285">
            <v>33</v>
          </cell>
        </row>
        <row r="3286">
          <cell r="AV3286">
            <v>365</v>
          </cell>
          <cell r="AX3286">
            <v>33</v>
          </cell>
        </row>
        <row r="3287">
          <cell r="AV3287">
            <v>365</v>
          </cell>
          <cell r="AX3287">
            <v>33</v>
          </cell>
        </row>
        <row r="3288">
          <cell r="AV3288">
            <v>365</v>
          </cell>
          <cell r="AX3288">
            <v>33</v>
          </cell>
        </row>
        <row r="3289">
          <cell r="AV3289">
            <v>365</v>
          </cell>
          <cell r="AX3289">
            <v>33</v>
          </cell>
        </row>
        <row r="3290">
          <cell r="AV3290">
            <v>365</v>
          </cell>
          <cell r="AX3290">
            <v>33</v>
          </cell>
        </row>
        <row r="3291">
          <cell r="AV3291">
            <v>365</v>
          </cell>
          <cell r="AX3291">
            <v>33</v>
          </cell>
        </row>
        <row r="3292">
          <cell r="AV3292">
            <v>365</v>
          </cell>
          <cell r="AX3292">
            <v>33</v>
          </cell>
        </row>
        <row r="3293">
          <cell r="AV3293">
            <v>365</v>
          </cell>
          <cell r="AX3293">
            <v>366</v>
          </cell>
          <cell r="AZ3293">
            <v>0.16209999999999999</v>
          </cell>
          <cell r="BA3293">
            <v>217</v>
          </cell>
          <cell r="BB3293">
            <v>412.85670904109583</v>
          </cell>
        </row>
        <row r="3294">
          <cell r="E3294" t="str">
            <v>GF</v>
          </cell>
          <cell r="AV3294">
            <v>365</v>
          </cell>
          <cell r="AX3294">
            <v>130</v>
          </cell>
        </row>
        <row r="3295">
          <cell r="AV3295">
            <v>365</v>
          </cell>
          <cell r="AX3295">
            <v>366</v>
          </cell>
          <cell r="AZ3295">
            <v>0.16209999999999999</v>
          </cell>
          <cell r="BA3295">
            <v>59</v>
          </cell>
          <cell r="BB3295">
            <v>16570.686264113669</v>
          </cell>
        </row>
        <row r="3296">
          <cell r="AV3296">
            <v>365</v>
          </cell>
          <cell r="AX3296">
            <v>366</v>
          </cell>
          <cell r="AZ3296">
            <v>0.16209999999999999</v>
          </cell>
          <cell r="BA3296">
            <v>59</v>
          </cell>
          <cell r="BB3296">
            <v>280.56494170414265</v>
          </cell>
        </row>
        <row r="3297">
          <cell r="AV3297">
            <v>365</v>
          </cell>
          <cell r="AX3297">
            <v>366</v>
          </cell>
          <cell r="AZ3297">
            <v>0.16209999999999999</v>
          </cell>
          <cell r="BA3297">
            <v>59</v>
          </cell>
          <cell r="BB3297">
            <v>3698.7518014581619</v>
          </cell>
        </row>
        <row r="3298">
          <cell r="AV3298">
            <v>365</v>
          </cell>
          <cell r="AX3298">
            <v>366</v>
          </cell>
          <cell r="AZ3298">
            <v>0.16209999999999999</v>
          </cell>
          <cell r="BA3298">
            <v>59</v>
          </cell>
          <cell r="BB3298">
            <v>3246.2249059426349</v>
          </cell>
        </row>
        <row r="3299">
          <cell r="AV3299">
            <v>365</v>
          </cell>
          <cell r="AX3299">
            <v>366</v>
          </cell>
          <cell r="AZ3299">
            <v>0.16209999999999999</v>
          </cell>
          <cell r="BA3299">
            <v>59</v>
          </cell>
          <cell r="BB3299">
            <v>178.93893388055056</v>
          </cell>
        </row>
        <row r="3300">
          <cell r="AV3300">
            <v>365</v>
          </cell>
          <cell r="AX3300">
            <v>366</v>
          </cell>
          <cell r="AZ3300">
            <v>0.16209999999999999</v>
          </cell>
          <cell r="BA3300">
            <v>59</v>
          </cell>
          <cell r="BB3300">
            <v>2383.8729814994376</v>
          </cell>
        </row>
        <row r="3301">
          <cell r="AV3301">
            <v>365</v>
          </cell>
          <cell r="AX3301">
            <v>366</v>
          </cell>
          <cell r="AZ3301">
            <v>0.16209999999999999</v>
          </cell>
          <cell r="BA3301">
            <v>59</v>
          </cell>
          <cell r="BB3301">
            <v>5420.7337531314015</v>
          </cell>
        </row>
        <row r="3302">
          <cell r="AV3302">
            <v>365</v>
          </cell>
          <cell r="AX3302">
            <v>366</v>
          </cell>
          <cell r="AZ3302">
            <v>0.16209999999999999</v>
          </cell>
          <cell r="BA3302">
            <v>59</v>
          </cell>
          <cell r="BB3302">
            <v>6187.6574080030632</v>
          </cell>
        </row>
        <row r="3303">
          <cell r="AV3303">
            <v>365</v>
          </cell>
          <cell r="AX3303">
            <v>366</v>
          </cell>
          <cell r="AZ3303">
            <v>0.16209999999999999</v>
          </cell>
          <cell r="BA3303">
            <v>59</v>
          </cell>
          <cell r="BB3303">
            <v>1888.6247934876365</v>
          </cell>
        </row>
        <row r="3304">
          <cell r="AV3304">
            <v>365</v>
          </cell>
          <cell r="AX3304">
            <v>366</v>
          </cell>
          <cell r="AZ3304">
            <v>6.3299999999999995E-2</v>
          </cell>
          <cell r="BA3304">
            <v>52</v>
          </cell>
          <cell r="BB3304">
            <v>27006.270378082187</v>
          </cell>
        </row>
        <row r="3305">
          <cell r="AV3305">
            <v>305</v>
          </cell>
        </row>
        <row r="3306">
          <cell r="AV3306">
            <v>305</v>
          </cell>
        </row>
        <row r="3307">
          <cell r="E3307" t="str">
            <v>FF</v>
          </cell>
          <cell r="AV3307">
            <v>365</v>
          </cell>
          <cell r="AX3307">
            <v>366</v>
          </cell>
        </row>
        <row r="3308">
          <cell r="AV3308">
            <v>365</v>
          </cell>
          <cell r="AX3308">
            <v>33</v>
          </cell>
        </row>
        <row r="3309">
          <cell r="AV3309">
            <v>365</v>
          </cell>
          <cell r="AX3309">
            <v>33</v>
          </cell>
        </row>
        <row r="3310">
          <cell r="AV3310">
            <v>365</v>
          </cell>
          <cell r="AX3310">
            <v>33</v>
          </cell>
        </row>
        <row r="3311">
          <cell r="AV3311">
            <v>365</v>
          </cell>
          <cell r="AX3311">
            <v>33</v>
          </cell>
        </row>
        <row r="3312">
          <cell r="AV3312">
            <v>365</v>
          </cell>
          <cell r="AX3312">
            <v>33</v>
          </cell>
        </row>
        <row r="3313">
          <cell r="AV3313">
            <v>365</v>
          </cell>
          <cell r="AX3313">
            <v>33</v>
          </cell>
        </row>
        <row r="3314">
          <cell r="AV3314">
            <v>365</v>
          </cell>
          <cell r="AX3314">
            <v>33</v>
          </cell>
        </row>
        <row r="3315">
          <cell r="AV3315">
            <v>365</v>
          </cell>
          <cell r="AX3315">
            <v>33</v>
          </cell>
        </row>
        <row r="3316">
          <cell r="AV3316">
            <v>365</v>
          </cell>
          <cell r="AX3316">
            <v>33</v>
          </cell>
        </row>
        <row r="3317">
          <cell r="AV3317">
            <v>365</v>
          </cell>
          <cell r="AX3317">
            <v>33</v>
          </cell>
        </row>
        <row r="3318">
          <cell r="AV3318">
            <v>365</v>
          </cell>
          <cell r="AX3318">
            <v>33</v>
          </cell>
        </row>
        <row r="3319">
          <cell r="AV3319">
            <v>365</v>
          </cell>
          <cell r="AX3319">
            <v>33</v>
          </cell>
        </row>
        <row r="3320">
          <cell r="AV3320">
            <v>365</v>
          </cell>
          <cell r="AX3320">
            <v>33</v>
          </cell>
        </row>
        <row r="3321">
          <cell r="AV3321">
            <v>365</v>
          </cell>
          <cell r="AX3321">
            <v>33</v>
          </cell>
        </row>
        <row r="3322">
          <cell r="AV3322">
            <v>365</v>
          </cell>
          <cell r="AX3322">
            <v>33</v>
          </cell>
        </row>
        <row r="3323">
          <cell r="AV3323">
            <v>365</v>
          </cell>
          <cell r="AX3323">
            <v>33</v>
          </cell>
        </row>
        <row r="3324">
          <cell r="AV3324">
            <v>365</v>
          </cell>
          <cell r="AX3324">
            <v>33</v>
          </cell>
        </row>
        <row r="3325">
          <cell r="AV3325">
            <v>365</v>
          </cell>
          <cell r="AX3325">
            <v>33</v>
          </cell>
        </row>
        <row r="3326">
          <cell r="AV3326">
            <v>365</v>
          </cell>
          <cell r="AX3326">
            <v>33</v>
          </cell>
        </row>
        <row r="3327">
          <cell r="AV3327">
            <v>365</v>
          </cell>
          <cell r="AX3327">
            <v>33</v>
          </cell>
        </row>
        <row r="3328">
          <cell r="AV3328">
            <v>365</v>
          </cell>
          <cell r="AX3328">
            <v>33</v>
          </cell>
        </row>
        <row r="3329">
          <cell r="AV3329">
            <v>365</v>
          </cell>
          <cell r="AX3329">
            <v>33</v>
          </cell>
        </row>
        <row r="3330">
          <cell r="AV3330">
            <v>365</v>
          </cell>
          <cell r="AX3330">
            <v>33</v>
          </cell>
        </row>
        <row r="3331">
          <cell r="AV3331">
            <v>365</v>
          </cell>
          <cell r="AX3331">
            <v>33</v>
          </cell>
        </row>
        <row r="3332">
          <cell r="AV3332">
            <v>365</v>
          </cell>
          <cell r="AX3332">
            <v>33</v>
          </cell>
        </row>
        <row r="3333">
          <cell r="AV3333">
            <v>365</v>
          </cell>
          <cell r="AX3333">
            <v>33</v>
          </cell>
        </row>
        <row r="3334">
          <cell r="AV3334">
            <v>365</v>
          </cell>
          <cell r="AX3334">
            <v>33</v>
          </cell>
        </row>
        <row r="3335">
          <cell r="AV3335">
            <v>365</v>
          </cell>
          <cell r="AX3335">
            <v>33</v>
          </cell>
        </row>
        <row r="3336">
          <cell r="AV3336">
            <v>365</v>
          </cell>
          <cell r="AX3336">
            <v>33</v>
          </cell>
        </row>
        <row r="3337">
          <cell r="AV3337">
            <v>365</v>
          </cell>
          <cell r="AX3337">
            <v>33</v>
          </cell>
        </row>
        <row r="3338">
          <cell r="AV3338">
            <v>365</v>
          </cell>
          <cell r="AX3338">
            <v>33</v>
          </cell>
        </row>
        <row r="3339">
          <cell r="AV3339">
            <v>365</v>
          </cell>
          <cell r="AX3339">
            <v>33</v>
          </cell>
        </row>
        <row r="3340">
          <cell r="AV3340">
            <v>365</v>
          </cell>
          <cell r="AX3340">
            <v>33</v>
          </cell>
        </row>
        <row r="3341">
          <cell r="AV3341">
            <v>365</v>
          </cell>
          <cell r="AX3341">
            <v>33</v>
          </cell>
        </row>
        <row r="3342">
          <cell r="AV3342">
            <v>365</v>
          </cell>
          <cell r="AX3342">
            <v>33</v>
          </cell>
        </row>
        <row r="3343">
          <cell r="AV3343">
            <v>365</v>
          </cell>
          <cell r="AX3343">
            <v>33</v>
          </cell>
        </row>
        <row r="3344">
          <cell r="AV3344">
            <v>365</v>
          </cell>
          <cell r="AX3344">
            <v>33</v>
          </cell>
        </row>
        <row r="3345">
          <cell r="AV3345">
            <v>365</v>
          </cell>
          <cell r="AX3345">
            <v>33</v>
          </cell>
        </row>
        <row r="3346">
          <cell r="AV3346">
            <v>365</v>
          </cell>
          <cell r="AX3346">
            <v>33</v>
          </cell>
        </row>
        <row r="3347">
          <cell r="AV3347">
            <v>365</v>
          </cell>
          <cell r="AX3347">
            <v>33</v>
          </cell>
        </row>
        <row r="3348">
          <cell r="AV3348">
            <v>365</v>
          </cell>
          <cell r="AX3348">
            <v>33</v>
          </cell>
        </row>
        <row r="3349">
          <cell r="AV3349">
            <v>365</v>
          </cell>
          <cell r="AX3349">
            <v>33</v>
          </cell>
        </row>
        <row r="3350">
          <cell r="AV3350">
            <v>365</v>
          </cell>
          <cell r="AX3350">
            <v>183</v>
          </cell>
        </row>
        <row r="3351">
          <cell r="AV3351">
            <v>365</v>
          </cell>
          <cell r="AX3351">
            <v>183</v>
          </cell>
        </row>
        <row r="3352">
          <cell r="AV3352">
            <v>365</v>
          </cell>
          <cell r="AX3352">
            <v>183</v>
          </cell>
        </row>
        <row r="3353">
          <cell r="AV3353">
            <v>365</v>
          </cell>
          <cell r="AX3353">
            <v>183</v>
          </cell>
        </row>
        <row r="3354">
          <cell r="AV3354">
            <v>365</v>
          </cell>
          <cell r="AX3354">
            <v>183</v>
          </cell>
        </row>
        <row r="3355">
          <cell r="AV3355">
            <v>365</v>
          </cell>
          <cell r="AX3355">
            <v>183</v>
          </cell>
        </row>
        <row r="3356">
          <cell r="AV3356">
            <v>365</v>
          </cell>
          <cell r="AX3356">
            <v>267</v>
          </cell>
        </row>
        <row r="3357">
          <cell r="AV3357">
            <v>365</v>
          </cell>
          <cell r="AX3357">
            <v>267</v>
          </cell>
        </row>
        <row r="3358">
          <cell r="AV3358">
            <v>365</v>
          </cell>
          <cell r="AX3358">
            <v>267</v>
          </cell>
        </row>
        <row r="3359">
          <cell r="AV3359">
            <v>365</v>
          </cell>
          <cell r="AX3359">
            <v>267</v>
          </cell>
        </row>
        <row r="3360">
          <cell r="AV3360">
            <v>365</v>
          </cell>
          <cell r="AX3360">
            <v>267</v>
          </cell>
        </row>
        <row r="3361">
          <cell r="AV3361">
            <v>365</v>
          </cell>
          <cell r="AX3361">
            <v>267</v>
          </cell>
        </row>
        <row r="3362">
          <cell r="AV3362">
            <v>365</v>
          </cell>
          <cell r="AX3362">
            <v>267</v>
          </cell>
        </row>
        <row r="3363">
          <cell r="AV3363">
            <v>365</v>
          </cell>
          <cell r="AX3363">
            <v>267</v>
          </cell>
        </row>
        <row r="3364">
          <cell r="AV3364">
            <v>365</v>
          </cell>
          <cell r="AX3364">
            <v>267</v>
          </cell>
        </row>
        <row r="3365">
          <cell r="AV3365">
            <v>365</v>
          </cell>
          <cell r="AX3365">
            <v>267</v>
          </cell>
        </row>
        <row r="3366">
          <cell r="AV3366">
            <v>365</v>
          </cell>
          <cell r="AX3366">
            <v>267</v>
          </cell>
        </row>
        <row r="3367">
          <cell r="AV3367">
            <v>365</v>
          </cell>
          <cell r="AX3367">
            <v>267</v>
          </cell>
        </row>
        <row r="3368">
          <cell r="AV3368">
            <v>365</v>
          </cell>
          <cell r="AX3368">
            <v>267</v>
          </cell>
        </row>
        <row r="3369">
          <cell r="AV3369">
            <v>365</v>
          </cell>
          <cell r="AX3369">
            <v>267</v>
          </cell>
        </row>
        <row r="3370">
          <cell r="AV3370">
            <v>365</v>
          </cell>
          <cell r="AX3370">
            <v>267</v>
          </cell>
        </row>
        <row r="3371">
          <cell r="AV3371">
            <v>365</v>
          </cell>
          <cell r="AX3371">
            <v>267</v>
          </cell>
        </row>
        <row r="3372">
          <cell r="AV3372">
            <v>365</v>
          </cell>
          <cell r="AX3372">
            <v>267</v>
          </cell>
        </row>
        <row r="3373">
          <cell r="AV3373">
            <v>365</v>
          </cell>
          <cell r="AX3373">
            <v>267</v>
          </cell>
        </row>
        <row r="3374">
          <cell r="AV3374">
            <v>365</v>
          </cell>
          <cell r="AX3374">
            <v>267</v>
          </cell>
        </row>
        <row r="3375">
          <cell r="AV3375">
            <v>365</v>
          </cell>
          <cell r="AX3375">
            <v>267</v>
          </cell>
        </row>
        <row r="3376">
          <cell r="AV3376">
            <v>365</v>
          </cell>
          <cell r="AX3376">
            <v>267</v>
          </cell>
        </row>
        <row r="3377">
          <cell r="AV3377">
            <v>365</v>
          </cell>
          <cell r="AX3377">
            <v>33</v>
          </cell>
        </row>
        <row r="3378">
          <cell r="AV3378">
            <v>365</v>
          </cell>
          <cell r="AX3378">
            <v>33</v>
          </cell>
        </row>
        <row r="3379">
          <cell r="AV3379">
            <v>365</v>
          </cell>
          <cell r="AX3379">
            <v>33</v>
          </cell>
        </row>
        <row r="3380">
          <cell r="AV3380">
            <v>365</v>
          </cell>
          <cell r="AX3380">
            <v>33</v>
          </cell>
        </row>
        <row r="3381">
          <cell r="AV3381">
            <v>365</v>
          </cell>
          <cell r="AX3381">
            <v>33</v>
          </cell>
        </row>
        <row r="3382">
          <cell r="AV3382">
            <v>365</v>
          </cell>
          <cell r="AX3382">
            <v>33</v>
          </cell>
        </row>
        <row r="3383">
          <cell r="AV3383">
            <v>365</v>
          </cell>
          <cell r="AX3383">
            <v>33</v>
          </cell>
        </row>
        <row r="3384">
          <cell r="AV3384">
            <v>365</v>
          </cell>
          <cell r="AX3384">
            <v>33</v>
          </cell>
        </row>
        <row r="3385">
          <cell r="AV3385">
            <v>365</v>
          </cell>
          <cell r="AX3385">
            <v>33</v>
          </cell>
        </row>
        <row r="3386">
          <cell r="AV3386">
            <v>365</v>
          </cell>
          <cell r="AX3386">
            <v>33</v>
          </cell>
        </row>
        <row r="3387">
          <cell r="AV3387">
            <v>365</v>
          </cell>
          <cell r="AX3387">
            <v>33</v>
          </cell>
        </row>
        <row r="3388">
          <cell r="AV3388">
            <v>365</v>
          </cell>
          <cell r="AX3388">
            <v>33</v>
          </cell>
        </row>
        <row r="3389">
          <cell r="AV3389">
            <v>365</v>
          </cell>
          <cell r="AX3389">
            <v>33</v>
          </cell>
        </row>
        <row r="3390">
          <cell r="AV3390">
            <v>365</v>
          </cell>
          <cell r="AX3390">
            <v>33</v>
          </cell>
        </row>
        <row r="3391">
          <cell r="AV3391">
            <v>365</v>
          </cell>
          <cell r="AX3391">
            <v>33</v>
          </cell>
        </row>
        <row r="3392">
          <cell r="AV3392">
            <v>365</v>
          </cell>
          <cell r="AX3392">
            <v>33</v>
          </cell>
        </row>
        <row r="3393">
          <cell r="AV3393">
            <v>365</v>
          </cell>
          <cell r="AX3393">
            <v>33</v>
          </cell>
        </row>
        <row r="3394">
          <cell r="AV3394">
            <v>365</v>
          </cell>
          <cell r="AX3394">
            <v>33</v>
          </cell>
        </row>
        <row r="3395">
          <cell r="AV3395">
            <v>365</v>
          </cell>
          <cell r="AX3395">
            <v>33</v>
          </cell>
        </row>
        <row r="3396">
          <cell r="AV3396">
            <v>365</v>
          </cell>
          <cell r="AX3396">
            <v>33</v>
          </cell>
        </row>
        <row r="3397">
          <cell r="AV3397">
            <v>365</v>
          </cell>
          <cell r="AX3397">
            <v>33</v>
          </cell>
        </row>
        <row r="3398">
          <cell r="AV3398">
            <v>365</v>
          </cell>
          <cell r="AX3398">
            <v>33</v>
          </cell>
        </row>
        <row r="3399">
          <cell r="AV3399">
            <v>365</v>
          </cell>
          <cell r="AX3399">
            <v>33</v>
          </cell>
        </row>
        <row r="3400">
          <cell r="AV3400">
            <v>365</v>
          </cell>
          <cell r="AX3400">
            <v>33</v>
          </cell>
        </row>
        <row r="3401">
          <cell r="AV3401">
            <v>365</v>
          </cell>
          <cell r="AX3401">
            <v>33</v>
          </cell>
        </row>
        <row r="3402">
          <cell r="AV3402">
            <v>365</v>
          </cell>
          <cell r="AX3402">
            <v>33</v>
          </cell>
        </row>
        <row r="3403">
          <cell r="AV3403">
            <v>365</v>
          </cell>
          <cell r="AX3403">
            <v>33</v>
          </cell>
        </row>
        <row r="3404">
          <cell r="AV3404">
            <v>365</v>
          </cell>
          <cell r="AX3404">
            <v>33</v>
          </cell>
        </row>
        <row r="3405">
          <cell r="AV3405">
            <v>365</v>
          </cell>
          <cell r="AX3405">
            <v>366</v>
          </cell>
          <cell r="AZ3405">
            <v>6.3299999999999995E-2</v>
          </cell>
          <cell r="BA3405">
            <v>346</v>
          </cell>
          <cell r="BB3405">
            <v>240.01972602739727</v>
          </cell>
        </row>
        <row r="3406">
          <cell r="AV3406">
            <v>365</v>
          </cell>
          <cell r="AX3406">
            <v>130</v>
          </cell>
        </row>
        <row r="3407">
          <cell r="AV3407">
            <v>365</v>
          </cell>
          <cell r="AX3407">
            <v>130</v>
          </cell>
        </row>
        <row r="3408">
          <cell r="AV3408">
            <v>365</v>
          </cell>
          <cell r="AX3408">
            <v>130</v>
          </cell>
        </row>
        <row r="3409">
          <cell r="AV3409">
            <v>365</v>
          </cell>
          <cell r="AX3409">
            <v>130</v>
          </cell>
        </row>
        <row r="3410">
          <cell r="D3410" t="str">
            <v>Utilities</v>
          </cell>
          <cell r="AV3410">
            <v>365</v>
          </cell>
          <cell r="AX3410">
            <v>130</v>
          </cell>
        </row>
        <row r="3411">
          <cell r="D3411" t="str">
            <v>Utilities</v>
          </cell>
          <cell r="AV3411">
            <v>365</v>
          </cell>
          <cell r="AX3411">
            <v>130</v>
          </cell>
        </row>
        <row r="3412">
          <cell r="D3412" t="str">
            <v>Utilities</v>
          </cell>
          <cell r="E3412" t="str">
            <v>OCB</v>
          </cell>
          <cell r="AV3412">
            <v>365</v>
          </cell>
          <cell r="AX3412">
            <v>130</v>
          </cell>
        </row>
        <row r="3413">
          <cell r="AV3413">
            <v>365</v>
          </cell>
          <cell r="AX3413">
            <v>130</v>
          </cell>
        </row>
        <row r="3414">
          <cell r="AV3414">
            <v>365</v>
          </cell>
          <cell r="AX3414">
            <v>130</v>
          </cell>
        </row>
        <row r="3415">
          <cell r="E3415" t="str">
            <v>GF</v>
          </cell>
          <cell r="F3415" t="str">
            <v xml:space="preserve">Pharma </v>
          </cell>
          <cell r="AV3415">
            <v>365</v>
          </cell>
          <cell r="AX3415">
            <v>130</v>
          </cell>
        </row>
        <row r="3416">
          <cell r="E3416" t="str">
            <v>GF</v>
          </cell>
          <cell r="F3416" t="str">
            <v xml:space="preserve">Pharma </v>
          </cell>
          <cell r="AV3416">
            <v>365</v>
          </cell>
          <cell r="AX3416">
            <v>130</v>
          </cell>
        </row>
        <row r="3417">
          <cell r="E3417" t="str">
            <v>GF</v>
          </cell>
          <cell r="F3417" t="str">
            <v>Intermediate</v>
          </cell>
          <cell r="AV3417">
            <v>365</v>
          </cell>
          <cell r="AX3417">
            <v>130</v>
          </cell>
        </row>
        <row r="3418">
          <cell r="E3418" t="str">
            <v>GF</v>
          </cell>
          <cell r="F3418" t="str">
            <v>Intermediate</v>
          </cell>
          <cell r="AV3418">
            <v>365</v>
          </cell>
          <cell r="AX3418">
            <v>130</v>
          </cell>
        </row>
        <row r="3419">
          <cell r="E3419" t="str">
            <v>GF</v>
          </cell>
          <cell r="F3419" t="str">
            <v>Intermediate</v>
          </cell>
          <cell r="AV3419">
            <v>365</v>
          </cell>
          <cell r="AX3419">
            <v>130</v>
          </cell>
        </row>
        <row r="3420">
          <cell r="E3420" t="str">
            <v>GF</v>
          </cell>
          <cell r="F3420" t="str">
            <v>Intermediate</v>
          </cell>
          <cell r="AV3420">
            <v>365</v>
          </cell>
          <cell r="AX3420">
            <v>130</v>
          </cell>
        </row>
        <row r="3421">
          <cell r="E3421" t="str">
            <v>GF</v>
          </cell>
          <cell r="F3421" t="str">
            <v xml:space="preserve">Pharma </v>
          </cell>
          <cell r="AV3421">
            <v>365</v>
          </cell>
          <cell r="AX3421">
            <v>130</v>
          </cell>
        </row>
        <row r="3422">
          <cell r="E3422" t="str">
            <v>GF</v>
          </cell>
          <cell r="F3422" t="str">
            <v xml:space="preserve">Pharma </v>
          </cell>
          <cell r="AV3422">
            <v>365</v>
          </cell>
          <cell r="AX3422">
            <v>130</v>
          </cell>
        </row>
        <row r="3423">
          <cell r="AV3423">
            <v>365</v>
          </cell>
          <cell r="AX3423">
            <v>130</v>
          </cell>
        </row>
        <row r="3424">
          <cell r="AV3424">
            <v>365</v>
          </cell>
          <cell r="AX3424">
            <v>130</v>
          </cell>
        </row>
        <row r="3425">
          <cell r="AV3425">
            <v>365</v>
          </cell>
          <cell r="AX3425">
            <v>130</v>
          </cell>
        </row>
        <row r="3426">
          <cell r="AV3426">
            <v>365</v>
          </cell>
          <cell r="AX3426">
            <v>130</v>
          </cell>
        </row>
        <row r="3427">
          <cell r="E3427" t="str">
            <v>GF</v>
          </cell>
          <cell r="AV3427">
            <v>365</v>
          </cell>
          <cell r="AX3427">
            <v>366</v>
          </cell>
        </row>
        <row r="3428">
          <cell r="E3428" t="str">
            <v>FF</v>
          </cell>
          <cell r="F3428" t="str">
            <v>Intermediate</v>
          </cell>
          <cell r="AV3428">
            <v>365</v>
          </cell>
          <cell r="AX3428">
            <v>129</v>
          </cell>
        </row>
        <row r="3429">
          <cell r="E3429" t="str">
            <v>FF</v>
          </cell>
          <cell r="F3429" t="str">
            <v>Intermediate</v>
          </cell>
          <cell r="AV3429">
            <v>365</v>
          </cell>
          <cell r="AX3429">
            <v>129</v>
          </cell>
        </row>
        <row r="3430">
          <cell r="E3430" t="str">
            <v>FF</v>
          </cell>
          <cell r="F3430" t="str">
            <v>Intermediate</v>
          </cell>
          <cell r="AV3430">
            <v>365</v>
          </cell>
          <cell r="AX3430">
            <v>129</v>
          </cell>
        </row>
        <row r="3431">
          <cell r="E3431" t="str">
            <v>FF</v>
          </cell>
          <cell r="F3431" t="str">
            <v>Intermediate</v>
          </cell>
          <cell r="AV3431">
            <v>365</v>
          </cell>
          <cell r="AX3431">
            <v>129</v>
          </cell>
        </row>
        <row r="3432">
          <cell r="E3432" t="str">
            <v>FF</v>
          </cell>
          <cell r="F3432" t="str">
            <v>Intermediate</v>
          </cell>
          <cell r="AV3432">
            <v>365</v>
          </cell>
          <cell r="AX3432">
            <v>129</v>
          </cell>
        </row>
        <row r="3433">
          <cell r="E3433" t="str">
            <v>FF</v>
          </cell>
          <cell r="F3433" t="str">
            <v>Intermediate</v>
          </cell>
          <cell r="AV3433">
            <v>365</v>
          </cell>
          <cell r="AX3433">
            <v>129</v>
          </cell>
        </row>
        <row r="3434">
          <cell r="E3434" t="str">
            <v>FF</v>
          </cell>
          <cell r="F3434" t="str">
            <v>Intermediate</v>
          </cell>
          <cell r="AV3434">
            <v>365</v>
          </cell>
          <cell r="AX3434">
            <v>129</v>
          </cell>
        </row>
        <row r="3435">
          <cell r="E3435" t="str">
            <v>FF</v>
          </cell>
          <cell r="F3435" t="str">
            <v>Intermediate</v>
          </cell>
          <cell r="AV3435">
            <v>365</v>
          </cell>
          <cell r="AX3435">
            <v>129</v>
          </cell>
        </row>
        <row r="3436">
          <cell r="E3436" t="str">
            <v>FF</v>
          </cell>
          <cell r="F3436" t="str">
            <v>Intermediate</v>
          </cell>
          <cell r="AV3436">
            <v>365</v>
          </cell>
          <cell r="AX3436">
            <v>129</v>
          </cell>
        </row>
        <row r="3437">
          <cell r="E3437" t="str">
            <v>Tech Area</v>
          </cell>
          <cell r="F3437" t="str">
            <v xml:space="preserve">Pharma </v>
          </cell>
          <cell r="AV3437">
            <v>365</v>
          </cell>
          <cell r="AX3437">
            <v>129</v>
          </cell>
        </row>
        <row r="3438">
          <cell r="E3438" t="str">
            <v>Tech Area</v>
          </cell>
          <cell r="F3438" t="str">
            <v xml:space="preserve">Pharma </v>
          </cell>
          <cell r="AV3438">
            <v>365</v>
          </cell>
          <cell r="AX3438">
            <v>129</v>
          </cell>
        </row>
        <row r="3439">
          <cell r="E3439" t="str">
            <v>Tech Area</v>
          </cell>
          <cell r="F3439" t="str">
            <v xml:space="preserve">Pharma </v>
          </cell>
          <cell r="AV3439">
            <v>365</v>
          </cell>
          <cell r="AX3439">
            <v>129</v>
          </cell>
        </row>
        <row r="3440">
          <cell r="E3440" t="str">
            <v>FF</v>
          </cell>
          <cell r="F3440" t="str">
            <v>SUITE IV (NON - ONCO)</v>
          </cell>
          <cell r="AV3440">
            <v>365</v>
          </cell>
          <cell r="AX3440">
            <v>129</v>
          </cell>
        </row>
        <row r="3441">
          <cell r="E3441" t="str">
            <v>FF</v>
          </cell>
          <cell r="F3441" t="str">
            <v>SUITE IV (NON - ONCO)</v>
          </cell>
          <cell r="AV3441">
            <v>365</v>
          </cell>
          <cell r="AX3441">
            <v>129</v>
          </cell>
        </row>
        <row r="3442">
          <cell r="E3442" t="str">
            <v>FF</v>
          </cell>
          <cell r="F3442" t="str">
            <v>SUITE III (ONCOLOGY)</v>
          </cell>
          <cell r="AV3442">
            <v>365</v>
          </cell>
          <cell r="AX3442">
            <v>129</v>
          </cell>
        </row>
        <row r="3443">
          <cell r="E3443" t="str">
            <v>FF</v>
          </cell>
          <cell r="F3443" t="str">
            <v>SUITE III (ONCOLOGY)</v>
          </cell>
          <cell r="AV3443">
            <v>365</v>
          </cell>
          <cell r="AX3443">
            <v>129</v>
          </cell>
        </row>
        <row r="3444">
          <cell r="E3444" t="str">
            <v>FF</v>
          </cell>
          <cell r="F3444" t="str">
            <v>SUITE III (ONCOLOGY)</v>
          </cell>
          <cell r="AV3444">
            <v>365</v>
          </cell>
          <cell r="AX3444">
            <v>129</v>
          </cell>
        </row>
        <row r="3445">
          <cell r="E3445" t="str">
            <v>FF</v>
          </cell>
          <cell r="AV3445">
            <v>365</v>
          </cell>
          <cell r="AX3445">
            <v>129</v>
          </cell>
        </row>
        <row r="3446">
          <cell r="AV3446">
            <v>365</v>
          </cell>
          <cell r="AX3446">
            <v>129</v>
          </cell>
        </row>
        <row r="3447">
          <cell r="AV3447">
            <v>365</v>
          </cell>
          <cell r="AX3447">
            <v>129</v>
          </cell>
        </row>
        <row r="3448">
          <cell r="AV3448">
            <v>335</v>
          </cell>
        </row>
        <row r="3449">
          <cell r="E3449" t="str">
            <v>GF</v>
          </cell>
          <cell r="AV3449">
            <v>365</v>
          </cell>
          <cell r="AX3449">
            <v>130</v>
          </cell>
        </row>
        <row r="3450">
          <cell r="AV3450">
            <v>305</v>
          </cell>
        </row>
        <row r="3451">
          <cell r="AV3451">
            <v>275</v>
          </cell>
        </row>
        <row r="3452">
          <cell r="AV3452">
            <v>275</v>
          </cell>
        </row>
        <row r="3453">
          <cell r="AV3453">
            <v>365</v>
          </cell>
          <cell r="AX3453">
            <v>69</v>
          </cell>
        </row>
        <row r="3454">
          <cell r="D3454" t="str">
            <v>Utilities</v>
          </cell>
          <cell r="E3454" t="str">
            <v>Main PCC</v>
          </cell>
          <cell r="AV3454">
            <v>365</v>
          </cell>
          <cell r="AX3454">
            <v>130</v>
          </cell>
        </row>
        <row r="3455">
          <cell r="AV3455">
            <v>365</v>
          </cell>
          <cell r="AX3455">
            <v>130</v>
          </cell>
        </row>
        <row r="3456">
          <cell r="AV3456">
            <v>365</v>
          </cell>
          <cell r="AX3456">
            <v>130</v>
          </cell>
        </row>
        <row r="3457">
          <cell r="AV3457">
            <v>365</v>
          </cell>
          <cell r="AX3457">
            <v>130</v>
          </cell>
        </row>
        <row r="3458">
          <cell r="AV3458">
            <v>365</v>
          </cell>
          <cell r="AX3458">
            <v>130</v>
          </cell>
        </row>
        <row r="3459">
          <cell r="AV3459">
            <v>365</v>
          </cell>
          <cell r="AX3459">
            <v>130</v>
          </cell>
        </row>
        <row r="3460">
          <cell r="AV3460">
            <v>365</v>
          </cell>
          <cell r="AX3460">
            <v>130</v>
          </cell>
        </row>
        <row r="3461">
          <cell r="AV3461">
            <v>365</v>
          </cell>
          <cell r="AX3461">
            <v>130</v>
          </cell>
        </row>
        <row r="3462">
          <cell r="AV3462">
            <v>365</v>
          </cell>
          <cell r="AX3462">
            <v>130</v>
          </cell>
        </row>
        <row r="3463">
          <cell r="AV3463">
            <v>365</v>
          </cell>
          <cell r="AX3463">
            <v>130</v>
          </cell>
        </row>
        <row r="3464">
          <cell r="AV3464">
            <v>365</v>
          </cell>
          <cell r="AX3464">
            <v>130</v>
          </cell>
        </row>
        <row r="3465">
          <cell r="D3465" t="str">
            <v>Utilities</v>
          </cell>
          <cell r="E3465" t="str">
            <v>OCB</v>
          </cell>
          <cell r="AV3465">
            <v>365</v>
          </cell>
          <cell r="AX3465">
            <v>130</v>
          </cell>
        </row>
        <row r="3466">
          <cell r="AV3466">
            <v>365</v>
          </cell>
          <cell r="AX3466">
            <v>1</v>
          </cell>
        </row>
        <row r="3467">
          <cell r="AV3467">
            <v>365</v>
          </cell>
          <cell r="AX3467">
            <v>1</v>
          </cell>
        </row>
        <row r="3468">
          <cell r="AV3468">
            <v>365</v>
          </cell>
          <cell r="AX3468">
            <v>1</v>
          </cell>
        </row>
        <row r="3469">
          <cell r="AV3469">
            <v>365</v>
          </cell>
          <cell r="AX3469">
            <v>1</v>
          </cell>
        </row>
        <row r="3470">
          <cell r="AV3470">
            <v>365</v>
          </cell>
          <cell r="AX3470">
            <v>1</v>
          </cell>
        </row>
        <row r="3471">
          <cell r="AV3471">
            <v>365</v>
          </cell>
          <cell r="AX3471">
            <v>1</v>
          </cell>
        </row>
        <row r="3472">
          <cell r="AV3472">
            <v>365</v>
          </cell>
          <cell r="AX3472">
            <v>1</v>
          </cell>
        </row>
        <row r="3473">
          <cell r="AV3473">
            <v>365</v>
          </cell>
          <cell r="AX3473">
            <v>1</v>
          </cell>
        </row>
        <row r="3474">
          <cell r="AV3474">
            <v>365</v>
          </cell>
          <cell r="AX3474">
            <v>1</v>
          </cell>
        </row>
        <row r="3475">
          <cell r="AV3475">
            <v>365</v>
          </cell>
          <cell r="AX3475">
            <v>1</v>
          </cell>
        </row>
        <row r="3476">
          <cell r="AV3476">
            <v>365</v>
          </cell>
          <cell r="AX3476">
            <v>1</v>
          </cell>
        </row>
        <row r="3477">
          <cell r="AV3477">
            <v>365</v>
          </cell>
          <cell r="AX3477">
            <v>1</v>
          </cell>
        </row>
        <row r="3478">
          <cell r="AV3478">
            <v>365</v>
          </cell>
          <cell r="AX3478">
            <v>1</v>
          </cell>
        </row>
        <row r="3479">
          <cell r="AV3479">
            <v>365</v>
          </cell>
          <cell r="AX3479">
            <v>1</v>
          </cell>
        </row>
        <row r="3480">
          <cell r="AV3480">
            <v>365</v>
          </cell>
          <cell r="AX3480">
            <v>1</v>
          </cell>
        </row>
        <row r="3481">
          <cell r="AV3481">
            <v>365</v>
          </cell>
          <cell r="AX3481">
            <v>1</v>
          </cell>
        </row>
        <row r="3482">
          <cell r="AV3482">
            <v>365</v>
          </cell>
          <cell r="AX3482">
            <v>1</v>
          </cell>
        </row>
        <row r="3483">
          <cell r="AV3483">
            <v>365</v>
          </cell>
          <cell r="AX3483">
            <v>1</v>
          </cell>
        </row>
        <row r="3484">
          <cell r="AV3484">
            <v>365</v>
          </cell>
          <cell r="AX3484">
            <v>1</v>
          </cell>
        </row>
        <row r="3485">
          <cell r="AV3485">
            <v>365</v>
          </cell>
          <cell r="AX3485">
            <v>1</v>
          </cell>
        </row>
        <row r="3486">
          <cell r="AV3486">
            <v>365</v>
          </cell>
          <cell r="AX3486">
            <v>1</v>
          </cell>
        </row>
        <row r="3487">
          <cell r="AV3487">
            <v>365</v>
          </cell>
          <cell r="AX3487">
            <v>1</v>
          </cell>
        </row>
        <row r="3488">
          <cell r="AV3488">
            <v>365</v>
          </cell>
          <cell r="AX3488">
            <v>1</v>
          </cell>
        </row>
        <row r="3489">
          <cell r="AV3489">
            <v>365</v>
          </cell>
          <cell r="AX3489">
            <v>1</v>
          </cell>
        </row>
        <row r="3490">
          <cell r="AV3490">
            <v>365</v>
          </cell>
          <cell r="AX3490">
            <v>1</v>
          </cell>
        </row>
        <row r="3491">
          <cell r="E3491" t="str">
            <v>GF</v>
          </cell>
          <cell r="AV3491">
            <v>365</v>
          </cell>
          <cell r="AX3491">
            <v>262</v>
          </cell>
        </row>
        <row r="3492">
          <cell r="D3492" t="str">
            <v>Utilities</v>
          </cell>
          <cell r="E3492" t="str">
            <v>Main PCC</v>
          </cell>
          <cell r="AV3492">
            <v>365</v>
          </cell>
          <cell r="AX3492">
            <v>130</v>
          </cell>
        </row>
        <row r="3493">
          <cell r="AV3493">
            <v>198</v>
          </cell>
        </row>
        <row r="3494">
          <cell r="AV3494">
            <v>305</v>
          </cell>
        </row>
        <row r="3495">
          <cell r="AV3495">
            <v>365</v>
          </cell>
          <cell r="AX3495">
            <v>246</v>
          </cell>
        </row>
        <row r="3496">
          <cell r="AV3496">
            <v>365</v>
          </cell>
          <cell r="AX3496">
            <v>246</v>
          </cell>
        </row>
        <row r="3497">
          <cell r="AV3497">
            <v>365</v>
          </cell>
          <cell r="AX3497">
            <v>246</v>
          </cell>
        </row>
        <row r="3498">
          <cell r="AV3498">
            <v>365</v>
          </cell>
          <cell r="AX3498">
            <v>246</v>
          </cell>
        </row>
        <row r="3499">
          <cell r="AV3499">
            <v>365</v>
          </cell>
          <cell r="AX3499">
            <v>246</v>
          </cell>
        </row>
        <row r="3500">
          <cell r="AV3500">
            <v>365</v>
          </cell>
          <cell r="AX3500">
            <v>246</v>
          </cell>
        </row>
        <row r="3501">
          <cell r="AV3501">
            <v>365</v>
          </cell>
          <cell r="AX3501">
            <v>246</v>
          </cell>
        </row>
        <row r="3502">
          <cell r="AV3502">
            <v>365</v>
          </cell>
          <cell r="AX3502">
            <v>246</v>
          </cell>
        </row>
        <row r="3503">
          <cell r="AV3503">
            <v>365</v>
          </cell>
          <cell r="AX3503">
            <v>246</v>
          </cell>
        </row>
        <row r="3504">
          <cell r="AV3504">
            <v>365</v>
          </cell>
          <cell r="AX3504">
            <v>246</v>
          </cell>
        </row>
        <row r="3505">
          <cell r="AV3505">
            <v>365</v>
          </cell>
          <cell r="AX3505">
            <v>246</v>
          </cell>
        </row>
        <row r="3506">
          <cell r="AV3506">
            <v>365</v>
          </cell>
          <cell r="AX3506">
            <v>246</v>
          </cell>
        </row>
        <row r="3507">
          <cell r="AV3507">
            <v>365</v>
          </cell>
          <cell r="AX3507">
            <v>246</v>
          </cell>
        </row>
        <row r="3508">
          <cell r="AV3508">
            <v>365</v>
          </cell>
          <cell r="AX3508">
            <v>246</v>
          </cell>
        </row>
        <row r="3509">
          <cell r="AV3509">
            <v>365</v>
          </cell>
          <cell r="AX3509">
            <v>246</v>
          </cell>
        </row>
        <row r="3510">
          <cell r="AV3510">
            <v>365</v>
          </cell>
          <cell r="AX3510">
            <v>246</v>
          </cell>
        </row>
        <row r="3511">
          <cell r="AV3511">
            <v>365</v>
          </cell>
          <cell r="AX3511">
            <v>246</v>
          </cell>
        </row>
        <row r="3512">
          <cell r="AV3512">
            <v>365</v>
          </cell>
          <cell r="AX3512">
            <v>246</v>
          </cell>
        </row>
        <row r="3513">
          <cell r="AV3513">
            <v>365</v>
          </cell>
          <cell r="AX3513">
            <v>246</v>
          </cell>
        </row>
        <row r="3514">
          <cell r="AV3514">
            <v>365</v>
          </cell>
          <cell r="AX3514">
            <v>246</v>
          </cell>
        </row>
        <row r="3515">
          <cell r="AV3515">
            <v>365</v>
          </cell>
          <cell r="AX3515">
            <v>246</v>
          </cell>
        </row>
        <row r="3516">
          <cell r="AV3516">
            <v>365</v>
          </cell>
          <cell r="AX3516">
            <v>246</v>
          </cell>
        </row>
        <row r="3517">
          <cell r="AV3517">
            <v>365</v>
          </cell>
          <cell r="AX3517">
            <v>246</v>
          </cell>
        </row>
        <row r="3518">
          <cell r="AV3518">
            <v>365</v>
          </cell>
          <cell r="AX3518">
            <v>246</v>
          </cell>
        </row>
        <row r="3519">
          <cell r="AV3519">
            <v>365</v>
          </cell>
          <cell r="AX3519">
            <v>246</v>
          </cell>
        </row>
        <row r="3520">
          <cell r="AV3520">
            <v>365</v>
          </cell>
          <cell r="AX3520">
            <v>246</v>
          </cell>
        </row>
        <row r="3521">
          <cell r="AV3521">
            <v>365</v>
          </cell>
          <cell r="AX3521">
            <v>246</v>
          </cell>
        </row>
        <row r="3522">
          <cell r="AV3522">
            <v>365</v>
          </cell>
          <cell r="AX3522">
            <v>246</v>
          </cell>
        </row>
        <row r="3523">
          <cell r="AV3523">
            <v>365</v>
          </cell>
          <cell r="AX3523">
            <v>246</v>
          </cell>
        </row>
        <row r="3524">
          <cell r="AV3524">
            <v>365</v>
          </cell>
          <cell r="AX3524">
            <v>246</v>
          </cell>
        </row>
        <row r="3525">
          <cell r="AV3525">
            <v>365</v>
          </cell>
          <cell r="AX3525">
            <v>246</v>
          </cell>
        </row>
        <row r="3526">
          <cell r="AV3526">
            <v>365</v>
          </cell>
          <cell r="AX3526">
            <v>246</v>
          </cell>
        </row>
        <row r="3527">
          <cell r="AV3527">
            <v>365</v>
          </cell>
          <cell r="AX3527">
            <v>246</v>
          </cell>
        </row>
        <row r="3528">
          <cell r="AV3528">
            <v>365</v>
          </cell>
          <cell r="AX3528">
            <v>246</v>
          </cell>
        </row>
        <row r="3529">
          <cell r="AV3529">
            <v>365</v>
          </cell>
          <cell r="AX3529">
            <v>246</v>
          </cell>
        </row>
        <row r="3530">
          <cell r="AV3530">
            <v>365</v>
          </cell>
          <cell r="AX3530">
            <v>246</v>
          </cell>
        </row>
        <row r="3531">
          <cell r="AV3531">
            <v>365</v>
          </cell>
          <cell r="AX3531">
            <v>246</v>
          </cell>
        </row>
        <row r="3532">
          <cell r="AV3532">
            <v>365</v>
          </cell>
          <cell r="AX3532">
            <v>246</v>
          </cell>
        </row>
        <row r="3533">
          <cell r="AV3533">
            <v>365</v>
          </cell>
          <cell r="AX3533">
            <v>246</v>
          </cell>
        </row>
        <row r="3534">
          <cell r="AV3534">
            <v>365</v>
          </cell>
          <cell r="AX3534">
            <v>246</v>
          </cell>
        </row>
        <row r="3535">
          <cell r="AV3535">
            <v>365</v>
          </cell>
          <cell r="AX3535">
            <v>130</v>
          </cell>
        </row>
        <row r="3536">
          <cell r="AV3536">
            <v>365</v>
          </cell>
          <cell r="AX3536">
            <v>130</v>
          </cell>
        </row>
        <row r="3537">
          <cell r="AV3537">
            <v>365</v>
          </cell>
          <cell r="AX3537">
            <v>61</v>
          </cell>
        </row>
        <row r="3538">
          <cell r="D3538" t="str">
            <v>GC-IB</v>
          </cell>
          <cell r="E3538" t="str">
            <v>GF</v>
          </cell>
          <cell r="F3538" t="str">
            <v>Intermediate</v>
          </cell>
          <cell r="AV3538">
            <v>365</v>
          </cell>
          <cell r="AX3538">
            <v>129</v>
          </cell>
        </row>
        <row r="3539">
          <cell r="D3539" t="str">
            <v>GC-IB</v>
          </cell>
          <cell r="E3539" t="str">
            <v>GF</v>
          </cell>
          <cell r="F3539" t="str">
            <v>Intermediate</v>
          </cell>
          <cell r="AV3539">
            <v>365</v>
          </cell>
          <cell r="AX3539">
            <v>129</v>
          </cell>
        </row>
        <row r="3540">
          <cell r="D3540" t="str">
            <v>GC - IA</v>
          </cell>
          <cell r="E3540" t="str">
            <v>GF</v>
          </cell>
          <cell r="F3540" t="str">
            <v>Pharma</v>
          </cell>
          <cell r="AV3540">
            <v>365</v>
          </cell>
          <cell r="AX3540">
            <v>129</v>
          </cell>
        </row>
        <row r="3541">
          <cell r="D3541" t="str">
            <v>GC - IA</v>
          </cell>
          <cell r="E3541" t="str">
            <v>GF</v>
          </cell>
          <cell r="F3541" t="str">
            <v>Pharma</v>
          </cell>
          <cell r="AV3541">
            <v>365</v>
          </cell>
          <cell r="AX3541">
            <v>129</v>
          </cell>
        </row>
        <row r="3542">
          <cell r="AV3542">
            <v>365</v>
          </cell>
          <cell r="AX3542">
            <v>130</v>
          </cell>
        </row>
        <row r="3543">
          <cell r="AV3543">
            <v>365</v>
          </cell>
          <cell r="AX3543">
            <v>366</v>
          </cell>
          <cell r="AZ3543">
            <v>0.16209999999999999</v>
          </cell>
          <cell r="BA3543">
            <v>39</v>
          </cell>
          <cell r="BB3543">
            <v>54.818667123287675</v>
          </cell>
        </row>
        <row r="3544">
          <cell r="AV3544">
            <v>365</v>
          </cell>
          <cell r="AX3544">
            <v>141</v>
          </cell>
        </row>
        <row r="3545">
          <cell r="D3545" t="str">
            <v>R&amp;D</v>
          </cell>
          <cell r="AV3545">
            <v>365</v>
          </cell>
          <cell r="AX3545">
            <v>252</v>
          </cell>
        </row>
        <row r="3546">
          <cell r="AV3546">
            <v>365</v>
          </cell>
          <cell r="AX3546">
            <v>366</v>
          </cell>
          <cell r="AZ3546">
            <v>0.16209999999999999</v>
          </cell>
          <cell r="BA3546">
            <v>91</v>
          </cell>
          <cell r="BB3546">
            <v>123.26261643835616</v>
          </cell>
        </row>
        <row r="3547">
          <cell r="AV3547">
            <v>365</v>
          </cell>
          <cell r="AX3547">
            <v>122</v>
          </cell>
        </row>
        <row r="3548">
          <cell r="E3548" t="str">
            <v>GF</v>
          </cell>
          <cell r="F3548" t="str">
            <v>Intermediate</v>
          </cell>
          <cell r="AV3548">
            <v>365</v>
          </cell>
          <cell r="AX3548">
            <v>122</v>
          </cell>
        </row>
        <row r="3549">
          <cell r="E3549" t="str">
            <v>GF</v>
          </cell>
          <cell r="F3549" t="str">
            <v>Intermediate</v>
          </cell>
          <cell r="AV3549">
            <v>365</v>
          </cell>
          <cell r="AX3549">
            <v>122</v>
          </cell>
        </row>
        <row r="3550">
          <cell r="E3550" t="str">
            <v>GF</v>
          </cell>
          <cell r="F3550" t="str">
            <v>Intermediate</v>
          </cell>
          <cell r="AV3550">
            <v>365</v>
          </cell>
          <cell r="AX3550">
            <v>122</v>
          </cell>
        </row>
        <row r="3551">
          <cell r="E3551" t="str">
            <v>GF</v>
          </cell>
          <cell r="F3551" t="str">
            <v>Intermediate</v>
          </cell>
          <cell r="AV3551">
            <v>365</v>
          </cell>
          <cell r="AX3551">
            <v>122</v>
          </cell>
        </row>
        <row r="3552">
          <cell r="E3552" t="str">
            <v>GF</v>
          </cell>
          <cell r="F3552" t="str">
            <v>Pharma</v>
          </cell>
          <cell r="AV3552">
            <v>365</v>
          </cell>
          <cell r="AX3552">
            <v>122</v>
          </cell>
        </row>
        <row r="3553">
          <cell r="E3553" t="str">
            <v>GF</v>
          </cell>
          <cell r="F3553" t="str">
            <v>Pharma</v>
          </cell>
          <cell r="AV3553">
            <v>365</v>
          </cell>
          <cell r="AX3553">
            <v>122</v>
          </cell>
        </row>
        <row r="3554">
          <cell r="E3554" t="str">
            <v>GF</v>
          </cell>
          <cell r="F3554" t="str">
            <v>Pharma</v>
          </cell>
          <cell r="AV3554">
            <v>365</v>
          </cell>
          <cell r="AX3554">
            <v>122</v>
          </cell>
        </row>
        <row r="3555">
          <cell r="E3555" t="str">
            <v>GF</v>
          </cell>
          <cell r="F3555" t="str">
            <v>Intermediate</v>
          </cell>
          <cell r="AV3555">
            <v>365</v>
          </cell>
          <cell r="AX3555">
            <v>122</v>
          </cell>
        </row>
        <row r="3556">
          <cell r="E3556" t="str">
            <v>GF</v>
          </cell>
          <cell r="F3556" t="str">
            <v>Intermediate</v>
          </cell>
          <cell r="AV3556">
            <v>365</v>
          </cell>
          <cell r="AX3556">
            <v>122</v>
          </cell>
        </row>
        <row r="3557">
          <cell r="E3557" t="str">
            <v>GF</v>
          </cell>
          <cell r="F3557" t="str">
            <v>Intermediate</v>
          </cell>
          <cell r="AV3557">
            <v>365</v>
          </cell>
          <cell r="AX3557">
            <v>122</v>
          </cell>
        </row>
        <row r="3558">
          <cell r="E3558" t="str">
            <v>GF</v>
          </cell>
          <cell r="F3558" t="str">
            <v>Intermediate</v>
          </cell>
          <cell r="AV3558">
            <v>365</v>
          </cell>
          <cell r="AX3558">
            <v>122</v>
          </cell>
        </row>
        <row r="3559">
          <cell r="E3559" t="str">
            <v>GF</v>
          </cell>
          <cell r="F3559" t="str">
            <v>Intermediate</v>
          </cell>
          <cell r="AV3559">
            <v>365</v>
          </cell>
          <cell r="AX3559">
            <v>122</v>
          </cell>
        </row>
        <row r="3560">
          <cell r="E3560" t="str">
            <v>GF</v>
          </cell>
          <cell r="F3560" t="str">
            <v>Intermediate</v>
          </cell>
          <cell r="AV3560">
            <v>365</v>
          </cell>
          <cell r="AX3560">
            <v>122</v>
          </cell>
        </row>
        <row r="3561">
          <cell r="E3561" t="str">
            <v>GF</v>
          </cell>
          <cell r="F3561" t="str">
            <v>Intermediate</v>
          </cell>
          <cell r="AV3561">
            <v>365</v>
          </cell>
          <cell r="AX3561">
            <v>122</v>
          </cell>
        </row>
        <row r="3562">
          <cell r="E3562" t="str">
            <v>GF</v>
          </cell>
          <cell r="F3562" t="str">
            <v>Intermediate</v>
          </cell>
          <cell r="AV3562">
            <v>365</v>
          </cell>
          <cell r="AX3562">
            <v>122</v>
          </cell>
        </row>
        <row r="3563">
          <cell r="E3563" t="str">
            <v>GF</v>
          </cell>
          <cell r="F3563" t="str">
            <v>Intermediate</v>
          </cell>
          <cell r="AV3563">
            <v>365</v>
          </cell>
          <cell r="AX3563">
            <v>122</v>
          </cell>
        </row>
        <row r="3564">
          <cell r="AV3564">
            <v>365</v>
          </cell>
          <cell r="AX3564">
            <v>122</v>
          </cell>
        </row>
        <row r="3565">
          <cell r="AV3565">
            <v>365</v>
          </cell>
          <cell r="AX3565">
            <v>122</v>
          </cell>
        </row>
        <row r="3566">
          <cell r="AV3566">
            <v>365</v>
          </cell>
          <cell r="AX3566">
            <v>122</v>
          </cell>
        </row>
        <row r="3567">
          <cell r="AV3567">
            <v>365</v>
          </cell>
          <cell r="AX3567">
            <v>122</v>
          </cell>
        </row>
        <row r="3568">
          <cell r="E3568" t="str">
            <v>GF</v>
          </cell>
          <cell r="F3568" t="str">
            <v>Intermediate</v>
          </cell>
          <cell r="AV3568">
            <v>365</v>
          </cell>
          <cell r="AX3568">
            <v>122</v>
          </cell>
        </row>
        <row r="3569">
          <cell r="E3569" t="str">
            <v>GF</v>
          </cell>
          <cell r="F3569" t="str">
            <v>Intermediate</v>
          </cell>
          <cell r="AV3569">
            <v>365</v>
          </cell>
          <cell r="AX3569">
            <v>122</v>
          </cell>
        </row>
        <row r="3570">
          <cell r="E3570" t="str">
            <v>GF</v>
          </cell>
          <cell r="F3570" t="str">
            <v>Intermediate</v>
          </cell>
          <cell r="AV3570">
            <v>365</v>
          </cell>
          <cell r="AX3570">
            <v>122</v>
          </cell>
        </row>
        <row r="3571">
          <cell r="E3571" t="str">
            <v>GF</v>
          </cell>
          <cell r="AV3571">
            <v>365</v>
          </cell>
          <cell r="AX3571">
            <v>122</v>
          </cell>
        </row>
        <row r="3572">
          <cell r="E3572" t="str">
            <v>GF</v>
          </cell>
          <cell r="AV3572">
            <v>365</v>
          </cell>
          <cell r="AX3572">
            <v>122</v>
          </cell>
        </row>
        <row r="3573">
          <cell r="AV3573">
            <v>365</v>
          </cell>
          <cell r="AX3573">
            <v>122</v>
          </cell>
        </row>
        <row r="3574">
          <cell r="AV3574">
            <v>365</v>
          </cell>
          <cell r="AX3574">
            <v>122</v>
          </cell>
        </row>
        <row r="3575">
          <cell r="E3575" t="str">
            <v>FF</v>
          </cell>
          <cell r="AV3575">
            <v>365</v>
          </cell>
          <cell r="AX3575">
            <v>245</v>
          </cell>
        </row>
        <row r="3576">
          <cell r="E3576" t="str">
            <v>FF</v>
          </cell>
          <cell r="AV3576">
            <v>365</v>
          </cell>
          <cell r="AX3576">
            <v>245</v>
          </cell>
        </row>
        <row r="3577">
          <cell r="E3577" t="str">
            <v>FF</v>
          </cell>
          <cell r="AV3577">
            <v>365</v>
          </cell>
          <cell r="AX3577">
            <v>245</v>
          </cell>
        </row>
        <row r="3578">
          <cell r="E3578" t="str">
            <v>FF</v>
          </cell>
          <cell r="AV3578">
            <v>365</v>
          </cell>
          <cell r="AX3578">
            <v>245</v>
          </cell>
        </row>
        <row r="3579">
          <cell r="E3579" t="str">
            <v>FF</v>
          </cell>
          <cell r="AV3579">
            <v>365</v>
          </cell>
          <cell r="AX3579">
            <v>245</v>
          </cell>
        </row>
        <row r="3580">
          <cell r="E3580" t="str">
            <v>FF</v>
          </cell>
          <cell r="AV3580">
            <v>365</v>
          </cell>
          <cell r="AX3580">
            <v>245</v>
          </cell>
        </row>
        <row r="3581">
          <cell r="E3581" t="str">
            <v>FF</v>
          </cell>
          <cell r="AV3581">
            <v>365</v>
          </cell>
          <cell r="AX3581">
            <v>245</v>
          </cell>
        </row>
        <row r="3582">
          <cell r="E3582" t="str">
            <v>FF</v>
          </cell>
          <cell r="AV3582">
            <v>365</v>
          </cell>
          <cell r="AX3582">
            <v>245</v>
          </cell>
        </row>
        <row r="3583">
          <cell r="E3583" t="str">
            <v>FF</v>
          </cell>
          <cell r="AV3583">
            <v>365</v>
          </cell>
          <cell r="AX3583">
            <v>245</v>
          </cell>
        </row>
        <row r="3584">
          <cell r="E3584" t="str">
            <v>FF</v>
          </cell>
          <cell r="AV3584">
            <v>365</v>
          </cell>
          <cell r="AX3584">
            <v>245</v>
          </cell>
        </row>
        <row r="3585">
          <cell r="E3585" t="str">
            <v>FF</v>
          </cell>
          <cell r="AV3585">
            <v>365</v>
          </cell>
          <cell r="AX3585">
            <v>245</v>
          </cell>
        </row>
        <row r="3586">
          <cell r="E3586" t="str">
            <v>FF</v>
          </cell>
          <cell r="AV3586">
            <v>365</v>
          </cell>
          <cell r="AX3586">
            <v>245</v>
          </cell>
        </row>
        <row r="3587">
          <cell r="E3587" t="str">
            <v>FF</v>
          </cell>
          <cell r="AV3587">
            <v>365</v>
          </cell>
          <cell r="AX3587">
            <v>245</v>
          </cell>
        </row>
        <row r="3588">
          <cell r="E3588" t="str">
            <v>FF</v>
          </cell>
          <cell r="AV3588">
            <v>365</v>
          </cell>
          <cell r="AX3588">
            <v>245</v>
          </cell>
        </row>
        <row r="3589">
          <cell r="E3589" t="str">
            <v>FF</v>
          </cell>
          <cell r="AV3589">
            <v>365</v>
          </cell>
          <cell r="AX3589">
            <v>245</v>
          </cell>
        </row>
        <row r="3590">
          <cell r="E3590" t="str">
            <v>FF</v>
          </cell>
          <cell r="AV3590">
            <v>365</v>
          </cell>
          <cell r="AX3590">
            <v>245</v>
          </cell>
        </row>
        <row r="3591">
          <cell r="E3591" t="str">
            <v>FF</v>
          </cell>
          <cell r="AV3591">
            <v>365</v>
          </cell>
          <cell r="AX3591">
            <v>245</v>
          </cell>
        </row>
        <row r="3592">
          <cell r="E3592" t="str">
            <v>FF</v>
          </cell>
          <cell r="AV3592">
            <v>365</v>
          </cell>
          <cell r="AX3592">
            <v>245</v>
          </cell>
        </row>
        <row r="3593">
          <cell r="E3593" t="str">
            <v>FF</v>
          </cell>
          <cell r="AV3593">
            <v>365</v>
          </cell>
          <cell r="AX3593">
            <v>245</v>
          </cell>
        </row>
        <row r="3594">
          <cell r="E3594" t="str">
            <v>FF</v>
          </cell>
          <cell r="AV3594">
            <v>365</v>
          </cell>
          <cell r="AX3594">
            <v>245</v>
          </cell>
        </row>
        <row r="3595">
          <cell r="E3595" t="str">
            <v>FF</v>
          </cell>
          <cell r="AV3595">
            <v>365</v>
          </cell>
          <cell r="AX3595">
            <v>245</v>
          </cell>
        </row>
        <row r="3596">
          <cell r="E3596" t="str">
            <v>FF</v>
          </cell>
          <cell r="AV3596">
            <v>365</v>
          </cell>
          <cell r="AX3596">
            <v>245</v>
          </cell>
        </row>
        <row r="3597">
          <cell r="E3597" t="str">
            <v>FF</v>
          </cell>
          <cell r="AV3597">
            <v>365</v>
          </cell>
          <cell r="AX3597">
            <v>245</v>
          </cell>
        </row>
        <row r="3598">
          <cell r="AV3598">
            <v>365</v>
          </cell>
          <cell r="AX3598">
            <v>60</v>
          </cell>
        </row>
        <row r="3599">
          <cell r="AV3599">
            <v>365</v>
          </cell>
          <cell r="AX3599">
            <v>60</v>
          </cell>
        </row>
        <row r="3600">
          <cell r="AV3600">
            <v>365</v>
          </cell>
          <cell r="AX3600">
            <v>60</v>
          </cell>
        </row>
        <row r="3601">
          <cell r="AV3601">
            <v>365</v>
          </cell>
          <cell r="AX3601">
            <v>60</v>
          </cell>
        </row>
        <row r="3602">
          <cell r="AV3602">
            <v>365</v>
          </cell>
          <cell r="AX3602">
            <v>60</v>
          </cell>
        </row>
        <row r="3603">
          <cell r="AV3603">
            <v>365</v>
          </cell>
          <cell r="AX3603">
            <v>60</v>
          </cell>
        </row>
        <row r="3604">
          <cell r="AV3604">
            <v>365</v>
          </cell>
          <cell r="AX3604">
            <v>60</v>
          </cell>
        </row>
        <row r="3605">
          <cell r="AV3605">
            <v>365</v>
          </cell>
          <cell r="AX3605">
            <v>60</v>
          </cell>
        </row>
        <row r="3606">
          <cell r="AV3606">
            <v>365</v>
          </cell>
          <cell r="AX3606">
            <v>60</v>
          </cell>
        </row>
        <row r="3607">
          <cell r="AV3607">
            <v>365</v>
          </cell>
          <cell r="AX3607">
            <v>60</v>
          </cell>
        </row>
        <row r="3608">
          <cell r="AV3608">
            <v>365</v>
          </cell>
          <cell r="AX3608">
            <v>60</v>
          </cell>
        </row>
        <row r="3609">
          <cell r="AV3609">
            <v>365</v>
          </cell>
          <cell r="AX3609">
            <v>60</v>
          </cell>
        </row>
        <row r="3610">
          <cell r="AV3610">
            <v>365</v>
          </cell>
          <cell r="AX3610">
            <v>60</v>
          </cell>
        </row>
        <row r="3611">
          <cell r="AV3611">
            <v>365</v>
          </cell>
          <cell r="AX3611">
            <v>60</v>
          </cell>
        </row>
        <row r="3612">
          <cell r="E3612" t="str">
            <v>1A Pharm</v>
          </cell>
          <cell r="AV3612">
            <v>365</v>
          </cell>
          <cell r="AX3612">
            <v>33</v>
          </cell>
        </row>
        <row r="3613">
          <cell r="E3613" t="str">
            <v>FF</v>
          </cell>
          <cell r="AV3613">
            <v>365</v>
          </cell>
          <cell r="AX3613">
            <v>366</v>
          </cell>
        </row>
        <row r="3614">
          <cell r="E3614" t="str">
            <v>1A Inter</v>
          </cell>
          <cell r="AV3614">
            <v>365</v>
          </cell>
          <cell r="AX3614">
            <v>129</v>
          </cell>
        </row>
        <row r="3615">
          <cell r="AV3615">
            <v>365</v>
          </cell>
          <cell r="AX3615">
            <v>1</v>
          </cell>
        </row>
        <row r="3616">
          <cell r="AV3616">
            <v>365</v>
          </cell>
          <cell r="AX3616">
            <v>1</v>
          </cell>
        </row>
        <row r="3617">
          <cell r="AV3617">
            <v>365</v>
          </cell>
          <cell r="AX3617">
            <v>1</v>
          </cell>
        </row>
        <row r="3618">
          <cell r="AV3618">
            <v>365</v>
          </cell>
          <cell r="AX3618">
            <v>1</v>
          </cell>
        </row>
        <row r="3619">
          <cell r="AV3619">
            <v>365</v>
          </cell>
          <cell r="AX3619">
            <v>1</v>
          </cell>
        </row>
        <row r="3620">
          <cell r="AV3620">
            <v>365</v>
          </cell>
          <cell r="AX3620">
            <v>1</v>
          </cell>
        </row>
        <row r="3621">
          <cell r="AV3621">
            <v>365</v>
          </cell>
          <cell r="AX3621">
            <v>1</v>
          </cell>
        </row>
        <row r="3622">
          <cell r="D3622" t="str">
            <v>GC - IA</v>
          </cell>
          <cell r="E3622" t="str">
            <v>GF</v>
          </cell>
          <cell r="F3622" t="str">
            <v>Intermediate</v>
          </cell>
          <cell r="AV3622">
            <v>365</v>
          </cell>
          <cell r="AX3622">
            <v>129</v>
          </cell>
        </row>
        <row r="3623">
          <cell r="D3623" t="str">
            <v>GC - IA</v>
          </cell>
          <cell r="E3623" t="str">
            <v>GF</v>
          </cell>
          <cell r="F3623" t="str">
            <v>Intermediate</v>
          </cell>
          <cell r="AV3623">
            <v>365</v>
          </cell>
          <cell r="AX3623">
            <v>129</v>
          </cell>
        </row>
        <row r="3624">
          <cell r="D3624" t="str">
            <v>GC - IA</v>
          </cell>
          <cell r="E3624" t="str">
            <v>GF</v>
          </cell>
          <cell r="F3624" t="str">
            <v>Intermediate</v>
          </cell>
          <cell r="AV3624">
            <v>365</v>
          </cell>
          <cell r="AX3624">
            <v>129</v>
          </cell>
        </row>
        <row r="3625">
          <cell r="D3625" t="str">
            <v>GC - IA</v>
          </cell>
          <cell r="E3625" t="str">
            <v>GF</v>
          </cell>
          <cell r="F3625" t="str">
            <v>Pharma</v>
          </cell>
          <cell r="AV3625">
            <v>365</v>
          </cell>
          <cell r="AX3625">
            <v>129</v>
          </cell>
        </row>
        <row r="3626">
          <cell r="D3626" t="str">
            <v>GC-IB</v>
          </cell>
          <cell r="E3626" t="str">
            <v>GF</v>
          </cell>
          <cell r="F3626" t="str">
            <v>Intermediate</v>
          </cell>
          <cell r="AV3626">
            <v>365</v>
          </cell>
          <cell r="AX3626">
            <v>129</v>
          </cell>
        </row>
        <row r="3627">
          <cell r="D3627" t="str">
            <v>GC-IB</v>
          </cell>
          <cell r="E3627" t="str">
            <v>GF</v>
          </cell>
          <cell r="F3627" t="str">
            <v>Intermediate</v>
          </cell>
          <cell r="AV3627">
            <v>365</v>
          </cell>
          <cell r="AX3627">
            <v>129</v>
          </cell>
        </row>
        <row r="3628">
          <cell r="F3628" t="str">
            <v>Zone-1</v>
          </cell>
          <cell r="AV3628">
            <v>365</v>
          </cell>
          <cell r="AX3628">
            <v>129</v>
          </cell>
        </row>
        <row r="3629">
          <cell r="D3629" t="str">
            <v>GC - IA</v>
          </cell>
          <cell r="E3629" t="str">
            <v>GF</v>
          </cell>
          <cell r="F3629" t="str">
            <v>Intermediate</v>
          </cell>
          <cell r="AV3629">
            <v>365</v>
          </cell>
          <cell r="AX3629">
            <v>129</v>
          </cell>
        </row>
        <row r="3630">
          <cell r="D3630" t="str">
            <v>GC - IA</v>
          </cell>
          <cell r="E3630" t="str">
            <v>GF</v>
          </cell>
          <cell r="F3630" t="str">
            <v>Intermediate</v>
          </cell>
          <cell r="AV3630">
            <v>365</v>
          </cell>
          <cell r="AX3630">
            <v>129</v>
          </cell>
        </row>
        <row r="3631">
          <cell r="E3631" t="str">
            <v>GF</v>
          </cell>
          <cell r="F3631" t="str">
            <v>Zone-3</v>
          </cell>
          <cell r="AV3631">
            <v>365</v>
          </cell>
          <cell r="AX3631">
            <v>129</v>
          </cell>
        </row>
        <row r="3632">
          <cell r="AV3632">
            <v>365</v>
          </cell>
          <cell r="AX3632">
            <v>307</v>
          </cell>
        </row>
        <row r="3633">
          <cell r="AV3633">
            <v>365</v>
          </cell>
          <cell r="AX3633">
            <v>129</v>
          </cell>
        </row>
        <row r="3634">
          <cell r="AV3634">
            <v>365</v>
          </cell>
          <cell r="AX3634">
            <v>129</v>
          </cell>
        </row>
        <row r="3635">
          <cell r="AV3635">
            <v>365</v>
          </cell>
          <cell r="AX3635">
            <v>129</v>
          </cell>
        </row>
        <row r="3636">
          <cell r="AV3636">
            <v>365</v>
          </cell>
          <cell r="AX3636">
            <v>129</v>
          </cell>
        </row>
        <row r="3637">
          <cell r="AV3637">
            <v>365</v>
          </cell>
          <cell r="AX3637">
            <v>129</v>
          </cell>
        </row>
        <row r="3638">
          <cell r="AV3638">
            <v>365</v>
          </cell>
          <cell r="AX3638">
            <v>129</v>
          </cell>
        </row>
        <row r="3639">
          <cell r="AV3639">
            <v>365</v>
          </cell>
          <cell r="AX3639">
            <v>129</v>
          </cell>
        </row>
        <row r="3640">
          <cell r="AV3640">
            <v>365</v>
          </cell>
          <cell r="AX3640">
            <v>129</v>
          </cell>
        </row>
        <row r="3641">
          <cell r="AV3641">
            <v>365</v>
          </cell>
          <cell r="AX3641">
            <v>129</v>
          </cell>
        </row>
        <row r="3642">
          <cell r="AV3642">
            <v>365</v>
          </cell>
          <cell r="AX3642">
            <v>129</v>
          </cell>
        </row>
        <row r="3643">
          <cell r="AV3643">
            <v>365</v>
          </cell>
          <cell r="AX3643">
            <v>129</v>
          </cell>
        </row>
        <row r="3644">
          <cell r="AV3644">
            <v>365</v>
          </cell>
          <cell r="AX3644">
            <v>129</v>
          </cell>
        </row>
        <row r="3645">
          <cell r="AV3645">
            <v>365</v>
          </cell>
          <cell r="AX3645">
            <v>129</v>
          </cell>
        </row>
        <row r="3646">
          <cell r="AV3646">
            <v>365</v>
          </cell>
          <cell r="AX3646">
            <v>129</v>
          </cell>
        </row>
        <row r="3647">
          <cell r="AV3647">
            <v>365</v>
          </cell>
          <cell r="AX3647">
            <v>129</v>
          </cell>
        </row>
        <row r="3648">
          <cell r="AV3648">
            <v>365</v>
          </cell>
          <cell r="AX3648">
            <v>129</v>
          </cell>
        </row>
        <row r="3649">
          <cell r="AV3649">
            <v>365</v>
          </cell>
          <cell r="AX3649">
            <v>129</v>
          </cell>
        </row>
        <row r="3650">
          <cell r="AV3650">
            <v>365</v>
          </cell>
          <cell r="AX3650">
            <v>129</v>
          </cell>
        </row>
        <row r="3651">
          <cell r="AV3651">
            <v>365</v>
          </cell>
          <cell r="AX3651">
            <v>129</v>
          </cell>
        </row>
        <row r="3652">
          <cell r="AV3652">
            <v>365</v>
          </cell>
          <cell r="AX3652">
            <v>129</v>
          </cell>
        </row>
        <row r="3653">
          <cell r="AV3653">
            <v>365</v>
          </cell>
          <cell r="AX3653">
            <v>129</v>
          </cell>
        </row>
        <row r="3654">
          <cell r="AV3654">
            <v>365</v>
          </cell>
          <cell r="AX3654">
            <v>129</v>
          </cell>
        </row>
        <row r="3655">
          <cell r="AV3655">
            <v>365</v>
          </cell>
          <cell r="AX3655">
            <v>129</v>
          </cell>
        </row>
        <row r="3656">
          <cell r="AV3656">
            <v>365</v>
          </cell>
          <cell r="AX3656">
            <v>129</v>
          </cell>
        </row>
        <row r="3657">
          <cell r="AV3657">
            <v>365</v>
          </cell>
          <cell r="AX3657">
            <v>129</v>
          </cell>
        </row>
        <row r="3658">
          <cell r="AV3658">
            <v>365</v>
          </cell>
          <cell r="AX3658">
            <v>129</v>
          </cell>
        </row>
        <row r="3659">
          <cell r="AV3659">
            <v>365</v>
          </cell>
          <cell r="AX3659">
            <v>129</v>
          </cell>
        </row>
        <row r="3660">
          <cell r="AV3660">
            <v>365</v>
          </cell>
          <cell r="AX3660">
            <v>129</v>
          </cell>
        </row>
        <row r="3661">
          <cell r="AV3661">
            <v>365</v>
          </cell>
          <cell r="AX3661">
            <v>129</v>
          </cell>
        </row>
        <row r="3662">
          <cell r="AV3662">
            <v>365</v>
          </cell>
          <cell r="AX3662">
            <v>129</v>
          </cell>
        </row>
        <row r="3663">
          <cell r="AV3663">
            <v>365</v>
          </cell>
          <cell r="AX3663">
            <v>129</v>
          </cell>
        </row>
        <row r="3664">
          <cell r="AV3664">
            <v>365</v>
          </cell>
          <cell r="AX3664">
            <v>129</v>
          </cell>
        </row>
        <row r="3665">
          <cell r="AV3665">
            <v>365</v>
          </cell>
          <cell r="AX3665">
            <v>129</v>
          </cell>
        </row>
        <row r="3666">
          <cell r="AV3666">
            <v>365</v>
          </cell>
          <cell r="AX3666">
            <v>129</v>
          </cell>
        </row>
        <row r="3667">
          <cell r="AV3667">
            <v>365</v>
          </cell>
          <cell r="AX3667">
            <v>129</v>
          </cell>
        </row>
        <row r="3668">
          <cell r="AV3668">
            <v>365</v>
          </cell>
          <cell r="AX3668">
            <v>129</v>
          </cell>
        </row>
        <row r="3669">
          <cell r="AV3669">
            <v>365</v>
          </cell>
          <cell r="AX3669">
            <v>129</v>
          </cell>
        </row>
        <row r="3670">
          <cell r="AV3670">
            <v>365</v>
          </cell>
          <cell r="AX3670">
            <v>129</v>
          </cell>
        </row>
        <row r="3671">
          <cell r="D3671" t="str">
            <v>GC - IA</v>
          </cell>
          <cell r="E3671" t="str">
            <v>dm plant</v>
          </cell>
          <cell r="AV3671">
            <v>365</v>
          </cell>
          <cell r="AX3671">
            <v>130</v>
          </cell>
        </row>
        <row r="3672">
          <cell r="D3672" t="str">
            <v>GC - IA</v>
          </cell>
          <cell r="E3672" t="str">
            <v>dm plant</v>
          </cell>
          <cell r="AV3672">
            <v>365</v>
          </cell>
          <cell r="AX3672">
            <v>130</v>
          </cell>
        </row>
        <row r="3673">
          <cell r="AV3673">
            <v>365</v>
          </cell>
          <cell r="AX3673">
            <v>130</v>
          </cell>
        </row>
        <row r="3674">
          <cell r="AV3674">
            <v>365</v>
          </cell>
          <cell r="AX3674">
            <v>366</v>
          </cell>
          <cell r="AZ3674">
            <v>0.16209999999999999</v>
          </cell>
          <cell r="BA3674">
            <v>365</v>
          </cell>
          <cell r="BB3674">
            <v>425.51249999999999</v>
          </cell>
          <cell r="BC3674">
            <v>60</v>
          </cell>
        </row>
        <row r="3675">
          <cell r="AV3675">
            <v>305</v>
          </cell>
        </row>
        <row r="3676">
          <cell r="AV3676">
            <v>365</v>
          </cell>
          <cell r="AX3676">
            <v>306</v>
          </cell>
        </row>
        <row r="3677">
          <cell r="E3677" t="str">
            <v>FF</v>
          </cell>
          <cell r="AV3677">
            <v>365</v>
          </cell>
          <cell r="AX3677">
            <v>336</v>
          </cell>
        </row>
        <row r="3678">
          <cell r="AV3678">
            <v>335</v>
          </cell>
        </row>
        <row r="3679">
          <cell r="AV3679">
            <v>365</v>
          </cell>
          <cell r="AX3679">
            <v>33</v>
          </cell>
        </row>
        <row r="3680">
          <cell r="AV3680">
            <v>365</v>
          </cell>
          <cell r="AX3680">
            <v>33</v>
          </cell>
        </row>
        <row r="3681">
          <cell r="AV3681">
            <v>365</v>
          </cell>
          <cell r="AX3681">
            <v>33</v>
          </cell>
        </row>
        <row r="3682">
          <cell r="AV3682">
            <v>365</v>
          </cell>
          <cell r="AX3682">
            <v>33</v>
          </cell>
        </row>
        <row r="3683">
          <cell r="AV3683">
            <v>365</v>
          </cell>
          <cell r="AX3683">
            <v>33</v>
          </cell>
        </row>
        <row r="3684">
          <cell r="AV3684">
            <v>365</v>
          </cell>
          <cell r="AX3684">
            <v>33</v>
          </cell>
        </row>
        <row r="3685">
          <cell r="AV3685">
            <v>365</v>
          </cell>
          <cell r="AX3685">
            <v>33</v>
          </cell>
        </row>
        <row r="3686">
          <cell r="AV3686">
            <v>365</v>
          </cell>
          <cell r="AX3686">
            <v>33</v>
          </cell>
        </row>
        <row r="3687">
          <cell r="AV3687">
            <v>365</v>
          </cell>
          <cell r="AX3687">
            <v>33</v>
          </cell>
        </row>
        <row r="3688">
          <cell r="AV3688">
            <v>365</v>
          </cell>
          <cell r="AX3688">
            <v>33</v>
          </cell>
        </row>
        <row r="3689">
          <cell r="AV3689">
            <v>365</v>
          </cell>
          <cell r="AX3689">
            <v>33</v>
          </cell>
        </row>
        <row r="3690">
          <cell r="AV3690">
            <v>365</v>
          </cell>
          <cell r="AX3690">
            <v>33</v>
          </cell>
        </row>
        <row r="3691">
          <cell r="AV3691">
            <v>365</v>
          </cell>
          <cell r="AX3691">
            <v>33</v>
          </cell>
        </row>
        <row r="3692">
          <cell r="AV3692">
            <v>365</v>
          </cell>
          <cell r="AX3692">
            <v>33</v>
          </cell>
        </row>
        <row r="3693">
          <cell r="AV3693">
            <v>365</v>
          </cell>
          <cell r="AX3693">
            <v>33</v>
          </cell>
        </row>
        <row r="3694">
          <cell r="AV3694">
            <v>365</v>
          </cell>
          <cell r="AX3694">
            <v>33</v>
          </cell>
        </row>
        <row r="3695">
          <cell r="AV3695">
            <v>365</v>
          </cell>
          <cell r="AX3695">
            <v>33</v>
          </cell>
        </row>
        <row r="3696">
          <cell r="AV3696">
            <v>365</v>
          </cell>
          <cell r="AX3696">
            <v>33</v>
          </cell>
        </row>
        <row r="3697">
          <cell r="AV3697">
            <v>365</v>
          </cell>
          <cell r="AX3697">
            <v>33</v>
          </cell>
        </row>
        <row r="3698">
          <cell r="AV3698">
            <v>365</v>
          </cell>
          <cell r="AX3698">
            <v>33</v>
          </cell>
        </row>
        <row r="3699">
          <cell r="AV3699">
            <v>365</v>
          </cell>
          <cell r="AX3699">
            <v>33</v>
          </cell>
        </row>
        <row r="3700">
          <cell r="AV3700">
            <v>365</v>
          </cell>
          <cell r="AX3700">
            <v>33</v>
          </cell>
        </row>
        <row r="3701">
          <cell r="AV3701">
            <v>365</v>
          </cell>
          <cell r="AX3701">
            <v>33</v>
          </cell>
        </row>
        <row r="3702">
          <cell r="AV3702">
            <v>365</v>
          </cell>
          <cell r="AX3702">
            <v>33</v>
          </cell>
        </row>
        <row r="3703">
          <cell r="AV3703">
            <v>365</v>
          </cell>
          <cell r="AX3703">
            <v>33</v>
          </cell>
        </row>
        <row r="3704">
          <cell r="AV3704">
            <v>365</v>
          </cell>
          <cell r="AX3704">
            <v>33</v>
          </cell>
        </row>
        <row r="3705">
          <cell r="AV3705">
            <v>365</v>
          </cell>
          <cell r="AX3705">
            <v>33</v>
          </cell>
        </row>
        <row r="3706">
          <cell r="AV3706">
            <v>365</v>
          </cell>
          <cell r="AX3706">
            <v>33</v>
          </cell>
        </row>
        <row r="3707">
          <cell r="AV3707">
            <v>365</v>
          </cell>
          <cell r="AX3707">
            <v>33</v>
          </cell>
        </row>
        <row r="3708">
          <cell r="AV3708">
            <v>365</v>
          </cell>
          <cell r="AX3708">
            <v>33</v>
          </cell>
        </row>
        <row r="3709">
          <cell r="AV3709">
            <v>365</v>
          </cell>
          <cell r="AX3709">
            <v>33</v>
          </cell>
        </row>
        <row r="3710">
          <cell r="AV3710">
            <v>365</v>
          </cell>
          <cell r="AX3710">
            <v>33</v>
          </cell>
        </row>
        <row r="3711">
          <cell r="AV3711">
            <v>365</v>
          </cell>
          <cell r="AX3711">
            <v>33</v>
          </cell>
        </row>
        <row r="3712">
          <cell r="AV3712">
            <v>365</v>
          </cell>
          <cell r="AX3712">
            <v>33</v>
          </cell>
        </row>
        <row r="3713">
          <cell r="AV3713">
            <v>365</v>
          </cell>
          <cell r="AX3713">
            <v>33</v>
          </cell>
        </row>
        <row r="3714">
          <cell r="AV3714">
            <v>365</v>
          </cell>
          <cell r="AX3714">
            <v>33</v>
          </cell>
        </row>
        <row r="3715">
          <cell r="AV3715">
            <v>365</v>
          </cell>
          <cell r="AX3715">
            <v>33</v>
          </cell>
        </row>
        <row r="3716">
          <cell r="AV3716">
            <v>365</v>
          </cell>
          <cell r="AX3716">
            <v>33</v>
          </cell>
        </row>
        <row r="3717">
          <cell r="AV3717">
            <v>365</v>
          </cell>
          <cell r="AX3717">
            <v>33</v>
          </cell>
        </row>
        <row r="3718">
          <cell r="AV3718">
            <v>365</v>
          </cell>
          <cell r="AX3718">
            <v>33</v>
          </cell>
        </row>
        <row r="3719">
          <cell r="AV3719">
            <v>365</v>
          </cell>
          <cell r="AX3719">
            <v>33</v>
          </cell>
        </row>
        <row r="3720">
          <cell r="AV3720">
            <v>365</v>
          </cell>
          <cell r="AX3720">
            <v>33</v>
          </cell>
        </row>
        <row r="3721">
          <cell r="AV3721">
            <v>365</v>
          </cell>
          <cell r="AX3721">
            <v>33</v>
          </cell>
        </row>
        <row r="3722">
          <cell r="AV3722">
            <v>365</v>
          </cell>
          <cell r="AX3722">
            <v>33</v>
          </cell>
        </row>
        <row r="3723">
          <cell r="AV3723">
            <v>365</v>
          </cell>
          <cell r="AX3723">
            <v>33</v>
          </cell>
        </row>
        <row r="3724">
          <cell r="AV3724">
            <v>365</v>
          </cell>
          <cell r="AX3724">
            <v>33</v>
          </cell>
        </row>
        <row r="3725">
          <cell r="AV3725">
            <v>305</v>
          </cell>
        </row>
        <row r="3726">
          <cell r="AV3726">
            <v>365</v>
          </cell>
          <cell r="AX3726">
            <v>366</v>
          </cell>
          <cell r="AZ3726">
            <v>6.3299999999999995E-2</v>
          </cell>
          <cell r="BA3726">
            <v>16</v>
          </cell>
          <cell r="BB3726">
            <v>6.3820273972602726</v>
          </cell>
        </row>
        <row r="3727">
          <cell r="E3727" t="str">
            <v>GF</v>
          </cell>
          <cell r="AV3727">
            <v>365</v>
          </cell>
          <cell r="AX3727">
            <v>366</v>
          </cell>
        </row>
        <row r="3728">
          <cell r="AV3728">
            <v>365</v>
          </cell>
          <cell r="AX3728">
            <v>366</v>
          </cell>
          <cell r="AZ3728">
            <v>0.16209999999999999</v>
          </cell>
          <cell r="BA3728">
            <v>287</v>
          </cell>
          <cell r="BB3728">
            <v>267.66484931506847</v>
          </cell>
        </row>
        <row r="3729">
          <cell r="E3729" t="str">
            <v>GF</v>
          </cell>
          <cell r="AV3729">
            <v>365</v>
          </cell>
          <cell r="AX3729">
            <v>71</v>
          </cell>
        </row>
        <row r="3730">
          <cell r="AV3730">
            <v>365</v>
          </cell>
          <cell r="AX3730">
            <v>366</v>
          </cell>
          <cell r="AZ3730">
            <v>0.16209999999999999</v>
          </cell>
          <cell r="BA3730">
            <v>31</v>
          </cell>
          <cell r="BB3730">
            <v>104.84175270647572</v>
          </cell>
        </row>
        <row r="3731">
          <cell r="AV3731">
            <v>365</v>
          </cell>
          <cell r="AX3731">
            <v>366</v>
          </cell>
          <cell r="AZ3731">
            <v>0.16209999999999999</v>
          </cell>
          <cell r="BA3731">
            <v>31</v>
          </cell>
          <cell r="BB3731">
            <v>104.84175270647572</v>
          </cell>
        </row>
        <row r="3732">
          <cell r="AV3732">
            <v>365</v>
          </cell>
          <cell r="AX3732">
            <v>366</v>
          </cell>
          <cell r="AZ3732">
            <v>0.16209999999999999</v>
          </cell>
          <cell r="BA3732">
            <v>31</v>
          </cell>
          <cell r="BB3732">
            <v>104.84175270647572</v>
          </cell>
        </row>
        <row r="3733">
          <cell r="AV3733">
            <v>365</v>
          </cell>
          <cell r="AX3733">
            <v>366</v>
          </cell>
          <cell r="AZ3733">
            <v>0.16209999999999999</v>
          </cell>
          <cell r="BA3733">
            <v>31</v>
          </cell>
          <cell r="BB3733">
            <v>104.84175270647572</v>
          </cell>
        </row>
        <row r="3734">
          <cell r="AV3734">
            <v>365</v>
          </cell>
          <cell r="AX3734">
            <v>366</v>
          </cell>
          <cell r="AZ3734">
            <v>0.16209999999999999</v>
          </cell>
          <cell r="BA3734">
            <v>31</v>
          </cell>
          <cell r="BB3734">
            <v>104.84175270647572</v>
          </cell>
        </row>
        <row r="3735">
          <cell r="AV3735">
            <v>365</v>
          </cell>
          <cell r="AX3735">
            <v>366</v>
          </cell>
          <cell r="AZ3735">
            <v>0.16209999999999999</v>
          </cell>
          <cell r="BA3735">
            <v>31</v>
          </cell>
          <cell r="BB3735">
            <v>104.84175270647572</v>
          </cell>
        </row>
        <row r="3736">
          <cell r="AV3736">
            <v>365</v>
          </cell>
          <cell r="AX3736">
            <v>366</v>
          </cell>
          <cell r="AZ3736">
            <v>0.16209999999999999</v>
          </cell>
          <cell r="BA3736">
            <v>31</v>
          </cell>
          <cell r="BB3736">
            <v>104.84175270647572</v>
          </cell>
        </row>
        <row r="3737">
          <cell r="AV3737">
            <v>365</v>
          </cell>
          <cell r="AX3737">
            <v>366</v>
          </cell>
          <cell r="AZ3737">
            <v>0.16209999999999999</v>
          </cell>
          <cell r="BA3737">
            <v>31</v>
          </cell>
          <cell r="BB3737">
            <v>104.84175270647572</v>
          </cell>
        </row>
        <row r="3738">
          <cell r="AV3738">
            <v>365</v>
          </cell>
          <cell r="AX3738">
            <v>366</v>
          </cell>
          <cell r="AZ3738">
            <v>0.16209999999999999</v>
          </cell>
          <cell r="BA3738">
            <v>31</v>
          </cell>
          <cell r="BB3738">
            <v>104.84175270647572</v>
          </cell>
        </row>
        <row r="3739">
          <cell r="AV3739">
            <v>365</v>
          </cell>
          <cell r="AX3739">
            <v>366</v>
          </cell>
          <cell r="AZ3739">
            <v>0.16209999999999999</v>
          </cell>
          <cell r="BA3739">
            <v>31</v>
          </cell>
          <cell r="BB3739">
            <v>104.84175270647572</v>
          </cell>
        </row>
        <row r="3740">
          <cell r="AV3740">
            <v>365</v>
          </cell>
          <cell r="AX3740">
            <v>366</v>
          </cell>
          <cell r="AZ3740">
            <v>0.16209999999999999</v>
          </cell>
          <cell r="BA3740">
            <v>31</v>
          </cell>
          <cell r="BB3740">
            <v>104.84175270647572</v>
          </cell>
        </row>
        <row r="3741">
          <cell r="AV3741">
            <v>365</v>
          </cell>
          <cell r="AX3741">
            <v>366</v>
          </cell>
          <cell r="AZ3741">
            <v>0.16209999999999999</v>
          </cell>
          <cell r="BA3741">
            <v>31</v>
          </cell>
          <cell r="BB3741">
            <v>104.84175270647572</v>
          </cell>
        </row>
        <row r="3742">
          <cell r="AV3742">
            <v>365</v>
          </cell>
          <cell r="AX3742">
            <v>366</v>
          </cell>
          <cell r="AZ3742">
            <v>0.16209999999999999</v>
          </cell>
          <cell r="BA3742">
            <v>31</v>
          </cell>
          <cell r="BB3742">
            <v>104.84175270647572</v>
          </cell>
        </row>
        <row r="3743">
          <cell r="AV3743">
            <v>365</v>
          </cell>
          <cell r="AX3743">
            <v>366</v>
          </cell>
          <cell r="AZ3743">
            <v>0.16209999999999999</v>
          </cell>
          <cell r="BA3743">
            <v>31</v>
          </cell>
          <cell r="BB3743">
            <v>104.84175270647572</v>
          </cell>
        </row>
        <row r="3744">
          <cell r="AV3744">
            <v>365</v>
          </cell>
          <cell r="AX3744">
            <v>366</v>
          </cell>
          <cell r="AZ3744">
            <v>0.16209999999999999</v>
          </cell>
          <cell r="BA3744">
            <v>31</v>
          </cell>
          <cell r="BB3744">
            <v>104.84175270647572</v>
          </cell>
        </row>
        <row r="3745">
          <cell r="AV3745">
            <v>365</v>
          </cell>
          <cell r="AX3745">
            <v>366</v>
          </cell>
          <cell r="AZ3745">
            <v>0.16209999999999999</v>
          </cell>
          <cell r="BA3745">
            <v>31</v>
          </cell>
          <cell r="BB3745">
            <v>104.84175270647572</v>
          </cell>
        </row>
        <row r="3746">
          <cell r="AV3746">
            <v>365</v>
          </cell>
          <cell r="AX3746">
            <v>366</v>
          </cell>
          <cell r="AZ3746">
            <v>0.16209999999999999</v>
          </cell>
          <cell r="BA3746">
            <v>31</v>
          </cell>
          <cell r="BB3746">
            <v>104.84175270647572</v>
          </cell>
        </row>
        <row r="3747">
          <cell r="AV3747">
            <v>365</v>
          </cell>
          <cell r="AX3747">
            <v>366</v>
          </cell>
          <cell r="AZ3747">
            <v>0.16209999999999999</v>
          </cell>
          <cell r="BA3747">
            <v>31</v>
          </cell>
          <cell r="BB3747">
            <v>104.84175270647572</v>
          </cell>
        </row>
        <row r="3748">
          <cell r="AV3748">
            <v>365</v>
          </cell>
          <cell r="AX3748">
            <v>366</v>
          </cell>
          <cell r="AZ3748">
            <v>0.16209999999999999</v>
          </cell>
          <cell r="BA3748">
            <v>31</v>
          </cell>
          <cell r="BB3748">
            <v>104.84175270647572</v>
          </cell>
        </row>
        <row r="3749">
          <cell r="AV3749">
            <v>365</v>
          </cell>
          <cell r="AX3749">
            <v>366</v>
          </cell>
          <cell r="AZ3749">
            <v>0.16209999999999999</v>
          </cell>
          <cell r="BA3749">
            <v>31</v>
          </cell>
          <cell r="BB3749">
            <v>104.84175270647572</v>
          </cell>
        </row>
        <row r="3750">
          <cell r="AV3750">
            <v>365</v>
          </cell>
          <cell r="AX3750">
            <v>366</v>
          </cell>
          <cell r="AZ3750">
            <v>0.16209999999999999</v>
          </cell>
          <cell r="BA3750">
            <v>31</v>
          </cell>
          <cell r="BB3750">
            <v>104.84175270647572</v>
          </cell>
        </row>
        <row r="3751">
          <cell r="AV3751">
            <v>365</v>
          </cell>
          <cell r="AX3751">
            <v>366</v>
          </cell>
          <cell r="AZ3751">
            <v>0.16209999999999999</v>
          </cell>
          <cell r="BA3751">
            <v>31</v>
          </cell>
          <cell r="BB3751">
            <v>104.84175270647572</v>
          </cell>
        </row>
        <row r="3752">
          <cell r="AV3752">
            <v>365</v>
          </cell>
          <cell r="AX3752">
            <v>366</v>
          </cell>
          <cell r="AZ3752">
            <v>0.16209999999999999</v>
          </cell>
          <cell r="BA3752">
            <v>31</v>
          </cell>
          <cell r="BB3752">
            <v>104.84175270647572</v>
          </cell>
        </row>
        <row r="3753">
          <cell r="AV3753">
            <v>365</v>
          </cell>
          <cell r="AX3753">
            <v>366</v>
          </cell>
          <cell r="AZ3753">
            <v>0.16209999999999999</v>
          </cell>
          <cell r="BA3753">
            <v>31</v>
          </cell>
          <cell r="BB3753">
            <v>104.84175270647572</v>
          </cell>
        </row>
        <row r="3754">
          <cell r="AV3754">
            <v>365</v>
          </cell>
          <cell r="AX3754">
            <v>366</v>
          </cell>
          <cell r="AZ3754">
            <v>0.16209999999999999</v>
          </cell>
          <cell r="BA3754">
            <v>31</v>
          </cell>
          <cell r="BB3754">
            <v>104.84175270647572</v>
          </cell>
        </row>
        <row r="3755">
          <cell r="AV3755">
            <v>365</v>
          </cell>
          <cell r="AX3755">
            <v>366</v>
          </cell>
          <cell r="AZ3755">
            <v>0.16209999999999999</v>
          </cell>
          <cell r="BA3755">
            <v>31</v>
          </cell>
          <cell r="BB3755">
            <v>104.84175270647572</v>
          </cell>
        </row>
        <row r="3756">
          <cell r="AV3756">
            <v>365</v>
          </cell>
          <cell r="AX3756">
            <v>366</v>
          </cell>
          <cell r="AZ3756">
            <v>0.16209999999999999</v>
          </cell>
          <cell r="BA3756">
            <v>31</v>
          </cell>
          <cell r="BB3756">
            <v>104.84175270647572</v>
          </cell>
        </row>
        <row r="3757">
          <cell r="AV3757">
            <v>365</v>
          </cell>
          <cell r="AX3757">
            <v>366</v>
          </cell>
          <cell r="AZ3757">
            <v>0.16209999999999999</v>
          </cell>
          <cell r="BA3757">
            <v>31</v>
          </cell>
          <cell r="BB3757">
            <v>104.84175270647572</v>
          </cell>
        </row>
        <row r="3758">
          <cell r="AV3758">
            <v>365</v>
          </cell>
          <cell r="AX3758">
            <v>366</v>
          </cell>
          <cell r="AZ3758">
            <v>0.16209999999999999</v>
          </cell>
          <cell r="BA3758">
            <v>31</v>
          </cell>
          <cell r="BB3758">
            <v>104.84175270647572</v>
          </cell>
        </row>
        <row r="3759">
          <cell r="AV3759">
            <v>365</v>
          </cell>
          <cell r="AX3759">
            <v>366</v>
          </cell>
          <cell r="AZ3759">
            <v>0.16209999999999999</v>
          </cell>
          <cell r="BA3759">
            <v>31</v>
          </cell>
          <cell r="BB3759">
            <v>104.84175270647572</v>
          </cell>
        </row>
        <row r="3760">
          <cell r="AV3760">
            <v>365</v>
          </cell>
          <cell r="AX3760">
            <v>366</v>
          </cell>
          <cell r="AZ3760">
            <v>0.16209999999999999</v>
          </cell>
          <cell r="BA3760">
            <v>31</v>
          </cell>
          <cell r="BB3760">
            <v>104.84175270647572</v>
          </cell>
        </row>
        <row r="3761">
          <cell r="AV3761">
            <v>365</v>
          </cell>
          <cell r="AX3761">
            <v>366</v>
          </cell>
          <cell r="AZ3761">
            <v>0.16209999999999999</v>
          </cell>
          <cell r="BA3761">
            <v>31</v>
          </cell>
          <cell r="BB3761">
            <v>104.84175270647572</v>
          </cell>
        </row>
        <row r="3762">
          <cell r="AV3762">
            <v>365</v>
          </cell>
          <cell r="AX3762">
            <v>366</v>
          </cell>
          <cell r="AZ3762">
            <v>0.16209999999999999</v>
          </cell>
          <cell r="BA3762">
            <v>31</v>
          </cell>
          <cell r="BB3762">
            <v>104.84175270647572</v>
          </cell>
        </row>
        <row r="3763">
          <cell r="AV3763">
            <v>365</v>
          </cell>
          <cell r="AX3763">
            <v>366</v>
          </cell>
          <cell r="AZ3763">
            <v>0.16209999999999999</v>
          </cell>
          <cell r="BA3763">
            <v>31</v>
          </cell>
          <cell r="BB3763">
            <v>104.84175270647572</v>
          </cell>
        </row>
        <row r="3764">
          <cell r="AV3764">
            <v>365</v>
          </cell>
          <cell r="AX3764">
            <v>366</v>
          </cell>
          <cell r="AZ3764">
            <v>0.16209999999999999</v>
          </cell>
          <cell r="BA3764">
            <v>31</v>
          </cell>
          <cell r="BB3764">
            <v>104.84175270647572</v>
          </cell>
        </row>
        <row r="3765">
          <cell r="AV3765">
            <v>365</v>
          </cell>
          <cell r="AX3765">
            <v>366</v>
          </cell>
          <cell r="AZ3765">
            <v>0.16209999999999999</v>
          </cell>
          <cell r="BA3765">
            <v>31</v>
          </cell>
          <cell r="BB3765">
            <v>104.84175270647572</v>
          </cell>
        </row>
        <row r="3766">
          <cell r="AV3766">
            <v>365</v>
          </cell>
          <cell r="AX3766">
            <v>366</v>
          </cell>
          <cell r="AZ3766">
            <v>0.16209999999999999</v>
          </cell>
          <cell r="BA3766">
            <v>31</v>
          </cell>
          <cell r="BB3766">
            <v>104.84175270647572</v>
          </cell>
        </row>
        <row r="3767">
          <cell r="AV3767">
            <v>365</v>
          </cell>
          <cell r="AX3767">
            <v>366</v>
          </cell>
          <cell r="AZ3767">
            <v>0.16209999999999999</v>
          </cell>
          <cell r="BA3767">
            <v>31</v>
          </cell>
          <cell r="BB3767">
            <v>104.84175270647572</v>
          </cell>
        </row>
        <row r="3768">
          <cell r="AV3768">
            <v>365</v>
          </cell>
          <cell r="AX3768">
            <v>366</v>
          </cell>
          <cell r="AZ3768">
            <v>0.16209999999999999</v>
          </cell>
          <cell r="BA3768">
            <v>31</v>
          </cell>
          <cell r="BB3768">
            <v>104.84175270647572</v>
          </cell>
        </row>
        <row r="3769">
          <cell r="AV3769">
            <v>365</v>
          </cell>
          <cell r="AX3769">
            <v>366</v>
          </cell>
          <cell r="AZ3769">
            <v>0.16209999999999999</v>
          </cell>
          <cell r="BA3769">
            <v>31</v>
          </cell>
          <cell r="BB3769">
            <v>104.84175270647572</v>
          </cell>
        </row>
        <row r="3770">
          <cell r="AV3770">
            <v>365</v>
          </cell>
          <cell r="AX3770">
            <v>366</v>
          </cell>
          <cell r="AZ3770">
            <v>0.16209999999999999</v>
          </cell>
          <cell r="BA3770">
            <v>31</v>
          </cell>
          <cell r="BB3770">
            <v>104.84175270647572</v>
          </cell>
        </row>
        <row r="3771">
          <cell r="AV3771">
            <v>365</v>
          </cell>
          <cell r="AX3771">
            <v>366</v>
          </cell>
          <cell r="AZ3771">
            <v>0.16209999999999999</v>
          </cell>
          <cell r="BA3771">
            <v>31</v>
          </cell>
          <cell r="BB3771">
            <v>104.84175270647572</v>
          </cell>
        </row>
        <row r="3772">
          <cell r="AV3772">
            <v>365</v>
          </cell>
          <cell r="AX3772">
            <v>366</v>
          </cell>
          <cell r="AZ3772">
            <v>0.16209999999999999</v>
          </cell>
          <cell r="BA3772">
            <v>31</v>
          </cell>
          <cell r="BB3772">
            <v>104.84175270647572</v>
          </cell>
        </row>
        <row r="3773">
          <cell r="AV3773">
            <v>365</v>
          </cell>
          <cell r="AX3773">
            <v>366</v>
          </cell>
          <cell r="AZ3773">
            <v>0.16209999999999999</v>
          </cell>
          <cell r="BA3773">
            <v>31</v>
          </cell>
          <cell r="BB3773">
            <v>104.84175270647572</v>
          </cell>
        </row>
        <row r="3774">
          <cell r="AV3774">
            <v>365</v>
          </cell>
          <cell r="AX3774">
            <v>366</v>
          </cell>
          <cell r="AZ3774">
            <v>0.16209999999999999</v>
          </cell>
          <cell r="BA3774">
            <v>31</v>
          </cell>
          <cell r="BB3774">
            <v>104.84175270647572</v>
          </cell>
        </row>
        <row r="3775">
          <cell r="AV3775">
            <v>365</v>
          </cell>
          <cell r="AX3775">
            <v>366</v>
          </cell>
          <cell r="AZ3775">
            <v>0.16209999999999999</v>
          </cell>
          <cell r="BA3775">
            <v>31</v>
          </cell>
          <cell r="BB3775">
            <v>104.84175270647572</v>
          </cell>
        </row>
        <row r="3776">
          <cell r="AV3776">
            <v>365</v>
          </cell>
          <cell r="AX3776">
            <v>366</v>
          </cell>
          <cell r="AZ3776">
            <v>0.16209999999999999</v>
          </cell>
          <cell r="BA3776">
            <v>31</v>
          </cell>
          <cell r="BB3776">
            <v>104.84175270647572</v>
          </cell>
        </row>
        <row r="3777">
          <cell r="AV3777">
            <v>365</v>
          </cell>
          <cell r="AX3777">
            <v>366</v>
          </cell>
          <cell r="AZ3777">
            <v>0.16209999999999999</v>
          </cell>
          <cell r="BA3777">
            <v>31</v>
          </cell>
          <cell r="BB3777">
            <v>104.84175270647572</v>
          </cell>
        </row>
        <row r="3778">
          <cell r="AV3778">
            <v>365</v>
          </cell>
          <cell r="AX3778">
            <v>366</v>
          </cell>
          <cell r="AZ3778">
            <v>0.16209999999999999</v>
          </cell>
          <cell r="BA3778">
            <v>31</v>
          </cell>
          <cell r="BB3778">
            <v>104.84175270647572</v>
          </cell>
        </row>
        <row r="3779">
          <cell r="AV3779">
            <v>365</v>
          </cell>
          <cell r="AX3779">
            <v>366</v>
          </cell>
          <cell r="AZ3779">
            <v>0.16209999999999999</v>
          </cell>
          <cell r="BA3779">
            <v>31</v>
          </cell>
          <cell r="BB3779">
            <v>104.84175270647572</v>
          </cell>
        </row>
        <row r="3780">
          <cell r="AV3780">
            <v>365</v>
          </cell>
          <cell r="AX3780">
            <v>366</v>
          </cell>
          <cell r="AZ3780">
            <v>0.16209999999999999</v>
          </cell>
          <cell r="BA3780">
            <v>31</v>
          </cell>
          <cell r="BB3780">
            <v>104.84175270647572</v>
          </cell>
        </row>
        <row r="3781">
          <cell r="AV3781">
            <v>365</v>
          </cell>
          <cell r="AX3781">
            <v>366</v>
          </cell>
          <cell r="AZ3781">
            <v>0.16209999999999999</v>
          </cell>
          <cell r="BA3781">
            <v>31</v>
          </cell>
          <cell r="BB3781">
            <v>104.84175270647572</v>
          </cell>
        </row>
        <row r="3782">
          <cell r="AV3782">
            <v>365</v>
          </cell>
          <cell r="AX3782">
            <v>366</v>
          </cell>
          <cell r="AZ3782">
            <v>0.16209999999999999</v>
          </cell>
          <cell r="BA3782">
            <v>31</v>
          </cell>
          <cell r="BB3782">
            <v>104.84175270647572</v>
          </cell>
        </row>
        <row r="3783">
          <cell r="AV3783">
            <v>365</v>
          </cell>
          <cell r="AX3783">
            <v>366</v>
          </cell>
          <cell r="AZ3783">
            <v>0.16209999999999999</v>
          </cell>
          <cell r="BA3783">
            <v>31</v>
          </cell>
          <cell r="BB3783">
            <v>104.84175270647572</v>
          </cell>
        </row>
        <row r="3784">
          <cell r="AV3784">
            <v>365</v>
          </cell>
          <cell r="AX3784">
            <v>366</v>
          </cell>
          <cell r="AZ3784">
            <v>0.16209999999999999</v>
          </cell>
          <cell r="BA3784">
            <v>31</v>
          </cell>
          <cell r="BB3784">
            <v>104.84175270647572</v>
          </cell>
        </row>
        <row r="3785">
          <cell r="AV3785">
            <v>365</v>
          </cell>
          <cell r="AX3785">
            <v>366</v>
          </cell>
          <cell r="AZ3785">
            <v>0.16209999999999999</v>
          </cell>
          <cell r="BA3785">
            <v>31</v>
          </cell>
          <cell r="BB3785">
            <v>104.84175270647572</v>
          </cell>
        </row>
        <row r="3786">
          <cell r="AV3786">
            <v>365</v>
          </cell>
          <cell r="AX3786">
            <v>366</v>
          </cell>
          <cell r="AZ3786">
            <v>0.16209999999999999</v>
          </cell>
          <cell r="BA3786">
            <v>31</v>
          </cell>
          <cell r="BB3786">
            <v>104.84175270647572</v>
          </cell>
        </row>
        <row r="3787">
          <cell r="AV3787">
            <v>365</v>
          </cell>
          <cell r="AX3787">
            <v>366</v>
          </cell>
          <cell r="AZ3787">
            <v>0.16209999999999999</v>
          </cell>
          <cell r="BA3787">
            <v>31</v>
          </cell>
          <cell r="BB3787">
            <v>104.84175270647572</v>
          </cell>
        </row>
        <row r="3788">
          <cell r="AV3788">
            <v>365</v>
          </cell>
          <cell r="AX3788">
            <v>366</v>
          </cell>
          <cell r="AZ3788">
            <v>0.16209999999999999</v>
          </cell>
          <cell r="BA3788">
            <v>31</v>
          </cell>
          <cell r="BB3788">
            <v>104.84175270647572</v>
          </cell>
        </row>
        <row r="3789">
          <cell r="AV3789">
            <v>365</v>
          </cell>
          <cell r="AX3789">
            <v>366</v>
          </cell>
          <cell r="AZ3789">
            <v>0.16209999999999999</v>
          </cell>
          <cell r="BA3789">
            <v>31</v>
          </cell>
          <cell r="BB3789">
            <v>104.84175270647572</v>
          </cell>
        </row>
        <row r="3790">
          <cell r="AV3790">
            <v>365</v>
          </cell>
          <cell r="AX3790">
            <v>366</v>
          </cell>
          <cell r="AZ3790">
            <v>0.16209999999999999</v>
          </cell>
          <cell r="BA3790">
            <v>31</v>
          </cell>
          <cell r="BB3790">
            <v>104.84175270647572</v>
          </cell>
        </row>
        <row r="3791">
          <cell r="AV3791">
            <v>365</v>
          </cell>
          <cell r="AX3791">
            <v>366</v>
          </cell>
          <cell r="AZ3791">
            <v>0.16209999999999999</v>
          </cell>
          <cell r="BA3791">
            <v>31</v>
          </cell>
          <cell r="BB3791">
            <v>104.84175270647572</v>
          </cell>
        </row>
        <row r="3792">
          <cell r="AV3792">
            <v>365</v>
          </cell>
          <cell r="AX3792">
            <v>366</v>
          </cell>
          <cell r="AZ3792">
            <v>0.16209999999999999</v>
          </cell>
          <cell r="BA3792">
            <v>31</v>
          </cell>
          <cell r="BB3792">
            <v>104.84175270647572</v>
          </cell>
        </row>
        <row r="3793">
          <cell r="AV3793">
            <v>365</v>
          </cell>
          <cell r="AX3793">
            <v>366</v>
          </cell>
          <cell r="AZ3793">
            <v>0.16209999999999999</v>
          </cell>
          <cell r="BA3793">
            <v>31</v>
          </cell>
          <cell r="BB3793">
            <v>104.84175270647572</v>
          </cell>
        </row>
        <row r="3794">
          <cell r="AV3794">
            <v>365</v>
          </cell>
          <cell r="AX3794">
            <v>366</v>
          </cell>
          <cell r="AZ3794">
            <v>0.16209999999999999</v>
          </cell>
          <cell r="BA3794">
            <v>31</v>
          </cell>
          <cell r="BB3794">
            <v>104.84175270647572</v>
          </cell>
        </row>
        <row r="3795">
          <cell r="AV3795">
            <v>365</v>
          </cell>
          <cell r="AX3795">
            <v>366</v>
          </cell>
          <cell r="AZ3795">
            <v>0.16209999999999999</v>
          </cell>
          <cell r="BA3795">
            <v>31</v>
          </cell>
          <cell r="BB3795">
            <v>104.84175270647572</v>
          </cell>
        </row>
        <row r="3796">
          <cell r="AV3796">
            <v>365</v>
          </cell>
          <cell r="AX3796">
            <v>366</v>
          </cell>
          <cell r="AZ3796">
            <v>0.16209999999999999</v>
          </cell>
          <cell r="BA3796">
            <v>31</v>
          </cell>
          <cell r="BB3796">
            <v>104.84175270647572</v>
          </cell>
        </row>
        <row r="3797">
          <cell r="AV3797">
            <v>365</v>
          </cell>
          <cell r="AX3797">
            <v>366</v>
          </cell>
          <cell r="AZ3797">
            <v>0.16209999999999999</v>
          </cell>
          <cell r="BA3797">
            <v>31</v>
          </cell>
          <cell r="BB3797">
            <v>104.84175270647572</v>
          </cell>
        </row>
        <row r="3798">
          <cell r="AV3798">
            <v>365</v>
          </cell>
          <cell r="AX3798">
            <v>366</v>
          </cell>
          <cell r="AZ3798">
            <v>0.16209999999999999</v>
          </cell>
          <cell r="BA3798">
            <v>31</v>
          </cell>
          <cell r="BB3798">
            <v>104.84175270647572</v>
          </cell>
        </row>
        <row r="3799">
          <cell r="AV3799">
            <v>365</v>
          </cell>
          <cell r="AX3799">
            <v>366</v>
          </cell>
          <cell r="AZ3799">
            <v>0.16209999999999999</v>
          </cell>
          <cell r="BA3799">
            <v>31</v>
          </cell>
          <cell r="BB3799">
            <v>104.84175270647572</v>
          </cell>
        </row>
        <row r="3800">
          <cell r="AV3800">
            <v>365</v>
          </cell>
          <cell r="AX3800">
            <v>366</v>
          </cell>
          <cell r="AZ3800">
            <v>0.16209999999999999</v>
          </cell>
          <cell r="BA3800">
            <v>31</v>
          </cell>
          <cell r="BB3800">
            <v>104.84175270647572</v>
          </cell>
        </row>
        <row r="3801">
          <cell r="AV3801">
            <v>365</v>
          </cell>
          <cell r="AX3801">
            <v>366</v>
          </cell>
          <cell r="AZ3801">
            <v>0.16209999999999999</v>
          </cell>
          <cell r="BA3801">
            <v>31</v>
          </cell>
          <cell r="BB3801">
            <v>104.84175270647572</v>
          </cell>
        </row>
        <row r="3802">
          <cell r="AV3802">
            <v>365</v>
          </cell>
          <cell r="AX3802">
            <v>366</v>
          </cell>
          <cell r="AZ3802">
            <v>0.16209999999999999</v>
          </cell>
          <cell r="BA3802">
            <v>31</v>
          </cell>
          <cell r="BB3802">
            <v>104.84175270647572</v>
          </cell>
        </row>
        <row r="3803">
          <cell r="AV3803">
            <v>365</v>
          </cell>
          <cell r="AX3803">
            <v>366</v>
          </cell>
          <cell r="AZ3803">
            <v>0.16209999999999999</v>
          </cell>
          <cell r="BA3803">
            <v>31</v>
          </cell>
          <cell r="BB3803">
            <v>104.84175270647572</v>
          </cell>
        </row>
        <row r="3804">
          <cell r="AV3804">
            <v>365</v>
          </cell>
          <cell r="AX3804">
            <v>366</v>
          </cell>
          <cell r="AZ3804">
            <v>0.16209999999999999</v>
          </cell>
          <cell r="BA3804">
            <v>31</v>
          </cell>
          <cell r="BB3804">
            <v>104.84175270647572</v>
          </cell>
        </row>
        <row r="3805">
          <cell r="AV3805">
            <v>365</v>
          </cell>
          <cell r="AX3805">
            <v>366</v>
          </cell>
          <cell r="AZ3805">
            <v>0.16209999999999999</v>
          </cell>
          <cell r="BA3805">
            <v>31</v>
          </cell>
          <cell r="BB3805">
            <v>104.84175270647572</v>
          </cell>
        </row>
        <row r="3806">
          <cell r="AV3806">
            <v>365</v>
          </cell>
          <cell r="AX3806">
            <v>366</v>
          </cell>
          <cell r="AZ3806">
            <v>0.16209999999999999</v>
          </cell>
          <cell r="BA3806">
            <v>31</v>
          </cell>
          <cell r="BB3806">
            <v>104.84175270647572</v>
          </cell>
        </row>
        <row r="3807">
          <cell r="AV3807">
            <v>365</v>
          </cell>
          <cell r="AX3807">
            <v>366</v>
          </cell>
          <cell r="AZ3807">
            <v>0.16209999999999999</v>
          </cell>
          <cell r="BA3807">
            <v>31</v>
          </cell>
          <cell r="BB3807">
            <v>104.84175270647572</v>
          </cell>
        </row>
        <row r="3808">
          <cell r="AV3808">
            <v>365</v>
          </cell>
          <cell r="AX3808">
            <v>366</v>
          </cell>
          <cell r="AZ3808">
            <v>0.16209999999999999</v>
          </cell>
          <cell r="BA3808">
            <v>31</v>
          </cell>
          <cell r="BB3808">
            <v>104.84175270647572</v>
          </cell>
        </row>
        <row r="3809">
          <cell r="AV3809">
            <v>365</v>
          </cell>
          <cell r="AX3809">
            <v>366</v>
          </cell>
          <cell r="AZ3809">
            <v>0.16209999999999999</v>
          </cell>
          <cell r="BA3809">
            <v>31</v>
          </cell>
          <cell r="BB3809">
            <v>104.84175270647572</v>
          </cell>
        </row>
        <row r="3810">
          <cell r="AV3810">
            <v>365</v>
          </cell>
          <cell r="AX3810">
            <v>366</v>
          </cell>
          <cell r="AZ3810">
            <v>0.16209999999999999</v>
          </cell>
          <cell r="BA3810">
            <v>31</v>
          </cell>
          <cell r="BB3810">
            <v>104.84175270647572</v>
          </cell>
        </row>
        <row r="3811">
          <cell r="AV3811">
            <v>365</v>
          </cell>
          <cell r="AX3811">
            <v>366</v>
          </cell>
          <cell r="AZ3811">
            <v>0.16209999999999999</v>
          </cell>
          <cell r="BA3811">
            <v>31</v>
          </cell>
          <cell r="BB3811">
            <v>104.84175270647572</v>
          </cell>
        </row>
        <row r="3812">
          <cell r="D3812" t="str">
            <v>CO</v>
          </cell>
          <cell r="AV3812">
            <v>365</v>
          </cell>
          <cell r="AX3812">
            <v>366</v>
          </cell>
          <cell r="AZ3812">
            <v>0.16209999999999999</v>
          </cell>
          <cell r="BA3812">
            <v>31</v>
          </cell>
          <cell r="BB3812">
            <v>104.84175270647572</v>
          </cell>
        </row>
        <row r="3813">
          <cell r="D3813" t="str">
            <v>CO</v>
          </cell>
          <cell r="AV3813">
            <v>365</v>
          </cell>
          <cell r="AX3813">
            <v>366</v>
          </cell>
          <cell r="AZ3813">
            <v>0.16209999999999999</v>
          </cell>
          <cell r="BA3813">
            <v>31</v>
          </cell>
          <cell r="BB3813">
            <v>104.84175270647572</v>
          </cell>
        </row>
        <row r="3814">
          <cell r="D3814" t="str">
            <v>CO</v>
          </cell>
          <cell r="AV3814">
            <v>365</v>
          </cell>
          <cell r="AX3814">
            <v>366</v>
          </cell>
          <cell r="AZ3814">
            <v>0.16209999999999999</v>
          </cell>
          <cell r="BA3814">
            <v>31</v>
          </cell>
          <cell r="BB3814">
            <v>104.84175270647572</v>
          </cell>
        </row>
        <row r="3815">
          <cell r="D3815" t="str">
            <v>CO</v>
          </cell>
          <cell r="AV3815">
            <v>365</v>
          </cell>
          <cell r="AX3815">
            <v>366</v>
          </cell>
          <cell r="AZ3815">
            <v>0.16209999999999999</v>
          </cell>
          <cell r="BA3815">
            <v>31</v>
          </cell>
          <cell r="BB3815">
            <v>104.84175270647572</v>
          </cell>
        </row>
        <row r="3816">
          <cell r="D3816" t="str">
            <v>CO</v>
          </cell>
          <cell r="AV3816">
            <v>365</v>
          </cell>
          <cell r="AX3816">
            <v>366</v>
          </cell>
          <cell r="AZ3816">
            <v>0.16209999999999999</v>
          </cell>
          <cell r="BA3816">
            <v>31</v>
          </cell>
          <cell r="BB3816">
            <v>104.84175270647572</v>
          </cell>
        </row>
        <row r="3817">
          <cell r="D3817" t="str">
            <v>CO</v>
          </cell>
          <cell r="AV3817">
            <v>365</v>
          </cell>
          <cell r="AX3817">
            <v>366</v>
          </cell>
          <cell r="AZ3817">
            <v>0.16209999999999999</v>
          </cell>
          <cell r="BA3817">
            <v>31</v>
          </cell>
          <cell r="BB3817">
            <v>104.84175270647572</v>
          </cell>
        </row>
        <row r="3818">
          <cell r="D3818" t="str">
            <v>CO</v>
          </cell>
          <cell r="AV3818">
            <v>365</v>
          </cell>
          <cell r="AX3818">
            <v>366</v>
          </cell>
          <cell r="AZ3818">
            <v>0.16209999999999999</v>
          </cell>
          <cell r="BA3818">
            <v>31</v>
          </cell>
          <cell r="BB3818">
            <v>104.84175270647572</v>
          </cell>
        </row>
        <row r="3819">
          <cell r="D3819" t="str">
            <v>CO</v>
          </cell>
          <cell r="AV3819">
            <v>365</v>
          </cell>
          <cell r="AX3819">
            <v>366</v>
          </cell>
          <cell r="AZ3819">
            <v>0.16209999999999999</v>
          </cell>
          <cell r="BA3819">
            <v>31</v>
          </cell>
          <cell r="BB3819">
            <v>104.84175270647572</v>
          </cell>
        </row>
        <row r="3820">
          <cell r="D3820" t="str">
            <v>CO</v>
          </cell>
          <cell r="AV3820">
            <v>365</v>
          </cell>
          <cell r="AX3820">
            <v>366</v>
          </cell>
          <cell r="AZ3820">
            <v>0.16209999999999999</v>
          </cell>
          <cell r="BA3820">
            <v>31</v>
          </cell>
          <cell r="BB3820">
            <v>104.84175270647572</v>
          </cell>
        </row>
        <row r="3821">
          <cell r="D3821" t="str">
            <v>CO</v>
          </cell>
          <cell r="AV3821">
            <v>365</v>
          </cell>
          <cell r="AX3821">
            <v>366</v>
          </cell>
          <cell r="AZ3821">
            <v>0.16209999999999999</v>
          </cell>
          <cell r="BA3821">
            <v>31</v>
          </cell>
          <cell r="BB3821">
            <v>104.84175270647572</v>
          </cell>
        </row>
        <row r="3822">
          <cell r="D3822" t="str">
            <v>CO</v>
          </cell>
          <cell r="AV3822">
            <v>365</v>
          </cell>
          <cell r="AX3822">
            <v>366</v>
          </cell>
          <cell r="AZ3822">
            <v>0.16209999999999999</v>
          </cell>
          <cell r="BA3822">
            <v>31</v>
          </cell>
          <cell r="BB3822">
            <v>104.84175270647572</v>
          </cell>
        </row>
        <row r="3823">
          <cell r="D3823" t="str">
            <v>CO</v>
          </cell>
          <cell r="AV3823">
            <v>365</v>
          </cell>
          <cell r="AX3823">
            <v>366</v>
          </cell>
          <cell r="AZ3823">
            <v>0.16209999999999999</v>
          </cell>
          <cell r="BA3823">
            <v>31</v>
          </cell>
          <cell r="BB3823">
            <v>104.84175270647572</v>
          </cell>
        </row>
        <row r="3824">
          <cell r="D3824" t="str">
            <v>CO</v>
          </cell>
          <cell r="AV3824">
            <v>365</v>
          </cell>
          <cell r="AX3824">
            <v>366</v>
          </cell>
          <cell r="AZ3824">
            <v>0.16209999999999999</v>
          </cell>
          <cell r="BA3824">
            <v>31</v>
          </cell>
          <cell r="BB3824">
            <v>104.84175270647572</v>
          </cell>
        </row>
        <row r="3825">
          <cell r="D3825" t="str">
            <v>CO</v>
          </cell>
          <cell r="AV3825">
            <v>365</v>
          </cell>
          <cell r="AX3825">
            <v>366</v>
          </cell>
          <cell r="AZ3825">
            <v>0.16209999999999999</v>
          </cell>
          <cell r="BA3825">
            <v>31</v>
          </cell>
          <cell r="BB3825">
            <v>104.84175270647572</v>
          </cell>
        </row>
        <row r="3826">
          <cell r="D3826" t="str">
            <v>CO</v>
          </cell>
          <cell r="AV3826">
            <v>365</v>
          </cell>
          <cell r="AX3826">
            <v>366</v>
          </cell>
          <cell r="AZ3826">
            <v>0.16209999999999999</v>
          </cell>
          <cell r="BA3826">
            <v>31</v>
          </cell>
          <cell r="BB3826">
            <v>104.84175270647572</v>
          </cell>
        </row>
        <row r="3827">
          <cell r="D3827" t="str">
            <v>CO</v>
          </cell>
          <cell r="AV3827">
            <v>365</v>
          </cell>
          <cell r="AX3827">
            <v>366</v>
          </cell>
          <cell r="AZ3827">
            <v>0.16209999999999999</v>
          </cell>
          <cell r="BA3827">
            <v>31</v>
          </cell>
          <cell r="BB3827">
            <v>104.84175270647572</v>
          </cell>
        </row>
        <row r="3828">
          <cell r="D3828" t="str">
            <v>CO</v>
          </cell>
          <cell r="AV3828">
            <v>365</v>
          </cell>
          <cell r="AX3828">
            <v>366</v>
          </cell>
          <cell r="AZ3828">
            <v>0.16209999999999999</v>
          </cell>
          <cell r="BA3828">
            <v>31</v>
          </cell>
          <cell r="BB3828">
            <v>104.84175270647572</v>
          </cell>
        </row>
        <row r="3829">
          <cell r="D3829" t="str">
            <v>CO</v>
          </cell>
          <cell r="AV3829">
            <v>365</v>
          </cell>
          <cell r="AX3829">
            <v>366</v>
          </cell>
          <cell r="AZ3829">
            <v>0.16209999999999999</v>
          </cell>
          <cell r="BA3829">
            <v>31</v>
          </cell>
          <cell r="BB3829">
            <v>104.84175270647572</v>
          </cell>
        </row>
        <row r="3830">
          <cell r="AV3830">
            <v>365</v>
          </cell>
          <cell r="AX3830">
            <v>366</v>
          </cell>
          <cell r="AZ3830">
            <v>0.16209999999999999</v>
          </cell>
          <cell r="BA3830">
            <v>31</v>
          </cell>
          <cell r="BB3830">
            <v>302.19093427160641</v>
          </cell>
        </row>
        <row r="3831">
          <cell r="AV3831">
            <v>365</v>
          </cell>
          <cell r="AX3831">
            <v>366</v>
          </cell>
          <cell r="AZ3831">
            <v>0.16209999999999999</v>
          </cell>
          <cell r="BA3831">
            <v>31</v>
          </cell>
          <cell r="BB3831">
            <v>302.19093427160641</v>
          </cell>
        </row>
        <row r="3832">
          <cell r="AV3832">
            <v>365</v>
          </cell>
          <cell r="AX3832">
            <v>366</v>
          </cell>
          <cell r="AZ3832">
            <v>0.16209999999999999</v>
          </cell>
          <cell r="BA3832">
            <v>31</v>
          </cell>
          <cell r="BB3832">
            <v>302.19093427160641</v>
          </cell>
        </row>
        <row r="3833">
          <cell r="AV3833">
            <v>365</v>
          </cell>
          <cell r="AX3833">
            <v>366</v>
          </cell>
          <cell r="AZ3833">
            <v>0.16209999999999999</v>
          </cell>
          <cell r="BA3833">
            <v>31</v>
          </cell>
          <cell r="BB3833">
            <v>302.19093427160641</v>
          </cell>
        </row>
        <row r="3834">
          <cell r="AV3834">
            <v>365</v>
          </cell>
          <cell r="AX3834">
            <v>366</v>
          </cell>
          <cell r="AZ3834">
            <v>0.16209999999999999</v>
          </cell>
          <cell r="BA3834">
            <v>31</v>
          </cell>
          <cell r="BB3834">
            <v>302.19093427160641</v>
          </cell>
        </row>
        <row r="3835">
          <cell r="AV3835">
            <v>365</v>
          </cell>
          <cell r="AX3835">
            <v>366</v>
          </cell>
          <cell r="AZ3835">
            <v>0.16209999999999999</v>
          </cell>
          <cell r="BA3835">
            <v>31</v>
          </cell>
          <cell r="BB3835">
            <v>302.19093427160641</v>
          </cell>
        </row>
        <row r="3836">
          <cell r="AV3836">
            <v>365</v>
          </cell>
          <cell r="AX3836">
            <v>366</v>
          </cell>
          <cell r="AZ3836">
            <v>0.16209999999999999</v>
          </cell>
          <cell r="BA3836">
            <v>31</v>
          </cell>
          <cell r="BB3836">
            <v>302.19093427160641</v>
          </cell>
        </row>
        <row r="3837">
          <cell r="AV3837">
            <v>365</v>
          </cell>
          <cell r="AX3837">
            <v>366</v>
          </cell>
          <cell r="AZ3837">
            <v>0.16209999999999999</v>
          </cell>
          <cell r="BA3837">
            <v>31</v>
          </cell>
          <cell r="BB3837">
            <v>302.19093427160641</v>
          </cell>
        </row>
        <row r="3838">
          <cell r="AV3838">
            <v>365</v>
          </cell>
          <cell r="AX3838">
            <v>366</v>
          </cell>
          <cell r="AZ3838">
            <v>0.16209999999999999</v>
          </cell>
          <cell r="BA3838">
            <v>31</v>
          </cell>
          <cell r="BB3838">
            <v>302.19093427160641</v>
          </cell>
        </row>
        <row r="3839">
          <cell r="AV3839">
            <v>365</v>
          </cell>
          <cell r="AX3839">
            <v>366</v>
          </cell>
          <cell r="AZ3839">
            <v>0.16209999999999999</v>
          </cell>
          <cell r="BA3839">
            <v>31</v>
          </cell>
          <cell r="BB3839">
            <v>302.19093427160641</v>
          </cell>
        </row>
        <row r="3840">
          <cell r="AV3840">
            <v>365</v>
          </cell>
          <cell r="AX3840">
            <v>366</v>
          </cell>
          <cell r="AZ3840">
            <v>0.16209999999999999</v>
          </cell>
          <cell r="BA3840">
            <v>31</v>
          </cell>
          <cell r="BB3840">
            <v>302.19093427160641</v>
          </cell>
        </row>
        <row r="3841">
          <cell r="AV3841">
            <v>365</v>
          </cell>
          <cell r="AX3841">
            <v>366</v>
          </cell>
          <cell r="AZ3841">
            <v>0.16209999999999999</v>
          </cell>
          <cell r="BA3841">
            <v>31</v>
          </cell>
          <cell r="BB3841">
            <v>302.19093427160641</v>
          </cell>
        </row>
        <row r="3842">
          <cell r="AV3842">
            <v>365</v>
          </cell>
          <cell r="AX3842">
            <v>366</v>
          </cell>
          <cell r="AZ3842">
            <v>0.16209999999999999</v>
          </cell>
          <cell r="BA3842">
            <v>31</v>
          </cell>
          <cell r="BB3842">
            <v>302.19093427160641</v>
          </cell>
        </row>
        <row r="3843">
          <cell r="AV3843">
            <v>365</v>
          </cell>
          <cell r="AX3843">
            <v>366</v>
          </cell>
          <cell r="AZ3843">
            <v>0.16209999999999999</v>
          </cell>
          <cell r="BA3843">
            <v>31</v>
          </cell>
          <cell r="BB3843">
            <v>302.19093427160641</v>
          </cell>
        </row>
        <row r="3844">
          <cell r="AV3844">
            <v>365</v>
          </cell>
          <cell r="AX3844">
            <v>366</v>
          </cell>
          <cell r="AZ3844">
            <v>0.16209999999999999</v>
          </cell>
          <cell r="BA3844">
            <v>31</v>
          </cell>
          <cell r="BB3844">
            <v>302.19093427160641</v>
          </cell>
        </row>
        <row r="3845">
          <cell r="AV3845">
            <v>365</v>
          </cell>
          <cell r="AX3845">
            <v>366</v>
          </cell>
          <cell r="AZ3845">
            <v>0.16209999999999999</v>
          </cell>
          <cell r="BA3845">
            <v>31</v>
          </cell>
          <cell r="BB3845">
            <v>302.19093427160641</v>
          </cell>
        </row>
        <row r="3846">
          <cell r="AV3846">
            <v>365</v>
          </cell>
          <cell r="AX3846">
            <v>366</v>
          </cell>
          <cell r="AZ3846">
            <v>0.16209999999999999</v>
          </cell>
          <cell r="BA3846">
            <v>31</v>
          </cell>
          <cell r="BB3846">
            <v>302.19093427160641</v>
          </cell>
        </row>
        <row r="3847">
          <cell r="AV3847">
            <v>365</v>
          </cell>
          <cell r="AX3847">
            <v>366</v>
          </cell>
          <cell r="AZ3847">
            <v>0.16209999999999999</v>
          </cell>
          <cell r="BA3847">
            <v>31</v>
          </cell>
          <cell r="BB3847">
            <v>302.19093427160641</v>
          </cell>
        </row>
        <row r="3848">
          <cell r="AV3848">
            <v>365</v>
          </cell>
          <cell r="AX3848">
            <v>366</v>
          </cell>
          <cell r="AZ3848">
            <v>0.16209999999999999</v>
          </cell>
          <cell r="BA3848">
            <v>31</v>
          </cell>
          <cell r="BB3848">
            <v>302.19093427160641</v>
          </cell>
        </row>
        <row r="3849">
          <cell r="AV3849">
            <v>365</v>
          </cell>
          <cell r="AX3849">
            <v>366</v>
          </cell>
          <cell r="AZ3849">
            <v>0.16209999999999999</v>
          </cell>
          <cell r="BA3849">
            <v>31</v>
          </cell>
          <cell r="BB3849">
            <v>302.19093427160641</v>
          </cell>
        </row>
        <row r="3850">
          <cell r="AV3850">
            <v>365</v>
          </cell>
          <cell r="AX3850">
            <v>366</v>
          </cell>
          <cell r="AZ3850">
            <v>0.16209999999999999</v>
          </cell>
          <cell r="BA3850">
            <v>31</v>
          </cell>
          <cell r="BB3850">
            <v>302.19093427160641</v>
          </cell>
        </row>
        <row r="3851">
          <cell r="AV3851">
            <v>365</v>
          </cell>
          <cell r="AX3851">
            <v>366</v>
          </cell>
          <cell r="AZ3851">
            <v>0.16209999999999999</v>
          </cell>
          <cell r="BA3851">
            <v>31</v>
          </cell>
          <cell r="BB3851">
            <v>302.19093427160641</v>
          </cell>
        </row>
        <row r="3852">
          <cell r="AV3852">
            <v>365</v>
          </cell>
          <cell r="AX3852">
            <v>366</v>
          </cell>
          <cell r="AZ3852">
            <v>0.16209999999999999</v>
          </cell>
          <cell r="BA3852">
            <v>31</v>
          </cell>
          <cell r="BB3852">
            <v>302.19093427160641</v>
          </cell>
        </row>
        <row r="3853">
          <cell r="AV3853">
            <v>365</v>
          </cell>
          <cell r="AX3853">
            <v>366</v>
          </cell>
          <cell r="AZ3853">
            <v>0.16209999999999999</v>
          </cell>
          <cell r="BA3853">
            <v>31</v>
          </cell>
          <cell r="BB3853">
            <v>302.19093427160641</v>
          </cell>
        </row>
        <row r="3854">
          <cell r="AV3854">
            <v>365</v>
          </cell>
          <cell r="AX3854">
            <v>366</v>
          </cell>
          <cell r="AZ3854">
            <v>0.16209999999999999</v>
          </cell>
          <cell r="BA3854">
            <v>31</v>
          </cell>
          <cell r="BB3854">
            <v>302.19093427160641</v>
          </cell>
        </row>
        <row r="3855">
          <cell r="AV3855">
            <v>365</v>
          </cell>
          <cell r="AX3855">
            <v>366</v>
          </cell>
          <cell r="AZ3855">
            <v>0.16209999999999999</v>
          </cell>
          <cell r="BA3855">
            <v>31</v>
          </cell>
          <cell r="BB3855">
            <v>302.19093427160641</v>
          </cell>
        </row>
        <row r="3856">
          <cell r="AV3856">
            <v>365</v>
          </cell>
          <cell r="AX3856">
            <v>366</v>
          </cell>
          <cell r="AZ3856">
            <v>0.16209999999999999</v>
          </cell>
          <cell r="BA3856">
            <v>31</v>
          </cell>
          <cell r="BB3856">
            <v>302.19093427160641</v>
          </cell>
        </row>
        <row r="3857">
          <cell r="AV3857">
            <v>365</v>
          </cell>
          <cell r="AX3857">
            <v>366</v>
          </cell>
          <cell r="AZ3857">
            <v>0.16209999999999999</v>
          </cell>
          <cell r="BA3857">
            <v>31</v>
          </cell>
          <cell r="BB3857">
            <v>302.19093427160641</v>
          </cell>
        </row>
        <row r="3858">
          <cell r="AV3858">
            <v>365</v>
          </cell>
          <cell r="AX3858">
            <v>366</v>
          </cell>
          <cell r="AZ3858">
            <v>0.16209999999999999</v>
          </cell>
          <cell r="BA3858">
            <v>31</v>
          </cell>
          <cell r="BB3858">
            <v>302.19093427160641</v>
          </cell>
        </row>
        <row r="3859">
          <cell r="AV3859">
            <v>365</v>
          </cell>
          <cell r="AX3859">
            <v>366</v>
          </cell>
          <cell r="AZ3859">
            <v>0.16209999999999999</v>
          </cell>
          <cell r="BA3859">
            <v>31</v>
          </cell>
          <cell r="BB3859">
            <v>302.19093427160641</v>
          </cell>
        </row>
        <row r="3860">
          <cell r="AV3860">
            <v>365</v>
          </cell>
          <cell r="AX3860">
            <v>366</v>
          </cell>
          <cell r="AZ3860">
            <v>0.16209999999999999</v>
          </cell>
          <cell r="BA3860">
            <v>31</v>
          </cell>
          <cell r="BB3860">
            <v>302.19093427160641</v>
          </cell>
        </row>
        <row r="3861">
          <cell r="AV3861">
            <v>365</v>
          </cell>
          <cell r="AX3861">
            <v>366</v>
          </cell>
          <cell r="AZ3861">
            <v>0.16209999999999999</v>
          </cell>
          <cell r="BA3861">
            <v>31</v>
          </cell>
          <cell r="BB3861">
            <v>302.19093427160641</v>
          </cell>
        </row>
        <row r="3862">
          <cell r="AV3862">
            <v>365</v>
          </cell>
          <cell r="AX3862">
            <v>366</v>
          </cell>
          <cell r="AZ3862">
            <v>0.16209999999999999</v>
          </cell>
          <cell r="BA3862">
            <v>31</v>
          </cell>
          <cell r="BB3862">
            <v>302.19093427160641</v>
          </cell>
        </row>
        <row r="3863">
          <cell r="AV3863">
            <v>365</v>
          </cell>
          <cell r="AX3863">
            <v>366</v>
          </cell>
          <cell r="AZ3863">
            <v>0.16209999999999999</v>
          </cell>
          <cell r="BA3863">
            <v>31</v>
          </cell>
          <cell r="BB3863">
            <v>302.19093427160641</v>
          </cell>
        </row>
        <row r="3864">
          <cell r="AV3864">
            <v>365</v>
          </cell>
          <cell r="AX3864">
            <v>366</v>
          </cell>
          <cell r="AZ3864">
            <v>0.16209999999999999</v>
          </cell>
          <cell r="BA3864">
            <v>31</v>
          </cell>
          <cell r="BB3864">
            <v>302.19093427160641</v>
          </cell>
        </row>
        <row r="3865">
          <cell r="AV3865">
            <v>365</v>
          </cell>
          <cell r="AX3865">
            <v>366</v>
          </cell>
          <cell r="AZ3865">
            <v>0.16209999999999999</v>
          </cell>
          <cell r="BA3865">
            <v>31</v>
          </cell>
          <cell r="BB3865">
            <v>302.19093427160641</v>
          </cell>
        </row>
        <row r="3866">
          <cell r="AV3866">
            <v>365</v>
          </cell>
          <cell r="AX3866">
            <v>366</v>
          </cell>
          <cell r="AZ3866">
            <v>0.16209999999999999</v>
          </cell>
          <cell r="BA3866">
            <v>31</v>
          </cell>
          <cell r="BB3866">
            <v>302.19093427160641</v>
          </cell>
        </row>
        <row r="3867">
          <cell r="AV3867">
            <v>365</v>
          </cell>
          <cell r="AX3867">
            <v>366</v>
          </cell>
          <cell r="AZ3867">
            <v>0.16209999999999999</v>
          </cell>
          <cell r="BA3867">
            <v>31</v>
          </cell>
          <cell r="BB3867">
            <v>302.19093427160641</v>
          </cell>
        </row>
        <row r="3868">
          <cell r="AV3868">
            <v>365</v>
          </cell>
          <cell r="AX3868">
            <v>366</v>
          </cell>
          <cell r="AZ3868">
            <v>0.16209999999999999</v>
          </cell>
          <cell r="BA3868">
            <v>31</v>
          </cell>
          <cell r="BB3868">
            <v>302.19093427160641</v>
          </cell>
        </row>
        <row r="3869">
          <cell r="AV3869">
            <v>365</v>
          </cell>
          <cell r="AX3869">
            <v>366</v>
          </cell>
          <cell r="AZ3869">
            <v>0.16209999999999999</v>
          </cell>
          <cell r="BA3869">
            <v>31</v>
          </cell>
          <cell r="BB3869">
            <v>302.19093427160641</v>
          </cell>
        </row>
        <row r="3870">
          <cell r="AV3870">
            <v>365</v>
          </cell>
          <cell r="AX3870">
            <v>366</v>
          </cell>
          <cell r="AZ3870">
            <v>0.16209999999999999</v>
          </cell>
          <cell r="BA3870">
            <v>31</v>
          </cell>
          <cell r="BB3870">
            <v>302.19093427160641</v>
          </cell>
        </row>
        <row r="3871">
          <cell r="AV3871">
            <v>365</v>
          </cell>
          <cell r="AX3871">
            <v>366</v>
          </cell>
          <cell r="AZ3871">
            <v>0.16209999999999999</v>
          </cell>
          <cell r="BA3871">
            <v>31</v>
          </cell>
          <cell r="BB3871">
            <v>302.19093427160641</v>
          </cell>
        </row>
        <row r="3872">
          <cell r="AV3872">
            <v>365</v>
          </cell>
          <cell r="AX3872">
            <v>366</v>
          </cell>
          <cell r="AZ3872">
            <v>0.16209999999999999</v>
          </cell>
          <cell r="BA3872">
            <v>31</v>
          </cell>
          <cell r="BB3872">
            <v>302.19093427160641</v>
          </cell>
        </row>
        <row r="3873">
          <cell r="AV3873">
            <v>365</v>
          </cell>
          <cell r="AX3873">
            <v>366</v>
          </cell>
          <cell r="AZ3873">
            <v>0.16209999999999999</v>
          </cell>
          <cell r="BA3873">
            <v>31</v>
          </cell>
          <cell r="BB3873">
            <v>302.19093427160641</v>
          </cell>
        </row>
        <row r="3874">
          <cell r="AV3874">
            <v>365</v>
          </cell>
          <cell r="AX3874">
            <v>366</v>
          </cell>
          <cell r="AZ3874">
            <v>0.16209999999999999</v>
          </cell>
          <cell r="BA3874">
            <v>31</v>
          </cell>
          <cell r="BB3874">
            <v>302.19093427160641</v>
          </cell>
        </row>
        <row r="3875">
          <cell r="AV3875">
            <v>365</v>
          </cell>
          <cell r="AX3875">
            <v>366</v>
          </cell>
          <cell r="AZ3875">
            <v>0.16209999999999999</v>
          </cell>
          <cell r="BA3875">
            <v>31</v>
          </cell>
          <cell r="BB3875">
            <v>302.19093427160641</v>
          </cell>
        </row>
        <row r="3876">
          <cell r="AV3876">
            <v>365</v>
          </cell>
          <cell r="AX3876">
            <v>366</v>
          </cell>
          <cell r="AZ3876">
            <v>0.16209999999999999</v>
          </cell>
          <cell r="BA3876">
            <v>31</v>
          </cell>
          <cell r="BB3876">
            <v>302.19093427160641</v>
          </cell>
        </row>
        <row r="3877">
          <cell r="AV3877">
            <v>365</v>
          </cell>
          <cell r="AX3877">
            <v>366</v>
          </cell>
          <cell r="AZ3877">
            <v>0.16209999999999999</v>
          </cell>
          <cell r="BA3877">
            <v>31</v>
          </cell>
          <cell r="BB3877">
            <v>302.19093427160641</v>
          </cell>
        </row>
        <row r="3878">
          <cell r="AV3878">
            <v>365</v>
          </cell>
          <cell r="AX3878">
            <v>366</v>
          </cell>
          <cell r="AZ3878">
            <v>0.16209999999999999</v>
          </cell>
          <cell r="BA3878">
            <v>31</v>
          </cell>
          <cell r="BB3878">
            <v>302.19093427160641</v>
          </cell>
        </row>
        <row r="3879">
          <cell r="AV3879">
            <v>365</v>
          </cell>
          <cell r="AX3879">
            <v>366</v>
          </cell>
          <cell r="AZ3879">
            <v>0.16209999999999999</v>
          </cell>
          <cell r="BA3879">
            <v>31</v>
          </cell>
          <cell r="BB3879">
            <v>302.19093427160641</v>
          </cell>
        </row>
        <row r="3880">
          <cell r="AV3880">
            <v>365</v>
          </cell>
          <cell r="AX3880">
            <v>366</v>
          </cell>
          <cell r="AZ3880">
            <v>0.16209999999999999</v>
          </cell>
          <cell r="BA3880">
            <v>31</v>
          </cell>
          <cell r="BB3880">
            <v>302.19093427160641</v>
          </cell>
        </row>
        <row r="3881">
          <cell r="AV3881">
            <v>365</v>
          </cell>
          <cell r="AX3881">
            <v>366</v>
          </cell>
          <cell r="AZ3881">
            <v>0.16209999999999999</v>
          </cell>
          <cell r="BA3881">
            <v>31</v>
          </cell>
          <cell r="BB3881">
            <v>302.19093427160641</v>
          </cell>
        </row>
        <row r="3882">
          <cell r="AV3882">
            <v>365</v>
          </cell>
          <cell r="AX3882">
            <v>366</v>
          </cell>
          <cell r="AZ3882">
            <v>0.16209999999999999</v>
          </cell>
          <cell r="BA3882">
            <v>31</v>
          </cell>
          <cell r="BB3882">
            <v>302.19093427160641</v>
          </cell>
        </row>
        <row r="3883">
          <cell r="AV3883">
            <v>365</v>
          </cell>
          <cell r="AX3883">
            <v>366</v>
          </cell>
          <cell r="AZ3883">
            <v>0.16209999999999999</v>
          </cell>
          <cell r="BA3883">
            <v>31</v>
          </cell>
          <cell r="BB3883">
            <v>302.19093427160641</v>
          </cell>
        </row>
        <row r="3884">
          <cell r="AV3884">
            <v>365</v>
          </cell>
          <cell r="AX3884">
            <v>366</v>
          </cell>
          <cell r="AZ3884">
            <v>0.16209999999999999</v>
          </cell>
          <cell r="BA3884">
            <v>31</v>
          </cell>
          <cell r="BB3884">
            <v>302.19093427160641</v>
          </cell>
        </row>
        <row r="3885">
          <cell r="AV3885">
            <v>365</v>
          </cell>
          <cell r="AX3885">
            <v>366</v>
          </cell>
          <cell r="AZ3885">
            <v>0.16209999999999999</v>
          </cell>
          <cell r="BA3885">
            <v>31</v>
          </cell>
          <cell r="BB3885">
            <v>302.19093427160641</v>
          </cell>
        </row>
        <row r="3886">
          <cell r="AV3886">
            <v>365</v>
          </cell>
          <cell r="AX3886">
            <v>366</v>
          </cell>
          <cell r="AZ3886">
            <v>0.16209999999999999</v>
          </cell>
          <cell r="BA3886">
            <v>31</v>
          </cell>
          <cell r="BB3886">
            <v>302.19093427160641</v>
          </cell>
        </row>
        <row r="3887">
          <cell r="AV3887">
            <v>365</v>
          </cell>
          <cell r="AX3887">
            <v>366</v>
          </cell>
          <cell r="AZ3887">
            <v>0.16209999999999999</v>
          </cell>
          <cell r="BA3887">
            <v>31</v>
          </cell>
          <cell r="BB3887">
            <v>302.19093427160641</v>
          </cell>
        </row>
        <row r="3888">
          <cell r="AV3888">
            <v>365</v>
          </cell>
          <cell r="AX3888">
            <v>366</v>
          </cell>
          <cell r="AZ3888">
            <v>0.16209999999999999</v>
          </cell>
          <cell r="BA3888">
            <v>31</v>
          </cell>
          <cell r="BB3888">
            <v>302.19093427160641</v>
          </cell>
        </row>
        <row r="3889">
          <cell r="AV3889">
            <v>365</v>
          </cell>
          <cell r="AX3889">
            <v>366</v>
          </cell>
          <cell r="AZ3889">
            <v>0.16209999999999999</v>
          </cell>
          <cell r="BA3889">
            <v>31</v>
          </cell>
          <cell r="BB3889">
            <v>302.19093427160641</v>
          </cell>
        </row>
        <row r="3890">
          <cell r="AV3890">
            <v>365</v>
          </cell>
          <cell r="AX3890">
            <v>366</v>
          </cell>
          <cell r="AZ3890">
            <v>0.16209999999999999</v>
          </cell>
          <cell r="BA3890">
            <v>31</v>
          </cell>
          <cell r="BB3890">
            <v>302.19093427160641</v>
          </cell>
        </row>
        <row r="3891">
          <cell r="AV3891">
            <v>365</v>
          </cell>
          <cell r="AX3891">
            <v>366</v>
          </cell>
          <cell r="AZ3891">
            <v>0.16209999999999999</v>
          </cell>
          <cell r="BA3891">
            <v>31</v>
          </cell>
          <cell r="BB3891">
            <v>302.19093427160641</v>
          </cell>
        </row>
        <row r="3892">
          <cell r="AV3892">
            <v>365</v>
          </cell>
          <cell r="AX3892">
            <v>366</v>
          </cell>
          <cell r="AZ3892">
            <v>0.16209999999999999</v>
          </cell>
          <cell r="BA3892">
            <v>31</v>
          </cell>
          <cell r="BB3892">
            <v>302.19093427160641</v>
          </cell>
        </row>
        <row r="3893">
          <cell r="AV3893">
            <v>365</v>
          </cell>
          <cell r="AX3893">
            <v>366</v>
          </cell>
          <cell r="AZ3893">
            <v>0.16209999999999999</v>
          </cell>
          <cell r="BA3893">
            <v>31</v>
          </cell>
          <cell r="BB3893">
            <v>302.19093427160641</v>
          </cell>
        </row>
        <row r="3894">
          <cell r="AV3894">
            <v>365</v>
          </cell>
          <cell r="AX3894">
            <v>366</v>
          </cell>
          <cell r="AZ3894">
            <v>0.16209999999999999</v>
          </cell>
          <cell r="BA3894">
            <v>31</v>
          </cell>
          <cell r="BB3894">
            <v>302.19093427160641</v>
          </cell>
        </row>
        <row r="3895">
          <cell r="AV3895">
            <v>365</v>
          </cell>
          <cell r="AX3895">
            <v>366</v>
          </cell>
          <cell r="AZ3895">
            <v>0.16209999999999999</v>
          </cell>
          <cell r="BA3895">
            <v>31</v>
          </cell>
          <cell r="BB3895">
            <v>302.19093427160641</v>
          </cell>
        </row>
        <row r="3896">
          <cell r="AV3896">
            <v>365</v>
          </cell>
          <cell r="AX3896">
            <v>366</v>
          </cell>
          <cell r="AZ3896">
            <v>0.16209999999999999</v>
          </cell>
          <cell r="BA3896">
            <v>31</v>
          </cell>
          <cell r="BB3896">
            <v>302.19093427160641</v>
          </cell>
        </row>
        <row r="3897">
          <cell r="AV3897">
            <v>365</v>
          </cell>
          <cell r="AX3897">
            <v>366</v>
          </cell>
          <cell r="AZ3897">
            <v>0.16209999999999999</v>
          </cell>
          <cell r="BA3897">
            <v>31</v>
          </cell>
          <cell r="BB3897">
            <v>302.19093427160641</v>
          </cell>
        </row>
        <row r="3898">
          <cell r="AV3898">
            <v>365</v>
          </cell>
          <cell r="AX3898">
            <v>366</v>
          </cell>
          <cell r="AZ3898">
            <v>0.16209999999999999</v>
          </cell>
          <cell r="BA3898">
            <v>31</v>
          </cell>
          <cell r="BB3898">
            <v>302.19093427160641</v>
          </cell>
        </row>
        <row r="3899">
          <cell r="AV3899">
            <v>365</v>
          </cell>
          <cell r="AX3899">
            <v>366</v>
          </cell>
          <cell r="AZ3899">
            <v>0.16209999999999999</v>
          </cell>
          <cell r="BA3899">
            <v>31</v>
          </cell>
          <cell r="BB3899">
            <v>302.19093427160641</v>
          </cell>
        </row>
        <row r="3900">
          <cell r="AV3900">
            <v>365</v>
          </cell>
          <cell r="AX3900">
            <v>366</v>
          </cell>
          <cell r="AZ3900">
            <v>0.16209999999999999</v>
          </cell>
          <cell r="BA3900">
            <v>31</v>
          </cell>
          <cell r="BB3900">
            <v>302.19093427160641</v>
          </cell>
        </row>
        <row r="3901">
          <cell r="AV3901">
            <v>365</v>
          </cell>
          <cell r="AX3901">
            <v>366</v>
          </cell>
          <cell r="AZ3901">
            <v>0.16209999999999999</v>
          </cell>
          <cell r="BA3901">
            <v>31</v>
          </cell>
          <cell r="BB3901">
            <v>302.19093427160641</v>
          </cell>
        </row>
        <row r="3902">
          <cell r="AV3902">
            <v>365</v>
          </cell>
          <cell r="AX3902">
            <v>366</v>
          </cell>
          <cell r="AZ3902">
            <v>0.16209999999999999</v>
          </cell>
          <cell r="BA3902">
            <v>31</v>
          </cell>
          <cell r="BB3902">
            <v>302.19093427160641</v>
          </cell>
        </row>
        <row r="3903">
          <cell r="AV3903">
            <v>365</v>
          </cell>
          <cell r="AX3903">
            <v>366</v>
          </cell>
          <cell r="AZ3903">
            <v>0.16209999999999999</v>
          </cell>
          <cell r="BA3903">
            <v>31</v>
          </cell>
          <cell r="BB3903">
            <v>302.19093427160641</v>
          </cell>
        </row>
        <row r="3904">
          <cell r="AV3904">
            <v>365</v>
          </cell>
          <cell r="AX3904">
            <v>366</v>
          </cell>
          <cell r="AZ3904">
            <v>0.16209999999999999</v>
          </cell>
          <cell r="BA3904">
            <v>31</v>
          </cell>
          <cell r="BB3904">
            <v>302.19093427160641</v>
          </cell>
        </row>
        <row r="3905">
          <cell r="AV3905">
            <v>365</v>
          </cell>
          <cell r="AX3905">
            <v>366</v>
          </cell>
          <cell r="AZ3905">
            <v>0.16209999999999999</v>
          </cell>
          <cell r="BA3905">
            <v>31</v>
          </cell>
          <cell r="BB3905">
            <v>302.19093427160641</v>
          </cell>
        </row>
        <row r="3906">
          <cell r="AV3906">
            <v>365</v>
          </cell>
          <cell r="AX3906">
            <v>366</v>
          </cell>
          <cell r="AZ3906">
            <v>0.16209999999999999</v>
          </cell>
          <cell r="BA3906">
            <v>31</v>
          </cell>
          <cell r="BB3906">
            <v>302.19093427160641</v>
          </cell>
        </row>
        <row r="3907">
          <cell r="AV3907">
            <v>365</v>
          </cell>
          <cell r="AX3907">
            <v>366</v>
          </cell>
          <cell r="AZ3907">
            <v>0.16209999999999999</v>
          </cell>
          <cell r="BA3907">
            <v>31</v>
          </cell>
          <cell r="BB3907">
            <v>302.19093427160641</v>
          </cell>
        </row>
        <row r="3908">
          <cell r="AV3908">
            <v>365</v>
          </cell>
          <cell r="AX3908">
            <v>366</v>
          </cell>
          <cell r="AZ3908">
            <v>0.16209999999999999</v>
          </cell>
          <cell r="BA3908">
            <v>31</v>
          </cell>
          <cell r="BB3908">
            <v>302.19093427160641</v>
          </cell>
        </row>
        <row r="3909">
          <cell r="AV3909">
            <v>365</v>
          </cell>
          <cell r="AX3909">
            <v>366</v>
          </cell>
          <cell r="AZ3909">
            <v>0.16209999999999999</v>
          </cell>
          <cell r="BA3909">
            <v>31</v>
          </cell>
          <cell r="BB3909">
            <v>302.19093427160641</v>
          </cell>
        </row>
        <row r="3910">
          <cell r="AV3910">
            <v>365</v>
          </cell>
          <cell r="AX3910">
            <v>366</v>
          </cell>
          <cell r="AZ3910">
            <v>0.16209999999999999</v>
          </cell>
          <cell r="BA3910">
            <v>31</v>
          </cell>
          <cell r="BB3910">
            <v>302.19093427160641</v>
          </cell>
        </row>
        <row r="3911">
          <cell r="AV3911">
            <v>365</v>
          </cell>
          <cell r="AX3911">
            <v>366</v>
          </cell>
          <cell r="AZ3911">
            <v>0.16209999999999999</v>
          </cell>
          <cell r="BA3911">
            <v>31</v>
          </cell>
          <cell r="BB3911">
            <v>302.19093427160641</v>
          </cell>
        </row>
        <row r="3912">
          <cell r="D3912" t="str">
            <v>CO</v>
          </cell>
          <cell r="AV3912">
            <v>365</v>
          </cell>
          <cell r="AX3912">
            <v>366</v>
          </cell>
          <cell r="AZ3912">
            <v>0.16209999999999999</v>
          </cell>
          <cell r="BA3912">
            <v>31</v>
          </cell>
          <cell r="BB3912">
            <v>302.19093427160641</v>
          </cell>
        </row>
        <row r="3913">
          <cell r="D3913" t="str">
            <v>CO</v>
          </cell>
          <cell r="AV3913">
            <v>365</v>
          </cell>
          <cell r="AX3913">
            <v>366</v>
          </cell>
          <cell r="AZ3913">
            <v>0.16209999999999999</v>
          </cell>
          <cell r="BA3913">
            <v>31</v>
          </cell>
          <cell r="BB3913">
            <v>302.19093427160641</v>
          </cell>
        </row>
        <row r="3914">
          <cell r="D3914" t="str">
            <v>CO</v>
          </cell>
          <cell r="AV3914">
            <v>365</v>
          </cell>
          <cell r="AX3914">
            <v>366</v>
          </cell>
          <cell r="AZ3914">
            <v>0.16209999999999999</v>
          </cell>
          <cell r="BA3914">
            <v>31</v>
          </cell>
          <cell r="BB3914">
            <v>302.19093427160641</v>
          </cell>
        </row>
        <row r="3915">
          <cell r="D3915" t="str">
            <v>CO</v>
          </cell>
          <cell r="AV3915">
            <v>365</v>
          </cell>
          <cell r="AX3915">
            <v>366</v>
          </cell>
          <cell r="AZ3915">
            <v>0.16209999999999999</v>
          </cell>
          <cell r="BA3915">
            <v>31</v>
          </cell>
          <cell r="BB3915">
            <v>302.19093427160641</v>
          </cell>
        </row>
        <row r="3916">
          <cell r="D3916" t="str">
            <v>CO</v>
          </cell>
          <cell r="AV3916">
            <v>365</v>
          </cell>
          <cell r="AX3916">
            <v>366</v>
          </cell>
          <cell r="AZ3916">
            <v>0.16209999999999999</v>
          </cell>
          <cell r="BA3916">
            <v>31</v>
          </cell>
          <cell r="BB3916">
            <v>302.19093427160641</v>
          </cell>
        </row>
        <row r="3917">
          <cell r="D3917" t="str">
            <v>CO</v>
          </cell>
          <cell r="AV3917">
            <v>365</v>
          </cell>
          <cell r="AX3917">
            <v>366</v>
          </cell>
          <cell r="AZ3917">
            <v>0.16209999999999999</v>
          </cell>
          <cell r="BA3917">
            <v>31</v>
          </cell>
          <cell r="BB3917">
            <v>302.19093427160641</v>
          </cell>
        </row>
        <row r="3918">
          <cell r="D3918" t="str">
            <v>CO</v>
          </cell>
          <cell r="AV3918">
            <v>365</v>
          </cell>
          <cell r="AX3918">
            <v>366</v>
          </cell>
          <cell r="AZ3918">
            <v>0.16209999999999999</v>
          </cell>
          <cell r="BA3918">
            <v>31</v>
          </cell>
          <cell r="BB3918">
            <v>302.19093427160641</v>
          </cell>
        </row>
        <row r="3919">
          <cell r="D3919" t="str">
            <v>CO</v>
          </cell>
          <cell r="AV3919">
            <v>365</v>
          </cell>
          <cell r="AX3919">
            <v>366</v>
          </cell>
          <cell r="AZ3919">
            <v>0.16209999999999999</v>
          </cell>
          <cell r="BA3919">
            <v>31</v>
          </cell>
          <cell r="BB3919">
            <v>302.19093427160641</v>
          </cell>
        </row>
        <row r="3920">
          <cell r="D3920" t="str">
            <v>CO</v>
          </cell>
          <cell r="AV3920">
            <v>365</v>
          </cell>
          <cell r="AX3920">
            <v>366</v>
          </cell>
          <cell r="AZ3920">
            <v>0.16209999999999999</v>
          </cell>
          <cell r="BA3920">
            <v>31</v>
          </cell>
          <cell r="BB3920">
            <v>302.19093427160641</v>
          </cell>
        </row>
        <row r="3921">
          <cell r="D3921" t="str">
            <v>CO</v>
          </cell>
          <cell r="AV3921">
            <v>365</v>
          </cell>
          <cell r="AX3921">
            <v>366</v>
          </cell>
          <cell r="AZ3921">
            <v>0.16209999999999999</v>
          </cell>
          <cell r="BA3921">
            <v>31</v>
          </cell>
          <cell r="BB3921">
            <v>302.19093427160641</v>
          </cell>
        </row>
        <row r="3922">
          <cell r="D3922" t="str">
            <v>CO</v>
          </cell>
          <cell r="AV3922">
            <v>365</v>
          </cell>
          <cell r="AX3922">
            <v>366</v>
          </cell>
          <cell r="AZ3922">
            <v>0.16209999999999999</v>
          </cell>
          <cell r="BA3922">
            <v>31</v>
          </cell>
          <cell r="BB3922">
            <v>302.19093427160641</v>
          </cell>
        </row>
        <row r="3923">
          <cell r="D3923" t="str">
            <v>CO</v>
          </cell>
          <cell r="AV3923">
            <v>365</v>
          </cell>
          <cell r="AX3923">
            <v>366</v>
          </cell>
          <cell r="AZ3923">
            <v>0.16209999999999999</v>
          </cell>
          <cell r="BA3923">
            <v>31</v>
          </cell>
          <cell r="BB3923">
            <v>302.19093427160641</v>
          </cell>
        </row>
        <row r="3924">
          <cell r="D3924" t="str">
            <v>CO</v>
          </cell>
          <cell r="AV3924">
            <v>365</v>
          </cell>
          <cell r="AX3924">
            <v>366</v>
          </cell>
          <cell r="AZ3924">
            <v>0.16209999999999999</v>
          </cell>
          <cell r="BA3924">
            <v>31</v>
          </cell>
          <cell r="BB3924">
            <v>302.19093427160641</v>
          </cell>
        </row>
        <row r="3925">
          <cell r="D3925" t="str">
            <v>CO</v>
          </cell>
          <cell r="AV3925">
            <v>365</v>
          </cell>
          <cell r="AX3925">
            <v>366</v>
          </cell>
          <cell r="AZ3925">
            <v>0.16209999999999999</v>
          </cell>
          <cell r="BA3925">
            <v>31</v>
          </cell>
          <cell r="BB3925">
            <v>302.19093427160641</v>
          </cell>
        </row>
        <row r="3926">
          <cell r="D3926" t="str">
            <v>CO</v>
          </cell>
          <cell r="AV3926">
            <v>365</v>
          </cell>
          <cell r="AX3926">
            <v>366</v>
          </cell>
          <cell r="AZ3926">
            <v>0.16209999999999999</v>
          </cell>
          <cell r="BA3926">
            <v>31</v>
          </cell>
          <cell r="BB3926">
            <v>302.19093427160641</v>
          </cell>
        </row>
        <row r="3927">
          <cell r="D3927" t="str">
            <v>CO</v>
          </cell>
          <cell r="AV3927">
            <v>365</v>
          </cell>
          <cell r="AX3927">
            <v>366</v>
          </cell>
          <cell r="AZ3927">
            <v>0.16209999999999999</v>
          </cell>
          <cell r="BA3927">
            <v>31</v>
          </cell>
          <cell r="BB3927">
            <v>302.19093427160641</v>
          </cell>
        </row>
        <row r="3928">
          <cell r="D3928" t="str">
            <v>CO</v>
          </cell>
          <cell r="AV3928">
            <v>365</v>
          </cell>
          <cell r="AX3928">
            <v>366</v>
          </cell>
          <cell r="AZ3928">
            <v>0.16209999999999999</v>
          </cell>
          <cell r="BA3928">
            <v>31</v>
          </cell>
          <cell r="BB3928">
            <v>302.19093427160641</v>
          </cell>
        </row>
        <row r="3929">
          <cell r="D3929" t="str">
            <v>CO</v>
          </cell>
          <cell r="AV3929">
            <v>365</v>
          </cell>
          <cell r="AX3929">
            <v>366</v>
          </cell>
          <cell r="AZ3929">
            <v>0.16209999999999999</v>
          </cell>
          <cell r="BA3929">
            <v>31</v>
          </cell>
          <cell r="BB3929">
            <v>302.19093427160641</v>
          </cell>
        </row>
        <row r="3930">
          <cell r="AV3930">
            <v>365</v>
          </cell>
          <cell r="AX3930">
            <v>366</v>
          </cell>
          <cell r="AZ3930">
            <v>0.16209999999999999</v>
          </cell>
          <cell r="BA3930">
            <v>175</v>
          </cell>
          <cell r="BB3930">
            <v>151.55239726027395</v>
          </cell>
        </row>
        <row r="3931">
          <cell r="E3931" t="str">
            <v>GF</v>
          </cell>
          <cell r="AV3931">
            <v>365</v>
          </cell>
          <cell r="AX3931">
            <v>71</v>
          </cell>
        </row>
        <row r="3932">
          <cell r="E3932" t="str">
            <v>FF</v>
          </cell>
          <cell r="AV3932">
            <v>365</v>
          </cell>
          <cell r="AX3932">
            <v>71</v>
          </cell>
        </row>
        <row r="3933">
          <cell r="AV3933">
            <v>365</v>
          </cell>
          <cell r="AX3933">
            <v>69</v>
          </cell>
        </row>
        <row r="3934">
          <cell r="E3934" t="str">
            <v>GF</v>
          </cell>
          <cell r="AV3934">
            <v>365</v>
          </cell>
          <cell r="AX3934">
            <v>336</v>
          </cell>
        </row>
        <row r="3935">
          <cell r="AV3935">
            <v>365</v>
          </cell>
          <cell r="AX3935">
            <v>129</v>
          </cell>
        </row>
        <row r="3936">
          <cell r="AV3936">
            <v>365</v>
          </cell>
          <cell r="AX3936">
            <v>129</v>
          </cell>
        </row>
        <row r="3937">
          <cell r="AV3937">
            <v>365</v>
          </cell>
          <cell r="AX3937">
            <v>129</v>
          </cell>
        </row>
        <row r="3938">
          <cell r="AV3938">
            <v>365</v>
          </cell>
          <cell r="AX3938">
            <v>129</v>
          </cell>
        </row>
        <row r="3939">
          <cell r="AV3939">
            <v>365</v>
          </cell>
          <cell r="AX3939">
            <v>129</v>
          </cell>
        </row>
        <row r="3940">
          <cell r="AV3940">
            <v>365</v>
          </cell>
          <cell r="AX3940">
            <v>129</v>
          </cell>
        </row>
        <row r="3941">
          <cell r="AV3941">
            <v>365</v>
          </cell>
          <cell r="AX3941">
            <v>129</v>
          </cell>
        </row>
        <row r="3942">
          <cell r="AV3942">
            <v>365</v>
          </cell>
          <cell r="AX3942">
            <v>129</v>
          </cell>
        </row>
        <row r="3943">
          <cell r="AV3943">
            <v>365</v>
          </cell>
          <cell r="AX3943">
            <v>129</v>
          </cell>
        </row>
        <row r="3944">
          <cell r="AV3944">
            <v>365</v>
          </cell>
          <cell r="AX3944">
            <v>129</v>
          </cell>
        </row>
        <row r="3945">
          <cell r="AV3945">
            <v>365</v>
          </cell>
          <cell r="AX3945">
            <v>129</v>
          </cell>
        </row>
        <row r="3946">
          <cell r="AV3946">
            <v>365</v>
          </cell>
          <cell r="AX3946">
            <v>129</v>
          </cell>
        </row>
        <row r="3947">
          <cell r="AV3947">
            <v>365</v>
          </cell>
          <cell r="AX3947">
            <v>129</v>
          </cell>
        </row>
        <row r="3948">
          <cell r="AV3948">
            <v>365</v>
          </cell>
          <cell r="AX3948">
            <v>129</v>
          </cell>
        </row>
        <row r="3949">
          <cell r="AV3949">
            <v>365</v>
          </cell>
          <cell r="AX3949">
            <v>129</v>
          </cell>
        </row>
        <row r="3950">
          <cell r="AV3950">
            <v>365</v>
          </cell>
        </row>
        <row r="3951">
          <cell r="E3951" t="str">
            <v>GF</v>
          </cell>
          <cell r="AV3951">
            <v>365</v>
          </cell>
          <cell r="AX3951">
            <v>69</v>
          </cell>
        </row>
        <row r="3952">
          <cell r="E3952" t="str">
            <v>GF</v>
          </cell>
          <cell r="AV3952">
            <v>365</v>
          </cell>
          <cell r="AX3952">
            <v>69</v>
          </cell>
        </row>
        <row r="3953">
          <cell r="E3953" t="str">
            <v>GF</v>
          </cell>
          <cell r="AV3953">
            <v>365</v>
          </cell>
          <cell r="AX3953">
            <v>69</v>
          </cell>
        </row>
        <row r="3954">
          <cell r="AV3954">
            <v>305</v>
          </cell>
        </row>
        <row r="3955">
          <cell r="AV3955">
            <v>365</v>
          </cell>
          <cell r="AX3955">
            <v>366</v>
          </cell>
        </row>
        <row r="3956">
          <cell r="E3956" t="str">
            <v>GF</v>
          </cell>
          <cell r="AV3956">
            <v>365</v>
          </cell>
          <cell r="AX3956">
            <v>262</v>
          </cell>
        </row>
        <row r="3957">
          <cell r="AV3957">
            <v>365</v>
          </cell>
          <cell r="AX3957">
            <v>1</v>
          </cell>
        </row>
        <row r="3958">
          <cell r="AV3958">
            <v>365</v>
          </cell>
          <cell r="AX3958">
            <v>1</v>
          </cell>
        </row>
        <row r="3959">
          <cell r="AV3959">
            <v>365</v>
          </cell>
          <cell r="AX3959">
            <v>366</v>
          </cell>
          <cell r="AZ3959">
            <v>0.16209999999999999</v>
          </cell>
          <cell r="BA3959">
            <v>240</v>
          </cell>
          <cell r="BB3959">
            <v>159.87945205479451</v>
          </cell>
        </row>
        <row r="3960">
          <cell r="E3960" t="str">
            <v>GF</v>
          </cell>
          <cell r="AV3960">
            <v>365</v>
          </cell>
          <cell r="AX3960">
            <v>336</v>
          </cell>
        </row>
        <row r="3961">
          <cell r="E3961" t="str">
            <v>GF</v>
          </cell>
          <cell r="AV3961">
            <v>365</v>
          </cell>
          <cell r="AX3961">
            <v>336</v>
          </cell>
        </row>
        <row r="3962">
          <cell r="E3962" t="str">
            <v>GF</v>
          </cell>
          <cell r="AV3962">
            <v>365</v>
          </cell>
          <cell r="AX3962">
            <v>336</v>
          </cell>
        </row>
        <row r="3963">
          <cell r="E3963" t="str">
            <v>GF</v>
          </cell>
          <cell r="AV3963">
            <v>365</v>
          </cell>
          <cell r="AX3963">
            <v>184</v>
          </cell>
        </row>
        <row r="3964">
          <cell r="E3964" t="str">
            <v>GF</v>
          </cell>
          <cell r="AV3964">
            <v>365</v>
          </cell>
          <cell r="AX3964">
            <v>184</v>
          </cell>
        </row>
        <row r="3965">
          <cell r="E3965" t="str">
            <v>GF</v>
          </cell>
          <cell r="AV3965">
            <v>365</v>
          </cell>
          <cell r="AX3965">
            <v>184</v>
          </cell>
        </row>
        <row r="3966">
          <cell r="E3966" t="str">
            <v>GF</v>
          </cell>
          <cell r="AV3966">
            <v>365</v>
          </cell>
          <cell r="AX3966">
            <v>184</v>
          </cell>
        </row>
        <row r="3967">
          <cell r="E3967" t="str">
            <v>GF</v>
          </cell>
          <cell r="AV3967">
            <v>365</v>
          </cell>
          <cell r="AX3967">
            <v>184</v>
          </cell>
        </row>
        <row r="3968">
          <cell r="E3968" t="str">
            <v>GF</v>
          </cell>
          <cell r="AV3968">
            <v>365</v>
          </cell>
          <cell r="AX3968">
            <v>184</v>
          </cell>
        </row>
        <row r="3969">
          <cell r="E3969" t="str">
            <v>GF</v>
          </cell>
          <cell r="AV3969">
            <v>365</v>
          </cell>
          <cell r="AX3969">
            <v>184</v>
          </cell>
        </row>
        <row r="3970">
          <cell r="E3970" t="str">
            <v>GF</v>
          </cell>
          <cell r="AV3970">
            <v>365</v>
          </cell>
          <cell r="AX3970">
            <v>184</v>
          </cell>
        </row>
        <row r="3971">
          <cell r="E3971" t="str">
            <v>GF</v>
          </cell>
          <cell r="AV3971">
            <v>365</v>
          </cell>
          <cell r="AX3971">
            <v>184</v>
          </cell>
        </row>
        <row r="3972">
          <cell r="E3972" t="str">
            <v>GF</v>
          </cell>
          <cell r="AV3972">
            <v>365</v>
          </cell>
          <cell r="AX3972">
            <v>184</v>
          </cell>
        </row>
        <row r="3973">
          <cell r="E3973" t="str">
            <v>GF</v>
          </cell>
          <cell r="AV3973">
            <v>365</v>
          </cell>
          <cell r="AX3973">
            <v>336</v>
          </cell>
        </row>
        <row r="3974">
          <cell r="AV3974">
            <v>365</v>
          </cell>
          <cell r="AX3974">
            <v>366</v>
          </cell>
          <cell r="AZ3974">
            <v>0.16209999999999999</v>
          </cell>
          <cell r="BA3974">
            <v>270</v>
          </cell>
          <cell r="BB3974">
            <v>173.86890410958904</v>
          </cell>
        </row>
        <row r="3975">
          <cell r="AV3975">
            <v>198</v>
          </cell>
        </row>
        <row r="3976">
          <cell r="AV3976">
            <v>198</v>
          </cell>
        </row>
        <row r="3977">
          <cell r="AV3977">
            <v>198</v>
          </cell>
        </row>
        <row r="3978">
          <cell r="AV3978">
            <v>198</v>
          </cell>
        </row>
        <row r="3979">
          <cell r="AV3979">
            <v>198</v>
          </cell>
        </row>
        <row r="3980">
          <cell r="AV3980">
            <v>198</v>
          </cell>
        </row>
        <row r="3981">
          <cell r="AV3981">
            <v>198</v>
          </cell>
        </row>
        <row r="3982">
          <cell r="AV3982">
            <v>198</v>
          </cell>
        </row>
        <row r="3983">
          <cell r="AV3983">
            <v>198</v>
          </cell>
        </row>
        <row r="3984">
          <cell r="AV3984">
            <v>198</v>
          </cell>
        </row>
        <row r="3985">
          <cell r="E3985" t="str">
            <v>FF</v>
          </cell>
          <cell r="AV3985">
            <v>365</v>
          </cell>
          <cell r="AX3985">
            <v>336</v>
          </cell>
        </row>
        <row r="3986">
          <cell r="E3986" t="str">
            <v>GF</v>
          </cell>
          <cell r="AV3986">
            <v>365</v>
          </cell>
          <cell r="AX3986">
            <v>336</v>
          </cell>
        </row>
        <row r="3987">
          <cell r="AV3987">
            <v>365</v>
          </cell>
          <cell r="AX3987">
            <v>317</v>
          </cell>
        </row>
        <row r="3988">
          <cell r="AV3988">
            <v>365</v>
          </cell>
          <cell r="AX3988">
            <v>130</v>
          </cell>
        </row>
        <row r="3989">
          <cell r="E3989" t="str">
            <v>1A Pharm</v>
          </cell>
          <cell r="AV3989">
            <v>365</v>
          </cell>
          <cell r="AX3989">
            <v>33</v>
          </cell>
        </row>
        <row r="3990">
          <cell r="AV3990">
            <v>365</v>
          </cell>
          <cell r="AX3990">
            <v>336</v>
          </cell>
        </row>
        <row r="3991">
          <cell r="AV3991">
            <v>365</v>
          </cell>
          <cell r="AX3991">
            <v>336</v>
          </cell>
        </row>
        <row r="3992">
          <cell r="AV3992">
            <v>365</v>
          </cell>
          <cell r="AX3992">
            <v>336</v>
          </cell>
        </row>
        <row r="3993">
          <cell r="AV3993">
            <v>365</v>
          </cell>
          <cell r="AX3993">
            <v>336</v>
          </cell>
        </row>
        <row r="3994">
          <cell r="AV3994">
            <v>365</v>
          </cell>
          <cell r="AX3994">
            <v>336</v>
          </cell>
        </row>
        <row r="3995">
          <cell r="AV3995">
            <v>365</v>
          </cell>
          <cell r="AX3995">
            <v>336</v>
          </cell>
        </row>
        <row r="3996">
          <cell r="AV3996">
            <v>365</v>
          </cell>
          <cell r="AX3996">
            <v>336</v>
          </cell>
        </row>
        <row r="3997">
          <cell r="AV3997">
            <v>365</v>
          </cell>
          <cell r="AX3997">
            <v>336</v>
          </cell>
        </row>
        <row r="3998">
          <cell r="AV3998">
            <v>365</v>
          </cell>
          <cell r="AX3998">
            <v>336</v>
          </cell>
        </row>
        <row r="3999">
          <cell r="AV3999">
            <v>365</v>
          </cell>
          <cell r="AX3999">
            <v>336</v>
          </cell>
        </row>
        <row r="4000">
          <cell r="AV4000">
            <v>365</v>
          </cell>
          <cell r="AX4000">
            <v>336</v>
          </cell>
        </row>
        <row r="4001">
          <cell r="AV4001">
            <v>365</v>
          </cell>
          <cell r="AX4001">
            <v>336</v>
          </cell>
        </row>
        <row r="4002">
          <cell r="AV4002">
            <v>365</v>
          </cell>
          <cell r="AX4002">
            <v>336</v>
          </cell>
        </row>
        <row r="4003">
          <cell r="AV4003">
            <v>365</v>
          </cell>
          <cell r="AX4003">
            <v>336</v>
          </cell>
        </row>
        <row r="4004">
          <cell r="AV4004">
            <v>365</v>
          </cell>
          <cell r="AX4004">
            <v>336</v>
          </cell>
        </row>
        <row r="4005">
          <cell r="AV4005">
            <v>365</v>
          </cell>
          <cell r="AX4005">
            <v>336</v>
          </cell>
        </row>
        <row r="4006">
          <cell r="AV4006">
            <v>365</v>
          </cell>
          <cell r="AX4006">
            <v>336</v>
          </cell>
        </row>
        <row r="4007">
          <cell r="AV4007">
            <v>365</v>
          </cell>
          <cell r="AX4007">
            <v>336</v>
          </cell>
        </row>
        <row r="4008">
          <cell r="AV4008">
            <v>365</v>
          </cell>
          <cell r="AX4008">
            <v>336</v>
          </cell>
        </row>
        <row r="4009">
          <cell r="AV4009">
            <v>365</v>
          </cell>
          <cell r="AX4009">
            <v>336</v>
          </cell>
        </row>
        <row r="4010">
          <cell r="AV4010">
            <v>365</v>
          </cell>
          <cell r="AX4010">
            <v>336</v>
          </cell>
        </row>
        <row r="4011">
          <cell r="AV4011">
            <v>365</v>
          </cell>
          <cell r="AX4011">
            <v>336</v>
          </cell>
        </row>
        <row r="4012">
          <cell r="AV4012">
            <v>365</v>
          </cell>
          <cell r="AX4012">
            <v>336</v>
          </cell>
        </row>
        <row r="4013">
          <cell r="AV4013">
            <v>365</v>
          </cell>
          <cell r="AX4013">
            <v>336</v>
          </cell>
        </row>
        <row r="4014">
          <cell r="AV4014">
            <v>365</v>
          </cell>
          <cell r="AX4014">
            <v>336</v>
          </cell>
        </row>
        <row r="4015">
          <cell r="AV4015">
            <v>365</v>
          </cell>
          <cell r="AX4015">
            <v>336</v>
          </cell>
        </row>
        <row r="4016">
          <cell r="AV4016">
            <v>365</v>
          </cell>
          <cell r="AX4016">
            <v>366</v>
          </cell>
          <cell r="AZ4016">
            <v>0.16209999999999999</v>
          </cell>
          <cell r="BA4016">
            <v>184</v>
          </cell>
          <cell r="BB4016">
            <v>96.425073972602746</v>
          </cell>
        </row>
        <row r="4017">
          <cell r="E4017" t="str">
            <v>1A Inter</v>
          </cell>
          <cell r="AV4017">
            <v>365</v>
          </cell>
          <cell r="AX4017">
            <v>129</v>
          </cell>
        </row>
        <row r="4018">
          <cell r="AV4018">
            <v>365</v>
          </cell>
          <cell r="AX4018">
            <v>307</v>
          </cell>
        </row>
        <row r="4019">
          <cell r="AV4019">
            <v>365</v>
          </cell>
          <cell r="AX4019">
            <v>366</v>
          </cell>
          <cell r="AZ4019">
            <v>0.16209999999999999</v>
          </cell>
          <cell r="BA4019">
            <v>147</v>
          </cell>
          <cell r="BB4019">
            <v>62.019904109589042</v>
          </cell>
        </row>
        <row r="4020">
          <cell r="AV4020">
            <v>365</v>
          </cell>
          <cell r="AX4020">
            <v>366</v>
          </cell>
          <cell r="AZ4020">
            <v>6.3299999999999995E-2</v>
          </cell>
          <cell r="BA4020">
            <v>122</v>
          </cell>
          <cell r="BB4020">
            <v>38745.532510684934</v>
          </cell>
        </row>
        <row r="4021">
          <cell r="AV4021">
            <v>365</v>
          </cell>
          <cell r="AX4021">
            <v>366</v>
          </cell>
          <cell r="AZ4021">
            <v>6.3299999999999995E-2</v>
          </cell>
          <cell r="BA4021">
            <v>122</v>
          </cell>
          <cell r="BB4021">
            <v>64575.894570410957</v>
          </cell>
        </row>
        <row r="4022">
          <cell r="AV4022">
            <v>365</v>
          </cell>
          <cell r="AX4022">
            <v>366</v>
          </cell>
          <cell r="AZ4022">
            <v>6.3299999999999995E-2</v>
          </cell>
          <cell r="BA4022">
            <v>122</v>
          </cell>
          <cell r="BB4022">
            <v>116236.618689863</v>
          </cell>
        </row>
        <row r="4023">
          <cell r="AV4023">
            <v>365</v>
          </cell>
          <cell r="AX4023">
            <v>366</v>
          </cell>
          <cell r="AZ4023">
            <v>6.3299999999999995E-2</v>
          </cell>
          <cell r="BA4023">
            <v>122</v>
          </cell>
          <cell r="BB4023">
            <v>576.25406465753417</v>
          </cell>
        </row>
        <row r="4024">
          <cell r="AV4024">
            <v>365</v>
          </cell>
          <cell r="AX4024">
            <v>366</v>
          </cell>
          <cell r="AZ4024">
            <v>6.3299999999999995E-2</v>
          </cell>
          <cell r="BA4024">
            <v>122</v>
          </cell>
          <cell r="BB4024">
            <v>23747.523945205478</v>
          </cell>
        </row>
        <row r="4025">
          <cell r="AV4025">
            <v>365</v>
          </cell>
          <cell r="AX4025">
            <v>276</v>
          </cell>
        </row>
        <row r="4026">
          <cell r="E4026" t="str">
            <v>oncology</v>
          </cell>
          <cell r="AV4026">
            <v>365</v>
          </cell>
          <cell r="AX4026">
            <v>113</v>
          </cell>
        </row>
        <row r="4027">
          <cell r="E4027" t="str">
            <v>oncology</v>
          </cell>
          <cell r="AV4027">
            <v>365</v>
          </cell>
          <cell r="AX4027">
            <v>113</v>
          </cell>
        </row>
        <row r="4028">
          <cell r="E4028" t="str">
            <v>oncology</v>
          </cell>
          <cell r="AV4028">
            <v>365</v>
          </cell>
          <cell r="AX4028">
            <v>113</v>
          </cell>
        </row>
        <row r="4029">
          <cell r="E4029" t="str">
            <v>oncology</v>
          </cell>
          <cell r="AV4029">
            <v>365</v>
          </cell>
          <cell r="AX4029">
            <v>113</v>
          </cell>
        </row>
        <row r="4030">
          <cell r="E4030" t="str">
            <v>oncology</v>
          </cell>
          <cell r="AV4030">
            <v>365</v>
          </cell>
          <cell r="AX4030">
            <v>113</v>
          </cell>
        </row>
        <row r="4031">
          <cell r="E4031" t="str">
            <v>oncology</v>
          </cell>
          <cell r="AV4031">
            <v>365</v>
          </cell>
          <cell r="AX4031">
            <v>113</v>
          </cell>
        </row>
        <row r="4032">
          <cell r="E4032" t="str">
            <v>oncology</v>
          </cell>
          <cell r="AV4032">
            <v>365</v>
          </cell>
          <cell r="AX4032">
            <v>113</v>
          </cell>
        </row>
        <row r="4033">
          <cell r="E4033" t="str">
            <v>oncology</v>
          </cell>
          <cell r="AV4033">
            <v>365</v>
          </cell>
          <cell r="AX4033">
            <v>113</v>
          </cell>
        </row>
        <row r="4034">
          <cell r="E4034" t="str">
            <v>oncology</v>
          </cell>
          <cell r="AV4034">
            <v>365</v>
          </cell>
          <cell r="AX4034">
            <v>113</v>
          </cell>
        </row>
        <row r="4035">
          <cell r="E4035" t="str">
            <v>oncology</v>
          </cell>
          <cell r="AV4035">
            <v>365</v>
          </cell>
          <cell r="AX4035">
            <v>113</v>
          </cell>
        </row>
        <row r="4036">
          <cell r="E4036" t="str">
            <v>oncology</v>
          </cell>
          <cell r="AV4036">
            <v>365</v>
          </cell>
          <cell r="AX4036">
            <v>113</v>
          </cell>
        </row>
        <row r="4037">
          <cell r="E4037" t="str">
            <v>oncology</v>
          </cell>
          <cell r="AV4037">
            <v>365</v>
          </cell>
          <cell r="AX4037">
            <v>113</v>
          </cell>
        </row>
        <row r="4038">
          <cell r="E4038" t="str">
            <v>oncology</v>
          </cell>
          <cell r="AV4038">
            <v>365</v>
          </cell>
          <cell r="AX4038">
            <v>113</v>
          </cell>
        </row>
        <row r="4039">
          <cell r="E4039" t="str">
            <v>oncology</v>
          </cell>
          <cell r="AV4039">
            <v>365</v>
          </cell>
          <cell r="AX4039">
            <v>113</v>
          </cell>
        </row>
        <row r="4040">
          <cell r="E4040" t="str">
            <v>oncology</v>
          </cell>
          <cell r="AV4040">
            <v>365</v>
          </cell>
          <cell r="AX4040">
            <v>113</v>
          </cell>
        </row>
        <row r="4041">
          <cell r="E4041" t="str">
            <v>oncology</v>
          </cell>
          <cell r="AV4041">
            <v>365</v>
          </cell>
          <cell r="AX4041">
            <v>113</v>
          </cell>
        </row>
        <row r="4042">
          <cell r="E4042" t="str">
            <v>oncology</v>
          </cell>
          <cell r="AV4042">
            <v>365</v>
          </cell>
          <cell r="AX4042">
            <v>113</v>
          </cell>
        </row>
        <row r="4043">
          <cell r="E4043" t="str">
            <v>oncology</v>
          </cell>
          <cell r="AV4043">
            <v>365</v>
          </cell>
          <cell r="AX4043">
            <v>113</v>
          </cell>
        </row>
        <row r="4044">
          <cell r="E4044" t="str">
            <v>oncology</v>
          </cell>
          <cell r="AV4044">
            <v>365</v>
          </cell>
          <cell r="AX4044">
            <v>113</v>
          </cell>
        </row>
        <row r="4045">
          <cell r="AV4045">
            <v>198</v>
          </cell>
        </row>
        <row r="4046">
          <cell r="AV4046">
            <v>365</v>
          </cell>
          <cell r="AX4046">
            <v>366</v>
          </cell>
        </row>
        <row r="4047">
          <cell r="AV4047">
            <v>365</v>
          </cell>
          <cell r="AX4047">
            <v>366</v>
          </cell>
        </row>
        <row r="4048">
          <cell r="AV4048">
            <v>365</v>
          </cell>
          <cell r="AX4048">
            <v>366</v>
          </cell>
        </row>
        <row r="4049">
          <cell r="AV4049">
            <v>365</v>
          </cell>
          <cell r="AX4049">
            <v>366</v>
          </cell>
        </row>
        <row r="4050">
          <cell r="AV4050">
            <v>365</v>
          </cell>
          <cell r="AX4050">
            <v>366</v>
          </cell>
        </row>
        <row r="4051">
          <cell r="AV4051">
            <v>365</v>
          </cell>
          <cell r="AX4051">
            <v>366</v>
          </cell>
        </row>
        <row r="4052">
          <cell r="AV4052">
            <v>365</v>
          </cell>
          <cell r="AX4052">
            <v>366</v>
          </cell>
        </row>
        <row r="4053">
          <cell r="AV4053">
            <v>365</v>
          </cell>
          <cell r="AX4053">
            <v>366</v>
          </cell>
          <cell r="AZ4053">
            <v>0.16209999999999999</v>
          </cell>
          <cell r="BA4053">
            <v>268</v>
          </cell>
          <cell r="BB4053">
            <v>70.222608219178085</v>
          </cell>
        </row>
        <row r="4054">
          <cell r="E4054" t="str">
            <v>GF</v>
          </cell>
          <cell r="AV4054">
            <v>365</v>
          </cell>
          <cell r="AX4054">
            <v>71</v>
          </cell>
        </row>
        <row r="4055">
          <cell r="E4055" t="str">
            <v>GF</v>
          </cell>
          <cell r="AV4055">
            <v>365</v>
          </cell>
          <cell r="AX4055">
            <v>71</v>
          </cell>
        </row>
        <row r="4056">
          <cell r="E4056" t="str">
            <v>GF</v>
          </cell>
          <cell r="AV4056">
            <v>365</v>
          </cell>
          <cell r="AX4056">
            <v>71</v>
          </cell>
        </row>
        <row r="4057">
          <cell r="E4057" t="str">
            <v>GF</v>
          </cell>
          <cell r="AV4057">
            <v>365</v>
          </cell>
          <cell r="AX4057">
            <v>71</v>
          </cell>
        </row>
        <row r="4058">
          <cell r="E4058" t="str">
            <v>GF</v>
          </cell>
          <cell r="AV4058">
            <v>365</v>
          </cell>
          <cell r="AX4058">
            <v>71</v>
          </cell>
        </row>
        <row r="4059">
          <cell r="E4059" t="str">
            <v>GF</v>
          </cell>
          <cell r="AV4059">
            <v>365</v>
          </cell>
          <cell r="AX4059">
            <v>71</v>
          </cell>
        </row>
        <row r="4060">
          <cell r="E4060" t="str">
            <v>GF</v>
          </cell>
          <cell r="AV4060">
            <v>365</v>
          </cell>
          <cell r="AX4060">
            <v>71</v>
          </cell>
        </row>
        <row r="4061">
          <cell r="E4061" t="str">
            <v>GF</v>
          </cell>
          <cell r="AV4061">
            <v>365</v>
          </cell>
          <cell r="AX4061">
            <v>71</v>
          </cell>
        </row>
        <row r="4062">
          <cell r="E4062" t="str">
            <v>GF</v>
          </cell>
          <cell r="AV4062">
            <v>365</v>
          </cell>
          <cell r="AX4062">
            <v>71</v>
          </cell>
        </row>
        <row r="4063">
          <cell r="E4063" t="str">
            <v>GF</v>
          </cell>
          <cell r="AV4063">
            <v>365</v>
          </cell>
          <cell r="AX4063">
            <v>71</v>
          </cell>
        </row>
        <row r="4064">
          <cell r="E4064" t="str">
            <v>GF</v>
          </cell>
          <cell r="AV4064">
            <v>365</v>
          </cell>
          <cell r="AX4064">
            <v>71</v>
          </cell>
        </row>
        <row r="4065">
          <cell r="E4065" t="str">
            <v>GF</v>
          </cell>
          <cell r="AV4065">
            <v>365</v>
          </cell>
          <cell r="AX4065">
            <v>71</v>
          </cell>
        </row>
        <row r="4066">
          <cell r="E4066" t="str">
            <v>GF</v>
          </cell>
          <cell r="AV4066">
            <v>365</v>
          </cell>
          <cell r="AX4066">
            <v>71</v>
          </cell>
        </row>
        <row r="4067">
          <cell r="AV4067">
            <v>365</v>
          </cell>
          <cell r="AX4067">
            <v>366</v>
          </cell>
          <cell r="AZ4067">
            <v>0.16209999999999999</v>
          </cell>
          <cell r="BA4067">
            <v>212</v>
          </cell>
          <cell r="BB4067">
            <v>47.075616438356164</v>
          </cell>
        </row>
        <row r="4068">
          <cell r="E4068" t="str">
            <v>GF</v>
          </cell>
          <cell r="AV4068">
            <v>365</v>
          </cell>
          <cell r="AX4068">
            <v>336</v>
          </cell>
        </row>
        <row r="4069">
          <cell r="AV4069">
            <v>365</v>
          </cell>
          <cell r="AX4069">
            <v>50</v>
          </cell>
        </row>
        <row r="4070">
          <cell r="AV4070">
            <v>365</v>
          </cell>
          <cell r="AX4070">
            <v>50</v>
          </cell>
        </row>
        <row r="4071">
          <cell r="AV4071">
            <v>365</v>
          </cell>
          <cell r="AX4071">
            <v>50</v>
          </cell>
        </row>
        <row r="4072">
          <cell r="AV4072">
            <v>365</v>
          </cell>
          <cell r="AX4072">
            <v>50</v>
          </cell>
        </row>
        <row r="4073">
          <cell r="AV4073">
            <v>365</v>
          </cell>
          <cell r="AX4073">
            <v>50</v>
          </cell>
        </row>
        <row r="4074">
          <cell r="AV4074">
            <v>365</v>
          </cell>
          <cell r="AX4074">
            <v>50</v>
          </cell>
        </row>
        <row r="4075">
          <cell r="AV4075">
            <v>365</v>
          </cell>
          <cell r="AX4075">
            <v>50</v>
          </cell>
        </row>
        <row r="4076">
          <cell r="AV4076">
            <v>365</v>
          </cell>
          <cell r="AX4076">
            <v>50</v>
          </cell>
        </row>
        <row r="4077">
          <cell r="AV4077">
            <v>365</v>
          </cell>
          <cell r="AX4077">
            <v>50</v>
          </cell>
        </row>
        <row r="4078">
          <cell r="AV4078">
            <v>365</v>
          </cell>
          <cell r="AX4078">
            <v>50</v>
          </cell>
        </row>
        <row r="4079">
          <cell r="AV4079">
            <v>365</v>
          </cell>
          <cell r="AX4079">
            <v>50</v>
          </cell>
        </row>
        <row r="4080">
          <cell r="AV4080">
            <v>365</v>
          </cell>
          <cell r="AX4080">
            <v>50</v>
          </cell>
        </row>
        <row r="4081">
          <cell r="AV4081">
            <v>365</v>
          </cell>
          <cell r="AX4081">
            <v>50</v>
          </cell>
        </row>
        <row r="4082">
          <cell r="AV4082">
            <v>365</v>
          </cell>
          <cell r="AX4082">
            <v>50</v>
          </cell>
        </row>
        <row r="4083">
          <cell r="AV4083">
            <v>365</v>
          </cell>
          <cell r="AX4083">
            <v>50</v>
          </cell>
        </row>
        <row r="4084">
          <cell r="AV4084">
            <v>365</v>
          </cell>
          <cell r="AX4084">
            <v>50</v>
          </cell>
        </row>
        <row r="4085">
          <cell r="AV4085">
            <v>365</v>
          </cell>
          <cell r="AX4085">
            <v>50</v>
          </cell>
        </row>
        <row r="4086">
          <cell r="AV4086">
            <v>365</v>
          </cell>
          <cell r="AX4086">
            <v>50</v>
          </cell>
        </row>
        <row r="4087">
          <cell r="AV4087">
            <v>365</v>
          </cell>
          <cell r="AX4087">
            <v>50</v>
          </cell>
        </row>
        <row r="4088">
          <cell r="AV4088">
            <v>365</v>
          </cell>
          <cell r="AX4088">
            <v>50</v>
          </cell>
        </row>
        <row r="4089">
          <cell r="AV4089">
            <v>365</v>
          </cell>
          <cell r="AX4089">
            <v>50</v>
          </cell>
        </row>
        <row r="4090">
          <cell r="AV4090">
            <v>365</v>
          </cell>
          <cell r="AX4090">
            <v>50</v>
          </cell>
        </row>
        <row r="4091">
          <cell r="AV4091">
            <v>365</v>
          </cell>
          <cell r="AX4091">
            <v>50</v>
          </cell>
        </row>
        <row r="4092">
          <cell r="AV4092">
            <v>365</v>
          </cell>
          <cell r="AX4092">
            <v>50</v>
          </cell>
        </row>
        <row r="4093">
          <cell r="AV4093">
            <v>365</v>
          </cell>
          <cell r="AX4093">
            <v>50</v>
          </cell>
        </row>
        <row r="4094">
          <cell r="AV4094">
            <v>365</v>
          </cell>
          <cell r="AX4094">
            <v>50</v>
          </cell>
        </row>
        <row r="4095">
          <cell r="AV4095">
            <v>365</v>
          </cell>
          <cell r="AX4095">
            <v>50</v>
          </cell>
        </row>
        <row r="4096">
          <cell r="AV4096">
            <v>365</v>
          </cell>
          <cell r="AX4096">
            <v>50</v>
          </cell>
        </row>
        <row r="4097">
          <cell r="AV4097">
            <v>365</v>
          </cell>
          <cell r="AX4097">
            <v>50</v>
          </cell>
        </row>
        <row r="4098">
          <cell r="AV4098">
            <v>365</v>
          </cell>
          <cell r="AX4098">
            <v>50</v>
          </cell>
        </row>
        <row r="4099">
          <cell r="AV4099">
            <v>365</v>
          </cell>
          <cell r="AX4099">
            <v>50</v>
          </cell>
        </row>
        <row r="4100">
          <cell r="AV4100">
            <v>365</v>
          </cell>
          <cell r="AX4100">
            <v>50</v>
          </cell>
        </row>
        <row r="4101">
          <cell r="AV4101">
            <v>365</v>
          </cell>
          <cell r="AX4101">
            <v>50</v>
          </cell>
        </row>
        <row r="4102">
          <cell r="AV4102">
            <v>365</v>
          </cell>
          <cell r="AX4102">
            <v>50</v>
          </cell>
        </row>
        <row r="4103">
          <cell r="AV4103">
            <v>365</v>
          </cell>
          <cell r="AX4103">
            <v>50</v>
          </cell>
        </row>
        <row r="4104">
          <cell r="AV4104">
            <v>365</v>
          </cell>
          <cell r="AX4104">
            <v>50</v>
          </cell>
        </row>
        <row r="4105">
          <cell r="AV4105">
            <v>365</v>
          </cell>
          <cell r="AX4105">
            <v>50</v>
          </cell>
        </row>
        <row r="4106">
          <cell r="AV4106">
            <v>365</v>
          </cell>
          <cell r="AX4106">
            <v>50</v>
          </cell>
        </row>
        <row r="4107">
          <cell r="AV4107">
            <v>365</v>
          </cell>
          <cell r="AX4107">
            <v>50</v>
          </cell>
        </row>
        <row r="4108">
          <cell r="AV4108">
            <v>365</v>
          </cell>
          <cell r="AX4108">
            <v>50</v>
          </cell>
        </row>
        <row r="4109">
          <cell r="AV4109">
            <v>365</v>
          </cell>
          <cell r="AX4109">
            <v>50</v>
          </cell>
        </row>
        <row r="4110">
          <cell r="AV4110">
            <v>365</v>
          </cell>
          <cell r="AX4110">
            <v>50</v>
          </cell>
        </row>
        <row r="4111">
          <cell r="AV4111">
            <v>365</v>
          </cell>
          <cell r="AX4111">
            <v>50</v>
          </cell>
        </row>
        <row r="4112">
          <cell r="AV4112">
            <v>365</v>
          </cell>
          <cell r="AX4112">
            <v>50</v>
          </cell>
        </row>
        <row r="4113">
          <cell r="AV4113">
            <v>365</v>
          </cell>
          <cell r="AX4113">
            <v>50</v>
          </cell>
        </row>
        <row r="4114">
          <cell r="AV4114">
            <v>365</v>
          </cell>
          <cell r="AX4114">
            <v>50</v>
          </cell>
        </row>
        <row r="4115">
          <cell r="AV4115">
            <v>365</v>
          </cell>
          <cell r="AX4115">
            <v>50</v>
          </cell>
        </row>
        <row r="4116">
          <cell r="AV4116">
            <v>365</v>
          </cell>
          <cell r="AX4116">
            <v>50</v>
          </cell>
        </row>
        <row r="4117">
          <cell r="AV4117">
            <v>365</v>
          </cell>
          <cell r="AX4117">
            <v>50</v>
          </cell>
        </row>
        <row r="4118">
          <cell r="AV4118">
            <v>365</v>
          </cell>
          <cell r="AX4118">
            <v>50</v>
          </cell>
        </row>
        <row r="4119">
          <cell r="AV4119">
            <v>365</v>
          </cell>
          <cell r="AX4119">
            <v>50</v>
          </cell>
        </row>
        <row r="4120">
          <cell r="AV4120">
            <v>365</v>
          </cell>
          <cell r="AX4120">
            <v>50</v>
          </cell>
        </row>
        <row r="4121">
          <cell r="AV4121">
            <v>365</v>
          </cell>
          <cell r="AX4121">
            <v>50</v>
          </cell>
        </row>
        <row r="4122">
          <cell r="AV4122">
            <v>365</v>
          </cell>
          <cell r="AX4122">
            <v>50</v>
          </cell>
        </row>
        <row r="4123">
          <cell r="AV4123">
            <v>365</v>
          </cell>
          <cell r="AX4123">
            <v>50</v>
          </cell>
        </row>
        <row r="4124">
          <cell r="AV4124">
            <v>365</v>
          </cell>
          <cell r="AX4124">
            <v>50</v>
          </cell>
        </row>
        <row r="4125">
          <cell r="AV4125">
            <v>365</v>
          </cell>
          <cell r="AX4125">
            <v>50</v>
          </cell>
        </row>
        <row r="4126">
          <cell r="AV4126">
            <v>365</v>
          </cell>
          <cell r="AX4126">
            <v>50</v>
          </cell>
        </row>
        <row r="4127">
          <cell r="AV4127">
            <v>365</v>
          </cell>
          <cell r="AX4127">
            <v>50</v>
          </cell>
        </row>
        <row r="4128">
          <cell r="AV4128">
            <v>365</v>
          </cell>
          <cell r="AX4128">
            <v>50</v>
          </cell>
        </row>
        <row r="4129">
          <cell r="AV4129">
            <v>365</v>
          </cell>
          <cell r="AX4129">
            <v>50</v>
          </cell>
        </row>
        <row r="4130">
          <cell r="AV4130">
            <v>365</v>
          </cell>
          <cell r="AX4130">
            <v>50</v>
          </cell>
        </row>
        <row r="4131">
          <cell r="AV4131">
            <v>365</v>
          </cell>
          <cell r="AX4131">
            <v>50</v>
          </cell>
        </row>
        <row r="4132">
          <cell r="AV4132">
            <v>365</v>
          </cell>
          <cell r="AX4132">
            <v>336</v>
          </cell>
        </row>
        <row r="4133">
          <cell r="AV4133">
            <v>365</v>
          </cell>
          <cell r="AX4133">
            <v>366</v>
          </cell>
        </row>
        <row r="4134">
          <cell r="AV4134">
            <v>365</v>
          </cell>
          <cell r="AX4134">
            <v>366</v>
          </cell>
        </row>
        <row r="4135">
          <cell r="D4135" t="str">
            <v>Sold</v>
          </cell>
        </row>
        <row r="4136">
          <cell r="D4136" t="str">
            <v>Sold</v>
          </cell>
          <cell r="AV4136">
            <v>330</v>
          </cell>
        </row>
        <row r="4137">
          <cell r="D4137" t="str">
            <v>CO</v>
          </cell>
          <cell r="AV4137">
            <v>330</v>
          </cell>
        </row>
        <row r="4138">
          <cell r="D4138" t="str">
            <v>R&amp;D</v>
          </cell>
          <cell r="AV4138">
            <v>330</v>
          </cell>
        </row>
        <row r="4139">
          <cell r="AV4139">
            <v>293</v>
          </cell>
        </row>
        <row r="4140">
          <cell r="D4140" t="str">
            <v>R&amp;D</v>
          </cell>
          <cell r="AV4140">
            <v>330</v>
          </cell>
        </row>
        <row r="4141">
          <cell r="D4141" t="str">
            <v>R&amp;D</v>
          </cell>
          <cell r="AV4141">
            <v>352</v>
          </cell>
        </row>
        <row r="4142">
          <cell r="AV4142">
            <v>365</v>
          </cell>
          <cell r="BJ4142" t="str">
            <v>PROVISION</v>
          </cell>
        </row>
        <row r="4143">
          <cell r="AV4143">
            <v>335</v>
          </cell>
        </row>
        <row r="4144">
          <cell r="AV4144">
            <v>198</v>
          </cell>
        </row>
        <row r="4145">
          <cell r="AV4145">
            <v>198</v>
          </cell>
        </row>
        <row r="4146">
          <cell r="AV4146">
            <v>305</v>
          </cell>
        </row>
        <row r="4147">
          <cell r="AV4147">
            <v>365</v>
          </cell>
          <cell r="AX4147">
            <v>1</v>
          </cell>
        </row>
        <row r="4148">
          <cell r="AV4148">
            <v>289</v>
          </cell>
        </row>
        <row r="4149">
          <cell r="AV4149">
            <v>305</v>
          </cell>
        </row>
        <row r="4150">
          <cell r="AV4150">
            <v>252</v>
          </cell>
        </row>
        <row r="4151">
          <cell r="AV4151">
            <v>305</v>
          </cell>
        </row>
        <row r="4152">
          <cell r="AV4152">
            <v>305</v>
          </cell>
        </row>
        <row r="4153">
          <cell r="AV4153">
            <v>305</v>
          </cell>
        </row>
        <row r="4154">
          <cell r="AV4154">
            <v>305</v>
          </cell>
        </row>
        <row r="4155">
          <cell r="AV4155">
            <v>305</v>
          </cell>
        </row>
        <row r="4156">
          <cell r="AV4156">
            <v>198</v>
          </cell>
        </row>
        <row r="4157">
          <cell r="AV4157">
            <v>289</v>
          </cell>
        </row>
        <row r="4158">
          <cell r="AV4158">
            <v>305</v>
          </cell>
        </row>
        <row r="4159">
          <cell r="E4159" t="str">
            <v>Intermediate</v>
          </cell>
          <cell r="AV4159">
            <v>335</v>
          </cell>
        </row>
        <row r="4160">
          <cell r="AV4160">
            <v>289</v>
          </cell>
        </row>
        <row r="4161">
          <cell r="AV4161">
            <v>198</v>
          </cell>
        </row>
        <row r="4162">
          <cell r="AV4162">
            <v>330</v>
          </cell>
        </row>
        <row r="4163">
          <cell r="AV4163">
            <v>365</v>
          </cell>
        </row>
        <row r="4164">
          <cell r="AV4164">
            <v>365</v>
          </cell>
        </row>
        <row r="4165">
          <cell r="AV4165">
            <v>365</v>
          </cell>
        </row>
        <row r="4166">
          <cell r="AV4166">
            <v>365</v>
          </cell>
        </row>
        <row r="4167">
          <cell r="AV4167">
            <v>365</v>
          </cell>
        </row>
        <row r="4168">
          <cell r="AV4168">
            <v>365</v>
          </cell>
        </row>
        <row r="4169">
          <cell r="AV4169">
            <v>365</v>
          </cell>
        </row>
        <row r="4170">
          <cell r="AV4170">
            <v>365</v>
          </cell>
        </row>
        <row r="4171">
          <cell r="AV4171">
            <v>365</v>
          </cell>
        </row>
        <row r="4172">
          <cell r="AV4172">
            <v>365</v>
          </cell>
        </row>
        <row r="4173">
          <cell r="AV4173">
            <v>365</v>
          </cell>
        </row>
        <row r="4174">
          <cell r="AV4174">
            <v>365</v>
          </cell>
        </row>
        <row r="4175">
          <cell r="AV4175">
            <v>365</v>
          </cell>
        </row>
        <row r="4176">
          <cell r="AV4176">
            <v>286</v>
          </cell>
        </row>
        <row r="4177">
          <cell r="AV4177">
            <v>198</v>
          </cell>
        </row>
        <row r="4178">
          <cell r="AV4178">
            <v>305</v>
          </cell>
        </row>
        <row r="4179">
          <cell r="AV4179">
            <v>198</v>
          </cell>
        </row>
        <row r="4180">
          <cell r="AV4180">
            <v>198</v>
          </cell>
        </row>
        <row r="4181">
          <cell r="AV4181">
            <v>198</v>
          </cell>
        </row>
        <row r="4182">
          <cell r="AV4182">
            <v>198</v>
          </cell>
        </row>
        <row r="4183">
          <cell r="AV4183">
            <v>198</v>
          </cell>
        </row>
        <row r="4184">
          <cell r="AV4184">
            <v>335</v>
          </cell>
        </row>
        <row r="4185">
          <cell r="AV4185">
            <v>198</v>
          </cell>
        </row>
        <row r="4186">
          <cell r="AV4186">
            <v>364</v>
          </cell>
        </row>
        <row r="4187">
          <cell r="AV4187">
            <v>305</v>
          </cell>
        </row>
        <row r="4188">
          <cell r="AV4188">
            <v>305</v>
          </cell>
        </row>
        <row r="4189">
          <cell r="AV4189">
            <v>305</v>
          </cell>
        </row>
        <row r="4190">
          <cell r="AV4190">
            <v>198</v>
          </cell>
        </row>
        <row r="4191">
          <cell r="AV4191">
            <v>365</v>
          </cell>
        </row>
        <row r="4192">
          <cell r="AV4192">
            <v>365</v>
          </cell>
        </row>
        <row r="4193">
          <cell r="AV4193">
            <v>198</v>
          </cell>
        </row>
        <row r="4194">
          <cell r="AV4194">
            <v>198</v>
          </cell>
        </row>
        <row r="4195">
          <cell r="AV4195">
            <v>198</v>
          </cell>
        </row>
        <row r="4196">
          <cell r="AV4196">
            <v>198</v>
          </cell>
        </row>
        <row r="4197">
          <cell r="AV4197">
            <v>198</v>
          </cell>
        </row>
        <row r="4198">
          <cell r="AV4198">
            <v>198</v>
          </cell>
        </row>
        <row r="4199">
          <cell r="AV4199">
            <v>198</v>
          </cell>
        </row>
        <row r="4200">
          <cell r="AV4200">
            <v>198</v>
          </cell>
        </row>
        <row r="4201">
          <cell r="AV4201">
            <v>198</v>
          </cell>
        </row>
        <row r="4202">
          <cell r="AV4202">
            <v>289</v>
          </cell>
        </row>
        <row r="4203">
          <cell r="AV4203">
            <v>365</v>
          </cell>
        </row>
        <row r="4204">
          <cell r="AV4204">
            <v>365</v>
          </cell>
        </row>
        <row r="4205">
          <cell r="AV4205">
            <v>335</v>
          </cell>
        </row>
        <row r="4206">
          <cell r="AV4206">
            <v>289</v>
          </cell>
        </row>
        <row r="4207">
          <cell r="AV4207">
            <v>335</v>
          </cell>
        </row>
        <row r="4208">
          <cell r="AV4208">
            <v>198</v>
          </cell>
        </row>
        <row r="4209">
          <cell r="AV4209">
            <v>335</v>
          </cell>
        </row>
        <row r="4210">
          <cell r="AV4210">
            <v>322</v>
          </cell>
        </row>
        <row r="4211">
          <cell r="AV4211">
            <v>289</v>
          </cell>
        </row>
        <row r="4212">
          <cell r="AV4212">
            <v>198</v>
          </cell>
        </row>
        <row r="4213">
          <cell r="AV4213">
            <v>289</v>
          </cell>
        </row>
        <row r="4214">
          <cell r="AV4214">
            <v>353</v>
          </cell>
        </row>
        <row r="4215">
          <cell r="AV4215">
            <v>198</v>
          </cell>
        </row>
        <row r="4216">
          <cell r="AV4216">
            <v>365</v>
          </cell>
        </row>
        <row r="4217">
          <cell r="AV4217">
            <v>317</v>
          </cell>
        </row>
        <row r="4218">
          <cell r="AV4218">
            <v>198</v>
          </cell>
        </row>
        <row r="4219">
          <cell r="AV4219">
            <v>198</v>
          </cell>
        </row>
        <row r="4220">
          <cell r="AV4220">
            <v>305</v>
          </cell>
        </row>
        <row r="4221">
          <cell r="AV4221">
            <v>305</v>
          </cell>
        </row>
        <row r="4222">
          <cell r="AV4222">
            <v>305</v>
          </cell>
        </row>
        <row r="4223">
          <cell r="AV4223">
            <v>305</v>
          </cell>
        </row>
        <row r="4224">
          <cell r="AV4224">
            <v>305</v>
          </cell>
        </row>
        <row r="4225">
          <cell r="AV4225">
            <v>305</v>
          </cell>
        </row>
        <row r="4226">
          <cell r="AV4226">
            <v>198</v>
          </cell>
        </row>
        <row r="4227">
          <cell r="E4227" t="str">
            <v>GF</v>
          </cell>
          <cell r="AV4227">
            <v>198</v>
          </cell>
        </row>
        <row r="4228">
          <cell r="AV4228">
            <v>198</v>
          </cell>
        </row>
        <row r="4229">
          <cell r="AV4229">
            <v>365</v>
          </cell>
        </row>
        <row r="4230">
          <cell r="AV4230">
            <v>295</v>
          </cell>
        </row>
        <row r="4231">
          <cell r="AV4231">
            <v>198</v>
          </cell>
        </row>
        <row r="4232">
          <cell r="AV4232">
            <v>361</v>
          </cell>
        </row>
        <row r="4233">
          <cell r="AV4233">
            <v>335</v>
          </cell>
        </row>
        <row r="4234">
          <cell r="AV4234">
            <v>312</v>
          </cell>
        </row>
        <row r="4235">
          <cell r="AV4235">
            <v>283</v>
          </cell>
        </row>
        <row r="4236">
          <cell r="AV4236">
            <v>289</v>
          </cell>
        </row>
        <row r="4237">
          <cell r="AV4237">
            <v>289</v>
          </cell>
        </row>
        <row r="4238">
          <cell r="AV4238">
            <v>198</v>
          </cell>
        </row>
        <row r="4239">
          <cell r="AV4239">
            <v>335</v>
          </cell>
        </row>
        <row r="4240">
          <cell r="AV4240">
            <v>305</v>
          </cell>
        </row>
        <row r="4241">
          <cell r="AV4241">
            <v>198</v>
          </cell>
        </row>
        <row r="4242">
          <cell r="AV4242">
            <v>198</v>
          </cell>
        </row>
        <row r="4243">
          <cell r="AV4243">
            <v>289</v>
          </cell>
        </row>
        <row r="4244">
          <cell r="AV4244">
            <v>343</v>
          </cell>
        </row>
        <row r="4245">
          <cell r="AV4245">
            <v>289</v>
          </cell>
        </row>
        <row r="4246">
          <cell r="AV4246">
            <v>365</v>
          </cell>
        </row>
        <row r="4247">
          <cell r="AV4247">
            <v>198</v>
          </cell>
        </row>
        <row r="4248">
          <cell r="AV4248">
            <v>209</v>
          </cell>
        </row>
        <row r="4249">
          <cell r="D4249" t="str">
            <v>SRV</v>
          </cell>
          <cell r="E4249" t="str">
            <v>UTILITY</v>
          </cell>
          <cell r="AV4249">
            <v>198</v>
          </cell>
        </row>
        <row r="4250">
          <cell r="D4250" t="str">
            <v>SRV</v>
          </cell>
          <cell r="E4250" t="str">
            <v>UTILITY</v>
          </cell>
          <cell r="AV4250">
            <v>198</v>
          </cell>
        </row>
        <row r="4251">
          <cell r="AV4251">
            <v>332</v>
          </cell>
        </row>
        <row r="4252">
          <cell r="AV4252">
            <v>332</v>
          </cell>
        </row>
        <row r="4253">
          <cell r="AV4253">
            <v>289</v>
          </cell>
        </row>
        <row r="4254">
          <cell r="AV4254">
            <v>305</v>
          </cell>
        </row>
        <row r="4255">
          <cell r="AV4255">
            <v>365</v>
          </cell>
        </row>
        <row r="4256">
          <cell r="AV4256">
            <v>305</v>
          </cell>
        </row>
        <row r="4257">
          <cell r="AV4257">
            <v>344</v>
          </cell>
        </row>
        <row r="4258">
          <cell r="AV4258">
            <v>305</v>
          </cell>
        </row>
        <row r="4259">
          <cell r="AV4259">
            <v>342</v>
          </cell>
        </row>
        <row r="4260">
          <cell r="AV4260">
            <v>305</v>
          </cell>
        </row>
        <row r="4261">
          <cell r="AV4261">
            <v>321</v>
          </cell>
        </row>
        <row r="4262">
          <cell r="AV4262">
            <v>289</v>
          </cell>
        </row>
        <row r="4263">
          <cell r="AV4263">
            <v>305</v>
          </cell>
        </row>
        <row r="4264">
          <cell r="AV4264">
            <v>198</v>
          </cell>
        </row>
        <row r="4265">
          <cell r="AV4265">
            <v>335</v>
          </cell>
        </row>
        <row r="4266">
          <cell r="AV4266">
            <v>365</v>
          </cell>
        </row>
        <row r="4267">
          <cell r="AV4267">
            <v>305</v>
          </cell>
        </row>
        <row r="4268">
          <cell r="AV4268">
            <v>290</v>
          </cell>
        </row>
        <row r="4269">
          <cell r="AV4269">
            <v>327</v>
          </cell>
        </row>
        <row r="4270">
          <cell r="AV4270">
            <v>335</v>
          </cell>
        </row>
        <row r="4271">
          <cell r="AV4271">
            <v>354</v>
          </cell>
        </row>
        <row r="4272">
          <cell r="AV4272">
            <v>198</v>
          </cell>
        </row>
        <row r="4273">
          <cell r="AV4273">
            <v>292</v>
          </cell>
        </row>
        <row r="4274">
          <cell r="AV4274">
            <v>275</v>
          </cell>
        </row>
        <row r="4275">
          <cell r="AV4275">
            <v>275</v>
          </cell>
        </row>
        <row r="4276">
          <cell r="AV4276">
            <v>275</v>
          </cell>
        </row>
        <row r="4277">
          <cell r="AV4277">
            <v>364</v>
          </cell>
        </row>
        <row r="4278">
          <cell r="AV4278">
            <v>305</v>
          </cell>
        </row>
        <row r="4279">
          <cell r="AV4279">
            <v>198</v>
          </cell>
        </row>
        <row r="4280">
          <cell r="AV4280">
            <v>198</v>
          </cell>
        </row>
        <row r="4281">
          <cell r="AV4281">
            <v>342</v>
          </cell>
        </row>
        <row r="4282">
          <cell r="AV4282">
            <v>329</v>
          </cell>
        </row>
        <row r="4283">
          <cell r="AV4283">
            <v>198</v>
          </cell>
        </row>
        <row r="4284">
          <cell r="AV4284">
            <v>364</v>
          </cell>
        </row>
        <row r="4285">
          <cell r="AV4285">
            <v>305</v>
          </cell>
        </row>
        <row r="4286">
          <cell r="AV4286">
            <v>363</v>
          </cell>
        </row>
        <row r="4287">
          <cell r="AV4287">
            <v>362</v>
          </cell>
        </row>
        <row r="4288">
          <cell r="AV4288">
            <v>205</v>
          </cell>
        </row>
        <row r="4289">
          <cell r="AV4289">
            <v>335</v>
          </cell>
        </row>
        <row r="4290">
          <cell r="AV4290">
            <v>289</v>
          </cell>
        </row>
        <row r="4291">
          <cell r="AV4291">
            <v>289</v>
          </cell>
        </row>
        <row r="4292">
          <cell r="AV4292">
            <v>350</v>
          </cell>
        </row>
        <row r="4293">
          <cell r="AV4293">
            <v>335</v>
          </cell>
        </row>
        <row r="4294">
          <cell r="AV4294">
            <v>348</v>
          </cell>
        </row>
        <row r="4295">
          <cell r="AV4295">
            <v>198</v>
          </cell>
        </row>
        <row r="4296">
          <cell r="AV4296">
            <v>198</v>
          </cell>
        </row>
        <row r="4297">
          <cell r="AV4297">
            <v>198</v>
          </cell>
        </row>
        <row r="4298">
          <cell r="AV4298">
            <v>305</v>
          </cell>
        </row>
        <row r="4299">
          <cell r="AV4299">
            <v>344</v>
          </cell>
        </row>
        <row r="4300">
          <cell r="AV4300">
            <v>305</v>
          </cell>
        </row>
        <row r="4301">
          <cell r="AV4301">
            <v>198</v>
          </cell>
        </row>
        <row r="4302">
          <cell r="AV4302">
            <v>365</v>
          </cell>
        </row>
        <row r="4303">
          <cell r="AV4303">
            <v>198</v>
          </cell>
        </row>
        <row r="4304">
          <cell r="AV4304">
            <v>289</v>
          </cell>
        </row>
        <row r="4305">
          <cell r="AV4305">
            <v>365</v>
          </cell>
        </row>
        <row r="4306">
          <cell r="AV4306">
            <v>289</v>
          </cell>
        </row>
        <row r="4307">
          <cell r="AV4307">
            <v>348</v>
          </cell>
        </row>
        <row r="4308">
          <cell r="AV4308">
            <v>365</v>
          </cell>
        </row>
        <row r="4309">
          <cell r="AV4309">
            <v>364</v>
          </cell>
        </row>
        <row r="4310">
          <cell r="AV4310">
            <v>364</v>
          </cell>
        </row>
        <row r="4311">
          <cell r="AV4311">
            <v>275</v>
          </cell>
        </row>
        <row r="4312">
          <cell r="AV4312">
            <v>335</v>
          </cell>
        </row>
        <row r="4313">
          <cell r="AV4313">
            <v>289</v>
          </cell>
        </row>
        <row r="4314">
          <cell r="AV4314">
            <v>293</v>
          </cell>
        </row>
        <row r="4315">
          <cell r="AV4315">
            <v>289</v>
          </cell>
        </row>
        <row r="4316">
          <cell r="AV4316">
            <v>244</v>
          </cell>
        </row>
        <row r="4317">
          <cell r="D4317" t="str">
            <v>GC-IB</v>
          </cell>
          <cell r="E4317" t="str">
            <v>Pharma</v>
          </cell>
          <cell r="AV4317">
            <v>289</v>
          </cell>
        </row>
        <row r="4318">
          <cell r="AV4318">
            <v>365</v>
          </cell>
        </row>
        <row r="4319">
          <cell r="AV4319">
            <v>344</v>
          </cell>
        </row>
        <row r="4320">
          <cell r="AV4320">
            <v>335</v>
          </cell>
        </row>
        <row r="4321">
          <cell r="AV4321">
            <v>198</v>
          </cell>
        </row>
        <row r="4322">
          <cell r="D4322" t="str">
            <v>SRV</v>
          </cell>
          <cell r="AV4322">
            <v>198</v>
          </cell>
        </row>
        <row r="4323">
          <cell r="D4323" t="str">
            <v>SRV</v>
          </cell>
          <cell r="AV4323">
            <v>198</v>
          </cell>
        </row>
        <row r="4324">
          <cell r="AV4324">
            <v>335</v>
          </cell>
        </row>
        <row r="4325">
          <cell r="AV4325">
            <v>346</v>
          </cell>
        </row>
        <row r="4326">
          <cell r="AV4326">
            <v>346</v>
          </cell>
        </row>
        <row r="4327">
          <cell r="AV4327">
            <v>346</v>
          </cell>
        </row>
        <row r="4328">
          <cell r="AV4328">
            <v>346</v>
          </cell>
        </row>
        <row r="4329">
          <cell r="AV4329">
            <v>346</v>
          </cell>
        </row>
        <row r="4330">
          <cell r="AV4330">
            <v>198</v>
          </cell>
        </row>
        <row r="4331">
          <cell r="AV4331">
            <v>322</v>
          </cell>
        </row>
        <row r="4332">
          <cell r="AV4332">
            <v>322</v>
          </cell>
        </row>
        <row r="4333">
          <cell r="AV4333">
            <v>322</v>
          </cell>
        </row>
        <row r="4334">
          <cell r="AV4334">
            <v>322</v>
          </cell>
        </row>
        <row r="4335">
          <cell r="AV4335">
            <v>322</v>
          </cell>
        </row>
        <row r="4336">
          <cell r="AV4336">
            <v>322</v>
          </cell>
        </row>
        <row r="4337">
          <cell r="AV4337">
            <v>364</v>
          </cell>
        </row>
        <row r="4338">
          <cell r="AV4338">
            <v>364</v>
          </cell>
        </row>
        <row r="4339">
          <cell r="AV4339">
            <v>364</v>
          </cell>
        </row>
        <row r="4340">
          <cell r="AV4340">
            <v>364</v>
          </cell>
        </row>
        <row r="4341">
          <cell r="AV4341">
            <v>364</v>
          </cell>
        </row>
        <row r="4342">
          <cell r="AV4342">
            <v>364</v>
          </cell>
        </row>
        <row r="4343">
          <cell r="AV4343">
            <v>305</v>
          </cell>
        </row>
        <row r="4344">
          <cell r="AV4344">
            <v>364</v>
          </cell>
        </row>
        <row r="4345">
          <cell r="AV4345">
            <v>315</v>
          </cell>
        </row>
        <row r="4346">
          <cell r="AV4346">
            <v>315</v>
          </cell>
        </row>
        <row r="4347">
          <cell r="AV4347">
            <v>324</v>
          </cell>
        </row>
        <row r="4348">
          <cell r="AV4348">
            <v>305</v>
          </cell>
        </row>
        <row r="4349">
          <cell r="AV4349">
            <v>198</v>
          </cell>
        </row>
        <row r="4350">
          <cell r="AV4350">
            <v>364</v>
          </cell>
        </row>
        <row r="4351">
          <cell r="AV4351">
            <v>364</v>
          </cell>
        </row>
        <row r="4352">
          <cell r="AV4352">
            <v>364</v>
          </cell>
        </row>
        <row r="4353">
          <cell r="AV4353">
            <v>364</v>
          </cell>
        </row>
        <row r="4354">
          <cell r="AV4354">
            <v>364</v>
          </cell>
        </row>
        <row r="4355">
          <cell r="AV4355">
            <v>364</v>
          </cell>
        </row>
        <row r="4356">
          <cell r="AV4356">
            <v>364</v>
          </cell>
        </row>
        <row r="4357">
          <cell r="AV4357">
            <v>364</v>
          </cell>
        </row>
        <row r="4358">
          <cell r="AV4358">
            <v>364</v>
          </cell>
        </row>
        <row r="4359">
          <cell r="AV4359">
            <v>364</v>
          </cell>
        </row>
        <row r="4360">
          <cell r="AV4360">
            <v>364</v>
          </cell>
        </row>
        <row r="4361">
          <cell r="AV4361">
            <v>364</v>
          </cell>
        </row>
        <row r="4362">
          <cell r="AV4362">
            <v>364</v>
          </cell>
        </row>
        <row r="4363">
          <cell r="AV4363">
            <v>364</v>
          </cell>
        </row>
        <row r="4364">
          <cell r="AV4364">
            <v>364</v>
          </cell>
        </row>
        <row r="4365">
          <cell r="AV4365">
            <v>364</v>
          </cell>
        </row>
        <row r="4366">
          <cell r="AV4366">
            <v>364</v>
          </cell>
        </row>
        <row r="4367">
          <cell r="AV4367">
            <v>364</v>
          </cell>
        </row>
        <row r="4368">
          <cell r="AV4368">
            <v>364</v>
          </cell>
        </row>
        <row r="4369">
          <cell r="AV4369">
            <v>364</v>
          </cell>
        </row>
        <row r="4370">
          <cell r="AV4370">
            <v>364</v>
          </cell>
        </row>
        <row r="4371">
          <cell r="AV4371">
            <v>364</v>
          </cell>
        </row>
        <row r="4372">
          <cell r="AV4372">
            <v>364</v>
          </cell>
        </row>
        <row r="4373">
          <cell r="AV4373">
            <v>364</v>
          </cell>
        </row>
        <row r="4374">
          <cell r="AV4374">
            <v>364</v>
          </cell>
        </row>
        <row r="4375">
          <cell r="AV4375">
            <v>198</v>
          </cell>
        </row>
        <row r="4376">
          <cell r="AV4376">
            <v>274</v>
          </cell>
        </row>
        <row r="4377">
          <cell r="BJ4377" t="str">
            <v>PROVISION</v>
          </cell>
        </row>
        <row r="4378">
          <cell r="AV4378">
            <v>357</v>
          </cell>
        </row>
        <row r="4379">
          <cell r="AV4379">
            <v>357</v>
          </cell>
        </row>
        <row r="4380">
          <cell r="AV4380">
            <v>357</v>
          </cell>
        </row>
        <row r="4381">
          <cell r="AV4381">
            <v>250</v>
          </cell>
        </row>
        <row r="4382">
          <cell r="AV4382">
            <v>335</v>
          </cell>
        </row>
        <row r="4383">
          <cell r="AV4383">
            <v>250</v>
          </cell>
        </row>
        <row r="4384">
          <cell r="AV4384">
            <v>250</v>
          </cell>
        </row>
        <row r="4385">
          <cell r="AV4385">
            <v>250</v>
          </cell>
        </row>
        <row r="4386">
          <cell r="AV4386">
            <v>250</v>
          </cell>
        </row>
        <row r="4387">
          <cell r="AV4387">
            <v>250</v>
          </cell>
        </row>
        <row r="4388">
          <cell r="AV4388">
            <v>250</v>
          </cell>
        </row>
        <row r="4389">
          <cell r="AV4389">
            <v>250</v>
          </cell>
        </row>
        <row r="4390">
          <cell r="AV4390">
            <v>250</v>
          </cell>
        </row>
        <row r="4391">
          <cell r="D4391" t="str">
            <v>QC</v>
          </cell>
          <cell r="AV4391">
            <v>250</v>
          </cell>
        </row>
        <row r="4392">
          <cell r="AV4392">
            <v>250</v>
          </cell>
        </row>
        <row r="4393">
          <cell r="AV4393">
            <v>250</v>
          </cell>
        </row>
        <row r="4394">
          <cell r="AV4394">
            <v>250</v>
          </cell>
        </row>
        <row r="4395">
          <cell r="AV4395">
            <v>250</v>
          </cell>
        </row>
        <row r="4396">
          <cell r="AV4396">
            <v>217</v>
          </cell>
        </row>
        <row r="4397">
          <cell r="AV4397">
            <v>250</v>
          </cell>
        </row>
        <row r="4398">
          <cell r="AV4398">
            <v>250</v>
          </cell>
        </row>
        <row r="4399">
          <cell r="AV4399">
            <v>365</v>
          </cell>
        </row>
        <row r="4400">
          <cell r="AV4400">
            <v>336</v>
          </cell>
        </row>
        <row r="4401">
          <cell r="AV4401">
            <v>336</v>
          </cell>
        </row>
        <row r="4402">
          <cell r="AV4402">
            <v>336</v>
          </cell>
        </row>
        <row r="4403">
          <cell r="AV4403">
            <v>250</v>
          </cell>
        </row>
        <row r="4404">
          <cell r="AV4404">
            <v>250</v>
          </cell>
        </row>
        <row r="4405">
          <cell r="AV4405">
            <v>250</v>
          </cell>
        </row>
        <row r="4406">
          <cell r="D4406" t="str">
            <v>Oncology</v>
          </cell>
          <cell r="AV4406">
            <v>250</v>
          </cell>
        </row>
        <row r="4407">
          <cell r="AV4407">
            <v>250</v>
          </cell>
        </row>
        <row r="4408">
          <cell r="AV4408">
            <v>250</v>
          </cell>
        </row>
        <row r="4409">
          <cell r="AV4409">
            <v>324</v>
          </cell>
        </row>
        <row r="4410">
          <cell r="AV4410">
            <v>363</v>
          </cell>
        </row>
        <row r="4411">
          <cell r="AV4411">
            <v>347</v>
          </cell>
        </row>
        <row r="4412">
          <cell r="AV4412">
            <v>250</v>
          </cell>
        </row>
        <row r="4413">
          <cell r="AV4413">
            <v>250</v>
          </cell>
        </row>
        <row r="4414">
          <cell r="AV4414">
            <v>250</v>
          </cell>
        </row>
        <row r="4415">
          <cell r="AV4415">
            <v>250</v>
          </cell>
        </row>
        <row r="4416">
          <cell r="AV4416">
            <v>250</v>
          </cell>
        </row>
        <row r="4417">
          <cell r="AV4417">
            <v>250</v>
          </cell>
        </row>
        <row r="4418">
          <cell r="AV4418">
            <v>250</v>
          </cell>
        </row>
        <row r="4419">
          <cell r="AV4419">
            <v>295</v>
          </cell>
        </row>
        <row r="4420">
          <cell r="AV4420">
            <v>250</v>
          </cell>
        </row>
        <row r="4421">
          <cell r="AV4421">
            <v>250</v>
          </cell>
        </row>
        <row r="4422">
          <cell r="AV4422">
            <v>250</v>
          </cell>
        </row>
        <row r="4423">
          <cell r="AV4423">
            <v>250</v>
          </cell>
        </row>
        <row r="4424">
          <cell r="AV4424">
            <v>300</v>
          </cell>
        </row>
        <row r="4425">
          <cell r="AV4425">
            <v>250</v>
          </cell>
        </row>
        <row r="4426">
          <cell r="AV4426">
            <v>341</v>
          </cell>
        </row>
        <row r="4427">
          <cell r="AV4427">
            <v>250</v>
          </cell>
        </row>
        <row r="4428">
          <cell r="AV4428">
            <v>300</v>
          </cell>
        </row>
        <row r="4429">
          <cell r="AV4429">
            <v>250</v>
          </cell>
        </row>
        <row r="4430">
          <cell r="AV4430">
            <v>358</v>
          </cell>
        </row>
        <row r="4431">
          <cell r="D4431" t="str">
            <v>Oncology</v>
          </cell>
          <cell r="AV4431">
            <v>250</v>
          </cell>
        </row>
        <row r="4432">
          <cell r="AV4432">
            <v>250</v>
          </cell>
        </row>
        <row r="4433">
          <cell r="AV4433">
            <v>250</v>
          </cell>
        </row>
        <row r="4434">
          <cell r="AV4434">
            <v>250</v>
          </cell>
        </row>
        <row r="4435">
          <cell r="AV4435">
            <v>313</v>
          </cell>
        </row>
        <row r="4436">
          <cell r="AV4436">
            <v>250</v>
          </cell>
        </row>
        <row r="4437">
          <cell r="AV4437">
            <v>336</v>
          </cell>
        </row>
        <row r="4438">
          <cell r="AV4438">
            <v>341</v>
          </cell>
        </row>
        <row r="4439">
          <cell r="AV4439">
            <v>250</v>
          </cell>
        </row>
        <row r="4440">
          <cell r="AV4440">
            <v>250</v>
          </cell>
        </row>
        <row r="4441">
          <cell r="AV4441">
            <v>250</v>
          </cell>
        </row>
        <row r="4442">
          <cell r="AV4442">
            <v>250</v>
          </cell>
        </row>
        <row r="4443">
          <cell r="AV4443">
            <v>250</v>
          </cell>
        </row>
        <row r="4444">
          <cell r="AV4444">
            <v>250</v>
          </cell>
        </row>
        <row r="4445">
          <cell r="AV4445">
            <v>250</v>
          </cell>
        </row>
        <row r="4446">
          <cell r="AV4446">
            <v>343</v>
          </cell>
        </row>
        <row r="4447">
          <cell r="AV4447">
            <v>250</v>
          </cell>
        </row>
        <row r="4448">
          <cell r="AV4448">
            <v>250</v>
          </cell>
        </row>
        <row r="4449">
          <cell r="AV4449">
            <v>250</v>
          </cell>
        </row>
        <row r="4450">
          <cell r="E4450" t="str">
            <v>Intermediate</v>
          </cell>
          <cell r="AV4450">
            <v>335</v>
          </cell>
        </row>
        <row r="4451">
          <cell r="D4451" t="str">
            <v>GC- IC</v>
          </cell>
          <cell r="E4451" t="str">
            <v>Intermediate</v>
          </cell>
          <cell r="AV4451">
            <v>335</v>
          </cell>
        </row>
        <row r="4452">
          <cell r="AV4452">
            <v>250</v>
          </cell>
        </row>
        <row r="4453">
          <cell r="AV4453">
            <v>250</v>
          </cell>
        </row>
        <row r="4454">
          <cell r="D4454" t="str">
            <v>Oncology</v>
          </cell>
          <cell r="AV4454">
            <v>250</v>
          </cell>
        </row>
        <row r="4455">
          <cell r="AV4455">
            <v>250</v>
          </cell>
        </row>
        <row r="4456">
          <cell r="AV4456">
            <v>250</v>
          </cell>
        </row>
        <row r="4457">
          <cell r="AV4457">
            <v>250</v>
          </cell>
        </row>
        <row r="4458">
          <cell r="AV4458">
            <v>250</v>
          </cell>
        </row>
        <row r="4459">
          <cell r="AV4459">
            <v>250</v>
          </cell>
        </row>
        <row r="4460">
          <cell r="AV4460">
            <v>250</v>
          </cell>
        </row>
        <row r="4461">
          <cell r="AV4461">
            <v>329</v>
          </cell>
        </row>
        <row r="4462">
          <cell r="AV4462">
            <v>232</v>
          </cell>
        </row>
        <row r="4463">
          <cell r="AV4463">
            <v>250</v>
          </cell>
        </row>
        <row r="4464">
          <cell r="AV4464">
            <v>250</v>
          </cell>
        </row>
        <row r="4465">
          <cell r="AV4465">
            <v>250</v>
          </cell>
        </row>
        <row r="4466">
          <cell r="E4466" t="str">
            <v>GF</v>
          </cell>
          <cell r="AV4466">
            <v>250</v>
          </cell>
        </row>
        <row r="4467">
          <cell r="D4467" t="str">
            <v>Oncology</v>
          </cell>
          <cell r="AV4467">
            <v>250</v>
          </cell>
        </row>
        <row r="4468">
          <cell r="AV4468">
            <v>324</v>
          </cell>
        </row>
        <row r="4469">
          <cell r="AV4469">
            <v>250</v>
          </cell>
        </row>
        <row r="4470">
          <cell r="AV4470">
            <v>250</v>
          </cell>
        </row>
        <row r="4471">
          <cell r="AV4471">
            <v>250</v>
          </cell>
        </row>
        <row r="4472">
          <cell r="AV4472">
            <v>250</v>
          </cell>
        </row>
        <row r="4473">
          <cell r="AV4473">
            <v>250</v>
          </cell>
        </row>
        <row r="4474">
          <cell r="AV4474">
            <v>250</v>
          </cell>
        </row>
        <row r="4475">
          <cell r="AV4475">
            <v>250</v>
          </cell>
        </row>
        <row r="4476">
          <cell r="AV4476">
            <v>295</v>
          </cell>
        </row>
        <row r="4477">
          <cell r="AV4477">
            <v>250</v>
          </cell>
        </row>
        <row r="4478">
          <cell r="AV4478">
            <v>250</v>
          </cell>
        </row>
        <row r="4479">
          <cell r="AV4479">
            <v>250</v>
          </cell>
        </row>
        <row r="4480">
          <cell r="AV4480">
            <v>250</v>
          </cell>
        </row>
        <row r="4481">
          <cell r="AV4481">
            <v>250</v>
          </cell>
        </row>
        <row r="4482">
          <cell r="AV4482">
            <v>250</v>
          </cell>
        </row>
        <row r="4483">
          <cell r="AV4483">
            <v>250</v>
          </cell>
        </row>
        <row r="4484">
          <cell r="AV4484">
            <v>250</v>
          </cell>
        </row>
        <row r="4485">
          <cell r="AV4485">
            <v>331</v>
          </cell>
        </row>
        <row r="4486">
          <cell r="AV4486">
            <v>250</v>
          </cell>
        </row>
        <row r="4487">
          <cell r="AV4487">
            <v>250</v>
          </cell>
        </row>
        <row r="4488">
          <cell r="AV4488">
            <v>295</v>
          </cell>
        </row>
        <row r="4489">
          <cell r="AV4489">
            <v>217</v>
          </cell>
        </row>
        <row r="4490">
          <cell r="AV4490">
            <v>365</v>
          </cell>
        </row>
        <row r="4491">
          <cell r="AV4491">
            <v>250</v>
          </cell>
        </row>
        <row r="4492">
          <cell r="AV4492">
            <v>250</v>
          </cell>
        </row>
        <row r="4493">
          <cell r="AV4493">
            <v>250</v>
          </cell>
        </row>
        <row r="4494">
          <cell r="D4494" t="str">
            <v>Oncology</v>
          </cell>
          <cell r="AV4494">
            <v>250</v>
          </cell>
        </row>
        <row r="4495">
          <cell r="AV4495">
            <v>250</v>
          </cell>
        </row>
        <row r="4496">
          <cell r="AV4496">
            <v>250</v>
          </cell>
        </row>
        <row r="4497">
          <cell r="AV4497">
            <v>261</v>
          </cell>
        </row>
        <row r="4498">
          <cell r="AV4498">
            <v>250</v>
          </cell>
        </row>
        <row r="4499">
          <cell r="AV4499">
            <v>265</v>
          </cell>
        </row>
        <row r="4500">
          <cell r="AV4500">
            <v>250</v>
          </cell>
        </row>
        <row r="4501">
          <cell r="AV4501">
            <v>310</v>
          </cell>
        </row>
        <row r="4502">
          <cell r="AV4502">
            <v>250</v>
          </cell>
        </row>
        <row r="4503">
          <cell r="AV4503">
            <v>250</v>
          </cell>
        </row>
        <row r="4504">
          <cell r="AV4504">
            <v>250</v>
          </cell>
        </row>
        <row r="4505">
          <cell r="AV4505">
            <v>250</v>
          </cell>
        </row>
        <row r="4506">
          <cell r="AV4506">
            <v>250</v>
          </cell>
        </row>
        <row r="4507">
          <cell r="AV4507">
            <v>250</v>
          </cell>
        </row>
        <row r="4508">
          <cell r="AV4508">
            <v>250</v>
          </cell>
        </row>
        <row r="4509">
          <cell r="AV4509">
            <v>205</v>
          </cell>
        </row>
        <row r="4510">
          <cell r="AV4510">
            <v>365</v>
          </cell>
        </row>
        <row r="4511">
          <cell r="AV4511">
            <v>314</v>
          </cell>
        </row>
        <row r="4512">
          <cell r="AV4512">
            <v>250</v>
          </cell>
        </row>
        <row r="4513">
          <cell r="AV4513">
            <v>250</v>
          </cell>
        </row>
        <row r="4514">
          <cell r="AV4514">
            <v>315</v>
          </cell>
        </row>
        <row r="4515">
          <cell r="AV4515">
            <v>250</v>
          </cell>
        </row>
        <row r="4516">
          <cell r="AV4516">
            <v>244</v>
          </cell>
        </row>
        <row r="4517">
          <cell r="AV4517">
            <v>250</v>
          </cell>
        </row>
        <row r="4518">
          <cell r="AV4518">
            <v>250</v>
          </cell>
        </row>
        <row r="4519">
          <cell r="AV4519">
            <v>250</v>
          </cell>
        </row>
        <row r="4520">
          <cell r="AV4520">
            <v>250</v>
          </cell>
        </row>
        <row r="4521">
          <cell r="AV4521">
            <v>193</v>
          </cell>
        </row>
        <row r="4522">
          <cell r="AV4522">
            <v>322</v>
          </cell>
        </row>
        <row r="4523">
          <cell r="AV4523">
            <v>246</v>
          </cell>
        </row>
        <row r="4524">
          <cell r="AV4524">
            <v>250</v>
          </cell>
        </row>
        <row r="4525">
          <cell r="AV4525">
            <v>250</v>
          </cell>
        </row>
        <row r="4526">
          <cell r="AV4526">
            <v>250</v>
          </cell>
        </row>
        <row r="4527">
          <cell r="AV4527">
            <v>250</v>
          </cell>
        </row>
        <row r="4528">
          <cell r="AV4528">
            <v>250</v>
          </cell>
        </row>
        <row r="4529">
          <cell r="AV4529">
            <v>198</v>
          </cell>
        </row>
        <row r="4530">
          <cell r="AV4530">
            <v>300</v>
          </cell>
        </row>
        <row r="4531">
          <cell r="AV4531">
            <v>212</v>
          </cell>
        </row>
        <row r="4532">
          <cell r="AV4532">
            <v>333</v>
          </cell>
        </row>
        <row r="4533">
          <cell r="AV4533">
            <v>335</v>
          </cell>
        </row>
        <row r="4534">
          <cell r="AV4534">
            <v>335</v>
          </cell>
        </row>
        <row r="4535">
          <cell r="AV4535">
            <v>305</v>
          </cell>
        </row>
        <row r="4536">
          <cell r="AV4536">
            <v>289</v>
          </cell>
        </row>
        <row r="4537">
          <cell r="AV4537">
            <v>335</v>
          </cell>
        </row>
        <row r="4538">
          <cell r="AV4538">
            <v>250</v>
          </cell>
        </row>
        <row r="4539">
          <cell r="AV4539">
            <v>250</v>
          </cell>
        </row>
        <row r="4540">
          <cell r="AV4540">
            <v>250</v>
          </cell>
        </row>
        <row r="4541">
          <cell r="AV4541">
            <v>202</v>
          </cell>
        </row>
        <row r="4542">
          <cell r="AV4542">
            <v>250</v>
          </cell>
        </row>
        <row r="4543">
          <cell r="AV4543">
            <v>250</v>
          </cell>
        </row>
        <row r="4544">
          <cell r="AV4544">
            <v>250</v>
          </cell>
        </row>
        <row r="4545">
          <cell r="AV4545">
            <v>250</v>
          </cell>
        </row>
        <row r="4546">
          <cell r="AV4546">
            <v>250</v>
          </cell>
        </row>
        <row r="4547">
          <cell r="AV4547">
            <v>289</v>
          </cell>
        </row>
        <row r="4548">
          <cell r="AV4548">
            <v>305</v>
          </cell>
        </row>
        <row r="4549">
          <cell r="AV4549">
            <v>305</v>
          </cell>
        </row>
        <row r="4550">
          <cell r="AV4550">
            <v>305</v>
          </cell>
        </row>
        <row r="4551">
          <cell r="AV4551">
            <v>294</v>
          </cell>
        </row>
        <row r="4552">
          <cell r="AV4552">
            <v>250</v>
          </cell>
        </row>
        <row r="4553">
          <cell r="AV4553">
            <v>362</v>
          </cell>
        </row>
        <row r="4554">
          <cell r="AV4554">
            <v>333</v>
          </cell>
        </row>
        <row r="4555">
          <cell r="AV4555">
            <v>305</v>
          </cell>
        </row>
        <row r="4556">
          <cell r="AV4556">
            <v>289</v>
          </cell>
        </row>
        <row r="4557">
          <cell r="AV4557">
            <v>250</v>
          </cell>
        </row>
        <row r="4558">
          <cell r="AV4558">
            <v>305</v>
          </cell>
        </row>
        <row r="4559">
          <cell r="D4559" t="str">
            <v>GC-IB</v>
          </cell>
          <cell r="E4559" t="str">
            <v>Pharma</v>
          </cell>
          <cell r="AV4559">
            <v>289</v>
          </cell>
        </row>
        <row r="4560">
          <cell r="AV4560">
            <v>315</v>
          </cell>
        </row>
        <row r="4561">
          <cell r="AV4561">
            <v>297</v>
          </cell>
        </row>
        <row r="4562">
          <cell r="AV4562">
            <v>305</v>
          </cell>
        </row>
        <row r="4563">
          <cell r="AV4563">
            <v>261</v>
          </cell>
        </row>
        <row r="4564">
          <cell r="AV4564">
            <v>250</v>
          </cell>
        </row>
        <row r="4565">
          <cell r="AV4565">
            <v>198</v>
          </cell>
        </row>
        <row r="4566">
          <cell r="AV4566">
            <v>289</v>
          </cell>
        </row>
        <row r="4567">
          <cell r="AV4567">
            <v>250</v>
          </cell>
        </row>
        <row r="4568">
          <cell r="AV4568">
            <v>250</v>
          </cell>
        </row>
        <row r="4569">
          <cell r="AV4569">
            <v>305</v>
          </cell>
        </row>
        <row r="4570">
          <cell r="AV4570">
            <v>250</v>
          </cell>
        </row>
        <row r="4571">
          <cell r="AV4571">
            <v>250</v>
          </cell>
        </row>
        <row r="4572">
          <cell r="AV4572">
            <v>250</v>
          </cell>
        </row>
        <row r="4573">
          <cell r="AV4573">
            <v>250</v>
          </cell>
        </row>
        <row r="4574">
          <cell r="AV4574">
            <v>250</v>
          </cell>
        </row>
        <row r="4575">
          <cell r="AV4575">
            <v>289</v>
          </cell>
        </row>
        <row r="4576">
          <cell r="AV4576">
            <v>327</v>
          </cell>
        </row>
        <row r="4577">
          <cell r="D4577" t="str">
            <v>Oncology</v>
          </cell>
          <cell r="AV4577">
            <v>250</v>
          </cell>
        </row>
        <row r="4578">
          <cell r="AV4578">
            <v>335</v>
          </cell>
        </row>
        <row r="4579">
          <cell r="E4579" t="str">
            <v>Intermediate</v>
          </cell>
          <cell r="AV4579">
            <v>305</v>
          </cell>
        </row>
        <row r="4580">
          <cell r="AV4580">
            <v>250</v>
          </cell>
        </row>
        <row r="4581">
          <cell r="AV4581">
            <v>250</v>
          </cell>
        </row>
        <row r="4582">
          <cell r="AV4582">
            <v>250</v>
          </cell>
        </row>
        <row r="4583">
          <cell r="AV4583">
            <v>250</v>
          </cell>
        </row>
        <row r="4584">
          <cell r="D4584" t="str">
            <v>Oncology</v>
          </cell>
          <cell r="AV4584">
            <v>250</v>
          </cell>
        </row>
        <row r="4585">
          <cell r="AV4585">
            <v>250</v>
          </cell>
        </row>
        <row r="4586">
          <cell r="AV4586">
            <v>289</v>
          </cell>
        </row>
        <row r="4587">
          <cell r="AV4587">
            <v>250</v>
          </cell>
        </row>
        <row r="4588">
          <cell r="E4588" t="str">
            <v>FF</v>
          </cell>
          <cell r="F4588" t="str">
            <v>SUITE IV (NON - ONCO)</v>
          </cell>
          <cell r="AV4588">
            <v>250</v>
          </cell>
        </row>
        <row r="4589">
          <cell r="E4589" t="str">
            <v>FF</v>
          </cell>
          <cell r="F4589" t="str">
            <v>Intermediate</v>
          </cell>
          <cell r="AV4589">
            <v>250</v>
          </cell>
        </row>
        <row r="4590">
          <cell r="E4590" t="str">
            <v>FF</v>
          </cell>
          <cell r="F4590" t="str">
            <v>SUITE IV (NON - ONCO)</v>
          </cell>
          <cell r="AV4590">
            <v>250</v>
          </cell>
        </row>
        <row r="4591">
          <cell r="E4591" t="str">
            <v>FF</v>
          </cell>
          <cell r="F4591" t="str">
            <v>SUITE IV (NON - ONCO)</v>
          </cell>
          <cell r="AV4591">
            <v>250</v>
          </cell>
        </row>
        <row r="4592">
          <cell r="E4592" t="str">
            <v>FF</v>
          </cell>
          <cell r="F4592" t="str">
            <v>SUITE IV (NON - ONCO)</v>
          </cell>
          <cell r="AV4592">
            <v>250</v>
          </cell>
        </row>
        <row r="4593">
          <cell r="AV4593">
            <v>289</v>
          </cell>
        </row>
        <row r="4594">
          <cell r="E4594" t="str">
            <v>FF</v>
          </cell>
          <cell r="F4594" t="str">
            <v>SUITE III (ONCOLOGY)</v>
          </cell>
          <cell r="AV4594">
            <v>250</v>
          </cell>
        </row>
        <row r="4595">
          <cell r="E4595" t="str">
            <v>GF</v>
          </cell>
          <cell r="F4595" t="str">
            <v>SUITE III (ONCOLOGY)</v>
          </cell>
          <cell r="AV4595">
            <v>250</v>
          </cell>
        </row>
        <row r="4596">
          <cell r="AV4596">
            <v>198</v>
          </cell>
        </row>
        <row r="4597">
          <cell r="AV4597">
            <v>250</v>
          </cell>
        </row>
        <row r="4598">
          <cell r="AV4598">
            <v>250</v>
          </cell>
        </row>
        <row r="4599">
          <cell r="AV4599">
            <v>250</v>
          </cell>
        </row>
        <row r="4600">
          <cell r="AV4600">
            <v>250</v>
          </cell>
        </row>
        <row r="4601">
          <cell r="AV4601">
            <v>250</v>
          </cell>
        </row>
        <row r="4602">
          <cell r="AV4602">
            <v>250</v>
          </cell>
        </row>
        <row r="4603">
          <cell r="AV4603">
            <v>250</v>
          </cell>
        </row>
        <row r="4604">
          <cell r="AV4604">
            <v>250</v>
          </cell>
        </row>
        <row r="4605">
          <cell r="AV4605">
            <v>250</v>
          </cell>
        </row>
        <row r="4606">
          <cell r="AV4606">
            <v>250</v>
          </cell>
        </row>
        <row r="4607">
          <cell r="AV4607">
            <v>250</v>
          </cell>
        </row>
        <row r="4608">
          <cell r="AV4608">
            <v>250</v>
          </cell>
        </row>
        <row r="4609">
          <cell r="AV4609">
            <v>289</v>
          </cell>
        </row>
        <row r="4610">
          <cell r="AV4610">
            <v>273</v>
          </cell>
        </row>
        <row r="4611">
          <cell r="AV4611">
            <v>250</v>
          </cell>
        </row>
        <row r="4612">
          <cell r="AV4612">
            <v>250</v>
          </cell>
        </row>
        <row r="4613">
          <cell r="AV4613">
            <v>250</v>
          </cell>
        </row>
        <row r="4614">
          <cell r="AV4614">
            <v>250</v>
          </cell>
        </row>
        <row r="4615">
          <cell r="AV4615">
            <v>250</v>
          </cell>
        </row>
        <row r="4616">
          <cell r="AV4616">
            <v>198</v>
          </cell>
        </row>
        <row r="4617">
          <cell r="AV4617">
            <v>198</v>
          </cell>
        </row>
        <row r="4618">
          <cell r="AV4618">
            <v>250</v>
          </cell>
        </row>
        <row r="4619">
          <cell r="AV4619">
            <v>250</v>
          </cell>
        </row>
        <row r="4620">
          <cell r="AV4620">
            <v>250</v>
          </cell>
        </row>
        <row r="4621">
          <cell r="AV4621">
            <v>356</v>
          </cell>
        </row>
        <row r="4622">
          <cell r="D4622" t="str">
            <v>GC- IC</v>
          </cell>
          <cell r="E4622" t="str">
            <v>Intermediate</v>
          </cell>
          <cell r="AV4622">
            <v>335</v>
          </cell>
        </row>
        <row r="4623">
          <cell r="AV4623">
            <v>198</v>
          </cell>
        </row>
        <row r="4624">
          <cell r="AV4624">
            <v>328</v>
          </cell>
        </row>
        <row r="4625">
          <cell r="E4625" t="str">
            <v>FF</v>
          </cell>
          <cell r="F4625" t="str">
            <v>SUITE IV (NON - ONCO)</v>
          </cell>
          <cell r="AV4625">
            <v>250</v>
          </cell>
        </row>
        <row r="4626">
          <cell r="E4626" t="str">
            <v>FF</v>
          </cell>
          <cell r="F4626" t="str">
            <v>SUITE IV (NON - ONCO)</v>
          </cell>
          <cell r="AV4626">
            <v>250</v>
          </cell>
        </row>
        <row r="4627">
          <cell r="AV4627">
            <v>335</v>
          </cell>
        </row>
        <row r="4628">
          <cell r="AV4628">
            <v>198</v>
          </cell>
        </row>
        <row r="4629">
          <cell r="AV4629">
            <v>303</v>
          </cell>
        </row>
        <row r="4630">
          <cell r="E4630" t="str">
            <v>FF</v>
          </cell>
          <cell r="F4630" t="str">
            <v>SUITE IV (NON - ONCO)</v>
          </cell>
          <cell r="AV4630">
            <v>250</v>
          </cell>
        </row>
        <row r="4631">
          <cell r="E4631" t="str">
            <v>FF</v>
          </cell>
          <cell r="F4631" t="str">
            <v>SUITE III (ONCOLOGY)</v>
          </cell>
          <cell r="AV4631">
            <v>250</v>
          </cell>
        </row>
        <row r="4632">
          <cell r="AV4632">
            <v>335</v>
          </cell>
        </row>
        <row r="4633">
          <cell r="AV4633">
            <v>198</v>
          </cell>
        </row>
        <row r="4634">
          <cell r="E4634" t="str">
            <v>FF</v>
          </cell>
          <cell r="F4634" t="str">
            <v>SUITE III (ONCOLOGY)</v>
          </cell>
          <cell r="AV4634">
            <v>250</v>
          </cell>
        </row>
        <row r="4635">
          <cell r="E4635" t="str">
            <v>FF</v>
          </cell>
          <cell r="F4635" t="str">
            <v>SUITE III (ONCOLOGY)</v>
          </cell>
          <cell r="AV4635">
            <v>250</v>
          </cell>
        </row>
        <row r="4636">
          <cell r="AV4636">
            <v>250</v>
          </cell>
        </row>
        <row r="4637">
          <cell r="AV4637">
            <v>250</v>
          </cell>
        </row>
        <row r="4638">
          <cell r="AV4638">
            <v>250</v>
          </cell>
        </row>
        <row r="4639">
          <cell r="AV4639">
            <v>250</v>
          </cell>
        </row>
        <row r="4640">
          <cell r="AV4640">
            <v>250</v>
          </cell>
        </row>
        <row r="4641">
          <cell r="AV4641">
            <v>250</v>
          </cell>
        </row>
        <row r="4642">
          <cell r="AV4642">
            <v>336</v>
          </cell>
        </row>
        <row r="4643">
          <cell r="E4643" t="str">
            <v>FF</v>
          </cell>
          <cell r="F4643" t="str">
            <v>SUITE IV (NON - ONCO)</v>
          </cell>
          <cell r="AV4643">
            <v>250</v>
          </cell>
        </row>
        <row r="4644">
          <cell r="E4644" t="str">
            <v>FF</v>
          </cell>
          <cell r="F4644" t="str">
            <v>SUITE III (ONCOLOGY)</v>
          </cell>
          <cell r="AV4644">
            <v>250</v>
          </cell>
        </row>
        <row r="4645">
          <cell r="AV4645">
            <v>250</v>
          </cell>
        </row>
        <row r="4646">
          <cell r="D4646" t="str">
            <v>Oncology</v>
          </cell>
          <cell r="AV4646">
            <v>250</v>
          </cell>
        </row>
        <row r="4647">
          <cell r="D4647" t="str">
            <v>Oncology</v>
          </cell>
          <cell r="AV4647">
            <v>250</v>
          </cell>
        </row>
        <row r="4648">
          <cell r="D4648" t="str">
            <v>Oncology</v>
          </cell>
          <cell r="AV4648">
            <v>250</v>
          </cell>
        </row>
        <row r="4649">
          <cell r="AV4649">
            <v>250</v>
          </cell>
        </row>
        <row r="4650">
          <cell r="AV4650">
            <v>250</v>
          </cell>
        </row>
        <row r="4651">
          <cell r="D4651" t="str">
            <v>Oncology</v>
          </cell>
          <cell r="AV4651">
            <v>250</v>
          </cell>
        </row>
        <row r="4652">
          <cell r="AV4652">
            <v>250</v>
          </cell>
        </row>
        <row r="4653">
          <cell r="AV4653">
            <v>250</v>
          </cell>
        </row>
        <row r="4654">
          <cell r="E4654" t="str">
            <v>Tech Area</v>
          </cell>
          <cell r="F4654" t="str">
            <v xml:space="preserve">Pharma </v>
          </cell>
          <cell r="AV4654">
            <v>250</v>
          </cell>
        </row>
        <row r="4655">
          <cell r="E4655" t="str">
            <v>FF</v>
          </cell>
          <cell r="AV4655">
            <v>250</v>
          </cell>
        </row>
        <row r="4656">
          <cell r="E4656" t="str">
            <v>FF</v>
          </cell>
          <cell r="AV4656">
            <v>250</v>
          </cell>
        </row>
        <row r="4657">
          <cell r="E4657" t="str">
            <v>GF</v>
          </cell>
          <cell r="AV4657">
            <v>250</v>
          </cell>
        </row>
        <row r="4658">
          <cell r="E4658" t="str">
            <v>GF</v>
          </cell>
          <cell r="F4658" t="str">
            <v>SUITE IV (NON - ONCO)</v>
          </cell>
          <cell r="AV4658">
            <v>250</v>
          </cell>
        </row>
        <row r="4659">
          <cell r="E4659" t="str">
            <v>GF</v>
          </cell>
          <cell r="F4659" t="str">
            <v>SUITE IV (NON - ONCO)</v>
          </cell>
          <cell r="AV4659">
            <v>250</v>
          </cell>
        </row>
        <row r="4660">
          <cell r="E4660" t="str">
            <v>GF</v>
          </cell>
          <cell r="F4660" t="str">
            <v>SUITE IV (NON - ONCO)</v>
          </cell>
          <cell r="AV4660">
            <v>250</v>
          </cell>
        </row>
        <row r="4661">
          <cell r="E4661" t="str">
            <v>GF</v>
          </cell>
          <cell r="F4661" t="str">
            <v>SUITE III (ONCOLOGY)</v>
          </cell>
          <cell r="AV4661">
            <v>250</v>
          </cell>
        </row>
        <row r="4662">
          <cell r="AV4662">
            <v>250</v>
          </cell>
        </row>
        <row r="4663">
          <cell r="AV4663">
            <v>198</v>
          </cell>
        </row>
        <row r="4664">
          <cell r="AV4664">
            <v>289</v>
          </cell>
        </row>
        <row r="4665">
          <cell r="AV4665">
            <v>250</v>
          </cell>
        </row>
        <row r="4666">
          <cell r="AV4666">
            <v>362</v>
          </cell>
        </row>
        <row r="4667">
          <cell r="AV4667">
            <v>289</v>
          </cell>
        </row>
        <row r="4668">
          <cell r="AV4668">
            <v>198</v>
          </cell>
        </row>
        <row r="4669">
          <cell r="AV4669">
            <v>200</v>
          </cell>
        </row>
        <row r="4670">
          <cell r="AV4670">
            <v>198</v>
          </cell>
        </row>
        <row r="4671">
          <cell r="AV4671">
            <v>198</v>
          </cell>
        </row>
        <row r="4672">
          <cell r="AV4672">
            <v>198</v>
          </cell>
        </row>
        <row r="4673">
          <cell r="E4673" t="str">
            <v>FF</v>
          </cell>
          <cell r="F4673" t="str">
            <v>SUITE III (ONCOLOGY)</v>
          </cell>
          <cell r="AV4673">
            <v>250</v>
          </cell>
        </row>
        <row r="4674">
          <cell r="E4674" t="str">
            <v>FF</v>
          </cell>
          <cell r="F4674" t="str">
            <v>SUITE IV (NON - ONCO)</v>
          </cell>
          <cell r="AV4674">
            <v>250</v>
          </cell>
        </row>
        <row r="4675">
          <cell r="E4675" t="str">
            <v>GF</v>
          </cell>
          <cell r="F4675" t="str">
            <v>SUITE IV (NON - ONCO)</v>
          </cell>
          <cell r="AV4675">
            <v>250</v>
          </cell>
        </row>
        <row r="4676">
          <cell r="E4676" t="str">
            <v>GF</v>
          </cell>
          <cell r="F4676" t="str">
            <v>SUITE IV (NON - ONCO)</v>
          </cell>
          <cell r="AV4676">
            <v>250</v>
          </cell>
        </row>
        <row r="4677">
          <cell r="E4677" t="str">
            <v>GF</v>
          </cell>
          <cell r="F4677" t="str">
            <v>SUITE IV (NON - ONCO)</v>
          </cell>
          <cell r="AV4677">
            <v>250</v>
          </cell>
        </row>
        <row r="4678">
          <cell r="E4678" t="str">
            <v>GF</v>
          </cell>
          <cell r="F4678" t="str">
            <v>SUITE III (ONCOLOGY)</v>
          </cell>
          <cell r="AV4678">
            <v>250</v>
          </cell>
        </row>
        <row r="4679">
          <cell r="E4679" t="str">
            <v>GF</v>
          </cell>
          <cell r="F4679" t="str">
            <v>SUITE III (ONCOLOGY)</v>
          </cell>
          <cell r="AV4679">
            <v>250</v>
          </cell>
        </row>
        <row r="4680">
          <cell r="E4680" t="str">
            <v>GF</v>
          </cell>
          <cell r="F4680" t="str">
            <v>SUITE IV (NON - ONCO)</v>
          </cell>
          <cell r="AV4680">
            <v>250</v>
          </cell>
        </row>
        <row r="4681">
          <cell r="E4681" t="str">
            <v>SF</v>
          </cell>
          <cell r="AV4681">
            <v>250</v>
          </cell>
        </row>
        <row r="4682">
          <cell r="AV4682">
            <v>198</v>
          </cell>
        </row>
        <row r="4683">
          <cell r="AV4683">
            <v>331</v>
          </cell>
        </row>
        <row r="4684">
          <cell r="AV4684">
            <v>211</v>
          </cell>
        </row>
        <row r="4685">
          <cell r="AV4685">
            <v>198</v>
          </cell>
        </row>
        <row r="4686">
          <cell r="AV4686">
            <v>259</v>
          </cell>
        </row>
        <row r="4687">
          <cell r="AV4687">
            <v>326</v>
          </cell>
        </row>
        <row r="4688">
          <cell r="AV4688">
            <v>335</v>
          </cell>
        </row>
        <row r="4689">
          <cell r="AV4689">
            <v>307</v>
          </cell>
        </row>
        <row r="4690">
          <cell r="AV4690">
            <v>348</v>
          </cell>
        </row>
        <row r="4691">
          <cell r="AV4691">
            <v>198</v>
          </cell>
        </row>
        <row r="4692">
          <cell r="AV4692">
            <v>260</v>
          </cell>
        </row>
        <row r="4693">
          <cell r="AV4693">
            <v>305</v>
          </cell>
        </row>
        <row r="4694">
          <cell r="D4694" t="str">
            <v>GC- IC</v>
          </cell>
          <cell r="E4694" t="str">
            <v>Intermediate</v>
          </cell>
          <cell r="AV4694">
            <v>335</v>
          </cell>
        </row>
        <row r="4695">
          <cell r="AV4695">
            <v>233</v>
          </cell>
        </row>
        <row r="4696">
          <cell r="AV4696">
            <v>233</v>
          </cell>
        </row>
        <row r="4697">
          <cell r="AV4697">
            <v>281</v>
          </cell>
        </row>
        <row r="4698">
          <cell r="AV4698">
            <v>297</v>
          </cell>
        </row>
        <row r="4699">
          <cell r="AV4699">
            <v>289</v>
          </cell>
        </row>
        <row r="4700">
          <cell r="AV4700">
            <v>250</v>
          </cell>
        </row>
        <row r="4701">
          <cell r="AV4701">
            <v>250</v>
          </cell>
        </row>
        <row r="4702">
          <cell r="AV4702">
            <v>250</v>
          </cell>
        </row>
        <row r="4703">
          <cell r="AV4703">
            <v>250</v>
          </cell>
        </row>
        <row r="4704">
          <cell r="D4704" t="str">
            <v>Oncology</v>
          </cell>
          <cell r="AV4704">
            <v>250</v>
          </cell>
        </row>
        <row r="4705">
          <cell r="AV4705">
            <v>250</v>
          </cell>
        </row>
        <row r="4706">
          <cell r="D4706" t="str">
            <v>Oncology</v>
          </cell>
          <cell r="AV4706">
            <v>250</v>
          </cell>
        </row>
        <row r="4707">
          <cell r="AV4707">
            <v>250</v>
          </cell>
        </row>
        <row r="4708">
          <cell r="AV4708">
            <v>198</v>
          </cell>
        </row>
        <row r="4709">
          <cell r="D4709" t="str">
            <v>GC- IC</v>
          </cell>
          <cell r="E4709" t="str">
            <v>Intermediate</v>
          </cell>
          <cell r="AV4709">
            <v>335</v>
          </cell>
        </row>
        <row r="4710">
          <cell r="AV4710">
            <v>201</v>
          </cell>
        </row>
        <row r="4711">
          <cell r="AV4711">
            <v>250</v>
          </cell>
        </row>
        <row r="4712">
          <cell r="AV4712">
            <v>250</v>
          </cell>
        </row>
        <row r="4713">
          <cell r="AV4713">
            <v>250</v>
          </cell>
        </row>
        <row r="4714">
          <cell r="AV4714">
            <v>250</v>
          </cell>
        </row>
        <row r="4715">
          <cell r="AV4715">
            <v>250</v>
          </cell>
        </row>
        <row r="4716">
          <cell r="AV4716">
            <v>250</v>
          </cell>
        </row>
        <row r="4717">
          <cell r="D4717" t="str">
            <v>Oncology</v>
          </cell>
          <cell r="AV4717">
            <v>250</v>
          </cell>
        </row>
        <row r="4718">
          <cell r="D4718" t="str">
            <v>Oncology</v>
          </cell>
          <cell r="AV4718">
            <v>250</v>
          </cell>
        </row>
        <row r="4719">
          <cell r="AV4719">
            <v>250</v>
          </cell>
        </row>
        <row r="4720">
          <cell r="AV4720">
            <v>198</v>
          </cell>
        </row>
        <row r="4721">
          <cell r="AV4721">
            <v>250</v>
          </cell>
        </row>
        <row r="4722">
          <cell r="AV4722">
            <v>250</v>
          </cell>
        </row>
        <row r="4723">
          <cell r="AV4723">
            <v>250</v>
          </cell>
        </row>
        <row r="4724">
          <cell r="AV4724">
            <v>250</v>
          </cell>
        </row>
        <row r="4725">
          <cell r="AV4725">
            <v>250</v>
          </cell>
        </row>
        <row r="4726">
          <cell r="D4726" t="str">
            <v>Oncology</v>
          </cell>
          <cell r="AV4726">
            <v>250</v>
          </cell>
        </row>
        <row r="4727">
          <cell r="D4727" t="str">
            <v>Oncology</v>
          </cell>
          <cell r="AV4727">
            <v>250</v>
          </cell>
        </row>
        <row r="4728">
          <cell r="D4728" t="str">
            <v>Oncology</v>
          </cell>
          <cell r="AV4728">
            <v>250</v>
          </cell>
        </row>
        <row r="4729">
          <cell r="D4729" t="str">
            <v>Oncology</v>
          </cell>
          <cell r="AV4729">
            <v>250</v>
          </cell>
        </row>
        <row r="4730">
          <cell r="AV4730">
            <v>250</v>
          </cell>
        </row>
        <row r="4731">
          <cell r="AV4731">
            <v>250</v>
          </cell>
        </row>
        <row r="4732">
          <cell r="AV4732">
            <v>250</v>
          </cell>
        </row>
        <row r="4733">
          <cell r="AV4733">
            <v>250</v>
          </cell>
        </row>
        <row r="4734">
          <cell r="AV4734">
            <v>303</v>
          </cell>
        </row>
        <row r="4735">
          <cell r="AV4735">
            <v>333</v>
          </cell>
        </row>
        <row r="4736">
          <cell r="AV4736">
            <v>250</v>
          </cell>
        </row>
        <row r="4737">
          <cell r="AV4737">
            <v>250</v>
          </cell>
        </row>
        <row r="4738">
          <cell r="AV4738">
            <v>250</v>
          </cell>
        </row>
        <row r="4739">
          <cell r="AV4739">
            <v>250</v>
          </cell>
        </row>
        <row r="4740">
          <cell r="AV4740">
            <v>250</v>
          </cell>
        </row>
        <row r="4741">
          <cell r="AV4741">
            <v>250</v>
          </cell>
        </row>
        <row r="4742">
          <cell r="AV4742">
            <v>250</v>
          </cell>
        </row>
        <row r="4743">
          <cell r="AV4743">
            <v>250</v>
          </cell>
        </row>
        <row r="4744">
          <cell r="AV4744">
            <v>250</v>
          </cell>
        </row>
        <row r="4745">
          <cell r="AV4745">
            <v>250</v>
          </cell>
        </row>
        <row r="4746">
          <cell r="AV4746">
            <v>250</v>
          </cell>
        </row>
        <row r="4747">
          <cell r="AV4747">
            <v>250</v>
          </cell>
        </row>
        <row r="4748">
          <cell r="AV4748">
            <v>250</v>
          </cell>
        </row>
        <row r="4749">
          <cell r="AV4749">
            <v>250</v>
          </cell>
        </row>
        <row r="4750">
          <cell r="AV4750">
            <v>250</v>
          </cell>
        </row>
        <row r="4751">
          <cell r="AV4751">
            <v>250</v>
          </cell>
        </row>
        <row r="4752">
          <cell r="AV4752">
            <v>250</v>
          </cell>
        </row>
        <row r="4753">
          <cell r="AV4753">
            <v>250</v>
          </cell>
        </row>
        <row r="4754">
          <cell r="AV4754">
            <v>250</v>
          </cell>
        </row>
        <row r="4755">
          <cell r="AV4755">
            <v>250</v>
          </cell>
        </row>
        <row r="4756">
          <cell r="AV4756">
            <v>250</v>
          </cell>
        </row>
        <row r="4757">
          <cell r="AV4757">
            <v>250</v>
          </cell>
        </row>
        <row r="4758">
          <cell r="AV4758">
            <v>198</v>
          </cell>
        </row>
        <row r="4759">
          <cell r="AV4759">
            <v>198</v>
          </cell>
        </row>
        <row r="4760">
          <cell r="AV4760">
            <v>335</v>
          </cell>
        </row>
        <row r="4761">
          <cell r="AV4761">
            <v>201</v>
          </cell>
        </row>
        <row r="4762">
          <cell r="AV4762">
            <v>198</v>
          </cell>
        </row>
        <row r="4763">
          <cell r="AV4763">
            <v>189</v>
          </cell>
        </row>
        <row r="4764">
          <cell r="AV4764">
            <v>335</v>
          </cell>
        </row>
        <row r="4765">
          <cell r="AV4765">
            <v>198</v>
          </cell>
        </row>
        <row r="4766">
          <cell r="D4766" t="str">
            <v>Oncology</v>
          </cell>
          <cell r="AV4766">
            <v>250</v>
          </cell>
        </row>
        <row r="4767">
          <cell r="AV4767">
            <v>250</v>
          </cell>
        </row>
        <row r="4768">
          <cell r="AV4768">
            <v>250</v>
          </cell>
        </row>
        <row r="4769">
          <cell r="AV4769">
            <v>250</v>
          </cell>
        </row>
        <row r="4770">
          <cell r="AV4770">
            <v>274</v>
          </cell>
        </row>
        <row r="4771">
          <cell r="D4771" t="str">
            <v>Oncology</v>
          </cell>
          <cell r="AV4771">
            <v>250</v>
          </cell>
        </row>
        <row r="4772">
          <cell r="AV4772">
            <v>250</v>
          </cell>
        </row>
        <row r="4773">
          <cell r="AV4773">
            <v>250</v>
          </cell>
        </row>
        <row r="4774">
          <cell r="D4774" t="str">
            <v>Oncology</v>
          </cell>
          <cell r="AV4774">
            <v>250</v>
          </cell>
        </row>
        <row r="4775">
          <cell r="D4775" t="str">
            <v>Oncology</v>
          </cell>
          <cell r="AV4775">
            <v>250</v>
          </cell>
        </row>
        <row r="4776">
          <cell r="D4776" t="str">
            <v>Oncology</v>
          </cell>
          <cell r="AV4776">
            <v>250</v>
          </cell>
        </row>
        <row r="4777">
          <cell r="AV4777">
            <v>250</v>
          </cell>
        </row>
        <row r="4778">
          <cell r="AV4778">
            <v>250</v>
          </cell>
        </row>
        <row r="4779">
          <cell r="AV4779">
            <v>250</v>
          </cell>
        </row>
        <row r="4780">
          <cell r="AV4780">
            <v>250</v>
          </cell>
        </row>
        <row r="4781">
          <cell r="AV4781">
            <v>250</v>
          </cell>
        </row>
        <row r="4782">
          <cell r="AV4782">
            <v>250</v>
          </cell>
        </row>
        <row r="4783">
          <cell r="AV4783">
            <v>250</v>
          </cell>
        </row>
        <row r="4784">
          <cell r="AV4784">
            <v>250</v>
          </cell>
        </row>
        <row r="4785">
          <cell r="AV4785">
            <v>305</v>
          </cell>
        </row>
        <row r="4786">
          <cell r="AV4786">
            <v>261</v>
          </cell>
        </row>
        <row r="4787">
          <cell r="E4787" t="str">
            <v>GF</v>
          </cell>
          <cell r="AV4787">
            <v>250</v>
          </cell>
        </row>
        <row r="4788">
          <cell r="AV4788">
            <v>250</v>
          </cell>
        </row>
        <row r="4789">
          <cell r="AV4789">
            <v>250</v>
          </cell>
        </row>
        <row r="4790">
          <cell r="AV4790">
            <v>250</v>
          </cell>
        </row>
        <row r="4791">
          <cell r="AV4791">
            <v>250</v>
          </cell>
        </row>
        <row r="4792">
          <cell r="AV4792">
            <v>250</v>
          </cell>
        </row>
        <row r="4793">
          <cell r="AV4793">
            <v>289</v>
          </cell>
        </row>
        <row r="4794">
          <cell r="AV4794">
            <v>335</v>
          </cell>
        </row>
        <row r="4795">
          <cell r="AV4795">
            <v>305</v>
          </cell>
        </row>
        <row r="4796">
          <cell r="AV4796">
            <v>211</v>
          </cell>
        </row>
        <row r="4797">
          <cell r="AV4797">
            <v>261</v>
          </cell>
        </row>
        <row r="4798">
          <cell r="D4798" t="str">
            <v>GC-IB</v>
          </cell>
          <cell r="AV4798">
            <v>305</v>
          </cell>
        </row>
        <row r="4799">
          <cell r="AV4799">
            <v>305</v>
          </cell>
        </row>
        <row r="4800">
          <cell r="AV4800">
            <v>198</v>
          </cell>
        </row>
        <row r="4801">
          <cell r="AV4801">
            <v>250</v>
          </cell>
        </row>
        <row r="4802">
          <cell r="E4802" t="str">
            <v>GF</v>
          </cell>
          <cell r="AV4802">
            <v>250</v>
          </cell>
        </row>
        <row r="4803">
          <cell r="AV4803">
            <v>250</v>
          </cell>
        </row>
        <row r="4804">
          <cell r="AV4804">
            <v>250</v>
          </cell>
        </row>
        <row r="4805">
          <cell r="AV4805">
            <v>250</v>
          </cell>
        </row>
        <row r="4806">
          <cell r="AV4806">
            <v>250</v>
          </cell>
        </row>
        <row r="4807">
          <cell r="AV4807">
            <v>250</v>
          </cell>
        </row>
        <row r="4808">
          <cell r="AV4808">
            <v>250</v>
          </cell>
        </row>
        <row r="4809">
          <cell r="AV4809">
            <v>250</v>
          </cell>
        </row>
        <row r="4810">
          <cell r="AV4810">
            <v>250</v>
          </cell>
        </row>
        <row r="4811">
          <cell r="AV4811">
            <v>335</v>
          </cell>
        </row>
        <row r="4812">
          <cell r="AV4812">
            <v>198</v>
          </cell>
        </row>
        <row r="4813">
          <cell r="AV4813">
            <v>250</v>
          </cell>
        </row>
        <row r="4814">
          <cell r="AV4814">
            <v>250</v>
          </cell>
        </row>
        <row r="4815">
          <cell r="AV4815">
            <v>250</v>
          </cell>
        </row>
        <row r="4816">
          <cell r="AV4816">
            <v>250</v>
          </cell>
        </row>
        <row r="4817">
          <cell r="AV4817">
            <v>250</v>
          </cell>
        </row>
        <row r="4818">
          <cell r="AV4818">
            <v>250</v>
          </cell>
        </row>
        <row r="4819">
          <cell r="AV4819">
            <v>305</v>
          </cell>
        </row>
        <row r="4820">
          <cell r="AV4820">
            <v>315</v>
          </cell>
        </row>
        <row r="4821">
          <cell r="AV4821">
            <v>305</v>
          </cell>
        </row>
        <row r="4822">
          <cell r="AV4822">
            <v>357</v>
          </cell>
        </row>
        <row r="4823">
          <cell r="AV4823">
            <v>356</v>
          </cell>
        </row>
        <row r="4824">
          <cell r="E4824" t="str">
            <v>GF</v>
          </cell>
          <cell r="AV4824">
            <v>250</v>
          </cell>
        </row>
        <row r="4825">
          <cell r="AV4825">
            <v>305</v>
          </cell>
        </row>
        <row r="4826">
          <cell r="AV4826">
            <v>250</v>
          </cell>
        </row>
        <row r="4827">
          <cell r="AV4827">
            <v>250</v>
          </cell>
        </row>
        <row r="4828">
          <cell r="AV4828">
            <v>250</v>
          </cell>
        </row>
        <row r="4829">
          <cell r="AV4829">
            <v>250</v>
          </cell>
        </row>
        <row r="4830">
          <cell r="AV4830">
            <v>250</v>
          </cell>
        </row>
        <row r="4831">
          <cell r="AV4831">
            <v>250</v>
          </cell>
        </row>
        <row r="4832">
          <cell r="AV4832">
            <v>250</v>
          </cell>
        </row>
        <row r="4833">
          <cell r="AV4833">
            <v>315</v>
          </cell>
        </row>
        <row r="4834">
          <cell r="AV4834">
            <v>250</v>
          </cell>
        </row>
        <row r="4835">
          <cell r="AV4835">
            <v>250</v>
          </cell>
        </row>
        <row r="4836">
          <cell r="AV4836">
            <v>305</v>
          </cell>
        </row>
        <row r="4837">
          <cell r="AV4837">
            <v>331</v>
          </cell>
        </row>
        <row r="4838">
          <cell r="AV4838">
            <v>250</v>
          </cell>
        </row>
        <row r="4839">
          <cell r="AV4839">
            <v>315</v>
          </cell>
        </row>
        <row r="4840">
          <cell r="AV4840">
            <v>364</v>
          </cell>
        </row>
        <row r="4841">
          <cell r="AV4841">
            <v>263</v>
          </cell>
        </row>
        <row r="4842">
          <cell r="AV4842">
            <v>289</v>
          </cell>
        </row>
        <row r="4843">
          <cell r="AV4843">
            <v>198</v>
          </cell>
        </row>
        <row r="4844">
          <cell r="AV4844">
            <v>350</v>
          </cell>
        </row>
        <row r="4845">
          <cell r="AV4845">
            <v>198</v>
          </cell>
        </row>
        <row r="4846">
          <cell r="AV4846">
            <v>201</v>
          </cell>
        </row>
        <row r="4847">
          <cell r="AV4847">
            <v>291</v>
          </cell>
        </row>
        <row r="4848">
          <cell r="AV4848">
            <v>291</v>
          </cell>
        </row>
        <row r="4849">
          <cell r="AV4849">
            <v>331</v>
          </cell>
        </row>
        <row r="4850">
          <cell r="AV4850">
            <v>261</v>
          </cell>
        </row>
        <row r="4851">
          <cell r="AV4851">
            <v>289</v>
          </cell>
        </row>
        <row r="4852">
          <cell r="AV4852">
            <v>305</v>
          </cell>
        </row>
        <row r="4853">
          <cell r="AV4853">
            <v>198</v>
          </cell>
        </row>
        <row r="4854">
          <cell r="AV4854">
            <v>305</v>
          </cell>
        </row>
        <row r="4855">
          <cell r="AV4855">
            <v>305</v>
          </cell>
        </row>
        <row r="4856">
          <cell r="AV4856">
            <v>198</v>
          </cell>
        </row>
        <row r="4857">
          <cell r="AV4857">
            <v>305</v>
          </cell>
        </row>
        <row r="4858">
          <cell r="AV4858">
            <v>299</v>
          </cell>
        </row>
        <row r="4859">
          <cell r="AV4859">
            <v>289</v>
          </cell>
        </row>
        <row r="4860">
          <cell r="AV4860">
            <v>294</v>
          </cell>
        </row>
        <row r="4861">
          <cell r="AV4861">
            <v>249</v>
          </cell>
        </row>
        <row r="4862">
          <cell r="AV4862">
            <v>320</v>
          </cell>
        </row>
        <row r="4863">
          <cell r="AV4863">
            <v>335</v>
          </cell>
        </row>
        <row r="4864">
          <cell r="AV4864">
            <v>289</v>
          </cell>
        </row>
        <row r="4865">
          <cell r="AV4865">
            <v>335</v>
          </cell>
        </row>
        <row r="4866">
          <cell r="D4866" t="str">
            <v>Oncology</v>
          </cell>
          <cell r="E4866" t="str">
            <v>OCB</v>
          </cell>
          <cell r="AV4866">
            <v>250</v>
          </cell>
        </row>
        <row r="4867">
          <cell r="AV4867">
            <v>335</v>
          </cell>
        </row>
        <row r="4868">
          <cell r="AV4868">
            <v>250</v>
          </cell>
        </row>
        <row r="4869">
          <cell r="AV4869">
            <v>250</v>
          </cell>
        </row>
        <row r="4870">
          <cell r="AV4870">
            <v>250</v>
          </cell>
        </row>
        <row r="4871">
          <cell r="AV4871">
            <v>250</v>
          </cell>
        </row>
        <row r="4872">
          <cell r="AV4872">
            <v>250</v>
          </cell>
        </row>
        <row r="4873">
          <cell r="AV4873">
            <v>250</v>
          </cell>
        </row>
        <row r="4874">
          <cell r="AV4874">
            <v>250</v>
          </cell>
        </row>
        <row r="4875">
          <cell r="AV4875">
            <v>198</v>
          </cell>
        </row>
        <row r="4876">
          <cell r="AV4876">
            <v>242</v>
          </cell>
        </row>
        <row r="4877">
          <cell r="AV4877">
            <v>335</v>
          </cell>
        </row>
        <row r="4878">
          <cell r="D4878" t="str">
            <v>Oncology</v>
          </cell>
          <cell r="AV4878">
            <v>250</v>
          </cell>
        </row>
        <row r="4879">
          <cell r="D4879" t="str">
            <v>Oncology</v>
          </cell>
          <cell r="AV4879">
            <v>250</v>
          </cell>
        </row>
        <row r="4880">
          <cell r="D4880" t="str">
            <v>GC- IC</v>
          </cell>
          <cell r="E4880" t="str">
            <v>Intermediate</v>
          </cell>
          <cell r="AV4880">
            <v>335</v>
          </cell>
        </row>
        <row r="4881">
          <cell r="AV4881">
            <v>260</v>
          </cell>
        </row>
        <row r="4882">
          <cell r="AV4882">
            <v>250</v>
          </cell>
        </row>
        <row r="4883">
          <cell r="AV4883">
            <v>250</v>
          </cell>
        </row>
        <row r="4884">
          <cell r="AV4884">
            <v>250</v>
          </cell>
        </row>
        <row r="4885">
          <cell r="AV4885">
            <v>250</v>
          </cell>
        </row>
        <row r="4886">
          <cell r="AV4886">
            <v>198</v>
          </cell>
        </row>
        <row r="4887">
          <cell r="AV4887">
            <v>198</v>
          </cell>
        </row>
        <row r="4888">
          <cell r="AV4888">
            <v>240</v>
          </cell>
        </row>
        <row r="4889">
          <cell r="AV4889">
            <v>333</v>
          </cell>
        </row>
        <row r="4890">
          <cell r="AV4890">
            <v>202</v>
          </cell>
        </row>
        <row r="4891">
          <cell r="AV4891">
            <v>250</v>
          </cell>
        </row>
        <row r="4892">
          <cell r="AV4892">
            <v>250</v>
          </cell>
        </row>
        <row r="4893">
          <cell r="AV4893">
            <v>305</v>
          </cell>
        </row>
        <row r="4894">
          <cell r="AV4894">
            <v>305</v>
          </cell>
        </row>
        <row r="4895">
          <cell r="AV4895">
            <v>319</v>
          </cell>
        </row>
        <row r="4896">
          <cell r="AV4896">
            <v>280</v>
          </cell>
        </row>
        <row r="4897">
          <cell r="AV4897">
            <v>305</v>
          </cell>
        </row>
        <row r="4898">
          <cell r="AV4898">
            <v>335</v>
          </cell>
        </row>
        <row r="4899">
          <cell r="AV4899">
            <v>335</v>
          </cell>
        </row>
        <row r="4900">
          <cell r="AV4900">
            <v>335</v>
          </cell>
        </row>
        <row r="4901">
          <cell r="AV4901">
            <v>250</v>
          </cell>
        </row>
        <row r="4902">
          <cell r="AV4902">
            <v>250</v>
          </cell>
        </row>
        <row r="4903">
          <cell r="AV4903">
            <v>250</v>
          </cell>
        </row>
        <row r="4904">
          <cell r="AV4904">
            <v>250</v>
          </cell>
        </row>
        <row r="4905">
          <cell r="AV4905">
            <v>250</v>
          </cell>
        </row>
        <row r="4906">
          <cell r="AV4906">
            <v>250</v>
          </cell>
        </row>
        <row r="4907">
          <cell r="AV4907">
            <v>250</v>
          </cell>
        </row>
        <row r="4908">
          <cell r="AV4908">
            <v>250</v>
          </cell>
        </row>
        <row r="4909">
          <cell r="AV4909">
            <v>250</v>
          </cell>
        </row>
        <row r="4910">
          <cell r="AV4910">
            <v>250</v>
          </cell>
        </row>
        <row r="4911">
          <cell r="AV4911">
            <v>250</v>
          </cell>
        </row>
        <row r="4912">
          <cell r="AV4912">
            <v>250</v>
          </cell>
        </row>
        <row r="4913">
          <cell r="AV4913">
            <v>315</v>
          </cell>
        </row>
        <row r="4914">
          <cell r="AV4914">
            <v>250</v>
          </cell>
        </row>
        <row r="4915">
          <cell r="AV4915">
            <v>250</v>
          </cell>
        </row>
        <row r="4916">
          <cell r="AV4916">
            <v>250</v>
          </cell>
        </row>
        <row r="4917">
          <cell r="AV4917">
            <v>250</v>
          </cell>
        </row>
        <row r="4918">
          <cell r="AV4918">
            <v>198</v>
          </cell>
        </row>
        <row r="4919">
          <cell r="AV4919">
            <v>335</v>
          </cell>
        </row>
        <row r="4920">
          <cell r="AV4920">
            <v>289</v>
          </cell>
        </row>
        <row r="4921">
          <cell r="AV4921">
            <v>357</v>
          </cell>
        </row>
        <row r="4922">
          <cell r="AV4922">
            <v>289</v>
          </cell>
        </row>
        <row r="4923">
          <cell r="AV4923">
            <v>305</v>
          </cell>
        </row>
        <row r="4924">
          <cell r="AV4924">
            <v>289</v>
          </cell>
        </row>
        <row r="4925">
          <cell r="AV4925">
            <v>197</v>
          </cell>
        </row>
        <row r="4926">
          <cell r="AV4926">
            <v>300</v>
          </cell>
        </row>
        <row r="4927">
          <cell r="AV4927">
            <v>261</v>
          </cell>
        </row>
        <row r="4928">
          <cell r="AV4928">
            <v>261</v>
          </cell>
        </row>
        <row r="4929">
          <cell r="AV4929">
            <v>261</v>
          </cell>
        </row>
        <row r="4930">
          <cell r="AV4930">
            <v>261</v>
          </cell>
        </row>
        <row r="4931">
          <cell r="AV4931">
            <v>261</v>
          </cell>
        </row>
        <row r="4932">
          <cell r="AV4932">
            <v>261</v>
          </cell>
        </row>
        <row r="4933">
          <cell r="AV4933">
            <v>261</v>
          </cell>
        </row>
        <row r="4934">
          <cell r="AV4934">
            <v>261</v>
          </cell>
        </row>
        <row r="4935">
          <cell r="AV4935">
            <v>289</v>
          </cell>
        </row>
        <row r="4936">
          <cell r="D4936" t="str">
            <v>GC-IB</v>
          </cell>
          <cell r="AV4936">
            <v>289</v>
          </cell>
        </row>
        <row r="4937">
          <cell r="E4937" t="str">
            <v>FF</v>
          </cell>
          <cell r="AV4937">
            <v>250</v>
          </cell>
        </row>
        <row r="4938">
          <cell r="AV4938">
            <v>250</v>
          </cell>
        </row>
        <row r="4939">
          <cell r="AV4939">
            <v>295</v>
          </cell>
        </row>
        <row r="4940">
          <cell r="AV4940">
            <v>198</v>
          </cell>
        </row>
        <row r="4941">
          <cell r="AV4941">
            <v>307</v>
          </cell>
        </row>
        <row r="4942">
          <cell r="AV4942">
            <v>261</v>
          </cell>
        </row>
        <row r="4943">
          <cell r="AV4943">
            <v>263</v>
          </cell>
        </row>
        <row r="4944">
          <cell r="AV4944">
            <v>270</v>
          </cell>
        </row>
        <row r="4945">
          <cell r="AV4945">
            <v>365</v>
          </cell>
        </row>
        <row r="4946">
          <cell r="AV4946">
            <v>364</v>
          </cell>
        </row>
        <row r="4947">
          <cell r="AV4947">
            <v>214</v>
          </cell>
        </row>
        <row r="4948">
          <cell r="AV4948">
            <v>289</v>
          </cell>
        </row>
        <row r="4949">
          <cell r="AV4949">
            <v>232</v>
          </cell>
        </row>
        <row r="4950">
          <cell r="AV4950">
            <v>288</v>
          </cell>
        </row>
        <row r="4951">
          <cell r="AV4951">
            <v>286</v>
          </cell>
        </row>
        <row r="4952">
          <cell r="AV4952">
            <v>297</v>
          </cell>
        </row>
        <row r="4953">
          <cell r="AV4953">
            <v>255</v>
          </cell>
        </row>
        <row r="4954">
          <cell r="AV4954">
            <v>255</v>
          </cell>
        </row>
        <row r="4955">
          <cell r="AV4955">
            <v>198</v>
          </cell>
        </row>
        <row r="4956">
          <cell r="AV4956">
            <v>289</v>
          </cell>
        </row>
        <row r="4957">
          <cell r="AV4957">
            <v>198</v>
          </cell>
        </row>
        <row r="4958">
          <cell r="AV4958">
            <v>329</v>
          </cell>
        </row>
        <row r="4959">
          <cell r="AV4959">
            <v>273</v>
          </cell>
        </row>
        <row r="4960">
          <cell r="AV4960">
            <v>227</v>
          </cell>
        </row>
        <row r="4961">
          <cell r="AV4961">
            <v>263</v>
          </cell>
        </row>
        <row r="4962">
          <cell r="AV4962">
            <v>232</v>
          </cell>
        </row>
        <row r="4963">
          <cell r="AV4963">
            <v>245</v>
          </cell>
        </row>
        <row r="4964">
          <cell r="AV4964">
            <v>242</v>
          </cell>
        </row>
        <row r="4965">
          <cell r="AV4965">
            <v>228</v>
          </cell>
        </row>
        <row r="4966">
          <cell r="AV4966">
            <v>303</v>
          </cell>
        </row>
        <row r="4967">
          <cell r="AV4967">
            <v>264</v>
          </cell>
        </row>
        <row r="4968">
          <cell r="AV4968">
            <v>217</v>
          </cell>
        </row>
        <row r="4969">
          <cell r="AV4969">
            <v>213</v>
          </cell>
        </row>
        <row r="4970">
          <cell r="AV4970">
            <v>217</v>
          </cell>
        </row>
        <row r="4971">
          <cell r="AV4971">
            <v>214</v>
          </cell>
        </row>
        <row r="4972">
          <cell r="AV4972">
            <v>214</v>
          </cell>
        </row>
        <row r="4973">
          <cell r="AV4973">
            <v>213</v>
          </cell>
        </row>
        <row r="4974">
          <cell r="AV4974">
            <v>213</v>
          </cell>
        </row>
        <row r="4975">
          <cell r="AV4975">
            <v>323</v>
          </cell>
        </row>
        <row r="4976">
          <cell r="AV4976">
            <v>305</v>
          </cell>
        </row>
        <row r="4977">
          <cell r="AV4977">
            <v>198</v>
          </cell>
        </row>
        <row r="4978">
          <cell r="AV4978">
            <v>312</v>
          </cell>
        </row>
        <row r="4979">
          <cell r="AV4979">
            <v>198</v>
          </cell>
        </row>
        <row r="4980">
          <cell r="AV4980">
            <v>232</v>
          </cell>
        </row>
        <row r="4981">
          <cell r="AV4981">
            <v>244</v>
          </cell>
        </row>
        <row r="4982">
          <cell r="AV4982">
            <v>244</v>
          </cell>
        </row>
        <row r="4983">
          <cell r="AV4983">
            <v>244</v>
          </cell>
        </row>
        <row r="4984">
          <cell r="AV4984">
            <v>244</v>
          </cell>
        </row>
        <row r="4985">
          <cell r="AV4985">
            <v>244</v>
          </cell>
        </row>
        <row r="4986">
          <cell r="AV4986">
            <v>244</v>
          </cell>
        </row>
        <row r="4987">
          <cell r="AV4987">
            <v>244</v>
          </cell>
        </row>
        <row r="4988">
          <cell r="AV4988">
            <v>244</v>
          </cell>
        </row>
        <row r="4989">
          <cell r="AV4989">
            <v>244</v>
          </cell>
        </row>
        <row r="4990">
          <cell r="AV4990">
            <v>244</v>
          </cell>
        </row>
        <row r="4991">
          <cell r="AV4991">
            <v>250</v>
          </cell>
        </row>
        <row r="4992">
          <cell r="AV4992">
            <v>306</v>
          </cell>
        </row>
        <row r="4993">
          <cell r="AV4993">
            <v>273</v>
          </cell>
        </row>
        <row r="4994">
          <cell r="AV4994">
            <v>312</v>
          </cell>
        </row>
        <row r="4995">
          <cell r="AV4995">
            <v>299</v>
          </cell>
        </row>
        <row r="4996">
          <cell r="AV4996">
            <v>223</v>
          </cell>
        </row>
        <row r="4997">
          <cell r="D4997" t="str">
            <v>GC-IB</v>
          </cell>
          <cell r="E4997" t="str">
            <v>Intermediate</v>
          </cell>
          <cell r="AV4997">
            <v>305</v>
          </cell>
        </row>
        <row r="4998">
          <cell r="AV4998">
            <v>198</v>
          </cell>
        </row>
        <row r="4999">
          <cell r="AV4999">
            <v>321</v>
          </cell>
        </row>
        <row r="5000">
          <cell r="AV5000">
            <v>217</v>
          </cell>
        </row>
        <row r="5001">
          <cell r="AV5001">
            <v>217</v>
          </cell>
        </row>
        <row r="5004">
          <cell r="AV5004">
            <v>349</v>
          </cell>
        </row>
        <row r="5005">
          <cell r="AV5005">
            <v>289</v>
          </cell>
        </row>
        <row r="5006">
          <cell r="AV5006">
            <v>289</v>
          </cell>
        </row>
        <row r="5007">
          <cell r="AV5007">
            <v>215</v>
          </cell>
        </row>
        <row r="5008">
          <cell r="AV5008">
            <v>228</v>
          </cell>
        </row>
        <row r="5009">
          <cell r="AV5009">
            <v>228</v>
          </cell>
        </row>
        <row r="5010">
          <cell r="AV5010">
            <v>228</v>
          </cell>
        </row>
        <row r="5011">
          <cell r="AV5011">
            <v>228</v>
          </cell>
        </row>
        <row r="5012">
          <cell r="AV5012">
            <v>228</v>
          </cell>
        </row>
        <row r="5013">
          <cell r="AV5013">
            <v>198</v>
          </cell>
        </row>
        <row r="5014">
          <cell r="AV5014">
            <v>208</v>
          </cell>
        </row>
        <row r="5015">
          <cell r="AV5015">
            <v>231</v>
          </cell>
        </row>
        <row r="5016">
          <cell r="AV5016">
            <v>195</v>
          </cell>
        </row>
        <row r="5017">
          <cell r="AV5017">
            <v>202</v>
          </cell>
        </row>
        <row r="5018">
          <cell r="AV5018">
            <v>335</v>
          </cell>
        </row>
        <row r="5019">
          <cell r="AV5019">
            <v>286</v>
          </cell>
        </row>
        <row r="5020">
          <cell r="AV5020">
            <v>227</v>
          </cell>
        </row>
        <row r="5021">
          <cell r="AV5021">
            <v>207</v>
          </cell>
        </row>
        <row r="5022">
          <cell r="AV5022">
            <v>210</v>
          </cell>
        </row>
        <row r="5023">
          <cell r="AV5023">
            <v>355</v>
          </cell>
        </row>
        <row r="5024">
          <cell r="AV5024">
            <v>243</v>
          </cell>
        </row>
        <row r="5025">
          <cell r="AV5025">
            <v>306</v>
          </cell>
        </row>
        <row r="5026">
          <cell r="AV5026">
            <v>198</v>
          </cell>
        </row>
        <row r="5027">
          <cell r="AV5027">
            <v>205</v>
          </cell>
        </row>
        <row r="5028">
          <cell r="AV5028">
            <v>205</v>
          </cell>
        </row>
        <row r="5029">
          <cell r="AV5029">
            <v>224</v>
          </cell>
        </row>
        <row r="5030">
          <cell r="AV5030">
            <v>305</v>
          </cell>
        </row>
        <row r="5031">
          <cell r="AV5031">
            <v>198</v>
          </cell>
        </row>
        <row r="5032">
          <cell r="AV5032">
            <v>243</v>
          </cell>
        </row>
        <row r="5033">
          <cell r="AV5033">
            <v>243</v>
          </cell>
        </row>
        <row r="5034">
          <cell r="AV5034">
            <v>243</v>
          </cell>
        </row>
        <row r="5035">
          <cell r="AV5035">
            <v>323</v>
          </cell>
        </row>
        <row r="5036">
          <cell r="AV5036">
            <v>289</v>
          </cell>
        </row>
        <row r="5037">
          <cell r="AV5037">
            <v>198</v>
          </cell>
        </row>
        <row r="5038">
          <cell r="AV5038">
            <v>305</v>
          </cell>
        </row>
        <row r="5039">
          <cell r="AV5039">
            <v>198</v>
          </cell>
        </row>
        <row r="5040">
          <cell r="AV5040">
            <v>357</v>
          </cell>
        </row>
        <row r="5041">
          <cell r="AV5041">
            <v>305</v>
          </cell>
        </row>
        <row r="5042">
          <cell r="AV5042">
            <v>351</v>
          </cell>
        </row>
        <row r="5043">
          <cell r="AV5043">
            <v>243</v>
          </cell>
        </row>
        <row r="5044">
          <cell r="AV5044">
            <v>183</v>
          </cell>
        </row>
        <row r="5045">
          <cell r="AV5045">
            <v>329</v>
          </cell>
        </row>
        <row r="5046">
          <cell r="AV5046">
            <v>250</v>
          </cell>
        </row>
        <row r="5047">
          <cell r="AV5047">
            <v>329</v>
          </cell>
        </row>
        <row r="5048">
          <cell r="AV5048">
            <v>218</v>
          </cell>
        </row>
        <row r="5049">
          <cell r="AV5049">
            <v>250</v>
          </cell>
        </row>
        <row r="5050">
          <cell r="AV5050">
            <v>250</v>
          </cell>
        </row>
        <row r="5051">
          <cell r="AV5051">
            <v>250</v>
          </cell>
        </row>
        <row r="5052">
          <cell r="AV5052">
            <v>250</v>
          </cell>
        </row>
        <row r="5053">
          <cell r="AV5053">
            <v>250</v>
          </cell>
        </row>
        <row r="5054">
          <cell r="AV5054">
            <v>250</v>
          </cell>
        </row>
        <row r="5055">
          <cell r="AV5055">
            <v>250</v>
          </cell>
        </row>
        <row r="5056">
          <cell r="AV5056">
            <v>250</v>
          </cell>
        </row>
        <row r="5057">
          <cell r="D5057" t="str">
            <v>Oncology</v>
          </cell>
          <cell r="AV5057">
            <v>250</v>
          </cell>
        </row>
        <row r="5058">
          <cell r="AV5058">
            <v>189</v>
          </cell>
        </row>
        <row r="5059">
          <cell r="AV5059">
            <v>365</v>
          </cell>
        </row>
        <row r="5060">
          <cell r="AV5060">
            <v>260</v>
          </cell>
        </row>
        <row r="5061">
          <cell r="AV5061">
            <v>321</v>
          </cell>
        </row>
        <row r="5062">
          <cell r="AV5062">
            <v>327</v>
          </cell>
        </row>
        <row r="5063">
          <cell r="AV5063">
            <v>222</v>
          </cell>
        </row>
        <row r="5064">
          <cell r="AV5064">
            <v>220</v>
          </cell>
        </row>
        <row r="5065">
          <cell r="AV5065">
            <v>286</v>
          </cell>
        </row>
        <row r="5066">
          <cell r="AV5066">
            <v>221</v>
          </cell>
        </row>
        <row r="5067">
          <cell r="AV5067">
            <v>250</v>
          </cell>
        </row>
        <row r="5068">
          <cell r="AV5068">
            <v>331</v>
          </cell>
        </row>
        <row r="5069">
          <cell r="AV5069">
            <v>319</v>
          </cell>
        </row>
        <row r="5070">
          <cell r="AV5070">
            <v>319</v>
          </cell>
        </row>
        <row r="5071">
          <cell r="AV5071">
            <v>319</v>
          </cell>
        </row>
        <row r="5072">
          <cell r="AV5072">
            <v>319</v>
          </cell>
        </row>
        <row r="5073">
          <cell r="AV5073">
            <v>319</v>
          </cell>
        </row>
        <row r="5074">
          <cell r="AV5074">
            <v>319</v>
          </cell>
        </row>
        <row r="5075">
          <cell r="AV5075">
            <v>319</v>
          </cell>
        </row>
        <row r="5076">
          <cell r="AV5076">
            <v>319</v>
          </cell>
        </row>
        <row r="5077">
          <cell r="AV5077">
            <v>319</v>
          </cell>
        </row>
        <row r="5078">
          <cell r="AV5078">
            <v>319</v>
          </cell>
        </row>
        <row r="5079">
          <cell r="AV5079">
            <v>319</v>
          </cell>
        </row>
        <row r="5080">
          <cell r="AV5080">
            <v>319</v>
          </cell>
        </row>
        <row r="5081">
          <cell r="AV5081">
            <v>198</v>
          </cell>
        </row>
        <row r="5082">
          <cell r="AV5082">
            <v>316</v>
          </cell>
        </row>
        <row r="5083">
          <cell r="AV5083">
            <v>329</v>
          </cell>
        </row>
        <row r="5084">
          <cell r="AV5084">
            <v>260</v>
          </cell>
        </row>
        <row r="5085">
          <cell r="AV5085">
            <v>295</v>
          </cell>
        </row>
        <row r="5086">
          <cell r="AV5086">
            <v>350</v>
          </cell>
        </row>
        <row r="5087">
          <cell r="AV5087">
            <v>289</v>
          </cell>
        </row>
        <row r="5088">
          <cell r="AV5088">
            <v>207</v>
          </cell>
        </row>
        <row r="5089">
          <cell r="AV5089">
            <v>207</v>
          </cell>
        </row>
        <row r="5090">
          <cell r="AV5090">
            <v>307</v>
          </cell>
        </row>
        <row r="5091">
          <cell r="AV5091">
            <v>260</v>
          </cell>
        </row>
        <row r="5092">
          <cell r="AV5092">
            <v>289</v>
          </cell>
        </row>
        <row r="5093">
          <cell r="AV5093">
            <v>285</v>
          </cell>
        </row>
        <row r="5094">
          <cell r="AV5094">
            <v>282</v>
          </cell>
        </row>
        <row r="5095">
          <cell r="AV5095">
            <v>300</v>
          </cell>
        </row>
        <row r="5096">
          <cell r="AV5096">
            <v>351</v>
          </cell>
        </row>
        <row r="5097">
          <cell r="AV5097">
            <v>312</v>
          </cell>
        </row>
        <row r="5098">
          <cell r="AV5098">
            <v>307</v>
          </cell>
        </row>
        <row r="5099">
          <cell r="AV5099">
            <v>238</v>
          </cell>
        </row>
        <row r="5100">
          <cell r="AV5100">
            <v>280</v>
          </cell>
        </row>
        <row r="5101">
          <cell r="AV5101">
            <v>286</v>
          </cell>
        </row>
        <row r="5102">
          <cell r="AV5102">
            <v>289</v>
          </cell>
        </row>
        <row r="5103">
          <cell r="AV5103">
            <v>323</v>
          </cell>
        </row>
        <row r="5104">
          <cell r="AV5104">
            <v>240</v>
          </cell>
        </row>
        <row r="5105">
          <cell r="AV5105">
            <v>187</v>
          </cell>
        </row>
        <row r="5106">
          <cell r="AV5106">
            <v>189</v>
          </cell>
        </row>
        <row r="5107">
          <cell r="AV5107">
            <v>250</v>
          </cell>
        </row>
        <row r="5108">
          <cell r="AV5108">
            <v>232</v>
          </cell>
        </row>
        <row r="5109">
          <cell r="D5109" t="str">
            <v>R&amp;D</v>
          </cell>
          <cell r="AV5109">
            <v>224</v>
          </cell>
        </row>
        <row r="5110">
          <cell r="AV5110">
            <v>364</v>
          </cell>
        </row>
        <row r="5111">
          <cell r="E5111" t="str">
            <v>Pharma</v>
          </cell>
          <cell r="AV5111">
            <v>289</v>
          </cell>
          <cell r="BJ5111" t="str">
            <v>PLANT&amp; MACHINERY</v>
          </cell>
        </row>
        <row r="5112">
          <cell r="E5112" t="str">
            <v>GF</v>
          </cell>
          <cell r="AV5112">
            <v>365</v>
          </cell>
        </row>
        <row r="5113">
          <cell r="E5113" t="str">
            <v>GF</v>
          </cell>
          <cell r="AV5113">
            <v>365</v>
          </cell>
        </row>
        <row r="5114">
          <cell r="E5114" t="str">
            <v>GF</v>
          </cell>
          <cell r="AV5114">
            <v>365</v>
          </cell>
        </row>
        <row r="5115">
          <cell r="E5115" t="str">
            <v>GF</v>
          </cell>
          <cell r="AV5115">
            <v>365</v>
          </cell>
        </row>
        <row r="5116">
          <cell r="E5116" t="str">
            <v>FF</v>
          </cell>
          <cell r="AV5116">
            <v>365</v>
          </cell>
        </row>
        <row r="5117">
          <cell r="E5117" t="str">
            <v>GF</v>
          </cell>
          <cell r="AV5117">
            <v>365</v>
          </cell>
        </row>
        <row r="5118">
          <cell r="E5118" t="str">
            <v>FF</v>
          </cell>
          <cell r="AV5118">
            <v>365</v>
          </cell>
        </row>
        <row r="5119">
          <cell r="E5119" t="str">
            <v>GF</v>
          </cell>
          <cell r="AV5119">
            <v>305</v>
          </cell>
        </row>
        <row r="5120">
          <cell r="E5120" t="str">
            <v>FF (50%)</v>
          </cell>
          <cell r="AV5120">
            <v>335</v>
          </cell>
        </row>
        <row r="5121">
          <cell r="E5121" t="str">
            <v>FF (50%)</v>
          </cell>
          <cell r="AV5121">
            <v>335</v>
          </cell>
        </row>
        <row r="5122">
          <cell r="E5122" t="str">
            <v>1B Inter</v>
          </cell>
          <cell r="AV5122">
            <v>305</v>
          </cell>
        </row>
        <row r="5123">
          <cell r="E5123" t="str">
            <v>1B Pharma</v>
          </cell>
          <cell r="AV5123">
            <v>289</v>
          </cell>
        </row>
        <row r="5124">
          <cell r="E5124" t="str">
            <v>1C Inter</v>
          </cell>
          <cell r="AV5124">
            <v>335</v>
          </cell>
        </row>
        <row r="5125">
          <cell r="E5125" t="str">
            <v>GF</v>
          </cell>
          <cell r="AV5125">
            <v>365</v>
          </cell>
        </row>
        <row r="5126">
          <cell r="E5126" t="str">
            <v>GF</v>
          </cell>
          <cell r="AV5126">
            <v>365</v>
          </cell>
        </row>
        <row r="5127">
          <cell r="E5127" t="str">
            <v>GF</v>
          </cell>
          <cell r="AV5127">
            <v>365</v>
          </cell>
        </row>
        <row r="5128">
          <cell r="E5128" t="str">
            <v>GF</v>
          </cell>
          <cell r="AV5128">
            <v>365</v>
          </cell>
        </row>
        <row r="5129">
          <cell r="E5129" t="str">
            <v>FF</v>
          </cell>
          <cell r="AV5129">
            <v>289</v>
          </cell>
        </row>
        <row r="5130">
          <cell r="E5130" t="str">
            <v>GF (50%)</v>
          </cell>
          <cell r="AV5130">
            <v>365</v>
          </cell>
        </row>
        <row r="5131">
          <cell r="E5131" t="str">
            <v>GF (50%)</v>
          </cell>
          <cell r="AV5131">
            <v>274</v>
          </cell>
        </row>
        <row r="5132">
          <cell r="E5132" t="str">
            <v>GF</v>
          </cell>
          <cell r="AV5132">
            <v>320</v>
          </cell>
        </row>
        <row r="5133">
          <cell r="E5133" t="str">
            <v>FF</v>
          </cell>
          <cell r="AV5133">
            <v>320</v>
          </cell>
        </row>
        <row r="5134">
          <cell r="E5134" t="str">
            <v>GF</v>
          </cell>
          <cell r="AV5134">
            <v>198</v>
          </cell>
        </row>
        <row r="5135">
          <cell r="E5135" t="str">
            <v>FF</v>
          </cell>
          <cell r="AV5135">
            <v>198</v>
          </cell>
        </row>
        <row r="5136">
          <cell r="E5136" t="str">
            <v>GF</v>
          </cell>
          <cell r="AV5136">
            <v>250</v>
          </cell>
        </row>
        <row r="5137">
          <cell r="E5137" t="str">
            <v>FF</v>
          </cell>
          <cell r="AV5137">
            <v>250</v>
          </cell>
        </row>
        <row r="5138">
          <cell r="AV5138">
            <v>320</v>
          </cell>
        </row>
        <row r="5139">
          <cell r="AV5139">
            <v>274</v>
          </cell>
        </row>
        <row r="5140">
          <cell r="AV5140">
            <v>183</v>
          </cell>
        </row>
        <row r="5141">
          <cell r="AV5141">
            <v>243</v>
          </cell>
        </row>
        <row r="5142">
          <cell r="AV5142">
            <v>365</v>
          </cell>
        </row>
        <row r="5143">
          <cell r="AV5143">
            <v>365</v>
          </cell>
        </row>
        <row r="5144">
          <cell r="AV5144">
            <v>365</v>
          </cell>
        </row>
        <row r="5145">
          <cell r="AV5145">
            <v>365</v>
          </cell>
        </row>
        <row r="5146">
          <cell r="E5146" t="str">
            <v>GF</v>
          </cell>
          <cell r="AV5146">
            <v>305</v>
          </cell>
        </row>
        <row r="5147">
          <cell r="E5147" t="str">
            <v>FF (50%)</v>
          </cell>
          <cell r="AV5147">
            <v>335</v>
          </cell>
        </row>
        <row r="5148">
          <cell r="E5148" t="str">
            <v>FF (50%)</v>
          </cell>
          <cell r="AV5148">
            <v>335</v>
          </cell>
        </row>
        <row r="5149">
          <cell r="E5149" t="str">
            <v>1B Inter</v>
          </cell>
          <cell r="AV5149">
            <v>305</v>
          </cell>
        </row>
        <row r="5150">
          <cell r="E5150" t="str">
            <v>1B Pharma</v>
          </cell>
          <cell r="AV5150">
            <v>289</v>
          </cell>
        </row>
        <row r="5151">
          <cell r="E5151" t="str">
            <v>1C Inter</v>
          </cell>
          <cell r="AV5151">
            <v>335</v>
          </cell>
        </row>
        <row r="5152">
          <cell r="E5152" t="str">
            <v>GF</v>
          </cell>
          <cell r="AV5152">
            <v>365</v>
          </cell>
        </row>
        <row r="5153">
          <cell r="E5153" t="str">
            <v>GF (50%)</v>
          </cell>
          <cell r="AV5153">
            <v>365</v>
          </cell>
        </row>
        <row r="5154">
          <cell r="E5154" t="str">
            <v>GF (50%)</v>
          </cell>
          <cell r="AV5154">
            <v>274</v>
          </cell>
        </row>
        <row r="5155">
          <cell r="E5155" t="str">
            <v>GF</v>
          </cell>
          <cell r="AV5155">
            <v>365</v>
          </cell>
        </row>
        <row r="5156">
          <cell r="E5156" t="str">
            <v>GF</v>
          </cell>
          <cell r="AV5156">
            <v>320</v>
          </cell>
        </row>
        <row r="5157">
          <cell r="E5157" t="str">
            <v>FF</v>
          </cell>
          <cell r="AV5157">
            <v>320</v>
          </cell>
        </row>
        <row r="5158">
          <cell r="E5158" t="str">
            <v>GF</v>
          </cell>
          <cell r="AV5158">
            <v>198</v>
          </cell>
        </row>
        <row r="5159">
          <cell r="E5159" t="str">
            <v>FF</v>
          </cell>
          <cell r="AV5159">
            <v>198</v>
          </cell>
        </row>
        <row r="5160">
          <cell r="E5160" t="str">
            <v>GF</v>
          </cell>
          <cell r="AV5160">
            <v>250</v>
          </cell>
        </row>
        <row r="5161">
          <cell r="E5161" t="str">
            <v>FF</v>
          </cell>
          <cell r="AV5161">
            <v>250</v>
          </cell>
        </row>
        <row r="5162">
          <cell r="AV5162">
            <v>320</v>
          </cell>
        </row>
        <row r="5163">
          <cell r="AV5163">
            <v>274</v>
          </cell>
        </row>
        <row r="5164">
          <cell r="AV5164">
            <v>183</v>
          </cell>
        </row>
        <row r="5165">
          <cell r="AV5165">
            <v>243</v>
          </cell>
        </row>
        <row r="5166">
          <cell r="AV5166">
            <v>197</v>
          </cell>
        </row>
        <row r="5167">
          <cell r="AV5167">
            <v>195</v>
          </cell>
        </row>
        <row r="5168">
          <cell r="AV5168">
            <v>215</v>
          </cell>
        </row>
        <row r="5169">
          <cell r="AV5169">
            <v>201</v>
          </cell>
        </row>
        <row r="5170">
          <cell r="AV5170">
            <v>201</v>
          </cell>
        </row>
        <row r="5171">
          <cell r="AV5171">
            <v>196</v>
          </cell>
        </row>
        <row r="5172">
          <cell r="AV5172">
            <v>184</v>
          </cell>
        </row>
        <row r="5173">
          <cell r="AV5173">
            <v>197</v>
          </cell>
        </row>
        <row r="5174">
          <cell r="AV5174">
            <v>176</v>
          </cell>
          <cell r="BF5174">
            <v>39300</v>
          </cell>
        </row>
        <row r="5175">
          <cell r="AV5175">
            <v>176</v>
          </cell>
          <cell r="BF5175">
            <v>29500</v>
          </cell>
        </row>
        <row r="5176">
          <cell r="AV5176">
            <v>176</v>
          </cell>
          <cell r="BF5176">
            <v>120500</v>
          </cell>
        </row>
        <row r="5177">
          <cell r="AV5177">
            <v>175</v>
          </cell>
          <cell r="BF5177">
            <v>32965</v>
          </cell>
        </row>
        <row r="5178">
          <cell r="AV5178">
            <v>222</v>
          </cell>
        </row>
        <row r="5179">
          <cell r="AV5179">
            <v>167</v>
          </cell>
          <cell r="BF5179">
            <v>11730</v>
          </cell>
        </row>
        <row r="5180">
          <cell r="AV5180">
            <v>207</v>
          </cell>
        </row>
        <row r="5181">
          <cell r="AV5181">
            <v>207</v>
          </cell>
        </row>
        <row r="5182">
          <cell r="AV5182">
            <v>168</v>
          </cell>
          <cell r="BF5182">
            <v>26871</v>
          </cell>
        </row>
        <row r="5183">
          <cell r="AV5183">
            <v>168</v>
          </cell>
          <cell r="BF5183">
            <v>63450</v>
          </cell>
        </row>
        <row r="5184">
          <cell r="AV5184">
            <v>162</v>
          </cell>
          <cell r="BF5184">
            <v>7920</v>
          </cell>
        </row>
        <row r="5185">
          <cell r="AV5185">
            <v>177</v>
          </cell>
          <cell r="BF5185">
            <v>9000</v>
          </cell>
        </row>
        <row r="5186">
          <cell r="AV5186">
            <v>181</v>
          </cell>
        </row>
        <row r="5187">
          <cell r="AV5187">
            <v>203</v>
          </cell>
        </row>
        <row r="5188">
          <cell r="AV5188">
            <v>203</v>
          </cell>
        </row>
        <row r="5189">
          <cell r="AV5189">
            <v>178</v>
          </cell>
          <cell r="BF5189">
            <v>1294383.25</v>
          </cell>
        </row>
        <row r="5190">
          <cell r="AV5190">
            <v>186</v>
          </cell>
        </row>
        <row r="5191">
          <cell r="AV5191">
            <v>189</v>
          </cell>
          <cell r="BJ5191" t="str">
            <v>provision</v>
          </cell>
        </row>
        <row r="5192">
          <cell r="AV5192">
            <v>189</v>
          </cell>
          <cell r="BJ5192" t="str">
            <v>provision</v>
          </cell>
        </row>
        <row r="5193">
          <cell r="AV5193">
            <v>183</v>
          </cell>
          <cell r="BJ5193" t="str">
            <v>provision</v>
          </cell>
        </row>
        <row r="5194">
          <cell r="AV5194">
            <v>188</v>
          </cell>
          <cell r="BJ5194" t="str">
            <v>Provision</v>
          </cell>
        </row>
        <row r="5195">
          <cell r="AV5195">
            <v>249</v>
          </cell>
          <cell r="BJ5195" t="str">
            <v>Provision</v>
          </cell>
        </row>
        <row r="5196">
          <cell r="AV5196">
            <v>202</v>
          </cell>
          <cell r="BJ5196" t="str">
            <v>Provision</v>
          </cell>
        </row>
        <row r="5197">
          <cell r="AV5197">
            <v>208</v>
          </cell>
          <cell r="BJ5197" t="str">
            <v>Provision</v>
          </cell>
        </row>
        <row r="5198">
          <cell r="AV5198">
            <v>183</v>
          </cell>
          <cell r="BJ5198" t="str">
            <v>provision</v>
          </cell>
        </row>
        <row r="5199">
          <cell r="AV5199">
            <v>207</v>
          </cell>
          <cell r="BJ5199" t="str">
            <v>provision</v>
          </cell>
        </row>
        <row r="5200">
          <cell r="AV5200">
            <v>207</v>
          </cell>
          <cell r="BJ5200" t="str">
            <v>provision</v>
          </cell>
        </row>
        <row r="5201">
          <cell r="AV5201">
            <v>204</v>
          </cell>
          <cell r="BJ5201" t="str">
            <v>provision</v>
          </cell>
        </row>
        <row r="5202">
          <cell r="AV5202">
            <v>186</v>
          </cell>
          <cell r="BJ5202" t="str">
            <v>provision</v>
          </cell>
        </row>
        <row r="5203">
          <cell r="AV5203">
            <v>186</v>
          </cell>
          <cell r="BJ5203" t="str">
            <v>provision</v>
          </cell>
        </row>
        <row r="5204">
          <cell r="AV5204">
            <v>189</v>
          </cell>
          <cell r="BJ5204" t="str">
            <v>provision</v>
          </cell>
        </row>
        <row r="5205">
          <cell r="AV5205">
            <v>124</v>
          </cell>
          <cell r="BF5205">
            <v>492800</v>
          </cell>
        </row>
        <row r="5206">
          <cell r="AV5206">
            <v>124</v>
          </cell>
          <cell r="BF5206">
            <v>264000</v>
          </cell>
        </row>
        <row r="5207">
          <cell r="AV5207">
            <v>124</v>
          </cell>
          <cell r="BF5207">
            <v>211200</v>
          </cell>
        </row>
        <row r="5208">
          <cell r="AV5208">
            <v>194</v>
          </cell>
          <cell r="BJ5208" t="str">
            <v>provision</v>
          </cell>
        </row>
        <row r="5209">
          <cell r="AV5209">
            <v>298</v>
          </cell>
          <cell r="BJ5209" t="str">
            <v>provision</v>
          </cell>
        </row>
        <row r="5210">
          <cell r="AV5210">
            <v>298</v>
          </cell>
          <cell r="BJ5210" t="str">
            <v>provision</v>
          </cell>
        </row>
        <row r="5211">
          <cell r="E5211" t="str">
            <v>FF</v>
          </cell>
          <cell r="F5211" t="str">
            <v>SUITE IV (NON - ONCO)</v>
          </cell>
          <cell r="AV5211">
            <v>298</v>
          </cell>
          <cell r="BJ5211" t="str">
            <v>provision</v>
          </cell>
        </row>
        <row r="5212">
          <cell r="AV5212">
            <v>226</v>
          </cell>
          <cell r="BJ5212" t="str">
            <v>provision</v>
          </cell>
        </row>
        <row r="5213">
          <cell r="AV5213">
            <v>180</v>
          </cell>
        </row>
        <row r="5214">
          <cell r="AV5214">
            <v>193</v>
          </cell>
          <cell r="BJ5214" t="str">
            <v>Provision</v>
          </cell>
        </row>
        <row r="5215">
          <cell r="AV5215">
            <v>189</v>
          </cell>
          <cell r="BJ5215" t="str">
            <v>Provision</v>
          </cell>
        </row>
        <row r="5216">
          <cell r="AV5216">
            <v>188</v>
          </cell>
          <cell r="BJ5216" t="str">
            <v>Provision</v>
          </cell>
        </row>
        <row r="5217">
          <cell r="AV5217">
            <v>265</v>
          </cell>
          <cell r="BJ5217" t="str">
            <v>Provision</v>
          </cell>
        </row>
        <row r="5218">
          <cell r="AV5218">
            <v>188</v>
          </cell>
        </row>
        <row r="5219">
          <cell r="AV5219">
            <v>221</v>
          </cell>
          <cell r="BJ5219" t="str">
            <v>provision</v>
          </cell>
        </row>
        <row r="5220">
          <cell r="E5220" t="str">
            <v>FF</v>
          </cell>
          <cell r="AV5220">
            <v>193</v>
          </cell>
        </row>
        <row r="5221">
          <cell r="AV5221">
            <v>171</v>
          </cell>
          <cell r="BF5221">
            <v>21355</v>
          </cell>
        </row>
        <row r="5222">
          <cell r="AV5222">
            <v>178</v>
          </cell>
          <cell r="BF5222">
            <v>16173</v>
          </cell>
        </row>
        <row r="5223">
          <cell r="AV5223">
            <v>154</v>
          </cell>
          <cell r="BF5223">
            <v>224258</v>
          </cell>
        </row>
        <row r="5224">
          <cell r="AV5224">
            <v>212</v>
          </cell>
        </row>
        <row r="5225">
          <cell r="BF5225">
            <v>2921268</v>
          </cell>
        </row>
        <row r="5226">
          <cell r="BF5226">
            <v>6302303</v>
          </cell>
        </row>
        <row r="5227">
          <cell r="BF5227">
            <v>25000</v>
          </cell>
        </row>
        <row r="5228">
          <cell r="AV5228">
            <v>298</v>
          </cell>
        </row>
        <row r="5229">
          <cell r="AV5229">
            <v>311</v>
          </cell>
        </row>
        <row r="5230">
          <cell r="AV5230">
            <v>225</v>
          </cell>
        </row>
        <row r="5231">
          <cell r="AV5231">
            <v>151</v>
          </cell>
          <cell r="BF5231">
            <v>97321</v>
          </cell>
        </row>
        <row r="5232">
          <cell r="AV5232">
            <v>140</v>
          </cell>
          <cell r="BF5232">
            <v>38318</v>
          </cell>
        </row>
        <row r="5233">
          <cell r="AV5233">
            <v>162</v>
          </cell>
          <cell r="BF5233">
            <v>94863</v>
          </cell>
        </row>
        <row r="5234">
          <cell r="AV5234">
            <v>151</v>
          </cell>
          <cell r="BF5234">
            <v>240836</v>
          </cell>
        </row>
        <row r="5235">
          <cell r="AV5235">
            <v>153</v>
          </cell>
          <cell r="BF5235">
            <v>79500</v>
          </cell>
        </row>
        <row r="5236">
          <cell r="AV5236">
            <v>173</v>
          </cell>
          <cell r="BF5236">
            <v>753</v>
          </cell>
        </row>
        <row r="5237">
          <cell r="AV5237">
            <v>165</v>
          </cell>
          <cell r="BF5237">
            <v>18085</v>
          </cell>
        </row>
        <row r="5238">
          <cell r="AV5238">
            <v>148</v>
          </cell>
          <cell r="BF5238">
            <v>21000</v>
          </cell>
        </row>
        <row r="5239">
          <cell r="AV5239">
            <v>274</v>
          </cell>
        </row>
        <row r="5240">
          <cell r="AV5240">
            <v>208</v>
          </cell>
        </row>
        <row r="5241">
          <cell r="AV5241">
            <v>365</v>
          </cell>
        </row>
        <row r="5242">
          <cell r="AV5242">
            <v>365</v>
          </cell>
        </row>
        <row r="5243">
          <cell r="AV5243">
            <v>141</v>
          </cell>
          <cell r="BF5243">
            <v>12388</v>
          </cell>
        </row>
        <row r="5244">
          <cell r="AV5244">
            <v>234</v>
          </cell>
        </row>
        <row r="5245">
          <cell r="AV5245">
            <v>234</v>
          </cell>
        </row>
        <row r="5246">
          <cell r="AV5246">
            <v>234</v>
          </cell>
        </row>
        <row r="5247">
          <cell r="AV5247">
            <v>234</v>
          </cell>
        </row>
        <row r="5248">
          <cell r="AV5248">
            <v>234</v>
          </cell>
        </row>
        <row r="5249">
          <cell r="AV5249">
            <v>234</v>
          </cell>
        </row>
        <row r="5250">
          <cell r="AV5250">
            <v>234</v>
          </cell>
        </row>
        <row r="5251">
          <cell r="AV5251">
            <v>234</v>
          </cell>
        </row>
        <row r="5252">
          <cell r="AV5252">
            <v>234</v>
          </cell>
        </row>
        <row r="5253">
          <cell r="AV5253">
            <v>234</v>
          </cell>
        </row>
        <row r="5254">
          <cell r="AV5254">
            <v>234</v>
          </cell>
        </row>
        <row r="5255">
          <cell r="AV5255">
            <v>234</v>
          </cell>
        </row>
        <row r="5256">
          <cell r="AV5256">
            <v>234</v>
          </cell>
        </row>
        <row r="5257">
          <cell r="AV5257">
            <v>234</v>
          </cell>
        </row>
        <row r="5258">
          <cell r="AV5258">
            <v>234</v>
          </cell>
        </row>
        <row r="5259">
          <cell r="AV5259">
            <v>168</v>
          </cell>
          <cell r="BF5259">
            <v>35250</v>
          </cell>
        </row>
        <row r="5260">
          <cell r="AV5260">
            <v>173</v>
          </cell>
          <cell r="BF5260">
            <v>45500</v>
          </cell>
        </row>
        <row r="5261">
          <cell r="AV5261">
            <v>162</v>
          </cell>
          <cell r="BF5261">
            <v>21600</v>
          </cell>
        </row>
        <row r="5262">
          <cell r="AV5262">
            <v>162</v>
          </cell>
          <cell r="BF5262">
            <v>27000</v>
          </cell>
        </row>
        <row r="5263">
          <cell r="AV5263">
            <v>162</v>
          </cell>
          <cell r="BF5263">
            <v>81900</v>
          </cell>
        </row>
        <row r="5264">
          <cell r="AV5264">
            <v>162</v>
          </cell>
          <cell r="BF5264">
            <v>26100</v>
          </cell>
        </row>
        <row r="5265">
          <cell r="AV5265">
            <v>162</v>
          </cell>
          <cell r="BF5265">
            <v>4050</v>
          </cell>
        </row>
        <row r="5266">
          <cell r="AV5266">
            <v>169</v>
          </cell>
          <cell r="BF5266">
            <v>27200</v>
          </cell>
        </row>
        <row r="5267">
          <cell r="AV5267">
            <v>169</v>
          </cell>
          <cell r="BF5267">
            <v>25500</v>
          </cell>
        </row>
        <row r="5268">
          <cell r="AV5268">
            <v>169</v>
          </cell>
          <cell r="BF5268">
            <v>5100</v>
          </cell>
        </row>
        <row r="5269">
          <cell r="AV5269">
            <v>169</v>
          </cell>
          <cell r="BF5269">
            <v>4463</v>
          </cell>
        </row>
        <row r="5270">
          <cell r="AV5270">
            <v>169</v>
          </cell>
          <cell r="BF5270">
            <v>5100</v>
          </cell>
        </row>
        <row r="5271">
          <cell r="AV5271">
            <v>169</v>
          </cell>
          <cell r="BF5271">
            <v>5100</v>
          </cell>
        </row>
        <row r="5272">
          <cell r="AV5272">
            <v>169</v>
          </cell>
          <cell r="BF5272">
            <v>17595</v>
          </cell>
        </row>
        <row r="5273">
          <cell r="AV5273">
            <v>169</v>
          </cell>
          <cell r="BF5273">
            <v>14662</v>
          </cell>
        </row>
        <row r="5274">
          <cell r="AV5274">
            <v>154</v>
          </cell>
          <cell r="BF5274">
            <v>49140</v>
          </cell>
        </row>
        <row r="5275">
          <cell r="AV5275">
            <v>154</v>
          </cell>
          <cell r="BF5275">
            <v>12000</v>
          </cell>
        </row>
        <row r="5276">
          <cell r="AV5276">
            <v>177</v>
          </cell>
          <cell r="BF5276">
            <v>33972</v>
          </cell>
        </row>
        <row r="5277">
          <cell r="AV5277">
            <v>165</v>
          </cell>
          <cell r="BF5277">
            <v>10000</v>
          </cell>
        </row>
        <row r="5278">
          <cell r="AV5278">
            <v>177</v>
          </cell>
          <cell r="BF5278">
            <v>38572</v>
          </cell>
        </row>
        <row r="5279">
          <cell r="AV5279">
            <v>177</v>
          </cell>
          <cell r="BF5279">
            <v>29400</v>
          </cell>
        </row>
        <row r="5280">
          <cell r="AV5280">
            <v>177</v>
          </cell>
          <cell r="BF5280">
            <v>17640</v>
          </cell>
        </row>
        <row r="5281">
          <cell r="AV5281">
            <v>177</v>
          </cell>
          <cell r="BF5281">
            <v>10585</v>
          </cell>
        </row>
        <row r="5282">
          <cell r="AV5282">
            <v>177</v>
          </cell>
          <cell r="BF5282">
            <v>6663</v>
          </cell>
        </row>
        <row r="5283">
          <cell r="AV5283">
            <v>177</v>
          </cell>
          <cell r="BF5283">
            <v>7632</v>
          </cell>
        </row>
        <row r="5284">
          <cell r="AV5284">
            <v>177</v>
          </cell>
          <cell r="BF5284">
            <v>637</v>
          </cell>
        </row>
        <row r="5285">
          <cell r="AV5285">
            <v>177</v>
          </cell>
          <cell r="BF5285">
            <v>16346</v>
          </cell>
        </row>
        <row r="5286">
          <cell r="AV5286">
            <v>177</v>
          </cell>
          <cell r="BF5286">
            <v>16346</v>
          </cell>
        </row>
        <row r="5287">
          <cell r="AV5287">
            <v>179</v>
          </cell>
          <cell r="BF5287">
            <v>122770</v>
          </cell>
        </row>
        <row r="5288">
          <cell r="AV5288">
            <v>179</v>
          </cell>
          <cell r="BF5288">
            <v>16150</v>
          </cell>
        </row>
        <row r="5289">
          <cell r="AV5289">
            <v>174</v>
          </cell>
          <cell r="BF5289">
            <v>70000</v>
          </cell>
        </row>
        <row r="5290">
          <cell r="E5290" t="str">
            <v>UTILITY</v>
          </cell>
          <cell r="AV5290">
            <v>172</v>
          </cell>
          <cell r="BF5290">
            <v>3600000</v>
          </cell>
        </row>
        <row r="5291">
          <cell r="AV5291">
            <v>365</v>
          </cell>
        </row>
        <row r="5292">
          <cell r="AV5292">
            <v>365</v>
          </cell>
        </row>
        <row r="5293">
          <cell r="AV5293">
            <v>365</v>
          </cell>
        </row>
        <row r="5294">
          <cell r="AV5294">
            <v>365</v>
          </cell>
        </row>
        <row r="5295">
          <cell r="AV5295">
            <v>365</v>
          </cell>
        </row>
        <row r="5296">
          <cell r="AV5296">
            <v>365</v>
          </cell>
        </row>
        <row r="5297">
          <cell r="AV5297">
            <v>147</v>
          </cell>
          <cell r="BF5297">
            <v>142000</v>
          </cell>
        </row>
        <row r="5298">
          <cell r="AV5298">
            <v>142</v>
          </cell>
          <cell r="BF5298">
            <v>93980</v>
          </cell>
        </row>
        <row r="5299">
          <cell r="AV5299">
            <v>149</v>
          </cell>
          <cell r="BF5299">
            <v>39900</v>
          </cell>
        </row>
        <row r="5300">
          <cell r="AV5300">
            <v>127</v>
          </cell>
          <cell r="BF5300">
            <v>119250</v>
          </cell>
        </row>
        <row r="5301">
          <cell r="AV5301">
            <v>177</v>
          </cell>
          <cell r="BF5301">
            <v>10500</v>
          </cell>
        </row>
        <row r="5302">
          <cell r="AV5302">
            <v>139</v>
          </cell>
          <cell r="BF5302">
            <v>63731.25</v>
          </cell>
        </row>
        <row r="5303">
          <cell r="AV5303">
            <v>139</v>
          </cell>
          <cell r="BF5303">
            <v>3822.36</v>
          </cell>
        </row>
        <row r="5304">
          <cell r="AV5304">
            <v>139</v>
          </cell>
          <cell r="BF5304">
            <v>8497.5</v>
          </cell>
        </row>
        <row r="5305">
          <cell r="AV5305">
            <v>139</v>
          </cell>
          <cell r="BF5305">
            <v>84125.25</v>
          </cell>
        </row>
        <row r="5306">
          <cell r="AV5306">
            <v>167</v>
          </cell>
          <cell r="BF5306">
            <v>66459</v>
          </cell>
        </row>
        <row r="5307">
          <cell r="AV5307">
            <v>179</v>
          </cell>
          <cell r="BF5307">
            <v>5142</v>
          </cell>
        </row>
        <row r="5308">
          <cell r="AV5308">
            <v>170</v>
          </cell>
          <cell r="BF5308">
            <v>25414</v>
          </cell>
        </row>
        <row r="5309">
          <cell r="AV5309">
            <v>180</v>
          </cell>
        </row>
        <row r="5310">
          <cell r="AV5310">
            <v>127</v>
          </cell>
          <cell r="BF5310">
            <v>266400</v>
          </cell>
        </row>
        <row r="5311">
          <cell r="AV5311">
            <v>122</v>
          </cell>
          <cell r="BF5311">
            <v>6770</v>
          </cell>
        </row>
        <row r="5312">
          <cell r="AV5312">
            <v>365</v>
          </cell>
        </row>
        <row r="5313">
          <cell r="AV5313">
            <v>315</v>
          </cell>
        </row>
        <row r="5314">
          <cell r="AV5314">
            <v>223</v>
          </cell>
        </row>
        <row r="5315">
          <cell r="AV5315">
            <v>117</v>
          </cell>
          <cell r="BF5315">
            <v>19950</v>
          </cell>
        </row>
        <row r="5316">
          <cell r="AV5316">
            <v>245</v>
          </cell>
        </row>
        <row r="5317">
          <cell r="AV5317">
            <v>189</v>
          </cell>
        </row>
        <row r="5318">
          <cell r="AV5318">
            <v>140</v>
          </cell>
          <cell r="BF5318">
            <v>37156</v>
          </cell>
        </row>
        <row r="5319">
          <cell r="AV5319">
            <v>140</v>
          </cell>
          <cell r="BF5319">
            <v>1333</v>
          </cell>
        </row>
        <row r="5320">
          <cell r="AV5320">
            <v>329</v>
          </cell>
        </row>
        <row r="5321">
          <cell r="AV5321">
            <v>285</v>
          </cell>
        </row>
        <row r="5322">
          <cell r="AV5322">
            <v>123</v>
          </cell>
          <cell r="BF5322">
            <v>7187</v>
          </cell>
        </row>
        <row r="5323">
          <cell r="AV5323">
            <v>152</v>
          </cell>
          <cell r="BF5323">
            <v>7000</v>
          </cell>
        </row>
        <row r="5324">
          <cell r="AV5324">
            <v>151</v>
          </cell>
          <cell r="BF5324">
            <v>30491</v>
          </cell>
        </row>
        <row r="5325">
          <cell r="AV5325">
            <v>305</v>
          </cell>
        </row>
        <row r="5326">
          <cell r="AV5326">
            <v>136</v>
          </cell>
          <cell r="BF5326">
            <v>19575</v>
          </cell>
        </row>
        <row r="5327">
          <cell r="AV5327">
            <v>151</v>
          </cell>
          <cell r="BF5327">
            <v>10050</v>
          </cell>
        </row>
        <row r="5328">
          <cell r="BF5328">
            <v>1216760</v>
          </cell>
        </row>
        <row r="5329">
          <cell r="AV5329">
            <v>454</v>
          </cell>
        </row>
        <row r="5330">
          <cell r="AV5330">
            <v>342</v>
          </cell>
        </row>
        <row r="5331">
          <cell r="AV5331">
            <v>136</v>
          </cell>
        </row>
        <row r="5332">
          <cell r="AV5332">
            <v>139</v>
          </cell>
          <cell r="BF5332">
            <v>229500</v>
          </cell>
        </row>
        <row r="5333">
          <cell r="AV5333">
            <v>132</v>
          </cell>
          <cell r="BF5333">
            <v>28843</v>
          </cell>
        </row>
        <row r="5334">
          <cell r="AV5334">
            <v>132</v>
          </cell>
          <cell r="BF5334">
            <v>12016</v>
          </cell>
        </row>
        <row r="5335">
          <cell r="AV5335">
            <v>131</v>
          </cell>
          <cell r="BF5335">
            <v>484305</v>
          </cell>
        </row>
        <row r="5336">
          <cell r="AV5336">
            <v>124</v>
          </cell>
          <cell r="BF5336">
            <v>230850</v>
          </cell>
        </row>
        <row r="5337">
          <cell r="AV5337">
            <v>131</v>
          </cell>
          <cell r="BF5337">
            <v>27000</v>
          </cell>
        </row>
        <row r="5338">
          <cell r="AV5338">
            <v>131</v>
          </cell>
          <cell r="BF5338">
            <v>88200</v>
          </cell>
        </row>
        <row r="5339">
          <cell r="AV5339">
            <v>98</v>
          </cell>
          <cell r="BF5339">
            <v>33350</v>
          </cell>
        </row>
        <row r="5340">
          <cell r="AV5340">
            <v>107</v>
          </cell>
          <cell r="BF5340">
            <v>245320</v>
          </cell>
        </row>
        <row r="5341">
          <cell r="AV5341">
            <v>303</v>
          </cell>
          <cell r="BJ5341" t="str">
            <v>Provision</v>
          </cell>
        </row>
        <row r="5342">
          <cell r="AV5342">
            <v>116</v>
          </cell>
          <cell r="BF5342">
            <v>28912</v>
          </cell>
        </row>
        <row r="5343">
          <cell r="AV5343">
            <v>113</v>
          </cell>
          <cell r="BF5343">
            <v>102000</v>
          </cell>
        </row>
        <row r="5344">
          <cell r="AV5344">
            <v>95</v>
          </cell>
          <cell r="BF5344">
            <v>29325</v>
          </cell>
        </row>
        <row r="5345">
          <cell r="AV5345">
            <v>134</v>
          </cell>
          <cell r="BF5345">
            <v>84628</v>
          </cell>
        </row>
        <row r="5346">
          <cell r="AV5346">
            <v>149</v>
          </cell>
          <cell r="BF5346">
            <v>115429</v>
          </cell>
        </row>
        <row r="5347">
          <cell r="AV5347">
            <v>130</v>
          </cell>
          <cell r="BF5347">
            <v>160601</v>
          </cell>
        </row>
        <row r="5348">
          <cell r="AV5348">
            <v>122</v>
          </cell>
          <cell r="BF5348">
            <v>19444</v>
          </cell>
        </row>
        <row r="5349">
          <cell r="AV5349">
            <v>99</v>
          </cell>
          <cell r="BF5349">
            <v>30096</v>
          </cell>
        </row>
        <row r="5350">
          <cell r="AV5350">
            <v>302</v>
          </cell>
          <cell r="BJ5350" t="str">
            <v>provision</v>
          </cell>
        </row>
        <row r="5351">
          <cell r="AV5351">
            <v>134</v>
          </cell>
          <cell r="BF5351">
            <v>183200</v>
          </cell>
        </row>
        <row r="5352">
          <cell r="AV5352">
            <v>106</v>
          </cell>
          <cell r="BF5352">
            <v>20618</v>
          </cell>
        </row>
        <row r="5353">
          <cell r="AV5353">
            <v>106</v>
          </cell>
          <cell r="BF5353">
            <v>190000</v>
          </cell>
        </row>
        <row r="5354">
          <cell r="E5354" t="str">
            <v>FF</v>
          </cell>
          <cell r="AV5354">
            <v>116</v>
          </cell>
          <cell r="BF5354">
            <v>400000</v>
          </cell>
        </row>
        <row r="5355">
          <cell r="AV5355">
            <v>118</v>
          </cell>
          <cell r="BF5355">
            <v>68592</v>
          </cell>
        </row>
        <row r="5356">
          <cell r="AV5356">
            <v>138</v>
          </cell>
          <cell r="BF5356">
            <v>88065</v>
          </cell>
        </row>
        <row r="5357">
          <cell r="AV5357">
            <v>95</v>
          </cell>
          <cell r="BF5357">
            <v>158000</v>
          </cell>
        </row>
        <row r="5358">
          <cell r="AV5358">
            <v>133</v>
          </cell>
          <cell r="BF5358">
            <v>44000</v>
          </cell>
        </row>
        <row r="5359">
          <cell r="AV5359">
            <v>93</v>
          </cell>
          <cell r="BF5359">
            <v>21229</v>
          </cell>
        </row>
        <row r="5360">
          <cell r="AV5360">
            <v>212</v>
          </cell>
        </row>
        <row r="5361">
          <cell r="AV5361">
            <v>222</v>
          </cell>
        </row>
        <row r="5362">
          <cell r="AV5362">
            <v>223</v>
          </cell>
        </row>
        <row r="5363">
          <cell r="AV5363">
            <v>203</v>
          </cell>
        </row>
        <row r="5364">
          <cell r="AV5364">
            <v>110</v>
          </cell>
          <cell r="BF5364">
            <v>27100</v>
          </cell>
        </row>
        <row r="5365">
          <cell r="AV5365">
            <v>95</v>
          </cell>
          <cell r="BF5365">
            <v>9900</v>
          </cell>
        </row>
        <row r="5366">
          <cell r="AV5366">
            <v>268</v>
          </cell>
        </row>
        <row r="5367">
          <cell r="AV5367">
            <v>91</v>
          </cell>
          <cell r="BF5367">
            <v>101633</v>
          </cell>
        </row>
        <row r="5368">
          <cell r="AV5368">
            <v>163</v>
          </cell>
          <cell r="BF5368">
            <v>1108625</v>
          </cell>
        </row>
        <row r="5369">
          <cell r="D5369" t="str">
            <v>CO</v>
          </cell>
          <cell r="AV5369">
            <v>175</v>
          </cell>
          <cell r="BF5369">
            <v>1382685</v>
          </cell>
        </row>
        <row r="5370">
          <cell r="AV5370">
            <v>91</v>
          </cell>
          <cell r="BF5370">
            <v>26667</v>
          </cell>
        </row>
        <row r="5371">
          <cell r="AV5371">
            <v>91</v>
          </cell>
          <cell r="BF5371">
            <v>583415</v>
          </cell>
        </row>
        <row r="5372">
          <cell r="AV5372">
            <v>90</v>
          </cell>
          <cell r="BF5372">
            <v>397740</v>
          </cell>
        </row>
        <row r="5373">
          <cell r="AV5373">
            <v>91</v>
          </cell>
          <cell r="BF5373">
            <v>43461</v>
          </cell>
        </row>
        <row r="5374">
          <cell r="AV5374">
            <v>91</v>
          </cell>
          <cell r="BF5374">
            <v>0</v>
          </cell>
        </row>
        <row r="5375">
          <cell r="AV5375">
            <v>365</v>
          </cell>
        </row>
        <row r="5376">
          <cell r="AV5376">
            <v>91</v>
          </cell>
          <cell r="BF5376">
            <v>60818</v>
          </cell>
        </row>
        <row r="5377">
          <cell r="AV5377">
            <v>91</v>
          </cell>
          <cell r="BF5377">
            <v>416779</v>
          </cell>
        </row>
        <row r="5378">
          <cell r="AV5378">
            <v>91</v>
          </cell>
          <cell r="BF5378">
            <v>41779</v>
          </cell>
        </row>
        <row r="5379">
          <cell r="AV5379">
            <v>91</v>
          </cell>
          <cell r="BF5379">
            <v>129668</v>
          </cell>
        </row>
        <row r="5380">
          <cell r="AV5380">
            <v>89</v>
          </cell>
          <cell r="BF5380">
            <v>11475</v>
          </cell>
        </row>
        <row r="5381">
          <cell r="AV5381">
            <v>53</v>
          </cell>
          <cell r="BF5381">
            <v>24811</v>
          </cell>
        </row>
        <row r="5382">
          <cell r="AV5382">
            <v>57</v>
          </cell>
          <cell r="BF5382">
            <v>15279</v>
          </cell>
        </row>
        <row r="5383">
          <cell r="AV5383">
            <v>60</v>
          </cell>
          <cell r="BF5383">
            <v>36000</v>
          </cell>
        </row>
        <row r="5384">
          <cell r="AV5384">
            <v>312</v>
          </cell>
        </row>
        <row r="5385">
          <cell r="AV5385">
            <v>365</v>
          </cell>
        </row>
        <row r="5386">
          <cell r="AV5386">
            <v>365</v>
          </cell>
        </row>
        <row r="5387">
          <cell r="AV5387">
            <v>131</v>
          </cell>
          <cell r="BF5387">
            <v>105600</v>
          </cell>
        </row>
        <row r="5388">
          <cell r="AV5388">
            <v>153</v>
          </cell>
          <cell r="BF5388">
            <v>95000</v>
          </cell>
        </row>
        <row r="5389">
          <cell r="AV5389">
            <v>365</v>
          </cell>
        </row>
        <row r="5390">
          <cell r="AV5390">
            <v>133</v>
          </cell>
          <cell r="BF5390">
            <v>52394</v>
          </cell>
        </row>
        <row r="5391">
          <cell r="AV5391">
            <v>90</v>
          </cell>
          <cell r="BF5391">
            <v>5300</v>
          </cell>
        </row>
        <row r="5392">
          <cell r="AV5392">
            <v>95</v>
          </cell>
          <cell r="BF5392">
            <v>53695</v>
          </cell>
        </row>
        <row r="5393">
          <cell r="AV5393">
            <v>91</v>
          </cell>
          <cell r="BF5393">
            <v>100677</v>
          </cell>
        </row>
        <row r="5394">
          <cell r="AV5394">
            <v>1</v>
          </cell>
          <cell r="BF5394">
            <v>107446</v>
          </cell>
        </row>
        <row r="5395">
          <cell r="AV5395">
            <v>1</v>
          </cell>
          <cell r="BF5395">
            <v>94133</v>
          </cell>
        </row>
        <row r="5396">
          <cell r="AV5396">
            <v>1</v>
          </cell>
          <cell r="BF5396">
            <v>34772</v>
          </cell>
        </row>
        <row r="5397">
          <cell r="AV5397">
            <v>1</v>
          </cell>
          <cell r="BF5397">
            <v>315165</v>
          </cell>
        </row>
        <row r="5398">
          <cell r="AV5398">
            <v>118</v>
          </cell>
          <cell r="BF5398">
            <v>74034</v>
          </cell>
        </row>
        <row r="5399">
          <cell r="AV5399">
            <v>312</v>
          </cell>
        </row>
        <row r="5400">
          <cell r="AV5400">
            <v>153</v>
          </cell>
        </row>
        <row r="5401">
          <cell r="AV5401">
            <v>1</v>
          </cell>
          <cell r="BF5401">
            <v>6598</v>
          </cell>
        </row>
        <row r="5402">
          <cell r="AV5402">
            <v>1</v>
          </cell>
          <cell r="BF5402">
            <v>275000</v>
          </cell>
        </row>
        <row r="5403">
          <cell r="AV5403">
            <v>70</v>
          </cell>
          <cell r="BF5403">
            <v>17325</v>
          </cell>
        </row>
        <row r="5404">
          <cell r="AV5404">
            <v>70</v>
          </cell>
          <cell r="BF5404">
            <v>17325</v>
          </cell>
        </row>
        <row r="5405">
          <cell r="AV5405">
            <v>69</v>
          </cell>
          <cell r="BF5405">
            <v>40570</v>
          </cell>
        </row>
        <row r="5406">
          <cell r="AV5406">
            <v>1</v>
          </cell>
          <cell r="BF5406">
            <v>3500</v>
          </cell>
        </row>
        <row r="5407">
          <cell r="AV5407">
            <v>75</v>
          </cell>
          <cell r="BF5407">
            <v>11475</v>
          </cell>
        </row>
        <row r="5408">
          <cell r="AV5408">
            <v>365</v>
          </cell>
        </row>
        <row r="5409">
          <cell r="AV5409">
            <v>40</v>
          </cell>
          <cell r="BF5409">
            <v>5510</v>
          </cell>
        </row>
        <row r="5410">
          <cell r="AV5410">
            <v>47</v>
          </cell>
          <cell r="BF5410">
            <v>51975</v>
          </cell>
        </row>
        <row r="5411">
          <cell r="AV5411">
            <v>56</v>
          </cell>
          <cell r="BF5411">
            <v>21710</v>
          </cell>
        </row>
        <row r="5412">
          <cell r="AV5412">
            <v>54</v>
          </cell>
          <cell r="BF5412">
            <v>2960</v>
          </cell>
        </row>
        <row r="5413">
          <cell r="AV5413">
            <v>46</v>
          </cell>
          <cell r="BF5413">
            <v>4060</v>
          </cell>
        </row>
        <row r="5414">
          <cell r="AV5414">
            <v>51</v>
          </cell>
          <cell r="BF5414">
            <v>105970</v>
          </cell>
        </row>
        <row r="5415">
          <cell r="AV5415">
            <v>47</v>
          </cell>
          <cell r="BF5415">
            <v>90000</v>
          </cell>
        </row>
        <row r="5416">
          <cell r="AV5416">
            <v>42</v>
          </cell>
          <cell r="BF5416">
            <v>27247</v>
          </cell>
        </row>
        <row r="5417">
          <cell r="AV5417">
            <v>40</v>
          </cell>
          <cell r="BF5417">
            <v>24700</v>
          </cell>
        </row>
        <row r="5418">
          <cell r="AV5418">
            <v>69</v>
          </cell>
          <cell r="BF5418">
            <v>45000</v>
          </cell>
        </row>
        <row r="5419">
          <cell r="AV5419">
            <v>60</v>
          </cell>
          <cell r="BF5419">
            <v>202990</v>
          </cell>
        </row>
        <row r="5420">
          <cell r="AV5420">
            <v>64</v>
          </cell>
          <cell r="BF5420">
            <v>13275</v>
          </cell>
        </row>
        <row r="5421">
          <cell r="AV5421">
            <v>49</v>
          </cell>
          <cell r="BF5421">
            <v>12000</v>
          </cell>
        </row>
        <row r="5422">
          <cell r="AV5422">
            <v>54</v>
          </cell>
          <cell r="BF5422">
            <v>36900</v>
          </cell>
        </row>
        <row r="5423">
          <cell r="AV5423">
            <v>53</v>
          </cell>
          <cell r="BF5423">
            <v>95984</v>
          </cell>
        </row>
        <row r="5424">
          <cell r="AV5424">
            <v>56</v>
          </cell>
          <cell r="BF5424">
            <v>9093</v>
          </cell>
        </row>
        <row r="5425">
          <cell r="AV5425">
            <v>43</v>
          </cell>
          <cell r="BF5425">
            <v>23525</v>
          </cell>
        </row>
        <row r="5426">
          <cell r="AV5426">
            <v>73</v>
          </cell>
          <cell r="BF5426">
            <v>14835</v>
          </cell>
        </row>
        <row r="5427">
          <cell r="AV5427">
            <v>365</v>
          </cell>
        </row>
        <row r="5428">
          <cell r="AV5428">
            <v>30</v>
          </cell>
          <cell r="BF5428">
            <v>269970</v>
          </cell>
        </row>
        <row r="5429">
          <cell r="AV5429">
            <v>244</v>
          </cell>
        </row>
        <row r="5430">
          <cell r="AV5430">
            <v>84</v>
          </cell>
          <cell r="BF5430">
            <v>310960</v>
          </cell>
        </row>
        <row r="5431">
          <cell r="AV5431">
            <v>365</v>
          </cell>
        </row>
        <row r="5432">
          <cell r="AV5432">
            <v>76</v>
          </cell>
          <cell r="BF5432">
            <v>52625</v>
          </cell>
        </row>
        <row r="5433">
          <cell r="AV5433">
            <v>99</v>
          </cell>
          <cell r="BF5433">
            <v>70442</v>
          </cell>
        </row>
        <row r="5434">
          <cell r="AV5434">
            <v>96</v>
          </cell>
          <cell r="BF5434">
            <v>19325</v>
          </cell>
        </row>
        <row r="5435">
          <cell r="AV5435">
            <v>26</v>
          </cell>
          <cell r="BF5435">
            <v>187498</v>
          </cell>
        </row>
        <row r="5436">
          <cell r="AV5436">
            <v>14</v>
          </cell>
          <cell r="BF5436">
            <v>47050</v>
          </cell>
        </row>
        <row r="5437">
          <cell r="AV5437">
            <v>26</v>
          </cell>
          <cell r="BF5437">
            <v>78142</v>
          </cell>
        </row>
        <row r="5438">
          <cell r="AV5438">
            <v>22</v>
          </cell>
          <cell r="BF5438">
            <v>41000</v>
          </cell>
        </row>
        <row r="5439">
          <cell r="AV5439">
            <v>42</v>
          </cell>
          <cell r="BF5439">
            <v>19800</v>
          </cell>
        </row>
        <row r="5440">
          <cell r="BF5440">
            <v>206606</v>
          </cell>
        </row>
        <row r="5441">
          <cell r="BF5441">
            <v>275000</v>
          </cell>
        </row>
        <row r="5442">
          <cell r="BF5442">
            <v>40600</v>
          </cell>
        </row>
        <row r="5443">
          <cell r="BF5443">
            <v>508775</v>
          </cell>
        </row>
        <row r="5444">
          <cell r="BF5444">
            <v>13600</v>
          </cell>
        </row>
        <row r="5445">
          <cell r="BF5445">
            <v>792160</v>
          </cell>
        </row>
        <row r="5446">
          <cell r="BF5446">
            <v>150000</v>
          </cell>
        </row>
        <row r="5447">
          <cell r="BF5447">
            <v>5566210</v>
          </cell>
        </row>
        <row r="5448">
          <cell r="AV5448">
            <v>7</v>
          </cell>
          <cell r="BF5448">
            <v>61244</v>
          </cell>
        </row>
        <row r="5449">
          <cell r="AV5449">
            <v>15</v>
          </cell>
          <cell r="BF5449">
            <v>192096</v>
          </cell>
        </row>
        <row r="5450">
          <cell r="AV5450">
            <v>12</v>
          </cell>
          <cell r="BF5450">
            <v>6015</v>
          </cell>
        </row>
        <row r="5451">
          <cell r="AV5451">
            <v>365</v>
          </cell>
        </row>
        <row r="5452">
          <cell r="AV5452">
            <v>365</v>
          </cell>
        </row>
        <row r="5453">
          <cell r="AV5453">
            <v>3</v>
          </cell>
          <cell r="BF5453">
            <v>7200</v>
          </cell>
        </row>
        <row r="5454">
          <cell r="AV5454">
            <v>326</v>
          </cell>
        </row>
        <row r="5455">
          <cell r="AV5455">
            <v>274</v>
          </cell>
        </row>
        <row r="5456">
          <cell r="AV5456">
            <v>365</v>
          </cell>
        </row>
        <row r="5457">
          <cell r="AV5457">
            <v>8</v>
          </cell>
          <cell r="BF5457">
            <v>17150</v>
          </cell>
        </row>
        <row r="5458">
          <cell r="AV5458">
            <v>20</v>
          </cell>
          <cell r="BF5458">
            <v>16800</v>
          </cell>
        </row>
        <row r="5465">
          <cell r="BB5465">
            <v>169030.92758275053</v>
          </cell>
          <cell r="BF5465">
            <v>2391581</v>
          </cell>
        </row>
      </sheetData>
      <sheetData sheetId="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YLYINT"/>
      <sheetName val="YLYREP"/>
      <sheetName val="RCICAL"/>
      <sheetName val="CORPCAL"/>
      <sheetName val="JSRCAL"/>
      <sheetName val="dpc_int"/>
      <sheetName val="98-9"/>
      <sheetName val="YLYREP (2)"/>
      <sheetName val="cost on reduction(march01148200"/>
      <sheetName val="cost (march0118110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 Summary"/>
      <sheetName val="DCF"/>
      <sheetName val="NAV"/>
      <sheetName val="Assumption"/>
      <sheetName val="Production"/>
      <sheetName val="Raw Material Consumption"/>
      <sheetName val="PL"/>
      <sheetName val="Balance Sheet"/>
      <sheetName val="Tax Calculation"/>
      <sheetName val="Contingent Liabilities"/>
      <sheetName val="Debt Profile as on 31.12.2020"/>
      <sheetName val="Historical Prodn Details"/>
      <sheetName val="carry Forward Losses"/>
      <sheetName val="Working capital"/>
      <sheetName val="Depreciation"/>
      <sheetName val="Beta Calculation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B8" t="str">
            <v>Particulars</v>
          </cell>
        </row>
      </sheetData>
      <sheetData sheetId="5" refreshError="1"/>
      <sheetData sheetId="6">
        <row r="9">
          <cell r="J9">
            <v>44286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">
          <cell r="E24">
            <v>15.698901556771006</v>
          </cell>
        </row>
      </sheetData>
      <sheetData sheetId="14" refreshError="1"/>
      <sheetData sheetId="15">
        <row r="21">
          <cell r="D21">
            <v>2.0379499960462941</v>
          </cell>
        </row>
      </sheetData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SCM"/>
      <sheetName val="Sheet1"/>
      <sheetName val="mtr-adv"/>
      <sheetName val="claims"/>
      <sheetName val="pre-ins"/>
      <sheetName val="Pre-exp"/>
      <sheetName val="int-rec"/>
      <sheetName val="stf-trl-adv"/>
      <sheetName val="exc-bal"/>
      <sheetName val="TDS"/>
      <sheetName val="Deposits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. (I.TAX) "/>
      <sheetName val="BLDG"/>
      <sheetName val="F&amp;F(Summ)"/>
      <sheetName val="F&amp;F"/>
      <sheetName val="LV(Sum)"/>
      <sheetName val="LV"/>
      <sheetName val="Comp(Summ)"/>
      <sheetName val="COMP"/>
      <sheetName val="SAP"/>
      <sheetName val="HELI"/>
      <sheetName val="PM(summ)"/>
      <sheetName val="PM-Detail"/>
      <sheetName val="HV"/>
      <sheetName val="OF"/>
      <sheetName val="Exchg"/>
      <sheetName val="EX DIFF (AUDITOR)"/>
      <sheetName val="HO Cap-EX"/>
      <sheetName val="MSE"/>
      <sheetName val="SAUDI"/>
      <sheetName val="Asset Wis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fmi"/>
      <sheetName val="fmii"/>
      <sheetName val="fmiii"/>
      <sheetName val="fmiv"/>
      <sheetName val="fmv"/>
      <sheetName val="formvi&amp;vii"/>
      <sheetName val="F.FLOW"/>
      <sheetName val="formviii"/>
      <sheetName val="form ix"/>
      <sheetName val="formixa"/>
      <sheetName val="form ixb"/>
      <sheetName val="formx"/>
      <sheetName val="FM XI"/>
      <sheetName val="FM XIIB"/>
      <sheetName val="form xiiD"/>
      <sheetName val="BAL-XV"/>
      <sheetName val="BREAKXIIG"/>
      <sheetName val="CASH-XIV"/>
      <sheetName val="COMITMENT"/>
      <sheetName val="CONSUMABLES-7"/>
      <sheetName val="DSCR-17"/>
      <sheetName val="GLANCE"/>
      <sheetName val="Budgetupdate"/>
      <sheetName val="intrstuf"/>
      <sheetName val="INTRST-XIIC"/>
      <sheetName val="IRR"/>
      <sheetName val="MISC.1d"/>
      <sheetName val="P-Summary"/>
      <sheetName val="Pay-Back"/>
      <sheetName val="P.PLAN"/>
      <sheetName val="QTN"/>
      <sheetName val="RATIO-XIX"/>
      <sheetName val="SALESXIIB"/>
      <sheetName val="SS1"/>
      <sheetName val="SS2"/>
      <sheetName val="TAX_CL"/>
      <sheetName val="UNT_CP-19"/>
      <sheetName val="UTILITIES-8"/>
      <sheetName val="P&amp;L"/>
      <sheetName val="GRAPHS"/>
      <sheetName val="F_FLOW"/>
      <sheetName val="form_ix"/>
      <sheetName val="form_ixb"/>
      <sheetName val="FM_XI"/>
      <sheetName val="FM_XIIB"/>
      <sheetName val="form_xiiD"/>
      <sheetName val="MISC_1d"/>
      <sheetName val="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K4" t="str">
            <v>Rs. Lakhs</v>
          </cell>
        </row>
        <row r="5">
          <cell r="E5" t="str">
            <v>Cost Already Incurred</v>
          </cell>
          <cell r="H5" t="str">
            <v>Cost to be Incurred</v>
          </cell>
        </row>
        <row r="6">
          <cell r="E6" t="str">
            <v xml:space="preserve">Rs. </v>
          </cell>
          <cell r="F6" t="str">
            <v>Rs. eq.</v>
          </cell>
          <cell r="G6" t="str">
            <v>Total</v>
          </cell>
          <cell r="H6" t="str">
            <v xml:space="preserve">Rs. </v>
          </cell>
          <cell r="I6" t="str">
            <v>Rs. eq.</v>
          </cell>
          <cell r="J6" t="str">
            <v>Total</v>
          </cell>
          <cell r="K6" t="str">
            <v>Grand</v>
          </cell>
        </row>
        <row r="7">
          <cell r="E7" t="str">
            <v>Cost</v>
          </cell>
          <cell r="F7" t="str">
            <v>of FC</v>
          </cell>
          <cell r="H7" t="str">
            <v>Cost</v>
          </cell>
          <cell r="I7" t="str">
            <v>of FC</v>
          </cell>
          <cell r="K7" t="str">
            <v>Total</v>
          </cell>
        </row>
        <row r="8">
          <cell r="E8" t="str">
            <v>[1]</v>
          </cell>
          <cell r="F8" t="str">
            <v>[2]</v>
          </cell>
          <cell r="G8" t="str">
            <v>[3]</v>
          </cell>
          <cell r="H8" t="str">
            <v>[4]</v>
          </cell>
          <cell r="I8" t="str">
            <v>[5]</v>
          </cell>
          <cell r="J8" t="str">
            <v>[6]</v>
          </cell>
          <cell r="K8" t="str">
            <v>[7]</v>
          </cell>
        </row>
        <row r="10">
          <cell r="B10" t="str">
            <v xml:space="preserve">Cost including conveyance charge of   land </v>
          </cell>
          <cell r="E10">
            <v>18.41</v>
          </cell>
          <cell r="F10">
            <v>0</v>
          </cell>
          <cell r="G10">
            <v>18.41</v>
          </cell>
          <cell r="H10">
            <v>0</v>
          </cell>
          <cell r="I10">
            <v>0</v>
          </cell>
          <cell r="J10">
            <v>0</v>
          </cell>
          <cell r="K10">
            <v>18.41</v>
          </cell>
        </row>
        <row r="11">
          <cell r="B11" t="str">
            <v>Registration Charges</v>
          </cell>
          <cell r="E11">
            <v>0</v>
          </cell>
          <cell r="F11">
            <v>0</v>
          </cell>
          <cell r="G11">
            <v>0</v>
          </cell>
          <cell r="H11">
            <v>3.3138000000000001</v>
          </cell>
          <cell r="I11">
            <v>0</v>
          </cell>
          <cell r="J11">
            <v>3.3138000000000001</v>
          </cell>
          <cell r="K11">
            <v>3.3138000000000001</v>
          </cell>
        </row>
        <row r="12">
          <cell r="B12" t="str">
            <v xml:space="preserve">Cost of  levelling </v>
          </cell>
          <cell r="E12">
            <v>0.25</v>
          </cell>
          <cell r="F12">
            <v>0</v>
          </cell>
          <cell r="G12">
            <v>0.25</v>
          </cell>
          <cell r="H12">
            <v>0</v>
          </cell>
          <cell r="I12">
            <v>0</v>
          </cell>
          <cell r="J12">
            <v>0</v>
          </cell>
          <cell r="K12">
            <v>0.25</v>
          </cell>
        </row>
        <row r="13">
          <cell r="B13" t="str">
            <v>Internal roads for the factory</v>
          </cell>
          <cell r="E13">
            <v>0</v>
          </cell>
          <cell r="F13">
            <v>0</v>
          </cell>
          <cell r="G13">
            <v>0</v>
          </cell>
          <cell r="H13">
            <v>1.5</v>
          </cell>
          <cell r="I13">
            <v>0</v>
          </cell>
          <cell r="J13">
            <v>1.5</v>
          </cell>
          <cell r="K13">
            <v>1.5</v>
          </cell>
        </row>
        <row r="14">
          <cell r="B14" t="str">
            <v>Cost of fencing/compound wall</v>
          </cell>
          <cell r="E14">
            <v>0</v>
          </cell>
          <cell r="F14">
            <v>0</v>
          </cell>
          <cell r="G14">
            <v>0</v>
          </cell>
          <cell r="H14">
            <v>1.875</v>
          </cell>
          <cell r="I14">
            <v>0</v>
          </cell>
          <cell r="J14">
            <v>1.875</v>
          </cell>
          <cell r="K14">
            <v>1.875</v>
          </cell>
        </row>
        <row r="15">
          <cell r="B15" t="str">
            <v>Cost of gates</v>
          </cell>
          <cell r="E15">
            <v>0</v>
          </cell>
          <cell r="F15">
            <v>0</v>
          </cell>
          <cell r="G15">
            <v>0</v>
          </cell>
          <cell r="H15">
            <v>0.5</v>
          </cell>
          <cell r="I15">
            <v>0</v>
          </cell>
          <cell r="J15">
            <v>0.5</v>
          </cell>
          <cell r="K15">
            <v>0.5</v>
          </cell>
        </row>
        <row r="16">
          <cell r="B16" t="str">
            <v>Sub Total 1</v>
          </cell>
          <cell r="E16">
            <v>18.66</v>
          </cell>
          <cell r="F16">
            <v>0</v>
          </cell>
          <cell r="G16">
            <v>18.66</v>
          </cell>
          <cell r="H16">
            <v>7.1888000000000005</v>
          </cell>
          <cell r="I16">
            <v>0</v>
          </cell>
          <cell r="J16">
            <v>7.1888000000000005</v>
          </cell>
          <cell r="K16">
            <v>25.848800000000001</v>
          </cell>
        </row>
      </sheetData>
      <sheetData sheetId="10" refreshError="1"/>
      <sheetData sheetId="11" refreshError="1">
        <row r="5">
          <cell r="C5" t="str">
            <v>Description</v>
          </cell>
          <cell r="I5" t="str">
            <v>1st Year</v>
          </cell>
          <cell r="L5" t="str">
            <v>2nd Year</v>
          </cell>
          <cell r="O5" t="str">
            <v>3rd Year</v>
          </cell>
        </row>
        <row r="6">
          <cell r="F6" t="str">
            <v xml:space="preserve">No. of </v>
          </cell>
          <cell r="H6" t="str">
            <v>Bank</v>
          </cell>
          <cell r="I6" t="str">
            <v>Amt.</v>
          </cell>
          <cell r="J6" t="str">
            <v>Bank</v>
          </cell>
          <cell r="K6" t="str">
            <v>Mgn</v>
          </cell>
          <cell r="L6" t="str">
            <v>Amt.</v>
          </cell>
          <cell r="M6" t="str">
            <v>Bank</v>
          </cell>
          <cell r="N6" t="str">
            <v>Mgn</v>
          </cell>
          <cell r="O6" t="str">
            <v>Amt.</v>
          </cell>
          <cell r="P6" t="str">
            <v>Bank</v>
          </cell>
        </row>
        <row r="7">
          <cell r="F7" t="str">
            <v>Months</v>
          </cell>
          <cell r="G7" t="str">
            <v>Margin</v>
          </cell>
          <cell r="H7" t="str">
            <v>Margin</v>
          </cell>
          <cell r="I7" t="str">
            <v>Req.</v>
          </cell>
          <cell r="J7" t="str">
            <v>Fin.</v>
          </cell>
          <cell r="L7" t="str">
            <v>Req.</v>
          </cell>
          <cell r="M7" t="str">
            <v>Fin.</v>
          </cell>
          <cell r="O7" t="str">
            <v>Req.</v>
          </cell>
          <cell r="P7" t="str">
            <v>Fin.</v>
          </cell>
        </row>
        <row r="8">
          <cell r="F8" t="str">
            <v>Required</v>
          </cell>
          <cell r="G8" t="str">
            <v>Required</v>
          </cell>
          <cell r="H8" t="str">
            <v>Available</v>
          </cell>
        </row>
        <row r="9">
          <cell r="F9" t="str">
            <v/>
          </cell>
          <cell r="G9" t="str">
            <v>(%)</v>
          </cell>
          <cell r="H9" t="str">
            <v xml:space="preserve"> (%)</v>
          </cell>
        </row>
        <row r="11">
          <cell r="C11" t="str">
            <v>Raw Material</v>
          </cell>
          <cell r="F11" t="str">
            <v/>
          </cell>
        </row>
        <row r="12">
          <cell r="C12" t="str">
            <v xml:space="preserve">    -Indigenous  </v>
          </cell>
          <cell r="F12">
            <v>2</v>
          </cell>
          <cell r="G12">
            <v>0.25</v>
          </cell>
          <cell r="H12">
            <v>0.75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Consumables</v>
          </cell>
          <cell r="H13" t="str">
            <v/>
          </cell>
          <cell r="J13" t="str">
            <v/>
          </cell>
          <cell r="K13" t="str">
            <v/>
          </cell>
          <cell r="M13" t="str">
            <v/>
          </cell>
          <cell r="P13" t="str">
            <v/>
          </cell>
        </row>
        <row r="14">
          <cell r="C14" t="str">
            <v xml:space="preserve">   -Indigenous </v>
          </cell>
          <cell r="F14">
            <v>2</v>
          </cell>
          <cell r="H14">
            <v>0.75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 xml:space="preserve">   -Imported</v>
          </cell>
          <cell r="F15">
            <v>2</v>
          </cell>
          <cell r="G15">
            <v>0.25</v>
          </cell>
          <cell r="H15">
            <v>0.75</v>
          </cell>
          <cell r="I15">
            <v>1.9829805071999997</v>
          </cell>
          <cell r="J15">
            <v>1.4872353803999998</v>
          </cell>
          <cell r="K15">
            <v>0.49574512679999994</v>
          </cell>
          <cell r="L15">
            <v>2.4787256339999999</v>
          </cell>
          <cell r="M15">
            <v>1.8590442254999999</v>
          </cell>
          <cell r="N15">
            <v>0.61968140849999997</v>
          </cell>
          <cell r="O15">
            <v>2.9744707607999996</v>
          </cell>
          <cell r="P15">
            <v>2.2308530705999998</v>
          </cell>
        </row>
        <row r="16">
          <cell r="C16" t="str">
            <v>Utilities</v>
          </cell>
          <cell r="F16">
            <v>1</v>
          </cell>
          <cell r="H16">
            <v>0</v>
          </cell>
          <cell r="I16">
            <v>4.8255566206499987</v>
          </cell>
          <cell r="J16">
            <v>0</v>
          </cell>
          <cell r="K16">
            <v>4.8255566206499987</v>
          </cell>
          <cell r="L16">
            <v>6.031945775812499</v>
          </cell>
          <cell r="M16">
            <v>0</v>
          </cell>
          <cell r="N16">
            <v>6.031945775812499</v>
          </cell>
          <cell r="O16">
            <v>7.2383349309749994</v>
          </cell>
          <cell r="P16">
            <v>0</v>
          </cell>
        </row>
        <row r="17">
          <cell r="C17" t="str">
            <v>Labour &amp; Plant Overheads</v>
          </cell>
          <cell r="F17">
            <v>1</v>
          </cell>
          <cell r="H17">
            <v>0</v>
          </cell>
          <cell r="I17">
            <v>7.1642650000000003</v>
          </cell>
          <cell r="J17">
            <v>0</v>
          </cell>
          <cell r="K17">
            <v>7.1642650000000003</v>
          </cell>
          <cell r="L17">
            <v>7.5224782500000016</v>
          </cell>
          <cell r="M17">
            <v>0</v>
          </cell>
          <cell r="N17">
            <v>7.5224782500000016</v>
          </cell>
          <cell r="O17">
            <v>7.8986021625000022</v>
          </cell>
          <cell r="P17">
            <v>0</v>
          </cell>
        </row>
        <row r="18">
          <cell r="C18" t="str">
            <v>Factory Overheads</v>
          </cell>
          <cell r="F18">
            <v>1</v>
          </cell>
          <cell r="H18">
            <v>0</v>
          </cell>
          <cell r="I18">
            <v>0.72392528863051886</v>
          </cell>
          <cell r="J18">
            <v>0</v>
          </cell>
          <cell r="K18">
            <v>0.72392528863051886</v>
          </cell>
          <cell r="L18">
            <v>0.79182862275289867</v>
          </cell>
          <cell r="M18">
            <v>0</v>
          </cell>
          <cell r="N18">
            <v>0.79182862275289867</v>
          </cell>
          <cell r="O18">
            <v>0.86455387149536467</v>
          </cell>
          <cell r="P18">
            <v>0</v>
          </cell>
        </row>
        <row r="19">
          <cell r="C19" t="str">
            <v xml:space="preserve">Administrative Expenses </v>
          </cell>
          <cell r="F19">
            <v>1</v>
          </cell>
          <cell r="H19">
            <v>0</v>
          </cell>
          <cell r="I19">
            <v>1.5056084965475469</v>
          </cell>
          <cell r="J19">
            <v>0</v>
          </cell>
          <cell r="K19">
            <v>1.5056084965475469</v>
          </cell>
          <cell r="L19">
            <v>1.6077190606844338</v>
          </cell>
          <cell r="M19">
            <v>0</v>
          </cell>
          <cell r="N19">
            <v>1.6077190606844338</v>
          </cell>
          <cell r="O19">
            <v>1.7132582693213205</v>
          </cell>
          <cell r="P19">
            <v>0</v>
          </cell>
        </row>
        <row r="20">
          <cell r="C20" t="str">
            <v>Operating Expenses</v>
          </cell>
          <cell r="F20">
            <v>1</v>
          </cell>
          <cell r="G20">
            <v>1</v>
          </cell>
          <cell r="H20">
            <v>0</v>
          </cell>
          <cell r="I20">
            <v>14.219355405828063</v>
          </cell>
          <cell r="J20">
            <v>0</v>
          </cell>
          <cell r="K20">
            <v>14.219355405828063</v>
          </cell>
          <cell r="L20">
            <v>15.953971709249835</v>
          </cell>
          <cell r="M20">
            <v>0</v>
          </cell>
          <cell r="N20">
            <v>15.953971709249835</v>
          </cell>
          <cell r="O20">
            <v>17.714749234291688</v>
          </cell>
          <cell r="P20">
            <v>0</v>
          </cell>
        </row>
        <row r="21">
          <cell r="C21" t="str">
            <v>Packing Material</v>
          </cell>
          <cell r="F21">
            <v>0.5</v>
          </cell>
          <cell r="G21">
            <v>0.25</v>
          </cell>
          <cell r="H21">
            <v>0.75</v>
          </cell>
          <cell r="I21">
            <v>6.7075348273773469E-2</v>
          </cell>
          <cell r="J21">
            <v>5.0306511205330098E-2</v>
          </cell>
          <cell r="K21">
            <v>1.6768837068443371E-2</v>
          </cell>
          <cell r="L21">
            <v>8.384418534221684E-2</v>
          </cell>
          <cell r="M21">
            <v>6.2883139006662633E-2</v>
          </cell>
          <cell r="N21">
            <v>2.0961046335554206E-2</v>
          </cell>
          <cell r="O21">
            <v>0.10061302241066021</v>
          </cell>
          <cell r="P21">
            <v>7.5459766807995154E-2</v>
          </cell>
        </row>
        <row r="22">
          <cell r="C22" t="str">
            <v xml:space="preserve">Stock of work-in-process </v>
          </cell>
          <cell r="F22">
            <v>0.5</v>
          </cell>
          <cell r="G22">
            <v>0.25</v>
          </cell>
          <cell r="H22">
            <v>0.75</v>
          </cell>
          <cell r="I22">
            <v>6.8526185814402583</v>
          </cell>
          <cell r="J22">
            <v>5.1394639360801939</v>
          </cell>
          <cell r="K22">
            <v>1.7131546453600643</v>
          </cell>
          <cell r="L22">
            <v>7.7928077327826983</v>
          </cell>
          <cell r="M22">
            <v>5.8446057995870238</v>
          </cell>
          <cell r="N22">
            <v>1.9482019331956746</v>
          </cell>
          <cell r="O22">
            <v>8.7443631726851834</v>
          </cell>
          <cell r="P22">
            <v>6.5582723795138875</v>
          </cell>
        </row>
        <row r="23">
          <cell r="C23" t="str">
            <v xml:space="preserve">Stock of Finished Goods  </v>
          </cell>
          <cell r="F23">
            <v>1</v>
          </cell>
          <cell r="G23">
            <v>0.25</v>
          </cell>
          <cell r="H23">
            <v>0.75</v>
          </cell>
          <cell r="I23">
            <v>13.705237162880517</v>
          </cell>
          <cell r="J23">
            <v>10.278927872160388</v>
          </cell>
          <cell r="K23">
            <v>3.4263092907201287</v>
          </cell>
          <cell r="L23">
            <v>15.585615465565397</v>
          </cell>
          <cell r="M23">
            <v>11.689211599174048</v>
          </cell>
          <cell r="N23">
            <v>3.8964038663913492</v>
          </cell>
          <cell r="O23">
            <v>17.488726345370367</v>
          </cell>
          <cell r="P23">
            <v>13.116544759027775</v>
          </cell>
        </row>
        <row r="24">
          <cell r="C24" t="str">
            <v>Receivables</v>
          </cell>
          <cell r="F24">
            <v>0.5</v>
          </cell>
          <cell r="G24">
            <v>0.25</v>
          </cell>
          <cell r="H24">
            <v>0.75</v>
          </cell>
          <cell r="I24">
            <v>6.707534827377347</v>
          </cell>
          <cell r="J24">
            <v>5.03065112053301</v>
          </cell>
          <cell r="K24">
            <v>1.676883706844337</v>
          </cell>
          <cell r="L24">
            <v>8.3844185342216839</v>
          </cell>
          <cell r="M24">
            <v>6.2883139006662629</v>
          </cell>
          <cell r="N24">
            <v>2.096104633555421</v>
          </cell>
          <cell r="O24">
            <v>10.061302241066022</v>
          </cell>
          <cell r="P24">
            <v>7.5459766807995159</v>
          </cell>
        </row>
        <row r="27">
          <cell r="C27" t="str">
            <v>Gross Working Capital</v>
          </cell>
          <cell r="I27">
            <v>43.534801832999953</v>
          </cell>
          <cell r="J27">
            <v>21.986584820378923</v>
          </cell>
          <cell r="K27">
            <v>21.548217012621038</v>
          </cell>
          <cell r="L27">
            <v>50.279383261161826</v>
          </cell>
          <cell r="M27">
            <v>25.744058663933998</v>
          </cell>
          <cell r="N27">
            <v>24.535324597227831</v>
          </cell>
          <cell r="O27">
            <v>57.08422477662392</v>
          </cell>
          <cell r="P27">
            <v>29.527106656749172</v>
          </cell>
        </row>
        <row r="28">
          <cell r="C28" t="str">
            <v xml:space="preserve">Increase in Working Capital </v>
          </cell>
          <cell r="I28">
            <v>43.534801832999953</v>
          </cell>
          <cell r="K28" t="str">
            <v/>
          </cell>
          <cell r="L28">
            <v>6.7445814281618723</v>
          </cell>
          <cell r="O28">
            <v>6.804841515462094</v>
          </cell>
        </row>
        <row r="29">
          <cell r="C29" t="str">
            <v xml:space="preserve">Increase in Bank Borrowings/sundry creditors </v>
          </cell>
          <cell r="J29">
            <v>21.986584820378923</v>
          </cell>
          <cell r="M29">
            <v>3.7574738435550756</v>
          </cell>
          <cell r="P29">
            <v>3.7830479928151739</v>
          </cell>
        </row>
        <row r="30">
          <cell r="C30" t="str">
            <v>Sundry creditors build up</v>
          </cell>
          <cell r="J30">
            <v>0</v>
          </cell>
          <cell r="M30">
            <v>0</v>
          </cell>
          <cell r="P30">
            <v>0</v>
          </cell>
        </row>
        <row r="31">
          <cell r="C31" t="str">
            <v>Increase in Bank Borrowings (2-3)</v>
          </cell>
          <cell r="J31">
            <v>21.986584820378923</v>
          </cell>
          <cell r="M31">
            <v>3.7574738435550756</v>
          </cell>
          <cell r="P31">
            <v>3.7830479928151739</v>
          </cell>
        </row>
        <row r="32">
          <cell r="C32" t="str">
            <v xml:space="preserve">Increase in Margin Money </v>
          </cell>
          <cell r="K32">
            <v>21.548217012621038</v>
          </cell>
          <cell r="N32">
            <v>2.9871075846067932</v>
          </cell>
        </row>
        <row r="33">
          <cell r="C33" t="str">
            <v xml:space="preserve">Interest on Bank Borrowings @ </v>
          </cell>
          <cell r="G33">
            <v>0.14499999999999999</v>
          </cell>
          <cell r="I33">
            <v>3.1880547989549437</v>
          </cell>
          <cell r="L33">
            <v>3.7328885062704296</v>
          </cell>
          <cell r="O33">
            <v>4.2814304652286292</v>
          </cell>
        </row>
      </sheetData>
      <sheetData sheetId="12" refreshError="1">
        <row r="4">
          <cell r="B4" t="str">
            <v>MEANS OF FINANCE</v>
          </cell>
        </row>
        <row r="6">
          <cell r="B6" t="str">
            <v>PARTICULARS</v>
          </cell>
          <cell r="C6" t="str">
            <v>RUPEE COST</v>
          </cell>
          <cell r="D6" t="str">
            <v>RUPEE EQUIV.</v>
          </cell>
        </row>
        <row r="7">
          <cell r="D7" t="str">
            <v>OF FOREIGN</v>
          </cell>
        </row>
        <row r="8">
          <cell r="D8" t="str">
            <v>EXCHANGE</v>
          </cell>
        </row>
        <row r="11">
          <cell r="B11" t="str">
            <v>SHARE CAPITAL</v>
          </cell>
        </row>
        <row r="12">
          <cell r="B12" t="str">
            <v xml:space="preserve">   PROMOTERS</v>
          </cell>
          <cell r="C12">
            <v>603.53525667614542</v>
          </cell>
        </row>
        <row r="13">
          <cell r="B13" t="str">
            <v xml:space="preserve">   INTERNAL ACCRUALS</v>
          </cell>
          <cell r="C13">
            <v>9</v>
          </cell>
        </row>
        <row r="15">
          <cell r="B15" t="str">
            <v>TERM LOANS</v>
          </cell>
        </row>
        <row r="16">
          <cell r="B16" t="str">
            <v xml:space="preserve">   FOREIGN CURRENCY LOAN</v>
          </cell>
          <cell r="D16">
            <v>7.0400000000000008E-8</v>
          </cell>
        </row>
        <row r="17">
          <cell r="B17" t="str">
            <v xml:space="preserve">   RUPEE TERM LOAN</v>
          </cell>
          <cell r="C17">
            <v>819.46474332385458</v>
          </cell>
        </row>
        <row r="19">
          <cell r="B19" t="str">
            <v>TOTAL</v>
          </cell>
          <cell r="C19">
            <v>1432</v>
          </cell>
          <cell r="D19">
            <v>7.0400000000000008E-8</v>
          </cell>
        </row>
        <row r="21">
          <cell r="D21" t="str">
            <v>Debt</v>
          </cell>
        </row>
        <row r="22">
          <cell r="B22" t="str">
            <v>Debt to Equity considered for the Project</v>
          </cell>
          <cell r="D22">
            <v>1.3385499999999999</v>
          </cell>
        </row>
        <row r="27">
          <cell r="B27" t="str">
            <v>Description</v>
          </cell>
          <cell r="C27" t="str">
            <v xml:space="preserve">        Rs.  Lacs.</v>
          </cell>
        </row>
        <row r="29">
          <cell r="B29" t="str">
            <v>Total Project Cost</v>
          </cell>
          <cell r="C29">
            <v>1625</v>
          </cell>
        </row>
        <row r="31">
          <cell r="B31" t="str">
            <v>Debt : Equity Ratio</v>
          </cell>
        </row>
        <row r="32">
          <cell r="B32" t="str">
            <v>Debt</v>
          </cell>
          <cell r="C32">
            <v>930.12497060144108</v>
          </cell>
        </row>
        <row r="33">
          <cell r="B33" t="str">
            <v>Equity</v>
          </cell>
          <cell r="C33">
            <v>694.87502939855892</v>
          </cell>
        </row>
        <row r="35">
          <cell r="B35" t="str">
            <v xml:space="preserve">Promoters Shares </v>
          </cell>
        </row>
        <row r="37">
          <cell r="B37" t="str">
            <v xml:space="preserve"> Promoters </v>
          </cell>
          <cell r="C37">
            <v>694.87502939855892</v>
          </cell>
        </row>
      </sheetData>
      <sheetData sheetId="13" refreshError="1">
        <row r="3">
          <cell r="B3" t="str">
            <v>COST OF PRODUCTION AND PROFITABILITY ESTIMATES</v>
          </cell>
        </row>
        <row r="4">
          <cell r="B4" t="str">
            <v>YEAR ENDED MARCH 31,</v>
          </cell>
          <cell r="E4" t="str">
            <v>(Rs. in lakh)</v>
          </cell>
        </row>
        <row r="5">
          <cell r="E5">
            <v>2001</v>
          </cell>
          <cell r="F5">
            <v>2002</v>
          </cell>
          <cell r="G5">
            <v>2003</v>
          </cell>
          <cell r="H5">
            <v>2004</v>
          </cell>
          <cell r="I5">
            <v>2005</v>
          </cell>
          <cell r="J5">
            <v>2006</v>
          </cell>
          <cell r="K5">
            <v>2007</v>
          </cell>
          <cell r="L5">
            <v>2008</v>
          </cell>
          <cell r="M5">
            <v>2009</v>
          </cell>
          <cell r="N5">
            <v>2010</v>
          </cell>
        </row>
        <row r="6">
          <cell r="B6" t="str">
            <v xml:space="preserve">1. Raw Materials </v>
          </cell>
        </row>
        <row r="7">
          <cell r="B7" t="str">
            <v>-Dyed Cotton Yarn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-Sizing Material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-Packing Material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 t="str">
            <v xml:space="preserve">    Sub Total 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2. Consumables </v>
          </cell>
        </row>
        <row r="12">
          <cell r="B12" t="str">
            <v>-Indigenous</v>
          </cell>
          <cell r="E12">
            <v>11.897883043199998</v>
          </cell>
          <cell r="F12">
            <v>14.872353803999999</v>
          </cell>
          <cell r="G12">
            <v>17.846824564799999</v>
          </cell>
          <cell r="H12">
            <v>17.846824564799999</v>
          </cell>
          <cell r="I12">
            <v>17.846824564799999</v>
          </cell>
          <cell r="J12">
            <v>17.846824564799999</v>
          </cell>
          <cell r="K12">
            <v>17.846824564799999</v>
          </cell>
          <cell r="L12">
            <v>17.846824564799999</v>
          </cell>
          <cell r="M12">
            <v>17.846824564799999</v>
          </cell>
          <cell r="N12">
            <v>17.846824564799999</v>
          </cell>
        </row>
        <row r="13">
          <cell r="B13" t="str">
            <v xml:space="preserve">   Sub Total 2</v>
          </cell>
          <cell r="E13">
            <v>11.897883043199998</v>
          </cell>
          <cell r="F13">
            <v>14.872353803999999</v>
          </cell>
          <cell r="G13">
            <v>17.846824564799999</v>
          </cell>
          <cell r="H13">
            <v>17.846824564799999</v>
          </cell>
          <cell r="I13">
            <v>17.846824564799999</v>
          </cell>
          <cell r="J13">
            <v>17.846824564799999</v>
          </cell>
          <cell r="K13">
            <v>17.846824564799999</v>
          </cell>
          <cell r="L13">
            <v>17.846824564799999</v>
          </cell>
          <cell r="M13">
            <v>17.846824564799999</v>
          </cell>
          <cell r="N13">
            <v>17.846824564799999</v>
          </cell>
        </row>
        <row r="14">
          <cell r="B14" t="str">
            <v>3. Utilities</v>
          </cell>
        </row>
        <row r="15">
          <cell r="B15" t="str">
            <v>-Power</v>
          </cell>
          <cell r="E15">
            <v>57.906679447799988</v>
          </cell>
          <cell r="F15">
            <v>72.383349309749988</v>
          </cell>
          <cell r="G15">
            <v>86.860019171699989</v>
          </cell>
          <cell r="H15">
            <v>86.860019171699989</v>
          </cell>
          <cell r="I15">
            <v>86.860019171699989</v>
          </cell>
          <cell r="J15">
            <v>86.860019171699989</v>
          </cell>
          <cell r="K15">
            <v>86.860019171699989</v>
          </cell>
          <cell r="L15">
            <v>86.860019171699989</v>
          </cell>
          <cell r="M15">
            <v>86.860019171699989</v>
          </cell>
          <cell r="N15">
            <v>86.860019171699989</v>
          </cell>
        </row>
        <row r="16">
          <cell r="B16" t="str">
            <v>-Steam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 xml:space="preserve">   Sub Total 3</v>
          </cell>
          <cell r="E17">
            <v>57.906679447799988</v>
          </cell>
          <cell r="F17">
            <v>72.383349309749988</v>
          </cell>
          <cell r="G17">
            <v>86.860019171699989</v>
          </cell>
          <cell r="H17">
            <v>86.860019171699989</v>
          </cell>
          <cell r="I17">
            <v>86.860019171699989</v>
          </cell>
          <cell r="J17">
            <v>86.860019171699989</v>
          </cell>
          <cell r="K17">
            <v>86.860019171699989</v>
          </cell>
          <cell r="L17">
            <v>86.860019171699989</v>
          </cell>
          <cell r="M17">
            <v>86.860019171699989</v>
          </cell>
          <cell r="N17">
            <v>86.860019171699989</v>
          </cell>
        </row>
        <row r="18">
          <cell r="B18" t="str">
            <v>4. Labour &amp; Plant Overhheads</v>
          </cell>
        </row>
        <row r="19">
          <cell r="B19" t="str">
            <v xml:space="preserve">-Factory Workers </v>
          </cell>
          <cell r="E19">
            <v>53.370108000000009</v>
          </cell>
          <cell r="F19">
            <v>56.03861340000001</v>
          </cell>
          <cell r="G19">
            <v>58.840544070000014</v>
          </cell>
          <cell r="H19">
            <v>58.840544070000014</v>
          </cell>
          <cell r="I19">
            <v>58.840544070000014</v>
          </cell>
          <cell r="J19">
            <v>58.840544070000014</v>
          </cell>
          <cell r="K19">
            <v>58.840544070000014</v>
          </cell>
          <cell r="L19">
            <v>58.840544070000014</v>
          </cell>
          <cell r="M19">
            <v>58.840544070000014</v>
          </cell>
          <cell r="N19">
            <v>58.840544070000014</v>
          </cell>
        </row>
        <row r="20">
          <cell r="B20" t="str">
            <v>-Factory Staff</v>
          </cell>
          <cell r="E20">
            <v>32.601072000000002</v>
          </cell>
          <cell r="F20">
            <v>34.231125600000006</v>
          </cell>
          <cell r="G20">
            <v>35.942681880000009</v>
          </cell>
          <cell r="H20">
            <v>35.942681880000009</v>
          </cell>
          <cell r="I20">
            <v>35.942681880000009</v>
          </cell>
          <cell r="J20">
            <v>35.942681880000009</v>
          </cell>
          <cell r="K20">
            <v>35.942681880000009</v>
          </cell>
          <cell r="L20">
            <v>35.942681880000009</v>
          </cell>
          <cell r="M20">
            <v>35.942681880000009</v>
          </cell>
          <cell r="N20">
            <v>35.942681880000009</v>
          </cell>
        </row>
        <row r="21">
          <cell r="B21" t="str">
            <v xml:space="preserve">   Sub Total 4</v>
          </cell>
          <cell r="E21">
            <v>85.971180000000004</v>
          </cell>
          <cell r="F21">
            <v>90.269739000000015</v>
          </cell>
          <cell r="G21">
            <v>94.78322595000003</v>
          </cell>
          <cell r="H21">
            <v>94.78322595000003</v>
          </cell>
          <cell r="I21">
            <v>94.78322595000003</v>
          </cell>
          <cell r="J21">
            <v>94.78322595000003</v>
          </cell>
          <cell r="K21">
            <v>94.78322595000003</v>
          </cell>
          <cell r="L21">
            <v>94.78322595000003</v>
          </cell>
          <cell r="M21">
            <v>94.78322595000003</v>
          </cell>
          <cell r="N21">
            <v>94.78322595000003</v>
          </cell>
        </row>
        <row r="22">
          <cell r="B22" t="str">
            <v xml:space="preserve">5. Factory Overheads </v>
          </cell>
        </row>
        <row r="23">
          <cell r="B23" t="str">
            <v xml:space="preserve">-Repair &amp; Maintenance                 </v>
          </cell>
          <cell r="E23">
            <v>5.0340033520920011</v>
          </cell>
          <cell r="F23">
            <v>5.537403687301202</v>
          </cell>
          <cell r="G23">
            <v>6.0911440560313226</v>
          </cell>
          <cell r="H23">
            <v>6.7002584616344558</v>
          </cell>
          <cell r="I23">
            <v>7.3702843077979017</v>
          </cell>
          <cell r="J23">
            <v>8.1073127385776917</v>
          </cell>
          <cell r="K23">
            <v>8.9180440124354625</v>
          </cell>
          <cell r="L23">
            <v>9.8098484136790098</v>
          </cell>
          <cell r="M23">
            <v>10.790833255046911</v>
          </cell>
          <cell r="N23">
            <v>11.869916580551603</v>
          </cell>
        </row>
        <row r="24">
          <cell r="B24" t="str">
            <v xml:space="preserve">-Rent &amp; Taxes on Factory Assets  </v>
          </cell>
          <cell r="E24">
            <v>0.24147125378558448</v>
          </cell>
          <cell r="F24">
            <v>0.30183906723198062</v>
          </cell>
          <cell r="G24">
            <v>0.36220688067837675</v>
          </cell>
          <cell r="H24">
            <v>0.36220688067837675</v>
          </cell>
          <cell r="I24">
            <v>0.36220688067837675</v>
          </cell>
          <cell r="J24">
            <v>0.36220688067837675</v>
          </cell>
          <cell r="K24">
            <v>0.36220688067837675</v>
          </cell>
          <cell r="L24">
            <v>0.36220688067837675</v>
          </cell>
          <cell r="M24">
            <v>0.36220688067837675</v>
          </cell>
          <cell r="N24">
            <v>0.36220688067837675</v>
          </cell>
        </row>
        <row r="25">
          <cell r="B25" t="str">
            <v xml:space="preserve">-Insurance on Factory Assets        </v>
          </cell>
          <cell r="E25">
            <v>3.0091767680460002</v>
          </cell>
          <cell r="F25">
            <v>3.1596356064483002</v>
          </cell>
          <cell r="G25">
            <v>3.3176173867707153</v>
          </cell>
          <cell r="H25">
            <v>3.4834982561092511</v>
          </cell>
          <cell r="I25">
            <v>3.6576731689147137</v>
          </cell>
          <cell r="J25">
            <v>3.8405568273604498</v>
          </cell>
          <cell r="K25">
            <v>4.0325846687284725</v>
          </cell>
          <cell r="L25">
            <v>4.2342139021648961</v>
          </cell>
          <cell r="M25">
            <v>4.4459245972731409</v>
          </cell>
          <cell r="N25">
            <v>4.668220827136798</v>
          </cell>
        </row>
        <row r="26">
          <cell r="B26" t="str">
            <v xml:space="preserve">-Misc. Factory Expenses             </v>
          </cell>
          <cell r="E26">
            <v>0.40245208964264079</v>
          </cell>
          <cell r="F26">
            <v>0.50306511205330107</v>
          </cell>
          <cell r="G26">
            <v>0.60367813446396124</v>
          </cell>
          <cell r="H26">
            <v>0.60367813446396124</v>
          </cell>
          <cell r="I26">
            <v>0.60367813446396124</v>
          </cell>
          <cell r="J26">
            <v>0.60367813446396124</v>
          </cell>
          <cell r="K26">
            <v>0.60367813446396124</v>
          </cell>
          <cell r="L26">
            <v>0.60367813446396124</v>
          </cell>
          <cell r="M26">
            <v>0.60367813446396124</v>
          </cell>
          <cell r="N26">
            <v>0.60367813446396124</v>
          </cell>
        </row>
        <row r="27">
          <cell r="B27" t="str">
            <v xml:space="preserve">   Sub Total 5</v>
          </cell>
          <cell r="E27">
            <v>8.6871034635662259</v>
          </cell>
          <cell r="F27">
            <v>9.5019434730347836</v>
          </cell>
          <cell r="G27">
            <v>10.374646457944376</v>
          </cell>
          <cell r="H27">
            <v>11.149641732886046</v>
          </cell>
          <cell r="I27">
            <v>11.993842491854952</v>
          </cell>
          <cell r="J27">
            <v>12.913754581080479</v>
          </cell>
          <cell r="K27">
            <v>13.916513696306275</v>
          </cell>
          <cell r="L27">
            <v>15.009947330986243</v>
          </cell>
          <cell r="M27">
            <v>16.202642867462391</v>
          </cell>
          <cell r="N27">
            <v>17.50402242283074</v>
          </cell>
        </row>
        <row r="28">
          <cell r="B28" t="str">
            <v>6. Total 1+2+3+4+5</v>
          </cell>
          <cell r="E28">
            <v>164.46284595456621</v>
          </cell>
          <cell r="F28">
            <v>187.02738558678476</v>
          </cell>
          <cell r="G28">
            <v>209.8647161444444</v>
          </cell>
          <cell r="H28">
            <v>210.63971141938606</v>
          </cell>
          <cell r="I28">
            <v>211.48391217835498</v>
          </cell>
          <cell r="J28">
            <v>212.40382426758049</v>
          </cell>
          <cell r="K28">
            <v>213.4065833828063</v>
          </cell>
          <cell r="L28">
            <v>214.50001701748627</v>
          </cell>
          <cell r="M28">
            <v>215.69271255396242</v>
          </cell>
          <cell r="N28">
            <v>216.99409210933075</v>
          </cell>
        </row>
        <row r="29">
          <cell r="B29" t="str">
            <v xml:space="preserve">   Total Cost of Production</v>
          </cell>
          <cell r="E29">
            <v>164.46284595456621</v>
          </cell>
          <cell r="F29">
            <v>187.02738558678476</v>
          </cell>
          <cell r="G29">
            <v>209.8647161444444</v>
          </cell>
          <cell r="H29">
            <v>210.63971141938606</v>
          </cell>
          <cell r="I29">
            <v>211.48391217835498</v>
          </cell>
          <cell r="J29">
            <v>212.40382426758049</v>
          </cell>
          <cell r="K29">
            <v>213.4065833828063</v>
          </cell>
          <cell r="L29">
            <v>214.50001701748627</v>
          </cell>
          <cell r="M29">
            <v>215.69271255396242</v>
          </cell>
          <cell r="N29">
            <v>216.99409210933075</v>
          </cell>
        </row>
      </sheetData>
      <sheetData sheetId="14" refreshError="1">
        <row r="7">
          <cell r="C7" t="str">
            <v>Description</v>
          </cell>
          <cell r="E7" t="str">
            <v>General</v>
          </cell>
          <cell r="F7" t="str">
            <v>I</v>
          </cell>
          <cell r="G7" t="str">
            <v>II</v>
          </cell>
          <cell r="H7" t="str">
            <v>III</v>
          </cell>
          <cell r="I7" t="str">
            <v>Total</v>
          </cell>
          <cell r="J7" t="str">
            <v>Skilled</v>
          </cell>
          <cell r="K7" t="str">
            <v>Semi-</v>
          </cell>
        </row>
        <row r="8">
          <cell r="E8" t="str">
            <v>Shift</v>
          </cell>
          <cell r="K8" t="str">
            <v>Skilled</v>
          </cell>
        </row>
        <row r="9">
          <cell r="C9" t="str">
            <v>Yarn/Fabric Godown</v>
          </cell>
          <cell r="E9">
            <v>2</v>
          </cell>
          <cell r="I9">
            <v>2</v>
          </cell>
          <cell r="J9">
            <v>2</v>
          </cell>
          <cell r="K9">
            <v>0</v>
          </cell>
        </row>
        <row r="10">
          <cell r="C10" t="str">
            <v>Warping/Sizing section</v>
          </cell>
          <cell r="E10">
            <v>1</v>
          </cell>
          <cell r="F10">
            <v>3</v>
          </cell>
          <cell r="G10">
            <v>3</v>
          </cell>
          <cell r="H10">
            <v>3</v>
          </cell>
          <cell r="I10">
            <v>10</v>
          </cell>
          <cell r="J10">
            <v>7</v>
          </cell>
          <cell r="K10">
            <v>3</v>
          </cell>
        </row>
        <row r="11">
          <cell r="C11" t="str">
            <v>Drawing In/Knotting section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3</v>
          </cell>
          <cell r="J11">
            <v>3</v>
          </cell>
        </row>
        <row r="12">
          <cell r="C12" t="str">
            <v>Weaving Section</v>
          </cell>
          <cell r="E12">
            <v>1</v>
          </cell>
          <cell r="F12">
            <v>4</v>
          </cell>
          <cell r="G12">
            <v>4</v>
          </cell>
          <cell r="H12">
            <v>4</v>
          </cell>
          <cell r="I12">
            <v>13</v>
          </cell>
          <cell r="J12">
            <v>10</v>
          </cell>
          <cell r="K12">
            <v>3</v>
          </cell>
        </row>
        <row r="13">
          <cell r="C13" t="str">
            <v>Inspection/Folding/Packing</v>
          </cell>
          <cell r="E13">
            <v>4</v>
          </cell>
          <cell r="F13">
            <v>1</v>
          </cell>
          <cell r="G13">
            <v>1</v>
          </cell>
          <cell r="H13">
            <v>1</v>
          </cell>
          <cell r="I13">
            <v>7</v>
          </cell>
          <cell r="J13">
            <v>5</v>
          </cell>
          <cell r="K13">
            <v>2</v>
          </cell>
        </row>
        <row r="14">
          <cell r="C14" t="str">
            <v>Training by rotation gang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8</v>
          </cell>
          <cell r="J14">
            <v>8</v>
          </cell>
        </row>
        <row r="15">
          <cell r="C15" t="str">
            <v>Material Handling</v>
          </cell>
          <cell r="E15">
            <v>2</v>
          </cell>
          <cell r="F15">
            <v>1</v>
          </cell>
          <cell r="G15">
            <v>1</v>
          </cell>
          <cell r="H15">
            <v>1</v>
          </cell>
          <cell r="I15">
            <v>5</v>
          </cell>
          <cell r="K15">
            <v>5</v>
          </cell>
        </row>
        <row r="16">
          <cell r="C16" t="str">
            <v>Maintenance</v>
          </cell>
          <cell r="E16">
            <v>4</v>
          </cell>
          <cell r="F16">
            <v>1</v>
          </cell>
          <cell r="G16">
            <v>1</v>
          </cell>
          <cell r="H16">
            <v>1</v>
          </cell>
          <cell r="I16">
            <v>7</v>
          </cell>
          <cell r="J16">
            <v>7</v>
          </cell>
        </row>
        <row r="17">
          <cell r="C17" t="str">
            <v>Service Dept. (Engg.)</v>
          </cell>
          <cell r="E17">
            <v>4</v>
          </cell>
          <cell r="F17">
            <v>1</v>
          </cell>
          <cell r="G17">
            <v>1</v>
          </cell>
          <cell r="H17">
            <v>1</v>
          </cell>
          <cell r="I17">
            <v>7</v>
          </cell>
          <cell r="J17">
            <v>4</v>
          </cell>
          <cell r="K17">
            <v>3</v>
          </cell>
        </row>
        <row r="18">
          <cell r="C18" t="str">
            <v>R &amp; D/Sampling Dept.</v>
          </cell>
          <cell r="E18">
            <v>8</v>
          </cell>
          <cell r="F18">
            <v>1</v>
          </cell>
          <cell r="G18">
            <v>1</v>
          </cell>
          <cell r="H18">
            <v>1</v>
          </cell>
          <cell r="I18">
            <v>11</v>
          </cell>
          <cell r="J18">
            <v>7</v>
          </cell>
          <cell r="K18">
            <v>4</v>
          </cell>
        </row>
        <row r="19">
          <cell r="C19" t="str">
            <v>Driver</v>
          </cell>
          <cell r="E19">
            <v>1</v>
          </cell>
          <cell r="G19">
            <v>1</v>
          </cell>
          <cell r="H19">
            <v>1</v>
          </cell>
          <cell r="I19">
            <v>3</v>
          </cell>
          <cell r="K19">
            <v>3</v>
          </cell>
        </row>
        <row r="20">
          <cell r="C20" t="str">
            <v>Watch &amp; Ward</v>
          </cell>
          <cell r="E20">
            <v>2</v>
          </cell>
          <cell r="F20">
            <v>2</v>
          </cell>
          <cell r="G20">
            <v>2</v>
          </cell>
          <cell r="H20">
            <v>2</v>
          </cell>
          <cell r="I20">
            <v>8</v>
          </cell>
          <cell r="K20">
            <v>8</v>
          </cell>
        </row>
        <row r="21">
          <cell r="C21" t="str">
            <v>Sub-total of factory workers</v>
          </cell>
          <cell r="E21">
            <v>32</v>
          </cell>
          <cell r="F21">
            <v>17</v>
          </cell>
          <cell r="G21">
            <v>18</v>
          </cell>
          <cell r="H21">
            <v>17</v>
          </cell>
          <cell r="I21">
            <v>84</v>
          </cell>
          <cell r="J21">
            <v>53</v>
          </cell>
          <cell r="K21">
            <v>31</v>
          </cell>
        </row>
        <row r="22">
          <cell r="E22">
            <v>12</v>
          </cell>
          <cell r="F22" t="str">
            <v/>
          </cell>
          <cell r="I22">
            <v>12</v>
          </cell>
          <cell r="J22">
            <v>8</v>
          </cell>
          <cell r="K22">
            <v>4</v>
          </cell>
        </row>
        <row r="23">
          <cell r="C23" t="str">
            <v>Total number of factory workers</v>
          </cell>
          <cell r="E23">
            <v>44</v>
          </cell>
          <cell r="F23">
            <v>17</v>
          </cell>
          <cell r="G23">
            <v>18</v>
          </cell>
          <cell r="H23">
            <v>17</v>
          </cell>
          <cell r="I23">
            <v>96</v>
          </cell>
          <cell r="J23">
            <v>61</v>
          </cell>
          <cell r="K23">
            <v>35</v>
          </cell>
        </row>
        <row r="24">
          <cell r="J24">
            <v>4250</v>
          </cell>
          <cell r="K24">
            <v>2000</v>
          </cell>
        </row>
        <row r="25">
          <cell r="J25">
            <v>259250</v>
          </cell>
          <cell r="K25">
            <v>70000</v>
          </cell>
        </row>
        <row r="26">
          <cell r="J26">
            <v>90944.9</v>
          </cell>
          <cell r="K26">
            <v>24556</v>
          </cell>
        </row>
        <row r="27">
          <cell r="J27">
            <v>350194.9</v>
          </cell>
          <cell r="K27">
            <v>94556</v>
          </cell>
        </row>
        <row r="28">
          <cell r="J28" t="str">
            <v/>
          </cell>
          <cell r="K28">
            <v>5337010.8000000007</v>
          </cell>
        </row>
        <row r="31">
          <cell r="C31" t="str">
            <v>Description</v>
          </cell>
          <cell r="E31" t="str">
            <v>General</v>
          </cell>
          <cell r="F31" t="str">
            <v>I</v>
          </cell>
          <cell r="G31" t="str">
            <v>II</v>
          </cell>
          <cell r="H31" t="str">
            <v>III</v>
          </cell>
          <cell r="I31" t="str">
            <v>Total</v>
          </cell>
          <cell r="J31" t="str">
            <v>Salary (Rs.)</v>
          </cell>
        </row>
        <row r="32">
          <cell r="E32" t="str">
            <v>Shift</v>
          </cell>
          <cell r="J32" t="str">
            <v>Per</v>
          </cell>
          <cell r="K32" t="str">
            <v>Per</v>
          </cell>
        </row>
        <row r="33">
          <cell r="J33" t="str">
            <v>Month</v>
          </cell>
          <cell r="K33" t="str">
            <v>Annum</v>
          </cell>
        </row>
        <row r="34">
          <cell r="C34" t="str">
            <v xml:space="preserve">Manager  (Operations) </v>
          </cell>
          <cell r="E34">
            <v>1</v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>
            <v>30000</v>
          </cell>
          <cell r="K34">
            <v>360000</v>
          </cell>
        </row>
        <row r="35">
          <cell r="C35" t="str">
            <v>Executive Sampling</v>
          </cell>
          <cell r="E35">
            <v>1</v>
          </cell>
          <cell r="I35">
            <v>1</v>
          </cell>
          <cell r="J35">
            <v>10000</v>
          </cell>
          <cell r="K35">
            <v>120000</v>
          </cell>
        </row>
        <row r="36">
          <cell r="C36" t="str">
            <v>(Product Deve./Maintainence)</v>
          </cell>
        </row>
        <row r="37">
          <cell r="C37" t="str">
            <v>Executive</v>
          </cell>
          <cell r="E37">
            <v>1</v>
          </cell>
          <cell r="I37">
            <v>1</v>
          </cell>
          <cell r="J37">
            <v>10000</v>
          </cell>
          <cell r="K37">
            <v>120000</v>
          </cell>
        </row>
        <row r="38">
          <cell r="C38" t="str">
            <v>Maintainence)</v>
          </cell>
        </row>
        <row r="39">
          <cell r="C39" t="str">
            <v>Quality Control Officer</v>
          </cell>
          <cell r="E39">
            <v>1</v>
          </cell>
          <cell r="I39">
            <v>1</v>
          </cell>
          <cell r="J39">
            <v>8000</v>
          </cell>
          <cell r="K39">
            <v>96000</v>
          </cell>
        </row>
        <row r="40">
          <cell r="C40" t="str">
            <v>Officers(Preparatory/Wvg/Engg)</v>
          </cell>
          <cell r="E40">
            <v>3</v>
          </cell>
          <cell r="I40">
            <v>3</v>
          </cell>
          <cell r="J40">
            <v>8000</v>
          </cell>
          <cell r="K40">
            <v>288000</v>
          </cell>
        </row>
        <row r="41">
          <cell r="C41" t="str">
            <v>Supervisors</v>
          </cell>
          <cell r="E41">
            <v>4</v>
          </cell>
          <cell r="F41">
            <v>1</v>
          </cell>
          <cell r="G41">
            <v>1</v>
          </cell>
          <cell r="H41">
            <v>1</v>
          </cell>
          <cell r="I41">
            <v>7</v>
          </cell>
          <cell r="J41">
            <v>6000</v>
          </cell>
          <cell r="K41">
            <v>504000</v>
          </cell>
        </row>
        <row r="42">
          <cell r="C42" t="str">
            <v>(Production/Egineering/Maintenance)</v>
          </cell>
        </row>
        <row r="43">
          <cell r="C43" t="str">
            <v>Labour  Welfare Officer</v>
          </cell>
          <cell r="E43">
            <v>1</v>
          </cell>
          <cell r="I43">
            <v>1</v>
          </cell>
          <cell r="J43">
            <v>5000</v>
          </cell>
          <cell r="K43">
            <v>60000</v>
          </cell>
        </row>
        <row r="44">
          <cell r="C44" t="str">
            <v>Security Inspector</v>
          </cell>
          <cell r="E44">
            <v>1</v>
          </cell>
          <cell r="I44">
            <v>1</v>
          </cell>
          <cell r="J44">
            <v>4000</v>
          </cell>
          <cell r="K44">
            <v>48000</v>
          </cell>
        </row>
        <row r="45">
          <cell r="C45" t="str">
            <v>Supporting Staff</v>
          </cell>
          <cell r="E45">
            <v>8</v>
          </cell>
          <cell r="F45">
            <v>1</v>
          </cell>
          <cell r="G45">
            <v>1</v>
          </cell>
          <cell r="H45">
            <v>1</v>
          </cell>
          <cell r="I45">
            <v>11</v>
          </cell>
          <cell r="J45">
            <v>3000</v>
          </cell>
          <cell r="K45">
            <v>396000</v>
          </cell>
        </row>
        <row r="46">
          <cell r="E46">
            <v>21</v>
          </cell>
          <cell r="F46">
            <v>2</v>
          </cell>
          <cell r="G46">
            <v>2</v>
          </cell>
          <cell r="H46">
            <v>2</v>
          </cell>
          <cell r="I46">
            <v>27</v>
          </cell>
          <cell r="K46">
            <v>1992000</v>
          </cell>
        </row>
        <row r="47">
          <cell r="K47">
            <v>1268107.2</v>
          </cell>
        </row>
        <row r="48">
          <cell r="H48" t="str">
            <v/>
          </cell>
          <cell r="K48">
            <v>3260107.2</v>
          </cell>
        </row>
        <row r="53">
          <cell r="C53" t="str">
            <v>Description</v>
          </cell>
          <cell r="E53" t="str">
            <v>Nos.</v>
          </cell>
          <cell r="F53" t="str">
            <v>Salary</v>
          </cell>
        </row>
        <row r="54">
          <cell r="F54" t="str">
            <v>Per</v>
          </cell>
        </row>
        <row r="55">
          <cell r="E55" t="str">
            <v/>
          </cell>
          <cell r="F55" t="str">
            <v>Month</v>
          </cell>
        </row>
        <row r="56">
          <cell r="C56" t="str">
            <v>Chief Executive Officer</v>
          </cell>
          <cell r="E56">
            <v>1</v>
          </cell>
          <cell r="F56">
            <v>35000</v>
          </cell>
        </row>
        <row r="57">
          <cell r="C57" t="str">
            <v>Marketing Manager</v>
          </cell>
          <cell r="E57">
            <v>1</v>
          </cell>
          <cell r="F57">
            <v>15000</v>
          </cell>
        </row>
        <row r="58">
          <cell r="C58" t="str">
            <v>Finance Manager</v>
          </cell>
          <cell r="E58">
            <v>1</v>
          </cell>
          <cell r="F58">
            <v>15000</v>
          </cell>
        </row>
        <row r="59">
          <cell r="C59" t="str">
            <v>Exec.  (Purchase, EDP, MKTG)</v>
          </cell>
          <cell r="E59">
            <v>3</v>
          </cell>
          <cell r="F59">
            <v>8000</v>
          </cell>
        </row>
        <row r="60">
          <cell r="C60" t="str">
            <v>Supporting Staff</v>
          </cell>
          <cell r="E60">
            <v>9</v>
          </cell>
          <cell r="F60">
            <v>3500</v>
          </cell>
        </row>
        <row r="61">
          <cell r="C61" t="str">
            <v>Drivers</v>
          </cell>
          <cell r="E61">
            <v>1</v>
          </cell>
          <cell r="F61">
            <v>2500</v>
          </cell>
        </row>
        <row r="62">
          <cell r="C62" t="str">
            <v>Peons</v>
          </cell>
          <cell r="E62">
            <v>2</v>
          </cell>
          <cell r="F62">
            <v>1800</v>
          </cell>
        </row>
        <row r="63">
          <cell r="C63" t="str">
            <v>Total</v>
          </cell>
          <cell r="E63">
            <v>18</v>
          </cell>
        </row>
        <row r="64">
          <cell r="C64" t="str">
            <v>Add Perks</v>
          </cell>
        </row>
        <row r="67">
          <cell r="C67" t="str">
            <v xml:space="preserve">Summary of Salaries and Wages </v>
          </cell>
          <cell r="G67" t="str">
            <v>Rs. Lacs</v>
          </cell>
        </row>
        <row r="69">
          <cell r="E69" t="str">
            <v>1st Year</v>
          </cell>
          <cell r="F69" t="str">
            <v>2nd Year</v>
          </cell>
          <cell r="G69" t="str">
            <v>3rd Year</v>
          </cell>
        </row>
        <row r="70">
          <cell r="C70" t="str">
            <v>Factory Worker</v>
          </cell>
          <cell r="E70">
            <v>53.370108000000009</v>
          </cell>
          <cell r="F70">
            <v>56.03861340000001</v>
          </cell>
          <cell r="G70">
            <v>58.840544070000014</v>
          </cell>
        </row>
        <row r="71">
          <cell r="C71" t="str">
            <v>Factory Supervision</v>
          </cell>
          <cell r="E71">
            <v>32.601072000000002</v>
          </cell>
          <cell r="F71">
            <v>34.231125600000006</v>
          </cell>
          <cell r="G71">
            <v>35.942681880000009</v>
          </cell>
        </row>
        <row r="72">
          <cell r="C72" t="str">
            <v>Administrative</v>
          </cell>
          <cell r="E72">
            <v>16.457493599999999</v>
          </cell>
          <cell r="F72">
            <v>17.280368280000001</v>
          </cell>
          <cell r="G72">
            <v>18.144386694000001</v>
          </cell>
        </row>
        <row r="73">
          <cell r="C73" t="str">
            <v>GRAND TOTAL</v>
          </cell>
          <cell r="E73">
            <v>102.4286736</v>
          </cell>
          <cell r="F73">
            <v>107.55010728000002</v>
          </cell>
          <cell r="G73">
            <v>112.92761264400004</v>
          </cell>
        </row>
      </sheetData>
      <sheetData sheetId="15" refreshError="1">
        <row r="21">
          <cell r="B21" t="str">
            <v>CALCULATION OF DEPRECIATION ( WRITTEN DOWN METHOD )</v>
          </cell>
        </row>
        <row r="23">
          <cell r="B23" t="str">
            <v>Particulars</v>
          </cell>
          <cell r="D23" t="str">
            <v>Dep.</v>
          </cell>
          <cell r="E23" t="str">
            <v>Cost</v>
          </cell>
          <cell r="F23" t="str">
            <v>D E P R E C I A T I O N</v>
          </cell>
        </row>
        <row r="24">
          <cell r="D24" t="str">
            <v>Rate</v>
          </cell>
          <cell r="F24" t="str">
            <v>Year</v>
          </cell>
        </row>
        <row r="25">
          <cell r="F25">
            <v>1</v>
          </cell>
          <cell r="G25">
            <v>2</v>
          </cell>
          <cell r="H25">
            <v>3</v>
          </cell>
          <cell r="I25">
            <v>4</v>
          </cell>
          <cell r="J25">
            <v>5</v>
          </cell>
          <cell r="K25">
            <v>6</v>
          </cell>
        </row>
        <row r="26">
          <cell r="B26" t="str">
            <v>Land</v>
          </cell>
          <cell r="D26">
            <v>0</v>
          </cell>
          <cell r="E26">
            <v>25.848800000000001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 xml:space="preserve">DETAILS OF CONSUMABLES &amp; SPARES </v>
          </cell>
        </row>
        <row r="4">
          <cell r="A4" t="str">
            <v>Capacity Utilisation</v>
          </cell>
          <cell r="D4">
            <v>0.6</v>
          </cell>
          <cell r="E4">
            <v>0.75</v>
          </cell>
        </row>
        <row r="7">
          <cell r="A7" t="str">
            <v>Description</v>
          </cell>
          <cell r="D7" t="str">
            <v>Rate in Rs.</v>
          </cell>
        </row>
        <row r="9">
          <cell r="A9" t="str">
            <v>A. Stores &amp; Spares / looms/Shift</v>
          </cell>
          <cell r="D9">
            <v>74.523036000000005</v>
          </cell>
        </row>
        <row r="10">
          <cell r="A10" t="str">
            <v xml:space="preserve">     Stores &amp; Spares / Preparatory/Shift</v>
          </cell>
          <cell r="D10">
            <v>50</v>
          </cell>
        </row>
        <row r="11">
          <cell r="A11" t="str">
            <v>Rs. in Lacs</v>
          </cell>
          <cell r="E11" t="str">
            <v/>
          </cell>
        </row>
        <row r="12">
          <cell r="A12" t="str">
            <v/>
          </cell>
          <cell r="B12" t="str">
            <v>1.4 DM per 100000 picks</v>
          </cell>
        </row>
      </sheetData>
      <sheetData sheetId="21" refreshError="1">
        <row r="3">
          <cell r="B3" t="str">
            <v>FORM - XVI</v>
          </cell>
        </row>
        <row r="5">
          <cell r="B5" t="str">
            <v>CALCULATION OF DEBT SERVICE COVERAGE RATIO</v>
          </cell>
        </row>
        <row r="8">
          <cell r="B8" t="str">
            <v>Description</v>
          </cell>
          <cell r="D8" t="str">
            <v>Year</v>
          </cell>
        </row>
        <row r="9">
          <cell r="D9">
            <v>1</v>
          </cell>
          <cell r="E9">
            <v>2</v>
          </cell>
          <cell r="F9">
            <v>3</v>
          </cell>
          <cell r="G9">
            <v>4</v>
          </cell>
          <cell r="H9">
            <v>5</v>
          </cell>
          <cell r="I9">
            <v>6</v>
          </cell>
          <cell r="J9">
            <v>7</v>
          </cell>
        </row>
        <row r="11">
          <cell r="B11" t="str">
            <v xml:space="preserve">A)  Numerator </v>
          </cell>
        </row>
        <row r="13">
          <cell r="B13" t="str">
            <v xml:space="preserve">    -Cash Profit </v>
          </cell>
          <cell r="D13">
            <v>-141.8771434645669</v>
          </cell>
          <cell r="E13">
            <v>-125.37525999318359</v>
          </cell>
          <cell r="F13">
            <v>-94.850386423766267</v>
          </cell>
          <cell r="G13">
            <v>-76.504537686550819</v>
          </cell>
          <cell r="H13">
            <v>-58.227894433362607</v>
          </cell>
          <cell r="I13">
            <v>-40.026962510430977</v>
          </cell>
          <cell r="J13">
            <v>-21.908877613578859</v>
          </cell>
        </row>
        <row r="14">
          <cell r="B14" t="str">
            <v xml:space="preserve">    -Interest on Term Loan(F/C)</v>
          </cell>
          <cell r="D14">
            <v>6.3360000000000005E-9</v>
          </cell>
          <cell r="E14">
            <v>6.2568000000000001E-9</v>
          </cell>
          <cell r="F14">
            <v>5.227200000000002E-9</v>
          </cell>
          <cell r="G14">
            <v>3.9600000000000012E-9</v>
          </cell>
          <cell r="H14">
            <v>2.6928000000000013E-9</v>
          </cell>
          <cell r="I14">
            <v>1.425600000000001E-9</v>
          </cell>
          <cell r="J14">
            <v>2.3760000000000081E-10</v>
          </cell>
        </row>
        <row r="15">
          <cell r="B15" t="str">
            <v xml:space="preserve">    -Interest on Term Loan(R/C)</v>
          </cell>
          <cell r="D15">
            <v>114.72506406533965</v>
          </cell>
          <cell r="E15">
            <v>113.53001131465902</v>
          </cell>
          <cell r="F15">
            <v>97.994325555810946</v>
          </cell>
          <cell r="G15">
            <v>78.873481544921034</v>
          </cell>
          <cell r="H15">
            <v>59.752637534031095</v>
          </cell>
          <cell r="I15">
            <v>40.631793523141155</v>
          </cell>
          <cell r="J15">
            <v>21.510949512251223</v>
          </cell>
        </row>
        <row r="16">
          <cell r="B16" t="str">
            <v xml:space="preserve">    Total - A</v>
          </cell>
          <cell r="D16">
            <v>-27.152079392891252</v>
          </cell>
          <cell r="E16">
            <v>-11.845248672267772</v>
          </cell>
          <cell r="F16">
            <v>3.1439391372718717</v>
          </cell>
          <cell r="G16">
            <v>2.3689438623302124</v>
          </cell>
          <cell r="H16">
            <v>1.5247431033612884</v>
          </cell>
          <cell r="I16">
            <v>0.604831014135776</v>
          </cell>
          <cell r="J16">
            <v>-0.39792810109003796</v>
          </cell>
        </row>
        <row r="18">
          <cell r="B18" t="str">
            <v xml:space="preserve">B)  Denominator </v>
          </cell>
        </row>
        <row r="20">
          <cell r="B20" t="str">
            <v xml:space="preserve">    -Interest on Term Loan (F/C)</v>
          </cell>
          <cell r="D20">
            <v>6.3360000000000005E-9</v>
          </cell>
          <cell r="E20">
            <v>6.2568000000000001E-9</v>
          </cell>
          <cell r="F20">
            <v>5.227200000000002E-9</v>
          </cell>
          <cell r="G20">
            <v>3.9600000000000012E-9</v>
          </cell>
          <cell r="H20">
            <v>2.6928000000000013E-9</v>
          </cell>
          <cell r="I20">
            <v>1.425600000000001E-9</v>
          </cell>
          <cell r="J20">
            <v>2.3760000000000081E-10</v>
          </cell>
        </row>
        <row r="21">
          <cell r="B21" t="str">
            <v xml:space="preserve">    -Interest on Term Loan (R/C)</v>
          </cell>
          <cell r="D21">
            <v>114.72506406533965</v>
          </cell>
          <cell r="E21">
            <v>113.53001131465902</v>
          </cell>
          <cell r="F21">
            <v>97.994325555810946</v>
          </cell>
          <cell r="G21">
            <v>78.873481544921034</v>
          </cell>
          <cell r="H21">
            <v>59.752637534031095</v>
          </cell>
          <cell r="I21">
            <v>40.631793523141155</v>
          </cell>
          <cell r="J21">
            <v>21.510949512251223</v>
          </cell>
        </row>
        <row r="22">
          <cell r="B22" t="str">
            <v xml:space="preserve">    -Instalment of Loan (F/C)</v>
          </cell>
          <cell r="D22">
            <v>0</v>
          </cell>
          <cell r="E22">
            <v>7.0400000000000005E-9</v>
          </cell>
          <cell r="F22">
            <v>1.4080000000000001E-8</v>
          </cell>
          <cell r="G22">
            <v>1.4080000000000001E-8</v>
          </cell>
          <cell r="H22">
            <v>1.4080000000000001E-8</v>
          </cell>
          <cell r="I22">
            <v>1.4080000000000001E-8</v>
          </cell>
          <cell r="J22">
            <v>7.0400000000000005E-9</v>
          </cell>
        </row>
        <row r="23">
          <cell r="B23" t="str">
            <v xml:space="preserve">    -Instalment of Loan (R/C)</v>
          </cell>
          <cell r="D23">
            <v>0</v>
          </cell>
          <cell r="E23">
            <v>68.288728610321215</v>
          </cell>
          <cell r="F23">
            <v>136.57745722064243</v>
          </cell>
          <cell r="G23">
            <v>136.57745722064243</v>
          </cell>
          <cell r="H23">
            <v>136.57745722064243</v>
          </cell>
          <cell r="I23">
            <v>136.57745722064243</v>
          </cell>
          <cell r="J23">
            <v>136.57745722064243</v>
          </cell>
        </row>
        <row r="24">
          <cell r="B24" t="str">
            <v xml:space="preserve">    Total - B</v>
          </cell>
          <cell r="D24">
            <v>114.72506407167565</v>
          </cell>
          <cell r="E24">
            <v>181.81873993827702</v>
          </cell>
          <cell r="F24">
            <v>234.57178279576056</v>
          </cell>
          <cell r="G24">
            <v>215.45093878360348</v>
          </cell>
          <cell r="H24">
            <v>196.33009477144634</v>
          </cell>
          <cell r="I24">
            <v>177.20925075928918</v>
          </cell>
          <cell r="J24">
            <v>158.08840674017125</v>
          </cell>
        </row>
        <row r="25">
          <cell r="B25" t="str">
            <v xml:space="preserve">    DSCR  A/B</v>
          </cell>
          <cell r="D25">
            <v>-0.23667085839174354</v>
          </cell>
          <cell r="E25">
            <v>-6.5148667713179301E-2</v>
          </cell>
          <cell r="F25">
            <v>1.3402887166566279E-2</v>
          </cell>
          <cell r="G25">
            <v>1.0995282154279928E-2</v>
          </cell>
          <cell r="H25">
            <v>7.7662220106208719E-3</v>
          </cell>
          <cell r="I25">
            <v>3.4130893931567014E-3</v>
          </cell>
          <cell r="J25">
            <v>-2.5171238631309573E-3</v>
          </cell>
        </row>
        <row r="26">
          <cell r="B26" t="str">
            <v xml:space="preserve">    Average </v>
          </cell>
          <cell r="D26">
            <v>-2.4624060957507989E-2</v>
          </cell>
        </row>
      </sheetData>
      <sheetData sheetId="22"/>
      <sheetData sheetId="23" refreshError="1"/>
      <sheetData sheetId="24" refreshError="1"/>
      <sheetData sheetId="25" refreshError="1">
        <row r="3">
          <cell r="B3" t="str">
            <v>CALCULATION OF INTEREST ON TERM LOAN</v>
          </cell>
        </row>
        <row r="5">
          <cell r="B5" t="str">
            <v>Project  Cost</v>
          </cell>
          <cell r="D5">
            <v>1625</v>
          </cell>
          <cell r="E5" t="str">
            <v xml:space="preserve">Equity </v>
          </cell>
          <cell r="F5">
            <v>612.53525667614542</v>
          </cell>
        </row>
        <row r="6">
          <cell r="E6" t="str">
            <v xml:space="preserve">Debt </v>
          </cell>
          <cell r="F6">
            <v>819.46474332385458</v>
          </cell>
        </row>
        <row r="7">
          <cell r="D7" t="str">
            <v>Loan</v>
          </cell>
          <cell r="E7" t="str">
            <v>Repayment Period (Yrs)</v>
          </cell>
        </row>
        <row r="8">
          <cell r="B8" t="str">
            <v>Foreign Currency</v>
          </cell>
          <cell r="D8">
            <v>7.0400000000000008E-8</v>
          </cell>
          <cell r="E8">
            <v>5</v>
          </cell>
        </row>
        <row r="9">
          <cell r="B9" t="str">
            <v xml:space="preserve">Indian Currency </v>
          </cell>
          <cell r="D9">
            <v>819.46474332385458</v>
          </cell>
          <cell r="E9">
            <v>6</v>
          </cell>
        </row>
        <row r="10">
          <cell r="B10" t="str">
            <v>Moritorium Period (Years)</v>
          </cell>
          <cell r="D10">
            <v>6</v>
          </cell>
          <cell r="E10" t="str">
            <v>Quarters</v>
          </cell>
        </row>
        <row r="11">
          <cell r="B11" t="str">
            <v>Interest on Foreign Currency Loan</v>
          </cell>
        </row>
        <row r="12">
          <cell r="B12" t="str">
            <v>Rate:</v>
          </cell>
          <cell r="C12">
            <v>0.09</v>
          </cell>
          <cell r="F12" t="str">
            <v>Rs. Lacs</v>
          </cell>
        </row>
        <row r="13">
          <cell r="B13" t="str">
            <v>Quarters</v>
          </cell>
          <cell r="C13" t="str">
            <v>Amount</v>
          </cell>
          <cell r="D13" t="str">
            <v>Repayment</v>
          </cell>
          <cell r="E13" t="str">
            <v>Quarters</v>
          </cell>
          <cell r="F13" t="str">
            <v>Annual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>Interest</v>
          </cell>
          <cell r="F14" t="str">
            <v>Interest</v>
          </cell>
        </row>
        <row r="15">
          <cell r="B15">
            <v>1</v>
          </cell>
          <cell r="C15">
            <v>7.0400000000000008E-8</v>
          </cell>
          <cell r="D15">
            <v>0</v>
          </cell>
          <cell r="E15">
            <v>1.5840000000000001E-9</v>
          </cell>
        </row>
        <row r="16">
          <cell r="B16">
            <v>2</v>
          </cell>
          <cell r="C16">
            <v>7.0400000000000008E-8</v>
          </cell>
          <cell r="D16">
            <v>0</v>
          </cell>
          <cell r="E16">
            <v>1.5840000000000001E-9</v>
          </cell>
        </row>
        <row r="17">
          <cell r="B17">
            <v>3</v>
          </cell>
          <cell r="C17">
            <v>7.0400000000000008E-8</v>
          </cell>
          <cell r="D17">
            <v>0</v>
          </cell>
          <cell r="E17">
            <v>1.5840000000000001E-9</v>
          </cell>
        </row>
        <row r="18">
          <cell r="B18">
            <v>4</v>
          </cell>
          <cell r="C18">
            <v>7.0400000000000008E-8</v>
          </cell>
          <cell r="D18">
            <v>0</v>
          </cell>
          <cell r="E18">
            <v>1.5840000000000001E-9</v>
          </cell>
          <cell r="F18">
            <v>6.3360000000000005E-9</v>
          </cell>
        </row>
        <row r="19">
          <cell r="B19">
            <v>5</v>
          </cell>
          <cell r="C19">
            <v>7.0400000000000008E-8</v>
          </cell>
          <cell r="D19">
            <v>0</v>
          </cell>
          <cell r="E19">
            <v>1.5840000000000001E-9</v>
          </cell>
        </row>
        <row r="20">
          <cell r="B20">
            <v>6</v>
          </cell>
          <cell r="C20">
            <v>7.0400000000000008E-8</v>
          </cell>
          <cell r="D20">
            <v>0</v>
          </cell>
          <cell r="E20">
            <v>1.5840000000000001E-9</v>
          </cell>
        </row>
        <row r="21">
          <cell r="B21">
            <v>7</v>
          </cell>
          <cell r="C21">
            <v>7.0400000000000008E-8</v>
          </cell>
          <cell r="D21">
            <v>3.5200000000000003E-9</v>
          </cell>
          <cell r="E21">
            <v>1.5840000000000001E-9</v>
          </cell>
        </row>
        <row r="22">
          <cell r="B22">
            <v>8</v>
          </cell>
          <cell r="C22">
            <v>6.6880000000000014E-8</v>
          </cell>
          <cell r="D22">
            <v>3.5200000000000003E-9</v>
          </cell>
          <cell r="E22">
            <v>1.5048000000000002E-9</v>
          </cell>
          <cell r="F22">
            <v>6.2568000000000001E-9</v>
          </cell>
        </row>
        <row r="23">
          <cell r="B23">
            <v>9</v>
          </cell>
          <cell r="C23">
            <v>6.3360000000000019E-8</v>
          </cell>
          <cell r="D23">
            <v>3.5200000000000003E-9</v>
          </cell>
          <cell r="E23">
            <v>1.4256000000000003E-9</v>
          </cell>
        </row>
        <row r="24">
          <cell r="B24">
            <v>10</v>
          </cell>
          <cell r="C24">
            <v>5.9840000000000025E-8</v>
          </cell>
          <cell r="D24">
            <v>3.5200000000000003E-9</v>
          </cell>
          <cell r="E24">
            <v>1.3464000000000004E-9</v>
          </cell>
        </row>
        <row r="25">
          <cell r="B25">
            <v>11</v>
          </cell>
          <cell r="C25">
            <v>5.6320000000000024E-8</v>
          </cell>
          <cell r="D25">
            <v>3.5200000000000003E-9</v>
          </cell>
          <cell r="E25">
            <v>1.2672000000000005E-9</v>
          </cell>
        </row>
        <row r="26">
          <cell r="B26">
            <v>12</v>
          </cell>
          <cell r="C26">
            <v>5.2800000000000023E-8</v>
          </cell>
          <cell r="D26">
            <v>3.5200000000000003E-9</v>
          </cell>
          <cell r="E26">
            <v>1.1880000000000004E-9</v>
          </cell>
          <cell r="F26">
            <v>5.227200000000002E-9</v>
          </cell>
        </row>
        <row r="27">
          <cell r="B27">
            <v>13</v>
          </cell>
          <cell r="C27">
            <v>4.9280000000000022E-8</v>
          </cell>
          <cell r="D27">
            <v>3.5200000000000003E-9</v>
          </cell>
          <cell r="E27">
            <v>1.1088000000000003E-9</v>
          </cell>
        </row>
        <row r="28">
          <cell r="B28">
            <v>14</v>
          </cell>
          <cell r="C28">
            <v>4.5760000000000021E-8</v>
          </cell>
          <cell r="D28">
            <v>3.5200000000000003E-9</v>
          </cell>
          <cell r="E28">
            <v>1.0296000000000005E-9</v>
          </cell>
        </row>
        <row r="29">
          <cell r="B29">
            <v>15</v>
          </cell>
          <cell r="C29">
            <v>4.224000000000002E-8</v>
          </cell>
          <cell r="D29">
            <v>3.5200000000000003E-9</v>
          </cell>
          <cell r="E29">
            <v>9.5040000000000036E-10</v>
          </cell>
        </row>
        <row r="30">
          <cell r="B30">
            <v>16</v>
          </cell>
          <cell r="C30">
            <v>3.8720000000000018E-8</v>
          </cell>
          <cell r="D30">
            <v>3.5200000000000003E-9</v>
          </cell>
          <cell r="E30">
            <v>8.7120000000000036E-10</v>
          </cell>
          <cell r="F30">
            <v>3.9600000000000012E-9</v>
          </cell>
        </row>
        <row r="31">
          <cell r="B31">
            <v>17</v>
          </cell>
          <cell r="C31">
            <v>3.5200000000000017E-8</v>
          </cell>
          <cell r="D31">
            <v>3.5200000000000003E-9</v>
          </cell>
          <cell r="E31">
            <v>7.9200000000000037E-10</v>
          </cell>
        </row>
        <row r="32">
          <cell r="B32">
            <v>18</v>
          </cell>
          <cell r="C32">
            <v>3.1680000000000016E-8</v>
          </cell>
          <cell r="D32">
            <v>3.5200000000000003E-9</v>
          </cell>
          <cell r="E32">
            <v>7.1280000000000037E-10</v>
          </cell>
        </row>
        <row r="33">
          <cell r="B33">
            <v>19</v>
          </cell>
          <cell r="C33">
            <v>2.8160000000000015E-8</v>
          </cell>
          <cell r="D33">
            <v>3.5200000000000003E-9</v>
          </cell>
          <cell r="E33">
            <v>6.3360000000000027E-10</v>
          </cell>
        </row>
        <row r="34">
          <cell r="B34">
            <v>20</v>
          </cell>
          <cell r="C34">
            <v>2.4640000000000014E-8</v>
          </cell>
          <cell r="D34">
            <v>3.5200000000000003E-9</v>
          </cell>
          <cell r="E34">
            <v>5.5440000000000028E-10</v>
          </cell>
          <cell r="F34">
            <v>2.6928000000000013E-9</v>
          </cell>
        </row>
        <row r="35">
          <cell r="B35">
            <v>21</v>
          </cell>
          <cell r="C35">
            <v>2.1120000000000013E-8</v>
          </cell>
          <cell r="D35">
            <v>3.5200000000000003E-9</v>
          </cell>
          <cell r="E35">
            <v>4.7520000000000028E-10</v>
          </cell>
        </row>
        <row r="36">
          <cell r="B36">
            <v>22</v>
          </cell>
          <cell r="C36">
            <v>1.7600000000000012E-8</v>
          </cell>
          <cell r="D36">
            <v>3.5200000000000003E-9</v>
          </cell>
          <cell r="E36">
            <v>3.9600000000000024E-10</v>
          </cell>
        </row>
        <row r="37">
          <cell r="B37">
            <v>23</v>
          </cell>
          <cell r="C37">
            <v>1.4080000000000011E-8</v>
          </cell>
          <cell r="D37">
            <v>3.5200000000000003E-9</v>
          </cell>
          <cell r="E37">
            <v>3.1680000000000024E-10</v>
          </cell>
        </row>
        <row r="38">
          <cell r="B38">
            <v>24</v>
          </cell>
          <cell r="C38">
            <v>1.056000000000001E-8</v>
          </cell>
          <cell r="D38">
            <v>3.5200000000000003E-9</v>
          </cell>
          <cell r="E38">
            <v>2.3760000000000019E-10</v>
          </cell>
          <cell r="F38">
            <v>1.425600000000001E-9</v>
          </cell>
        </row>
        <row r="39">
          <cell r="B39">
            <v>25</v>
          </cell>
          <cell r="C39">
            <v>7.0400000000000096E-9</v>
          </cell>
          <cell r="D39">
            <v>3.5200000000000003E-9</v>
          </cell>
          <cell r="E39">
            <v>1.584000000000002E-10</v>
          </cell>
        </row>
        <row r="40">
          <cell r="B40">
            <v>26</v>
          </cell>
          <cell r="C40">
            <v>3.5200000000000094E-9</v>
          </cell>
          <cell r="D40">
            <v>3.5200000000000003E-9</v>
          </cell>
          <cell r="E40">
            <v>7.9200000000000202E-11</v>
          </cell>
        </row>
        <row r="41">
          <cell r="B41">
            <v>27</v>
          </cell>
          <cell r="C41">
            <v>9.0989867380833044E-24</v>
          </cell>
          <cell r="D41">
            <v>0</v>
          </cell>
          <cell r="E41">
            <v>2.0472720160687435E-25</v>
          </cell>
        </row>
        <row r="42">
          <cell r="B42">
            <v>28</v>
          </cell>
          <cell r="C42">
            <v>9.0989867380833044E-24</v>
          </cell>
          <cell r="D42">
            <v>0</v>
          </cell>
          <cell r="E42">
            <v>2.0472720160687435E-25</v>
          </cell>
          <cell r="F42">
            <v>2.3760000000000081E-10</v>
          </cell>
        </row>
        <row r="43">
          <cell r="B43" t="str">
            <v>Repayment of Foreign Currency Loan</v>
          </cell>
        </row>
        <row r="44">
          <cell r="B44" t="str">
            <v>Year</v>
          </cell>
          <cell r="C44" t="str">
            <v>Opening</v>
          </cell>
          <cell r="D44" t="str">
            <v>Repayment</v>
          </cell>
          <cell r="E44" t="str">
            <v>Closing</v>
          </cell>
        </row>
        <row r="45">
          <cell r="C45" t="str">
            <v>Balance</v>
          </cell>
          <cell r="E45" t="str">
            <v>Balance</v>
          </cell>
        </row>
        <row r="46">
          <cell r="B46" t="str">
            <v>1</v>
          </cell>
          <cell r="C46">
            <v>7.0400000000000008E-8</v>
          </cell>
          <cell r="D46">
            <v>0</v>
          </cell>
          <cell r="E46">
            <v>7.0400000000000008E-8</v>
          </cell>
        </row>
        <row r="47">
          <cell r="B47" t="str">
            <v>2</v>
          </cell>
          <cell r="C47">
            <v>7.0400000000000008E-8</v>
          </cell>
          <cell r="D47">
            <v>7.0400000000000005E-9</v>
          </cell>
          <cell r="E47">
            <v>6.3360000000000006E-8</v>
          </cell>
        </row>
        <row r="48">
          <cell r="B48" t="str">
            <v>3</v>
          </cell>
          <cell r="C48">
            <v>6.3360000000000006E-8</v>
          </cell>
          <cell r="D48">
            <v>1.4080000000000001E-8</v>
          </cell>
          <cell r="E48">
            <v>4.9280000000000002E-8</v>
          </cell>
        </row>
        <row r="49">
          <cell r="B49" t="str">
            <v>4</v>
          </cell>
          <cell r="C49">
            <v>4.9280000000000002E-8</v>
          </cell>
          <cell r="D49">
            <v>1.4080000000000001E-8</v>
          </cell>
          <cell r="E49">
            <v>3.5199999999999998E-8</v>
          </cell>
        </row>
        <row r="50">
          <cell r="B50" t="str">
            <v>5</v>
          </cell>
          <cell r="C50">
            <v>3.5199999999999998E-8</v>
          </cell>
          <cell r="D50">
            <v>1.4080000000000001E-8</v>
          </cell>
          <cell r="E50">
            <v>2.1119999999999997E-8</v>
          </cell>
        </row>
        <row r="51">
          <cell r="B51" t="str">
            <v>6</v>
          </cell>
          <cell r="C51">
            <v>2.1119999999999997E-8</v>
          </cell>
          <cell r="D51">
            <v>1.4080000000000001E-8</v>
          </cell>
          <cell r="E51">
            <v>7.0399999999999955E-9</v>
          </cell>
        </row>
        <row r="52">
          <cell r="B52" t="str">
            <v>7</v>
          </cell>
          <cell r="C52">
            <v>7.0399999999999955E-9</v>
          </cell>
          <cell r="D52">
            <v>7.0400000000000005E-9</v>
          </cell>
          <cell r="E52">
            <v>0</v>
          </cell>
        </row>
        <row r="56">
          <cell r="B56" t="str">
            <v>Interest on Indian Currency Loan</v>
          </cell>
        </row>
        <row r="58">
          <cell r="B58" t="str">
            <v>Rate:</v>
          </cell>
          <cell r="C58">
            <v>0.14000000000000001</v>
          </cell>
          <cell r="F58" t="str">
            <v>Rs. Lacs</v>
          </cell>
        </row>
        <row r="59">
          <cell r="B59" t="str">
            <v>Year</v>
          </cell>
          <cell r="C59" t="str">
            <v>Amount</v>
          </cell>
          <cell r="D59" t="str">
            <v>Repayment</v>
          </cell>
          <cell r="E59" t="str">
            <v>Quarters</v>
          </cell>
          <cell r="F59" t="str">
            <v>Annual</v>
          </cell>
        </row>
        <row r="60">
          <cell r="B60" t="str">
            <v/>
          </cell>
          <cell r="C60" t="str">
            <v/>
          </cell>
          <cell r="D60" t="str">
            <v/>
          </cell>
          <cell r="E60" t="str">
            <v>Interest</v>
          </cell>
          <cell r="F60" t="str">
            <v>Interest</v>
          </cell>
        </row>
        <row r="61">
          <cell r="B61">
            <v>1</v>
          </cell>
          <cell r="C61">
            <v>819.46474332385458</v>
          </cell>
          <cell r="D61">
            <v>0</v>
          </cell>
          <cell r="E61">
            <v>28.681266016334913</v>
          </cell>
        </row>
        <row r="62">
          <cell r="B62">
            <v>2</v>
          </cell>
          <cell r="C62">
            <v>819.46474332385458</v>
          </cell>
          <cell r="D62">
            <v>0</v>
          </cell>
          <cell r="E62">
            <v>28.681266016334913</v>
          </cell>
        </row>
        <row r="63">
          <cell r="B63">
            <v>3</v>
          </cell>
          <cell r="C63">
            <v>819.46474332385458</v>
          </cell>
          <cell r="D63">
            <v>0</v>
          </cell>
          <cell r="E63">
            <v>28.681266016334913</v>
          </cell>
        </row>
        <row r="64">
          <cell r="B64">
            <v>4</v>
          </cell>
          <cell r="C64">
            <v>819.46474332385458</v>
          </cell>
          <cell r="D64">
            <v>0</v>
          </cell>
          <cell r="E64">
            <v>28.681266016334913</v>
          </cell>
          <cell r="F64">
            <v>114.72506406533965</v>
          </cell>
        </row>
        <row r="65">
          <cell r="B65">
            <v>5</v>
          </cell>
          <cell r="C65">
            <v>819.46474332385458</v>
          </cell>
          <cell r="D65">
            <v>0</v>
          </cell>
          <cell r="E65">
            <v>28.681266016334913</v>
          </cell>
        </row>
        <row r="66">
          <cell r="B66">
            <v>6</v>
          </cell>
          <cell r="C66">
            <v>819.46474332385458</v>
          </cell>
          <cell r="D66">
            <v>0</v>
          </cell>
          <cell r="E66">
            <v>28.681266016334913</v>
          </cell>
        </row>
        <row r="67">
          <cell r="B67">
            <v>7</v>
          </cell>
          <cell r="C67">
            <v>819.46474332385458</v>
          </cell>
          <cell r="D67">
            <v>34.144364305160607</v>
          </cell>
          <cell r="E67">
            <v>28.681266016334913</v>
          </cell>
        </row>
        <row r="68">
          <cell r="B68">
            <v>8</v>
          </cell>
          <cell r="C68">
            <v>785.32037901869398</v>
          </cell>
          <cell r="D68">
            <v>34.144364305160607</v>
          </cell>
          <cell r="E68">
            <v>27.486213265654293</v>
          </cell>
          <cell r="F68">
            <v>113.53001131465902</v>
          </cell>
        </row>
        <row r="69">
          <cell r="B69">
            <v>9</v>
          </cell>
          <cell r="C69">
            <v>751.17601471353339</v>
          </cell>
          <cell r="D69">
            <v>34.144364305160607</v>
          </cell>
          <cell r="E69">
            <v>26.291160514973672</v>
          </cell>
        </row>
        <row r="70">
          <cell r="B70">
            <v>10</v>
          </cell>
          <cell r="C70">
            <v>717.0316504083728</v>
          </cell>
          <cell r="D70">
            <v>34.144364305160607</v>
          </cell>
          <cell r="E70">
            <v>25.096107764293052</v>
          </cell>
        </row>
        <row r="71">
          <cell r="B71">
            <v>11</v>
          </cell>
          <cell r="C71">
            <v>682.8872861032122</v>
          </cell>
          <cell r="D71">
            <v>34.144364305160607</v>
          </cell>
          <cell r="E71">
            <v>23.901055013612428</v>
          </cell>
        </row>
        <row r="72">
          <cell r="B72">
            <v>12</v>
          </cell>
          <cell r="C72">
            <v>648.74292179805161</v>
          </cell>
          <cell r="D72">
            <v>34.144364305160607</v>
          </cell>
          <cell r="E72">
            <v>22.706002262931808</v>
          </cell>
          <cell r="F72">
            <v>97.994325555810946</v>
          </cell>
        </row>
        <row r="73">
          <cell r="B73">
            <v>13</v>
          </cell>
          <cell r="C73">
            <v>614.59855749289102</v>
          </cell>
          <cell r="D73">
            <v>34.144364305160607</v>
          </cell>
          <cell r="E73">
            <v>21.510949512251187</v>
          </cell>
        </row>
        <row r="74">
          <cell r="B74">
            <v>14</v>
          </cell>
          <cell r="C74">
            <v>580.45419318773043</v>
          </cell>
          <cell r="D74">
            <v>34.144364305160607</v>
          </cell>
          <cell r="E74">
            <v>20.315896761570567</v>
          </cell>
        </row>
        <row r="75">
          <cell r="B75">
            <v>15</v>
          </cell>
          <cell r="C75">
            <v>546.30982888256983</v>
          </cell>
          <cell r="D75">
            <v>34.144364305160607</v>
          </cell>
          <cell r="E75">
            <v>19.120844010889947</v>
          </cell>
        </row>
        <row r="76">
          <cell r="B76">
            <v>16</v>
          </cell>
          <cell r="C76">
            <v>512.16546457740924</v>
          </cell>
          <cell r="D76">
            <v>34.144364305160607</v>
          </cell>
          <cell r="E76">
            <v>17.925791260209326</v>
          </cell>
          <cell r="F76">
            <v>78.873481544921034</v>
          </cell>
        </row>
        <row r="77">
          <cell r="B77">
            <v>17</v>
          </cell>
          <cell r="C77">
            <v>478.02110027224865</v>
          </cell>
          <cell r="D77">
            <v>34.144364305160607</v>
          </cell>
          <cell r="E77">
            <v>16.730738509528702</v>
          </cell>
        </row>
        <row r="78">
          <cell r="B78">
            <v>18</v>
          </cell>
          <cell r="C78">
            <v>443.87673596708805</v>
          </cell>
          <cell r="D78">
            <v>34.144364305160607</v>
          </cell>
          <cell r="E78">
            <v>15.535685758848084</v>
          </cell>
        </row>
        <row r="79">
          <cell r="B79">
            <v>19</v>
          </cell>
          <cell r="C79">
            <v>409.73237166192746</v>
          </cell>
          <cell r="D79">
            <v>34.144364305160607</v>
          </cell>
          <cell r="E79">
            <v>14.340633008167462</v>
          </cell>
        </row>
        <row r="80">
          <cell r="B80">
            <v>20</v>
          </cell>
          <cell r="C80">
            <v>375.58800735676687</v>
          </cell>
          <cell r="D80">
            <v>34.144364305160607</v>
          </cell>
          <cell r="E80">
            <v>13.145580257486841</v>
          </cell>
          <cell r="F80">
            <v>59.752637534031095</v>
          </cell>
        </row>
        <row r="81">
          <cell r="B81">
            <v>21</v>
          </cell>
          <cell r="C81">
            <v>341.44364305160627</v>
          </cell>
          <cell r="D81">
            <v>34.144364305160607</v>
          </cell>
          <cell r="E81">
            <v>11.950527506806221</v>
          </cell>
        </row>
        <row r="82">
          <cell r="B82">
            <v>22</v>
          </cell>
          <cell r="C82">
            <v>307.29927874644568</v>
          </cell>
          <cell r="D82">
            <v>34.144364305160607</v>
          </cell>
          <cell r="E82">
            <v>10.755474756125599</v>
          </cell>
        </row>
        <row r="83">
          <cell r="B83">
            <v>23</v>
          </cell>
          <cell r="C83">
            <v>273.15491444128509</v>
          </cell>
          <cell r="D83">
            <v>34.144364305160607</v>
          </cell>
          <cell r="E83">
            <v>9.5604220054449787</v>
          </cell>
        </row>
        <row r="84">
          <cell r="B84">
            <v>24</v>
          </cell>
          <cell r="C84">
            <v>239.01055013612449</v>
          </cell>
          <cell r="D84">
            <v>34.144364305160607</v>
          </cell>
          <cell r="E84">
            <v>8.3653692547643583</v>
          </cell>
          <cell r="F84">
            <v>40.631793523141155</v>
          </cell>
        </row>
        <row r="85">
          <cell r="B85">
            <v>25</v>
          </cell>
          <cell r="C85">
            <v>204.8661858309639</v>
          </cell>
          <cell r="D85">
            <v>34.144364305160607</v>
          </cell>
          <cell r="E85">
            <v>7.1703165040837371</v>
          </cell>
        </row>
        <row r="86">
          <cell r="B86">
            <v>26</v>
          </cell>
          <cell r="C86">
            <v>170.72182152580331</v>
          </cell>
          <cell r="D86">
            <v>34.144364305160607</v>
          </cell>
          <cell r="E86">
            <v>5.9752637534031159</v>
          </cell>
        </row>
        <row r="87">
          <cell r="B87">
            <v>27</v>
          </cell>
          <cell r="C87">
            <v>136.57745722064271</v>
          </cell>
          <cell r="D87">
            <v>34.144364305160607</v>
          </cell>
          <cell r="E87">
            <v>4.7802110027224956</v>
          </cell>
        </row>
        <row r="88">
          <cell r="B88">
            <v>28</v>
          </cell>
          <cell r="C88">
            <v>102.43309291548211</v>
          </cell>
          <cell r="D88">
            <v>34.144364305160607</v>
          </cell>
          <cell r="E88">
            <v>3.5851582520418739</v>
          </cell>
          <cell r="F88">
            <v>21.510949512251223</v>
          </cell>
        </row>
        <row r="89">
          <cell r="B89">
            <v>29</v>
          </cell>
          <cell r="C89">
            <v>68.288728610321499</v>
          </cell>
          <cell r="D89">
            <v>34.144364305160607</v>
          </cell>
          <cell r="E89">
            <v>2.3901055013612527</v>
          </cell>
        </row>
        <row r="90">
          <cell r="B90">
            <v>30</v>
          </cell>
          <cell r="C90">
            <v>34.144364305160892</v>
          </cell>
          <cell r="D90">
            <v>34.144364305160607</v>
          </cell>
          <cell r="E90">
            <v>1.1950527506806312</v>
          </cell>
        </row>
        <row r="91">
          <cell r="B91">
            <v>31</v>
          </cell>
          <cell r="C91">
            <v>2.8421709430404007E-13</v>
          </cell>
          <cell r="D91">
            <v>0</v>
          </cell>
          <cell r="E91">
            <v>9.9475983006414035E-15</v>
          </cell>
        </row>
        <row r="92">
          <cell r="B92">
            <v>32</v>
          </cell>
          <cell r="C92">
            <v>2.8421709430404007E-13</v>
          </cell>
          <cell r="D92">
            <v>0</v>
          </cell>
          <cell r="E92">
            <v>9.9475983006414035E-15</v>
          </cell>
          <cell r="F92">
            <v>3.5851582520419036</v>
          </cell>
        </row>
        <row r="93">
          <cell r="B93">
            <v>33</v>
          </cell>
          <cell r="C93">
            <v>2.8421709430404007E-13</v>
          </cell>
          <cell r="D93">
            <v>0</v>
          </cell>
          <cell r="E93">
            <v>9.9475983006414035E-15</v>
          </cell>
        </row>
        <row r="94">
          <cell r="B94">
            <v>34</v>
          </cell>
          <cell r="C94">
            <v>2.8421709430404007E-13</v>
          </cell>
          <cell r="D94">
            <v>0</v>
          </cell>
          <cell r="E94">
            <v>9.9475983006414035E-15</v>
          </cell>
        </row>
        <row r="95">
          <cell r="B95">
            <v>35</v>
          </cell>
          <cell r="C95">
            <v>2.8421709430404007E-13</v>
          </cell>
          <cell r="D95">
            <v>0</v>
          </cell>
          <cell r="E95">
            <v>9.9475983006414035E-15</v>
          </cell>
        </row>
        <row r="96">
          <cell r="B96">
            <v>36</v>
          </cell>
          <cell r="C96">
            <v>2.8421709430404007E-13</v>
          </cell>
          <cell r="D96">
            <v>0</v>
          </cell>
          <cell r="E96">
            <v>9.9475983006414035E-15</v>
          </cell>
          <cell r="F96">
            <v>3.9790393202565614E-14</v>
          </cell>
        </row>
        <row r="97">
          <cell r="B97" t="str">
            <v>Repayment of Indian Currency Loan</v>
          </cell>
        </row>
        <row r="98">
          <cell r="B98" t="str">
            <v>Year</v>
          </cell>
          <cell r="C98" t="str">
            <v>Opening</v>
          </cell>
          <cell r="D98" t="str">
            <v>Repayment</v>
          </cell>
          <cell r="E98" t="str">
            <v>Closing</v>
          </cell>
        </row>
        <row r="99">
          <cell r="C99" t="str">
            <v>Balance</v>
          </cell>
          <cell r="E99" t="str">
            <v>Balance</v>
          </cell>
        </row>
        <row r="100">
          <cell r="B100" t="str">
            <v>1</v>
          </cell>
          <cell r="C100">
            <v>819.46474332385458</v>
          </cell>
          <cell r="D100">
            <v>0</v>
          </cell>
          <cell r="E100">
            <v>819.46474332385458</v>
          </cell>
        </row>
        <row r="101">
          <cell r="B101" t="str">
            <v>2</v>
          </cell>
          <cell r="C101">
            <v>819.46474332385458</v>
          </cell>
          <cell r="D101">
            <v>68.288728610321215</v>
          </cell>
          <cell r="E101">
            <v>751.17601471353339</v>
          </cell>
        </row>
        <row r="102">
          <cell r="B102" t="str">
            <v>3</v>
          </cell>
          <cell r="C102">
            <v>751.17601471353339</v>
          </cell>
          <cell r="D102">
            <v>136.57745722064243</v>
          </cell>
          <cell r="E102">
            <v>614.5985574928909</v>
          </cell>
        </row>
        <row r="103">
          <cell r="B103" t="str">
            <v>4</v>
          </cell>
          <cell r="C103">
            <v>614.5985574928909</v>
          </cell>
          <cell r="D103">
            <v>136.57745722064243</v>
          </cell>
          <cell r="E103">
            <v>478.02110027224847</v>
          </cell>
        </row>
        <row r="104">
          <cell r="B104" t="str">
            <v>5</v>
          </cell>
          <cell r="C104">
            <v>478.02110027224847</v>
          </cell>
          <cell r="D104">
            <v>136.57745722064243</v>
          </cell>
          <cell r="E104">
            <v>341.44364305160605</v>
          </cell>
        </row>
        <row r="105">
          <cell r="B105" t="str">
            <v>6</v>
          </cell>
          <cell r="C105">
            <v>341.44364305160605</v>
          </cell>
          <cell r="D105">
            <v>136.57745722064243</v>
          </cell>
          <cell r="E105">
            <v>204.86618583096362</v>
          </cell>
        </row>
        <row r="106">
          <cell r="B106" t="str">
            <v>7</v>
          </cell>
          <cell r="C106">
            <v>204.86618583096362</v>
          </cell>
          <cell r="D106">
            <v>136.57745722064243</v>
          </cell>
          <cell r="E106">
            <v>68.288728610321186</v>
          </cell>
        </row>
      </sheetData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 xml:space="preserve">DETAILS OF POWER CONSUMPTION &amp; OTHER UTILITIES </v>
          </cell>
        </row>
        <row r="3">
          <cell r="A3" t="str">
            <v xml:space="preserve">Capacity Utilisation </v>
          </cell>
          <cell r="D3">
            <v>0.6</v>
          </cell>
          <cell r="E3">
            <v>0.75</v>
          </cell>
          <cell r="F3">
            <v>0.9</v>
          </cell>
        </row>
        <row r="5">
          <cell r="A5" t="str">
            <v>Power</v>
          </cell>
        </row>
        <row r="6">
          <cell r="B6" t="str">
            <v>WEAVING SECTION</v>
          </cell>
          <cell r="D6" t="str">
            <v>:</v>
          </cell>
          <cell r="E6">
            <v>439.24</v>
          </cell>
          <cell r="F6" t="str">
            <v>Kw</v>
          </cell>
        </row>
        <row r="7">
          <cell r="B7" t="str">
            <v>UTILITY SECTION</v>
          </cell>
          <cell r="D7" t="str">
            <v>:</v>
          </cell>
          <cell r="E7">
            <v>167.6</v>
          </cell>
          <cell r="F7" t="str">
            <v>Kw</v>
          </cell>
        </row>
        <row r="9">
          <cell r="A9" t="str">
            <v>Installed Load</v>
          </cell>
          <cell r="D9" t="str">
            <v>:</v>
          </cell>
          <cell r="E9">
            <v>606.84</v>
          </cell>
          <cell r="F9" t="str">
            <v>Kw</v>
          </cell>
        </row>
        <row r="10">
          <cell r="A10" t="str">
            <v/>
          </cell>
          <cell r="D10" t="str">
            <v>:</v>
          </cell>
          <cell r="E10">
            <v>713.92941176470595</v>
          </cell>
          <cell r="F10" t="str">
            <v>KVA</v>
          </cell>
        </row>
        <row r="11">
          <cell r="A11" t="str">
            <v>Assumptions</v>
          </cell>
        </row>
        <row r="12">
          <cell r="A12" t="str">
            <v>Norms</v>
          </cell>
        </row>
        <row r="13">
          <cell r="A13" t="str">
            <v xml:space="preserve">1. Power Factor          </v>
          </cell>
          <cell r="D13" t="str">
            <v>:</v>
          </cell>
          <cell r="E13">
            <v>0.85</v>
          </cell>
        </row>
        <row r="14">
          <cell r="A14" t="str">
            <v>2. Motor Loading</v>
          </cell>
          <cell r="D14" t="str">
            <v>:</v>
          </cell>
          <cell r="E14">
            <v>0.6</v>
          </cell>
        </row>
        <row r="15">
          <cell r="A15" t="str">
            <v>3. Diversity Factor</v>
          </cell>
          <cell r="D15" t="str">
            <v>:</v>
          </cell>
          <cell r="E15">
            <v>0.82499999999999996</v>
          </cell>
        </row>
        <row r="16">
          <cell r="A16" t="str">
            <v>4. Supply From SEB</v>
          </cell>
          <cell r="D16" t="str">
            <v>:</v>
          </cell>
          <cell r="E16">
            <v>0.5</v>
          </cell>
        </row>
        <row r="17">
          <cell r="A17" t="str">
            <v>5. Captive Generation</v>
          </cell>
          <cell r="D17" t="str">
            <v>:</v>
          </cell>
          <cell r="E17">
            <v>0.5</v>
          </cell>
        </row>
        <row r="18">
          <cell r="A18" t="str">
            <v xml:space="preserve"> Contract Demand</v>
          </cell>
          <cell r="D18" t="str">
            <v>:</v>
          </cell>
          <cell r="E18">
            <v>713.92941176470595</v>
          </cell>
          <cell r="F18" t="str">
            <v>KVA</v>
          </cell>
        </row>
        <row r="19">
          <cell r="A19" t="str">
            <v>Max. demand from SEB</v>
          </cell>
          <cell r="D19" t="str">
            <v>:</v>
          </cell>
          <cell r="E19">
            <v>356.96470588235297</v>
          </cell>
          <cell r="F19" t="str">
            <v>KVA</v>
          </cell>
        </row>
        <row r="20">
          <cell r="A20" t="str">
            <v>Total Unit Consumed</v>
          </cell>
          <cell r="D20" t="str">
            <v>:</v>
          </cell>
          <cell r="E20">
            <v>2523240.7199999997</v>
          </cell>
          <cell r="F20" t="str">
            <v>Kwh /Annum</v>
          </cell>
        </row>
        <row r="23">
          <cell r="A23" t="str">
            <v>Power Cost</v>
          </cell>
        </row>
        <row r="24">
          <cell r="A24" t="str">
            <v>1)  Assuming 50% Consumption from SEB /Kwh @</v>
          </cell>
          <cell r="E24">
            <v>4.0199999999999996</v>
          </cell>
        </row>
        <row r="25">
          <cell r="B25" t="str">
            <v>Rs. in Lacs</v>
          </cell>
          <cell r="D25" t="str">
            <v>:</v>
          </cell>
          <cell r="E25">
            <v>50.717138471999988</v>
          </cell>
          <cell r="F25" t="str">
            <v>Rs.  Lacs</v>
          </cell>
        </row>
        <row r="27">
          <cell r="A27" t="str">
            <v>2)  Maximum Demand @ Rs. 300/KVA/Month</v>
          </cell>
        </row>
        <row r="28">
          <cell r="B28" t="str">
            <v>Rs. in Lacs</v>
          </cell>
          <cell r="D28" t="str">
            <v>:</v>
          </cell>
          <cell r="E28">
            <v>12.708</v>
          </cell>
          <cell r="F28" t="str">
            <v>Rs.  Lacs</v>
          </cell>
        </row>
        <row r="30">
          <cell r="A30" t="str">
            <v>3) Captive Generation at 100% /Kwh @ Rs.</v>
          </cell>
          <cell r="E30">
            <v>2.6225000000000001</v>
          </cell>
        </row>
        <row r="31">
          <cell r="B31" t="str">
            <v>Rs. in Lacs</v>
          </cell>
          <cell r="D31" t="str">
            <v>:</v>
          </cell>
          <cell r="E31">
            <v>33.085993940999998</v>
          </cell>
        </row>
        <row r="32">
          <cell r="F32" t="str">
            <v/>
          </cell>
        </row>
        <row r="33">
          <cell r="A33" t="str">
            <v>Total Cost of Power</v>
          </cell>
          <cell r="D33" t="str">
            <v>:</v>
          </cell>
          <cell r="E33">
            <v>96.511132412999984</v>
          </cell>
        </row>
        <row r="35">
          <cell r="A35" t="str">
            <v>Summary</v>
          </cell>
          <cell r="E35" t="str">
            <v>Rs. Lacs</v>
          </cell>
        </row>
        <row r="36">
          <cell r="C36" t="str">
            <v>1st Year</v>
          </cell>
          <cell r="D36" t="str">
            <v>2nd Year</v>
          </cell>
          <cell r="E36" t="str">
            <v>3rd Year</v>
          </cell>
        </row>
        <row r="37">
          <cell r="A37" t="str">
            <v>Power</v>
          </cell>
          <cell r="C37">
            <v>57.906679447799988</v>
          </cell>
          <cell r="D37">
            <v>72.383349309749988</v>
          </cell>
          <cell r="E37">
            <v>86.860019171699989</v>
          </cell>
        </row>
      </sheetData>
      <sheetData sheetId="39" refreshError="1"/>
      <sheetData sheetId="40" refreshError="1"/>
      <sheetData sheetId="41"/>
      <sheetData sheetId="42">
        <row r="4">
          <cell r="K4" t="str">
            <v>Rs. Lakhs</v>
          </cell>
        </row>
      </sheetData>
      <sheetData sheetId="43">
        <row r="5">
          <cell r="C5" t="str">
            <v>Description</v>
          </cell>
        </row>
      </sheetData>
      <sheetData sheetId="44">
        <row r="3">
          <cell r="B3" t="str">
            <v>COST OF PRODUCTION AND PROFITABILITY ESTIMATES</v>
          </cell>
        </row>
      </sheetData>
      <sheetData sheetId="45">
        <row r="7">
          <cell r="C7" t="str">
            <v>Description</v>
          </cell>
        </row>
      </sheetData>
      <sheetData sheetId="46">
        <row r="21">
          <cell r="B21" t="str">
            <v>CALCULATION OF DEPRECIATION ( WRITTEN DOWN METHOD )</v>
          </cell>
        </row>
      </sheetData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Chart1"/>
      <sheetName val="Form 5"/>
      <sheetName val="Form 6"/>
      <sheetName val="Form 7"/>
      <sheetName val="S39liab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AEQPnorm"/>
      <sheetName val="S11B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40Milestones"/>
      <sheetName val="S41MatProcurement"/>
      <sheetName val="S42HSE"/>
      <sheetName val="S43Taxation"/>
      <sheetName val="S44 Depriciation"/>
      <sheetName val="S45 Refurbishment Charges"/>
      <sheetName val="Eqpl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BJ"/>
      <sheetName val="Dena"/>
      <sheetName val="BE &amp; IRR"/>
      <sheetName val="Balance Sheet"/>
      <sheetName val="CMA (2)"/>
      <sheetName val="profitability"/>
      <sheetName val="CMA"/>
      <sheetName val="P L For Ginning"/>
      <sheetName val="Fin. Proj."/>
      <sheetName val="Dep"/>
      <sheetName val="TL"/>
      <sheetName val="COP-ROM"/>
      <sheetName val="LIST OF MACH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D"/>
      <sheetName val="Input-G"/>
      <sheetName val="Dyecot1"/>
      <sheetName val="Garment1"/>
      <sheetName val="DCF1"/>
      <sheetName val="P&amp;LConsol"/>
      <sheetName val="BSCons"/>
      <sheetName val="CashCons"/>
      <sheetName val="CMA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APR_2005_ FX REPORTS"/>
      <sheetName val="#REF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_sheet"/>
      <sheetName val="key assmp"/>
      <sheetName val="sensitivity"/>
      <sheetName val="fin summary"/>
      <sheetName val="cons P&amp;L (F)"/>
      <sheetName val="cons cash (F)"/>
      <sheetName val="cons BS (F)"/>
      <sheetName val="IOC yield "/>
      <sheetName val="cap_thru"/>
      <sheetName val="ref price"/>
      <sheetName val="ref sales"/>
      <sheetName val="mkt sales"/>
      <sheetName val="other sales"/>
      <sheetName val="pipe sales"/>
      <sheetName val="chem prices"/>
      <sheetName val="chem sales"/>
      <sheetName val="revenue model"/>
      <sheetName val="crude mix"/>
      <sheetName val="ref costs"/>
      <sheetName val="chem power"/>
      <sheetName val="finstats"/>
      <sheetName val="profit model"/>
      <sheetName val="interim"/>
      <sheetName val="cash model"/>
      <sheetName val="balance model"/>
      <sheetName val="investment"/>
      <sheetName val="invest_val"/>
      <sheetName val="capex_1"/>
      <sheetName val="capex_2"/>
      <sheetName val="capex_brief"/>
      <sheetName val="interest"/>
      <sheetName val="depn"/>
      <sheetName val="tax"/>
      <sheetName val="cons P&amp;L"/>
      <sheetName val="cons cash"/>
      <sheetName val="cons BS"/>
      <sheetName val="GQ OLD"/>
      <sheetName val="GQ"/>
      <sheetName val="NoteXpress"/>
      <sheetName val="kotak_qrtrly"/>
      <sheetName val="kotakval"/>
      <sheetName val="interim 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JAST"/>
      <sheetName val="RAJAST(RAW)"/>
      <sheetName val="2-wlr"/>
      <sheetName val="car"/>
      <sheetName val="bus"/>
      <sheetName val="lcv"/>
      <sheetName val="F 6.10a"/>
      <sheetName val="truck"/>
    </sheetNames>
    <sheetDataSet>
      <sheetData sheetId="0"/>
      <sheetData sheetId="1"/>
      <sheetData sheetId="2">
        <row r="2">
          <cell r="E2">
            <v>2</v>
          </cell>
        </row>
        <row r="3">
          <cell r="E3">
            <v>2.0456260189659479</v>
          </cell>
        </row>
        <row r="4">
          <cell r="E4">
            <v>2.093429315913196</v>
          </cell>
        </row>
        <row r="5">
          <cell r="E5">
            <v>2.1416889475187864</v>
          </cell>
        </row>
        <row r="6">
          <cell r="E6">
            <v>2.1807024929062635</v>
          </cell>
        </row>
        <row r="7">
          <cell r="E7">
            <v>2.2155364578629149</v>
          </cell>
        </row>
        <row r="8">
          <cell r="E8">
            <v>2.2487867841864468</v>
          </cell>
        </row>
        <row r="17">
          <cell r="E17">
            <v>2</v>
          </cell>
        </row>
        <row r="18">
          <cell r="E18">
            <v>2.0390159081820762</v>
          </cell>
        </row>
        <row r="19">
          <cell r="E19">
            <v>2.0418343780332191</v>
          </cell>
        </row>
        <row r="20">
          <cell r="E20">
            <v>2.0364330752441022</v>
          </cell>
        </row>
        <row r="21">
          <cell r="E21">
            <v>2.0164231495886162</v>
          </cell>
        </row>
        <row r="22">
          <cell r="E22">
            <v>2.0498863031189924</v>
          </cell>
        </row>
        <row r="23">
          <cell r="E23">
            <v>2.0809544978211196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SBAST"/>
      <sheetName val="LLEGADA"/>
      <sheetName val="SECQ1"/>
      <sheetName val="CFVAL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"/>
      <sheetName val="DATOS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Model, 6mo"/>
      <sheetName val="Cost buildup"/>
      <sheetName val="Summary"/>
      <sheetName val="Annua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.xlsx"/>
      <sheetName val="Book1"/>
      <sheetName val="CAFOP-2015"/>
      <sheetName val="8.HR"/>
      <sheetName val="8.HR (No)"/>
      <sheetName val="Summary"/>
      <sheetName val="O&amp;M"/>
      <sheetName val="Production"/>
    </sheetNames>
    <definedNames>
      <definedName name="Euro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CD FBT"/>
      <sheetName val="FBT "/>
      <sheetName val="BS_ PL _ SCH"/>
      <sheetName val="DEP_CO"/>
      <sheetName val="DEP_SCH"/>
      <sheetName val="Cmputation"/>
      <sheetName val="dep_it"/>
      <sheetName val="D_Tax"/>
      <sheetName val="F A _ IT"/>
      <sheetName val="Int"/>
      <sheetName val="3CD ANN-1"/>
      <sheetName val="Sheet1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PEE"/>
      <sheetName val="000's"/>
      <sheetName val="BS"/>
      <sheetName val="PL"/>
      <sheetName val="SCH 1,2,3"/>
      <sheetName val="Sch 4"/>
      <sheetName val="SCH 5,6,7"/>
      <sheetName val="SCH 8,9,10"/>
      <sheetName val="SCH 11,12,13"/>
      <sheetName val="SCH 14,15,16"/>
      <sheetName val="Notes1"/>
      <sheetName val="Notes 2"/>
      <sheetName val="Notes 3"/>
      <sheetName val="Notes 4"/>
      <sheetName val="partiv"/>
      <sheetName val="lead"/>
      <sheetName val="Section conclusion"/>
      <sheetName val="SCH_1,2,3"/>
      <sheetName val="Sch_4"/>
      <sheetName val="SCH_5,6,7"/>
      <sheetName val="SCH_8,9,10"/>
      <sheetName val="SCH_11,12,13"/>
      <sheetName val="SCH_14,15,16"/>
      <sheetName val="Notes_2"/>
      <sheetName val="Notes_3"/>
      <sheetName val="Notes_4"/>
      <sheetName val="Others"/>
      <sheetName val="Entity List"/>
      <sheetName val="Cost Report R"/>
      <sheetName val="PL MlS"/>
      <sheetName val="Alumina"/>
      <sheetName val="Hydrate"/>
      <sheetName val="Expats Extract"/>
      <sheetName val="Exchange Rate"/>
      <sheetName val="Settlement Report"/>
      <sheetName val="Expats Register"/>
      <sheetName val="Settlement Extract"/>
      <sheetName val="AL Wise_LA Prov"/>
      <sheetName val="AL Wise Prov"/>
      <sheetName val="Leave provision"/>
      <sheetName val="validation rules"/>
      <sheetName val="Customize Your Invoice"/>
      <sheetName val="Validation rules2"/>
      <sheetName val="Dimensions IFRS"/>
      <sheetName val="IFRS BS - IS"/>
      <sheetName val="Others_FDM"/>
      <sheetName val="LISTAS"/>
    </sheetNames>
    <sheetDataSet>
      <sheetData sheetId="0">
        <row r="1">
          <cell r="B1" t="str">
            <v>{Edit}{Home}@round({end}/$D$1,0)~</v>
          </cell>
        </row>
        <row r="322">
          <cell r="A322" t="str">
            <v>SCHEDULES FORMING PART OF ACCOUNTS</v>
          </cell>
        </row>
        <row r="323">
          <cell r="C323" t="str">
            <v>Year ended</v>
          </cell>
          <cell r="E323" t="str">
            <v>Year ended</v>
          </cell>
        </row>
        <row r="324">
          <cell r="C324" t="str">
            <v>March 31, 2000</v>
          </cell>
          <cell r="E324" t="str">
            <v>March 31, 1999</v>
          </cell>
        </row>
        <row r="325">
          <cell r="C325" t="str">
            <v>(Rs.)</v>
          </cell>
          <cell r="E325" t="str">
            <v>(Rs.)</v>
          </cell>
        </row>
        <row r="327">
          <cell r="A327" t="str">
            <v>SCHEDULE 10 - OTHER INCOME</v>
          </cell>
        </row>
        <row r="329">
          <cell r="A329" t="str">
            <v xml:space="preserve">  Interest on Loans and Deposits - Gross</v>
          </cell>
          <cell r="C329">
            <v>552007</v>
          </cell>
          <cell r="E329">
            <v>827356</v>
          </cell>
        </row>
        <row r="330">
          <cell r="A330" t="str">
            <v xml:space="preserve">  [(Tax Deducted at Source Rs.91,269/-(1999 : Rs.145,559/-)]</v>
          </cell>
        </row>
        <row r="332">
          <cell r="A332" t="str">
            <v xml:space="preserve">  Exchange Gain (Net)</v>
          </cell>
          <cell r="C332">
            <v>4379253</v>
          </cell>
          <cell r="E332">
            <v>10837828</v>
          </cell>
        </row>
        <row r="334">
          <cell r="A334" t="str">
            <v xml:space="preserve">  Miscellaneous Income</v>
          </cell>
          <cell r="C334">
            <v>7236159</v>
          </cell>
          <cell r="E334">
            <v>935081</v>
          </cell>
        </row>
        <row r="335">
          <cell r="C335" t="str">
            <v>-----------------</v>
          </cell>
          <cell r="E335" t="str">
            <v>-----------------</v>
          </cell>
        </row>
        <row r="336">
          <cell r="C336">
            <v>12167419</v>
          </cell>
          <cell r="E336">
            <v>12600265</v>
          </cell>
        </row>
        <row r="337">
          <cell r="C337" t="str">
            <v>==========</v>
          </cell>
          <cell r="E337" t="str">
            <v>==========</v>
          </cell>
        </row>
        <row r="339">
          <cell r="A339" t="str">
            <v>SCHEDULE 11 - RAW MATERIALS CONSUMED</v>
          </cell>
        </row>
        <row r="342">
          <cell r="A342" t="str">
            <v xml:space="preserve">  Opening Stock</v>
          </cell>
          <cell r="C342">
            <v>75275100</v>
          </cell>
          <cell r="E342">
            <v>37916231</v>
          </cell>
        </row>
        <row r="344">
          <cell r="A344" t="str">
            <v xml:space="preserve">  Add: Purchases</v>
          </cell>
          <cell r="C344">
            <v>175864627</v>
          </cell>
          <cell r="E344">
            <v>234289044</v>
          </cell>
        </row>
        <row r="345">
          <cell r="C345" t="str">
            <v>-------------------</v>
          </cell>
          <cell r="E345" t="str">
            <v>-------------------</v>
          </cell>
        </row>
        <row r="346">
          <cell r="C346">
            <v>251139727</v>
          </cell>
          <cell r="E346">
            <v>272205275</v>
          </cell>
        </row>
        <row r="348">
          <cell r="A348" t="str">
            <v xml:space="preserve">  Less: Sales (at cost)</v>
          </cell>
          <cell r="C348">
            <v>0</v>
          </cell>
          <cell r="E348">
            <v>43882230</v>
          </cell>
        </row>
        <row r="349">
          <cell r="C349" t="str">
            <v>-------------------</v>
          </cell>
          <cell r="E349" t="str">
            <v>-------------------</v>
          </cell>
        </row>
        <row r="350">
          <cell r="C350">
            <v>251139727</v>
          </cell>
          <cell r="E350">
            <v>228323045</v>
          </cell>
        </row>
        <row r="352">
          <cell r="A352" t="str">
            <v xml:space="preserve">  Less: Closing Stock</v>
          </cell>
          <cell r="C352">
            <v>51504986</v>
          </cell>
          <cell r="E352">
            <v>75275100</v>
          </cell>
        </row>
        <row r="353">
          <cell r="C353" t="str">
            <v>-------------------</v>
          </cell>
          <cell r="E353" t="str">
            <v>-------------------</v>
          </cell>
        </row>
        <row r="354">
          <cell r="C354">
            <v>199634741</v>
          </cell>
          <cell r="E354">
            <v>153047945</v>
          </cell>
        </row>
        <row r="355">
          <cell r="C355" t="str">
            <v>===========</v>
          </cell>
          <cell r="E355" t="str">
            <v>===========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Projections"/>
      <sheetName val="FORM II - OP STAT"/>
      <sheetName val="FORM III"/>
      <sheetName val="FORM IV"/>
      <sheetName val="ABF"/>
      <sheetName val="FORM VI"/>
      <sheetName val="Perf. Indicators"/>
      <sheetName val="capex (2)"/>
      <sheetName val="Projections (2)"/>
      <sheetName val="FORM II - OP STAT (2)"/>
      <sheetName val="FORM III (2)"/>
      <sheetName val="FORM IV (2)"/>
      <sheetName val="ABF (2)"/>
      <sheetName val="FORM VI (2)"/>
      <sheetName val="Perf. Indicators (2)"/>
      <sheetName val="consolidated"/>
      <sheetName val="FORM II - OP STAT (3)"/>
      <sheetName val="FORM III (3)"/>
      <sheetName val="FORM IV (3)"/>
      <sheetName val="ABF (3)"/>
      <sheetName val="FORM VI (3)"/>
      <sheetName val="Perf. Indicators (3)"/>
      <sheetName val="Projections _2_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 KEYFIG"/>
      <sheetName val="INPUT"/>
      <sheetName val="Chart2"/>
      <sheetName val="3a SHIPPROC"/>
      <sheetName val="3 help"/>
      <sheetName val="3 INPUT"/>
      <sheetName val="3b SHIPPROC"/>
      <sheetName val="4 CUST"/>
      <sheetName val="6 Input"/>
      <sheetName val="6.2 StthomFD"/>
      <sheetName val="6.3 StthomPS"/>
      <sheetName val="6.4 stock dev"/>
      <sheetName val="Voorr data"/>
      <sheetName val="Sheets"/>
      <sheetName val="History data"/>
    </sheetNames>
    <sheetDataSet>
      <sheetData sheetId="0"/>
      <sheetData sheetId="1"/>
      <sheetData sheetId="2" refreshError="1">
        <row r="22">
          <cell r="C22">
            <v>3258.4595976784603</v>
          </cell>
          <cell r="D22">
            <v>3365.7513919708131</v>
          </cell>
          <cell r="E22">
            <v>3331.5454392819383</v>
          </cell>
          <cell r="F22">
            <v>3033.0488131378447</v>
          </cell>
          <cell r="G22">
            <v>2467.7021931197846</v>
          </cell>
          <cell r="H22">
            <v>2987.5301196618429</v>
          </cell>
          <cell r="I22">
            <v>1850.4022761615638</v>
          </cell>
          <cell r="J22">
            <v>587.12807039038705</v>
          </cell>
          <cell r="K22">
            <v>2679.2000762350763</v>
          </cell>
          <cell r="L22">
            <v>1452.4370266505121</v>
          </cell>
          <cell r="M22">
            <v>1449.3740101919036</v>
          </cell>
          <cell r="N22">
            <v>193.777765676972</v>
          </cell>
        </row>
        <row r="33">
          <cell r="C33">
            <v>1695.8786310362977</v>
          </cell>
          <cell r="D33">
            <v>1584.3476219647775</v>
          </cell>
          <cell r="E33">
            <v>2248.4050523889259</v>
          </cell>
          <cell r="F33">
            <v>1755.5448092385113</v>
          </cell>
          <cell r="G33">
            <v>2231.4335406119681</v>
          </cell>
          <cell r="H33">
            <v>844.15574094141232</v>
          </cell>
          <cell r="I33">
            <v>600.84232024177413</v>
          </cell>
          <cell r="J33">
            <v>-620.03098609753556</v>
          </cell>
          <cell r="K33">
            <v>-7.0501562789477745</v>
          </cell>
        </row>
        <row r="35">
          <cell r="C35">
            <v>2973.494697578175</v>
          </cell>
          <cell r="D35">
            <v>1663.6989440534371</v>
          </cell>
          <cell r="E35">
            <v>2704.2396685589301</v>
          </cell>
          <cell r="F35">
            <v>3096.4918251494073</v>
          </cell>
          <cell r="G35">
            <v>2012.8102155002243</v>
          </cell>
          <cell r="H35">
            <v>1229.5356467048748</v>
          </cell>
          <cell r="I35">
            <v>1718.68803063924</v>
          </cell>
          <cell r="J35">
            <v>272.94879997821852</v>
          </cell>
          <cell r="K35">
            <v>1625.5723302975437</v>
          </cell>
        </row>
      </sheetData>
      <sheetData sheetId="3" refreshError="1"/>
      <sheetData sheetId="4"/>
      <sheetData sheetId="5"/>
      <sheetData sheetId="6" refreshError="1">
        <row r="34">
          <cell r="S34">
            <v>6.6577314998360002</v>
          </cell>
          <cell r="T34">
            <v>6.0822050679103334</v>
          </cell>
          <cell r="U34">
            <v>5.896758444734334</v>
          </cell>
          <cell r="V34">
            <v>5.1664207902010011</v>
          </cell>
          <cell r="W34">
            <v>5.3833333333333337</v>
          </cell>
          <cell r="X34">
            <v>5.4043251325013335</v>
          </cell>
          <cell r="Y34">
            <v>5.6449680520183341</v>
          </cell>
          <cell r="Z34">
            <v>5.6215682749806675</v>
          </cell>
          <cell r="AA34">
            <v>6.1424617549711975</v>
          </cell>
          <cell r="AB34">
            <v>6.0430285297292388</v>
          </cell>
          <cell r="AC34">
            <v>5.9529465712088374</v>
          </cell>
          <cell r="AD34">
            <v>5.2228371096787969</v>
          </cell>
          <cell r="AE34">
            <v>4.9979553587850845</v>
          </cell>
          <cell r="AF34">
            <v>5.0290339289580004</v>
          </cell>
          <cell r="AG34">
            <v>4.9538802642509996</v>
          </cell>
        </row>
        <row r="35">
          <cell r="S35">
            <v>11.192760016723334</v>
          </cell>
          <cell r="T35">
            <v>11.36428212101</v>
          </cell>
          <cell r="U35">
            <v>10.61010550964</v>
          </cell>
          <cell r="V35">
            <v>9.2805662277219998</v>
          </cell>
          <cell r="W35">
            <v>10.210000000000001</v>
          </cell>
          <cell r="X35">
            <v>9.6897436484879993</v>
          </cell>
          <cell r="Y35">
            <v>10.055927863321001</v>
          </cell>
          <cell r="Z35">
            <v>9.8926672045216666</v>
          </cell>
          <cell r="AA35">
            <v>10.536038456512966</v>
          </cell>
          <cell r="AB35">
            <v>10.673747604709058</v>
          </cell>
          <cell r="AC35">
            <v>10.384117750991432</v>
          </cell>
          <cell r="AD35">
            <v>10.534359394185552</v>
          </cell>
          <cell r="AE35">
            <v>9.8641447048517037</v>
          </cell>
          <cell r="AF35">
            <v>10.024693886510001</v>
          </cell>
          <cell r="AG35">
            <v>9.4617119625750004</v>
          </cell>
        </row>
        <row r="36">
          <cell r="S36">
            <v>6.8089195869949997</v>
          </cell>
          <cell r="T36">
            <v>6.7160046002703337</v>
          </cell>
          <cell r="U36">
            <v>6.4400866167436668</v>
          </cell>
          <cell r="V36">
            <v>6.2591932351066673</v>
          </cell>
          <cell r="W36">
            <v>6.18</v>
          </cell>
          <cell r="X36">
            <v>6.7202549610876661</v>
          </cell>
          <cell r="Y36">
            <v>6.9743765619356664</v>
          </cell>
          <cell r="Z36">
            <v>6.8056800950870011</v>
          </cell>
          <cell r="AA36">
            <v>7.3482679449256745</v>
          </cell>
          <cell r="AB36">
            <v>7.4416501297512392</v>
          </cell>
          <cell r="AC36">
            <v>6.8899074922909591</v>
          </cell>
          <cell r="AD36">
            <v>6.6520132406258714</v>
          </cell>
          <cell r="AE36">
            <v>6.6077707480462555</v>
          </cell>
          <cell r="AF36">
            <v>6.1004326494679999</v>
          </cell>
          <cell r="AG36">
            <v>6.3486855490709999</v>
          </cell>
        </row>
        <row r="37">
          <cell r="S37">
            <v>8.0605680527976684</v>
          </cell>
          <cell r="T37">
            <v>7.1709201812883334</v>
          </cell>
          <cell r="U37">
            <v>7.3220847264840003</v>
          </cell>
          <cell r="V37">
            <v>6.6579472955156662</v>
          </cell>
          <cell r="W37">
            <v>6.8558208333333335</v>
          </cell>
          <cell r="X37">
            <v>7.0549358824196666</v>
          </cell>
          <cell r="Y37">
            <v>7.3025665505580006</v>
          </cell>
          <cell r="Z37">
            <v>7.6153172373213343</v>
          </cell>
          <cell r="AA37">
            <v>8.6173236276388394</v>
          </cell>
          <cell r="AB37">
            <v>8.7695068130170988</v>
          </cell>
          <cell r="AC37">
            <v>8.3171710203003233</v>
          </cell>
          <cell r="AD37">
            <v>7.8290514924029546</v>
          </cell>
          <cell r="AE37">
            <v>8.0855828559889442</v>
          </cell>
          <cell r="AF37">
            <v>8.1088942799249999</v>
          </cell>
          <cell r="AG37">
            <v>7.852326706545</v>
          </cell>
        </row>
        <row r="38">
          <cell r="S38">
            <v>8.604837455626333</v>
          </cell>
          <cell r="T38">
            <v>8.8568274422120012</v>
          </cell>
          <cell r="U38">
            <v>10.014062953284666</v>
          </cell>
          <cell r="V38">
            <v>7.821690202528667</v>
          </cell>
          <cell r="W38">
            <v>8.9066666666666681</v>
          </cell>
          <cell r="X38">
            <v>8.5670058531540008</v>
          </cell>
          <cell r="Y38">
            <v>8.7997061929309996</v>
          </cell>
          <cell r="Z38">
            <v>8.5030049908580008</v>
          </cell>
          <cell r="AA38">
            <v>9.6606960827146544</v>
          </cell>
          <cell r="AB38">
            <v>9.2424750372092106</v>
          </cell>
          <cell r="AC38">
            <v>9.2936335429489727</v>
          </cell>
          <cell r="AD38">
            <v>9.2040348101266147</v>
          </cell>
          <cell r="AE38">
            <v>8.9529585568775225</v>
          </cell>
          <cell r="AF38">
            <v>9.2417977970099994</v>
          </cell>
          <cell r="AG38">
            <v>9.0980686435029998</v>
          </cell>
        </row>
        <row r="40">
          <cell r="S40">
            <v>11488.3</v>
          </cell>
          <cell r="T40">
            <v>11205.779999999999</v>
          </cell>
          <cell r="U40">
            <v>10827.41</v>
          </cell>
          <cell r="V40">
            <v>11776.050000000001</v>
          </cell>
          <cell r="W40">
            <v>12782</v>
          </cell>
          <cell r="X40">
            <v>12957.21</v>
          </cell>
          <cell r="Y40">
            <v>10719.16</v>
          </cell>
          <cell r="Z40">
            <v>12437.99</v>
          </cell>
          <cell r="AA40">
            <v>11511.3</v>
          </cell>
          <cell r="AB40">
            <v>11456.119999999999</v>
          </cell>
          <cell r="AC40">
            <v>10816.64</v>
          </cell>
          <cell r="AD40">
            <v>11606.460000000001</v>
          </cell>
          <cell r="AE40">
            <v>14080.71</v>
          </cell>
          <cell r="AF40">
            <v>13591.34</v>
          </cell>
          <cell r="AG40">
            <v>12155.1</v>
          </cell>
        </row>
        <row r="41">
          <cell r="S41">
            <v>512.37</v>
          </cell>
          <cell r="T41">
            <v>556.08000000000004</v>
          </cell>
          <cell r="U41">
            <v>567.81999999999994</v>
          </cell>
          <cell r="V41">
            <v>687.28</v>
          </cell>
          <cell r="W41">
            <v>700</v>
          </cell>
          <cell r="X41">
            <v>770.63</v>
          </cell>
          <cell r="Y41">
            <v>583.54</v>
          </cell>
          <cell r="Z41">
            <v>667.06999999999994</v>
          </cell>
          <cell r="AA41">
            <v>688.56999999999994</v>
          </cell>
          <cell r="AB41">
            <v>730.6</v>
          </cell>
          <cell r="AC41">
            <v>735.79</v>
          </cell>
          <cell r="AD41">
            <v>610.75</v>
          </cell>
          <cell r="AE41">
            <v>719.81</v>
          </cell>
          <cell r="AF41">
            <v>683.57</v>
          </cell>
          <cell r="AG41">
            <v>718.24</v>
          </cell>
        </row>
        <row r="42">
          <cell r="S42">
            <v>1569.4</v>
          </cell>
          <cell r="T42">
            <v>1458.26</v>
          </cell>
          <cell r="U42">
            <v>1342.52</v>
          </cell>
          <cell r="V42">
            <v>1380.92</v>
          </cell>
          <cell r="W42">
            <v>1579</v>
          </cell>
          <cell r="X42">
            <v>1484.25</v>
          </cell>
          <cell r="Y42">
            <v>1301.6599999999999</v>
          </cell>
          <cell r="Z42">
            <v>1436.6599999999999</v>
          </cell>
          <cell r="AA42">
            <v>1389.3899999999999</v>
          </cell>
          <cell r="AB42">
            <v>1048.1600000000001</v>
          </cell>
          <cell r="AC42">
            <v>959.92000000000007</v>
          </cell>
          <cell r="AD42">
            <v>1141.94</v>
          </cell>
          <cell r="AE42">
            <v>1343.5</v>
          </cell>
          <cell r="AF42">
            <v>931.47</v>
          </cell>
          <cell r="AG42">
            <v>933.85</v>
          </cell>
        </row>
        <row r="43">
          <cell r="S43">
            <v>2120.9300000000003</v>
          </cell>
          <cell r="T43">
            <v>2344.58</v>
          </cell>
          <cell r="U43">
            <v>1770.48</v>
          </cell>
          <cell r="V43">
            <v>1860.75</v>
          </cell>
          <cell r="W43">
            <v>2881</v>
          </cell>
          <cell r="X43">
            <v>2686.1</v>
          </cell>
          <cell r="Y43">
            <v>2445.9699999999998</v>
          </cell>
          <cell r="Z43">
            <v>2570.11</v>
          </cell>
          <cell r="AA43">
            <v>2700.82</v>
          </cell>
          <cell r="AB43">
            <v>2279.46</v>
          </cell>
          <cell r="AC43">
            <v>2116.2399999999998</v>
          </cell>
          <cell r="AD43">
            <v>1722.39</v>
          </cell>
          <cell r="AE43">
            <v>2623.89</v>
          </cell>
          <cell r="AF43">
            <v>2151.7199999999998</v>
          </cell>
          <cell r="AG43">
            <v>2273.6</v>
          </cell>
        </row>
        <row r="44">
          <cell r="S44">
            <v>375.12</v>
          </cell>
          <cell r="T44">
            <v>558.45000000000005</v>
          </cell>
          <cell r="U44">
            <v>632.52</v>
          </cell>
          <cell r="V44">
            <v>493.09000000000003</v>
          </cell>
          <cell r="W44">
            <v>610</v>
          </cell>
          <cell r="X44">
            <v>462.62</v>
          </cell>
          <cell r="Y44">
            <v>616.77</v>
          </cell>
          <cell r="Z44">
            <v>529.55000000000007</v>
          </cell>
          <cell r="AA44">
            <v>549.36</v>
          </cell>
          <cell r="AB44">
            <v>692.03</v>
          </cell>
          <cell r="AC44">
            <v>602.69000000000005</v>
          </cell>
          <cell r="AD44">
            <v>505.59999999999997</v>
          </cell>
          <cell r="AE44">
            <v>643.04999999999995</v>
          </cell>
          <cell r="AF44">
            <v>508.4</v>
          </cell>
          <cell r="AG44">
            <v>659.64</v>
          </cell>
        </row>
        <row r="53">
          <cell r="AG53">
            <v>13067</v>
          </cell>
        </row>
        <row r="54">
          <cell r="AG54">
            <v>725</v>
          </cell>
        </row>
        <row r="56">
          <cell r="AG56">
            <v>2527</v>
          </cell>
        </row>
        <row r="57">
          <cell r="AG57">
            <v>596</v>
          </cell>
        </row>
      </sheetData>
      <sheetData sheetId="7"/>
      <sheetData sheetId="8"/>
      <sheetData sheetId="9" refreshError="1">
        <row r="3">
          <cell r="B3">
            <v>3704</v>
          </cell>
          <cell r="C3">
            <v>2676</v>
          </cell>
          <cell r="D3">
            <v>3368</v>
          </cell>
          <cell r="F3">
            <v>4397</v>
          </cell>
          <cell r="G3">
            <v>4802</v>
          </cell>
          <cell r="H3">
            <v>4234</v>
          </cell>
          <cell r="I3">
            <v>3957</v>
          </cell>
          <cell r="J3">
            <v>3933</v>
          </cell>
          <cell r="K3">
            <v>3347</v>
          </cell>
          <cell r="L3">
            <v>3520</v>
          </cell>
          <cell r="M3">
            <v>3385</v>
          </cell>
          <cell r="N3">
            <v>3742.5</v>
          </cell>
          <cell r="O3">
            <v>3722</v>
          </cell>
          <cell r="P3">
            <v>3108</v>
          </cell>
          <cell r="R3">
            <v>3841.3461538461538</v>
          </cell>
          <cell r="S3">
            <v>3919</v>
          </cell>
        </row>
        <row r="4">
          <cell r="B4">
            <v>2487</v>
          </cell>
          <cell r="C4">
            <v>1807</v>
          </cell>
          <cell r="D4">
            <v>2162</v>
          </cell>
          <cell r="F4">
            <v>3240</v>
          </cell>
          <cell r="G4">
            <v>3932</v>
          </cell>
          <cell r="H4">
            <v>3393</v>
          </cell>
          <cell r="I4">
            <v>2639</v>
          </cell>
          <cell r="J4">
            <v>2165</v>
          </cell>
          <cell r="K4">
            <v>1953</v>
          </cell>
          <cell r="L4">
            <v>1989</v>
          </cell>
          <cell r="M4">
            <v>1818</v>
          </cell>
          <cell r="N4">
            <v>2086.6999999999998</v>
          </cell>
          <cell r="O4">
            <v>2594</v>
          </cell>
          <cell r="P4">
            <v>2474</v>
          </cell>
          <cell r="R4">
            <v>2307.6923076923076</v>
          </cell>
          <cell r="S4">
            <v>1918</v>
          </cell>
        </row>
        <row r="55">
          <cell r="F55">
            <v>80.2</v>
          </cell>
          <cell r="G55">
            <v>74.900000000000006</v>
          </cell>
          <cell r="H55">
            <v>71.599999999999994</v>
          </cell>
          <cell r="I55">
            <v>67</v>
          </cell>
          <cell r="J55">
            <v>41.9</v>
          </cell>
          <cell r="K55">
            <v>40.200000000000003</v>
          </cell>
          <cell r="L55">
            <v>39</v>
          </cell>
          <cell r="M55">
            <v>39</v>
          </cell>
          <cell r="N55">
            <v>39</v>
          </cell>
        </row>
      </sheetData>
      <sheetData sheetId="10"/>
      <sheetData sheetId="11"/>
      <sheetData sheetId="12"/>
      <sheetData sheetId="13" refreshError="1">
        <row r="61">
          <cell r="C61">
            <v>3704</v>
          </cell>
          <cell r="D61">
            <v>2676</v>
          </cell>
          <cell r="E61">
            <v>3368</v>
          </cell>
          <cell r="G61">
            <v>4397</v>
          </cell>
          <cell r="H61">
            <v>4802</v>
          </cell>
          <cell r="I61">
            <v>4234</v>
          </cell>
          <cell r="J61">
            <v>3957</v>
          </cell>
          <cell r="K61">
            <v>3933</v>
          </cell>
          <cell r="L61">
            <v>3347</v>
          </cell>
          <cell r="M61">
            <v>3520</v>
          </cell>
          <cell r="N61">
            <v>3385</v>
          </cell>
          <cell r="O61">
            <v>3750.2</v>
          </cell>
          <cell r="P61">
            <v>3722</v>
          </cell>
          <cell r="Q61">
            <v>3108</v>
          </cell>
          <cell r="S61">
            <v>0</v>
          </cell>
          <cell r="T61">
            <v>3919</v>
          </cell>
        </row>
        <row r="74">
          <cell r="C74">
            <v>3704</v>
          </cell>
          <cell r="D74">
            <v>2676</v>
          </cell>
          <cell r="E74">
            <v>3368</v>
          </cell>
          <cell r="G74">
            <v>4397</v>
          </cell>
          <cell r="H74">
            <v>4802</v>
          </cell>
          <cell r="I74">
            <v>4234</v>
          </cell>
          <cell r="J74">
            <v>3957</v>
          </cell>
          <cell r="K74">
            <v>3933</v>
          </cell>
          <cell r="L74">
            <v>3347</v>
          </cell>
          <cell r="M74">
            <v>3520</v>
          </cell>
          <cell r="N74">
            <v>3385</v>
          </cell>
          <cell r="O74">
            <v>3750.2</v>
          </cell>
          <cell r="P74">
            <v>3722</v>
          </cell>
          <cell r="Q74">
            <v>3108</v>
          </cell>
          <cell r="S74">
            <v>3919</v>
          </cell>
          <cell r="T74">
            <v>0</v>
          </cell>
        </row>
        <row r="75">
          <cell r="C75">
            <v>2487</v>
          </cell>
          <cell r="D75">
            <v>1807</v>
          </cell>
          <cell r="E75">
            <v>2162</v>
          </cell>
          <cell r="G75">
            <v>3240</v>
          </cell>
          <cell r="H75">
            <v>3932</v>
          </cell>
          <cell r="I75">
            <v>3393</v>
          </cell>
          <cell r="J75">
            <v>2639</v>
          </cell>
          <cell r="K75">
            <v>2165</v>
          </cell>
          <cell r="L75">
            <v>1953</v>
          </cell>
          <cell r="M75">
            <v>1989</v>
          </cell>
          <cell r="N75">
            <v>1818</v>
          </cell>
          <cell r="O75">
            <v>2123.1999999999998</v>
          </cell>
          <cell r="P75">
            <v>2594</v>
          </cell>
          <cell r="Q75">
            <v>2473.5</v>
          </cell>
          <cell r="S75">
            <v>1918</v>
          </cell>
          <cell r="T75">
            <v>0</v>
          </cell>
        </row>
        <row r="76">
          <cell r="C76">
            <v>3786</v>
          </cell>
          <cell r="D76">
            <v>3315</v>
          </cell>
          <cell r="E76">
            <v>2160</v>
          </cell>
          <cell r="G76">
            <v>3020</v>
          </cell>
          <cell r="H76">
            <v>3457</v>
          </cell>
          <cell r="I76">
            <v>2756</v>
          </cell>
          <cell r="J76">
            <v>2887</v>
          </cell>
          <cell r="K76">
            <v>3079</v>
          </cell>
          <cell r="L76">
            <v>3432</v>
          </cell>
          <cell r="M76">
            <v>3689</v>
          </cell>
          <cell r="N76">
            <v>3831.5</v>
          </cell>
          <cell r="O76">
            <v>4128.9000000000005</v>
          </cell>
          <cell r="P76">
            <v>4180.7</v>
          </cell>
          <cell r="Q76">
            <v>3797.7400000000002</v>
          </cell>
          <cell r="S76">
            <v>2695</v>
          </cell>
          <cell r="T76">
            <v>0</v>
          </cell>
        </row>
      </sheetData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Managed_Plans"/>
      <sheetName val="REV_PROJ"/>
      <sheetName val="Price_Comparison"/>
      <sheetName val="AC_Cost_XC"/>
      <sheetName val="AC_Cost_KU"/>
      <sheetName val="PC_Cost_XC"/>
      <sheetName val="PC_Cost_Ku"/>
      <sheetName val="Margin"/>
      <sheetName val="Sheet1"/>
      <sheetName val="(Comtech)vs(HX)"/>
      <sheetName val="ENT_PLAN_Legacy"/>
      <sheetName val="market_AC"/>
      <sheetName val="PC_Market"/>
      <sheetName val="HW"/>
      <sheetName val="Quotation_HX_XC_Backup"/>
      <sheetName val="T&amp;C"/>
      <sheetName val="Sheet2"/>
      <sheetName val="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B12">
            <v>0.75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6" refreshError="1"/>
      <sheetData sheetId="7" refreshError="1">
        <row r="8">
          <cell r="B8">
            <v>0.75</v>
          </cell>
        </row>
        <row r="11">
          <cell r="B11">
            <v>0.5</v>
          </cell>
        </row>
        <row r="12">
          <cell r="B12">
            <v>0.65</v>
          </cell>
        </row>
        <row r="13">
          <cell r="B13">
            <v>0.27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說明"/>
      <sheetName val="個人資料"/>
      <sheetName val="Expense Report 範例"/>
      <sheetName val="Jan"/>
      <sheetName val="Feb"/>
      <sheetName val="Mar"/>
      <sheetName val="Apr"/>
      <sheetName val="May"/>
      <sheetName val="Jun"/>
      <sheetName val="Account List"/>
      <sheetName val="Account Code by Dept"/>
    </sheetNames>
    <sheetDataSet>
      <sheetData sheetId="0"/>
      <sheetData sheetId="1">
        <row r="3">
          <cell r="I3" t="str">
            <v>代碼</v>
          </cell>
          <cell r="J3" t="str">
            <v>會計科目</v>
          </cell>
          <cell r="L3" t="str">
            <v>會計科目</v>
          </cell>
        </row>
        <row r="4">
          <cell r="I4">
            <v>1</v>
          </cell>
          <cell r="K4" t="str">
            <v>什費 (含誤餐費, 部門員工餐費)</v>
          </cell>
          <cell r="L4" t="str">
            <v>6188-09</v>
          </cell>
        </row>
        <row r="5">
          <cell r="I5">
            <v>2</v>
          </cell>
          <cell r="K5" t="str">
            <v>快遞費 (含國內運費)</v>
          </cell>
          <cell r="L5" t="str">
            <v>6114-03</v>
          </cell>
        </row>
        <row r="6">
          <cell r="I6">
            <v>3</v>
          </cell>
          <cell r="K6" t="str">
            <v>修繕及材料費</v>
          </cell>
          <cell r="L6" t="str">
            <v>6116</v>
          </cell>
        </row>
        <row r="7">
          <cell r="I7">
            <v>4</v>
          </cell>
          <cell r="K7" t="str">
            <v>文具印刷 (含影印)</v>
          </cell>
          <cell r="L7" t="str">
            <v>6112</v>
          </cell>
        </row>
        <row r="8">
          <cell r="I8">
            <v>5</v>
          </cell>
          <cell r="K8" t="str">
            <v>書報雜誌</v>
          </cell>
          <cell r="L8" t="str">
            <v>6188-05</v>
          </cell>
        </row>
        <row r="9">
          <cell r="I9">
            <v>6</v>
          </cell>
          <cell r="K9" t="str">
            <v>實驗材料費</v>
          </cell>
          <cell r="L9" t="str">
            <v>6132-01</v>
          </cell>
        </row>
        <row r="10">
          <cell r="I10">
            <v>7</v>
          </cell>
          <cell r="K10" t="str">
            <v>檢驗費</v>
          </cell>
          <cell r="L10" t="str">
            <v>6132-02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tra(MS est.)"/>
      <sheetName val="Option Data"/>
      <sheetName val="Sheet1"/>
      <sheetName val="option step up"/>
      <sheetName val="Incentives"/>
      <sheetName val="Summary Rev. GM 2"/>
      <sheetName val="Summary Rev. OpM"/>
      <sheetName val="MGMT P&amp;L"/>
      <sheetName val="trading activity"/>
      <sheetName val="DCF OUTPUT"/>
      <sheetName val="DCF -Synergy"/>
      <sheetName val="DCF - Base"/>
      <sheetName val="street estimates"/>
      <sheetName val="Q3 Results"/>
      <sheetName val="premium"/>
      <sheetName val="New TM"/>
      <sheetName val="CAP Table"/>
      <sheetName val="Cash Outlay"/>
      <sheetName val="PFBS"/>
      <sheetName val="GAAP Adj"/>
      <sheetName val="Accretion Summary"/>
      <sheetName val="Revenue Recognition"/>
      <sheetName val="Dilution Inputs"/>
      <sheetName val="Qtrly Accretion Dilution"/>
      <sheetName val="PFE - 2006 (New)"/>
      <sheetName val="Fiscal Accretion Dilution"/>
      <sheetName val="Template"/>
      <sheetName val="__FDSCACHE__"/>
      <sheetName val="Inputs"/>
      <sheetName val="Sheet2"/>
      <sheetName val="Astra"/>
      <sheetName val="Blue - Street"/>
      <sheetName val="PF P&amp;L"/>
      <sheetName val="Blue P&amp;L"/>
      <sheetName val="PFE"/>
      <sheetName val="PFE - 2005"/>
      <sheetName val="PFE - 2006"/>
      <sheetName val="TM"/>
      <sheetName val="KM"/>
      <sheetName val="ER"/>
      <sheetName val="RC"/>
      <sheetName val="DEV-T"/>
      <sheetName val="DEVR-T"/>
      <sheetName val="AdditionalPrintCode"/>
      <sheetName val="MainPrintCode"/>
      <sheetName val="IA"/>
      <sheetName val="OM"/>
      <sheetName val="Co C"/>
      <sheetName val="CO D"/>
      <sheetName val="Blue - Base"/>
      <sheetName val="Blue - Synergy"/>
      <sheetName val="SV-T"/>
      <sheetName val="Factset"/>
      <sheetName val="PI"/>
      <sheetName val="PIR"/>
      <sheetName val="PFR"/>
      <sheetName val="DEV-NewCo"/>
      <sheetName val="PFR -AV Mult"/>
      <sheetName val="Co G"/>
      <sheetName val="Co H"/>
      <sheetName val="Co I"/>
      <sheetName val="Co J"/>
      <sheetName val="Co K"/>
      <sheetName val="Co L"/>
      <sheetName val="Options"/>
      <sheetName val="SI"/>
      <sheetName val="Stowe Acq."/>
      <sheetName val="Converts"/>
      <sheetName val="Macro De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4">
          <cell r="J14">
            <v>0.4</v>
          </cell>
        </row>
      </sheetData>
      <sheetData sheetId="23"/>
      <sheetData sheetId="24"/>
      <sheetData sheetId="25"/>
      <sheetData sheetId="26"/>
      <sheetData sheetId="27"/>
      <sheetData sheetId="28">
        <row r="8">
          <cell r="F8" t="str">
            <v>Project Blue</v>
          </cell>
        </row>
        <row r="14">
          <cell r="F14" t="str">
            <v>Blue</v>
          </cell>
          <cell r="L14">
            <v>0.32</v>
          </cell>
        </row>
        <row r="23">
          <cell r="L23">
            <v>28.5</v>
          </cell>
        </row>
        <row r="35">
          <cell r="J35">
            <v>21.51</v>
          </cell>
        </row>
        <row r="44">
          <cell r="J44">
            <v>15.69989</v>
          </cell>
        </row>
        <row r="66">
          <cell r="J66">
            <v>-161.57900000000001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">
          <cell r="H4">
            <v>78088</v>
          </cell>
          <cell r="I4">
            <v>3.0891685022026429</v>
          </cell>
          <cell r="J4">
            <v>241226.99</v>
          </cell>
        </row>
        <row r="5">
          <cell r="H5">
            <v>84703</v>
          </cell>
          <cell r="I5">
            <v>8.7322825637816823</v>
          </cell>
          <cell r="J5">
            <v>739650.5299999998</v>
          </cell>
        </row>
        <row r="6">
          <cell r="H6">
            <v>33841</v>
          </cell>
          <cell r="I6">
            <v>10.53</v>
          </cell>
          <cell r="J6">
            <v>356345.73</v>
          </cell>
        </row>
        <row r="7">
          <cell r="H7">
            <v>47540</v>
          </cell>
          <cell r="I7">
            <v>14</v>
          </cell>
          <cell r="J7">
            <v>665560</v>
          </cell>
        </row>
        <row r="8">
          <cell r="H8">
            <v>39820</v>
          </cell>
          <cell r="I8">
            <v>17.986815670517327</v>
          </cell>
          <cell r="J8">
            <v>716235</v>
          </cell>
        </row>
        <row r="9">
          <cell r="H9">
            <v>373127</v>
          </cell>
          <cell r="I9">
            <v>18.342686859969934</v>
          </cell>
          <cell r="J9">
            <v>6844151.7200000016</v>
          </cell>
        </row>
        <row r="10">
          <cell r="H10">
            <v>240418</v>
          </cell>
          <cell r="I10">
            <v>19.854147235231952</v>
          </cell>
          <cell r="J10">
            <v>4773294.3699999955</v>
          </cell>
        </row>
        <row r="11">
          <cell r="H11">
            <v>208000</v>
          </cell>
          <cell r="I11">
            <v>20.377091346153836</v>
          </cell>
          <cell r="J11">
            <v>4238434.9999999981</v>
          </cell>
        </row>
        <row r="12">
          <cell r="H12">
            <v>296800</v>
          </cell>
          <cell r="I12">
            <v>21.745977088948788</v>
          </cell>
          <cell r="J12">
            <v>6454206</v>
          </cell>
        </row>
        <row r="13">
          <cell r="H13">
            <v>2025</v>
          </cell>
          <cell r="I13">
            <v>23.937999999999633</v>
          </cell>
          <cell r="J13">
            <v>48474.449999999255</v>
          </cell>
        </row>
        <row r="14">
          <cell r="H14">
            <v>79546</v>
          </cell>
          <cell r="I14">
            <v>24.949683202172281</v>
          </cell>
          <cell r="J14">
            <v>1984647.4999999963</v>
          </cell>
        </row>
        <row r="15">
          <cell r="H15">
            <v>143000</v>
          </cell>
          <cell r="I15">
            <v>26.26</v>
          </cell>
          <cell r="J15">
            <v>3755180</v>
          </cell>
        </row>
        <row r="16">
          <cell r="H16">
            <v>316250</v>
          </cell>
          <cell r="I16">
            <v>29.48992885375494</v>
          </cell>
          <cell r="J16">
            <v>9326190</v>
          </cell>
        </row>
        <row r="17">
          <cell r="H17">
            <v>24500</v>
          </cell>
          <cell r="I17">
            <v>33.068367346938778</v>
          </cell>
          <cell r="J17">
            <v>810175.00000000012</v>
          </cell>
        </row>
        <row r="18">
          <cell r="H18">
            <v>126989</v>
          </cell>
          <cell r="I18">
            <v>38.298506169825735</v>
          </cell>
          <cell r="J18">
            <v>4863489</v>
          </cell>
        </row>
        <row r="19">
          <cell r="H19">
            <v>12150</v>
          </cell>
          <cell r="I19">
            <v>0</v>
          </cell>
          <cell r="J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</row>
      </sheetData>
      <sheetData sheetId="65"/>
      <sheetData sheetId="66"/>
      <sheetData sheetId="67"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</sheetData>
      <sheetData sheetId="6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Rollup"/>
      <sheetName val="Q4 Ending Full Time Headcount"/>
      <sheetName val="Q4 Ending Headcount"/>
      <sheetName val="BV and MM Expenses"/>
      <sheetName val="Temp Q2 Rollup"/>
      <sheetName val="Web Traffic Forecast Data"/>
      <sheetName val="Content Summary"/>
      <sheetName val="Collapsed Content Summary"/>
      <sheetName val="Content Calculations"/>
      <sheetName val="Summary P&amp;L"/>
      <sheetName val="Operating Expense Summary"/>
      <sheetName val="Forecast P&amp;L"/>
      <sheetName val="Balance Sheet"/>
      <sheetName val="Statment of Cash Flows"/>
      <sheetName val="Depreciation and Investment"/>
      <sheetName val="IT Charge Summary"/>
      <sheetName val="BV License Per User"/>
      <sheetName val="Summary P&amp;L for Rob"/>
      <sheetName val="Issues"/>
      <sheetName val="Q2-Q4 9 24 Revenue Forecast"/>
      <sheetName val="9 24 Visit Forecast"/>
      <sheetName val="9 24 Ad Revenue Forecast"/>
      <sheetName val="9 24 Incremental Revenue Models"/>
      <sheetName val="Fixed v Variable OpEx"/>
      <sheetName val="Q4 Exiting Headcount"/>
      <sheetName val="Q2-Q4 Hiring"/>
      <sheetName val="Q2-Q4 Hiring Dollars"/>
      <sheetName val="Quarterly Expense Out Services"/>
      <sheetName val="Quarterly Expense Marketing"/>
      <sheetName val="Quarterly Expense Acct Group"/>
      <sheetName val="Quarterly Expense Organization"/>
      <sheetName val="Q2-Q4 OpEx Variance Detail"/>
      <sheetName val="Forecast P&amp;L Var"/>
      <sheetName val="High Level Assumptions"/>
      <sheetName val="Q2-Q4 Existing Heads Dollars"/>
      <sheetName val="Q2-Q4 Hiring Summary"/>
      <sheetName val="Quarterly Headcount Summary"/>
      <sheetName val="Quarterly Expense Heads - Print"/>
      <sheetName val="Quarterly Expense Heads Pivot"/>
      <sheetName val="Forecast P&amp;L Against Plan"/>
      <sheetName val="Forecast P&amp;L Against Outlook"/>
      <sheetName val="Q4 Exiting Salaries"/>
      <sheetName val="Q2-Q2 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BASIC RATES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1.8"/>
      <sheetName val="22.8"/>
      <sheetName val="23.8"/>
      <sheetName val="24.8"/>
      <sheetName val="25.8"/>
      <sheetName val="26.8"/>
      <sheetName val="27.8"/>
      <sheetName val="9 Pavement Condition Survey"/>
      <sheetName val="10 Inventory of Culverts"/>
      <sheetName val="11 Condition survey of Culverts"/>
      <sheetName val="12 BBD Tests"/>
      <sheetName val="13 Bridge Inventory Survey"/>
      <sheetName val="14 Bridge Condition Survey"/>
      <sheetName val="15 Soil &amp; Material Investigatn"/>
      <sheetName val="16 Repair and Rehab Bridg"/>
      <sheetName val="17 Bridge Inspection Report"/>
      <sheetName val="18 SUMMARY OF HYDROLOGY"/>
      <sheetName val="19 SUMMARY OF CD STRUCTURE"/>
      <sheetName val="20 SUMMARY OF RESULTS"/>
      <sheetName val="21 PAVEMENT COMPOSITION "/>
      <sheetName val="22 RESULT SUMMARY SUBGRADE SOIL"/>
      <sheetName val="23 Field O D Surve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  <sheetName val="DESBAST"/>
      <sheetName val="Sheet1"/>
      <sheetName val="Labour"/>
      <sheetName val="Plant &amp;  Machinery"/>
      <sheetName val="Material"/>
      <sheetName val="water prop."/>
      <sheetName val="Sheet11"/>
      <sheetName val="int-Dia-pvc"/>
      <sheetName val="sh-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Summary"/>
      <sheetName val="Maintenance"/>
      <sheetName val="ProSum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titres"/>
      <sheetName val="Sommaire"/>
      <sheetName val="1. Hypoth"/>
      <sheetName val="5. Sensib"/>
      <sheetName val="ex"/>
      <sheetName val="10. Comm"/>
      <sheetName val="12. RH"/>
      <sheetName val="Feuil1"/>
    </sheetNames>
    <sheetDataSet>
      <sheetData sheetId="0" refreshError="1">
        <row r="1">
          <cell r="A1">
            <v>2015</v>
          </cell>
        </row>
        <row r="3">
          <cell r="A3" t="str">
            <v>EUR</v>
          </cell>
        </row>
        <row r="4">
          <cell r="A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Maint. Cost Sheet"/>
      <sheetName val="SCC spares Sheet "/>
      <sheetName val="Spares Costing Sheet"/>
      <sheetName val="Proposal  &amp; Term Sheet"/>
    </sheetNames>
    <sheetDataSet>
      <sheetData sheetId="0">
        <row r="5">
          <cell r="C5">
            <v>7</v>
          </cell>
        </row>
        <row r="6">
          <cell r="C6">
            <v>20</v>
          </cell>
        </row>
        <row r="7">
          <cell r="C7" t="str">
            <v>V</v>
          </cell>
        </row>
        <row r="13">
          <cell r="C13">
            <v>2</v>
          </cell>
        </row>
        <row r="17">
          <cell r="C17">
            <v>1.06</v>
          </cell>
        </row>
        <row r="23">
          <cell r="C23">
            <v>350000</v>
          </cell>
        </row>
        <row r="27">
          <cell r="C27">
            <v>4.5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"/>
      <sheetName val="GROUPINGS"/>
      <sheetName val="working"/>
      <sheetName val="windmill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SOF</v>
          </cell>
          <cell r="B2" t="str">
            <v>Sources of Funds</v>
          </cell>
          <cell r="F2" t="str">
            <v/>
          </cell>
        </row>
        <row r="3">
          <cell r="A3" t="str">
            <v>SOF1000</v>
          </cell>
          <cell r="B3" t="str">
            <v>Shareholders Funds</v>
          </cell>
          <cell r="F3" t="str">
            <v/>
          </cell>
        </row>
        <row r="4">
          <cell r="A4" t="str">
            <v>SOF1900</v>
          </cell>
          <cell r="B4" t="str">
            <v>11610000 Unappropriated Retained Earnings Prev yr</v>
          </cell>
          <cell r="C4">
            <v>-55101</v>
          </cell>
          <cell r="D4">
            <v>-55101</v>
          </cell>
          <cell r="E4">
            <v>0</v>
          </cell>
          <cell r="F4" t="str">
            <v xml:space="preserve">      0.0</v>
          </cell>
        </row>
        <row r="5">
          <cell r="A5" t="str">
            <v>SOF1900</v>
          </cell>
          <cell r="B5" t="str">
            <v>Total for Reserves &amp; Surplus</v>
          </cell>
          <cell r="C5">
            <v>-55101</v>
          </cell>
          <cell r="D5">
            <v>-55101</v>
          </cell>
          <cell r="E5">
            <v>0</v>
          </cell>
          <cell r="F5" t="str">
            <v xml:space="preserve">      0.0</v>
          </cell>
        </row>
        <row r="6">
          <cell r="A6" t="str">
            <v>PROFIT</v>
          </cell>
          <cell r="B6" t="str">
            <v>Profit during the Period</v>
          </cell>
          <cell r="C6">
            <v>-369458233.10000002</v>
          </cell>
          <cell r="D6">
            <v>-348235822.20999998</v>
          </cell>
          <cell r="E6">
            <v>-21222410.890000001</v>
          </cell>
          <cell r="F6" t="str">
            <v xml:space="preserve">      6.1-</v>
          </cell>
        </row>
        <row r="7">
          <cell r="A7" t="str">
            <v>SOF1000</v>
          </cell>
          <cell r="B7" t="str">
            <v>Total for Shareholders Funds</v>
          </cell>
          <cell r="C7">
            <v>-369513334.10000002</v>
          </cell>
          <cell r="D7">
            <v>-348290923.20999998</v>
          </cell>
          <cell r="E7">
            <v>-21222410.890000001</v>
          </cell>
          <cell r="F7" t="str">
            <v xml:space="preserve">      6.1-</v>
          </cell>
        </row>
        <row r="8">
          <cell r="A8" t="str">
            <v>SOF3000</v>
          </cell>
          <cell r="B8" t="str">
            <v>Loan Funds</v>
          </cell>
          <cell r="F8" t="str">
            <v/>
          </cell>
        </row>
        <row r="9">
          <cell r="A9" t="str">
            <v>SOF3137</v>
          </cell>
          <cell r="B9" t="str">
            <v>24520102 SBI - Commercial  Br. CC Receipt A/c</v>
          </cell>
          <cell r="C9">
            <v>4500000</v>
          </cell>
          <cell r="D9">
            <v>0</v>
          </cell>
          <cell r="E9">
            <v>4500000</v>
          </cell>
          <cell r="F9" t="str">
            <v/>
          </cell>
        </row>
        <row r="10">
          <cell r="A10" t="str">
            <v>SOF3137</v>
          </cell>
          <cell r="B10" t="str">
            <v>24520112 SBI - Nariman Point CC Receipt A/c 1246</v>
          </cell>
          <cell r="C10">
            <v>1800000</v>
          </cell>
          <cell r="D10">
            <v>0</v>
          </cell>
          <cell r="E10">
            <v>1800000</v>
          </cell>
          <cell r="F10" t="str">
            <v/>
          </cell>
        </row>
        <row r="11">
          <cell r="A11" t="str">
            <v>SOF3137</v>
          </cell>
          <cell r="B11" t="str">
            <v>24520302 PNB MUMBAI -CC-87-2030 Receipt A/c</v>
          </cell>
          <cell r="C11">
            <v>8685521</v>
          </cell>
          <cell r="D11">
            <v>0</v>
          </cell>
          <cell r="E11">
            <v>8685521</v>
          </cell>
          <cell r="F11" t="str">
            <v/>
          </cell>
        </row>
        <row r="12">
          <cell r="A12" t="str">
            <v>SOF3137</v>
          </cell>
          <cell r="B12" t="str">
            <v>Total for Banks</v>
          </cell>
          <cell r="C12">
            <v>14985521</v>
          </cell>
          <cell r="D12">
            <v>0</v>
          </cell>
          <cell r="E12">
            <v>14985521</v>
          </cell>
          <cell r="F12" t="str">
            <v/>
          </cell>
        </row>
        <row r="13">
          <cell r="A13" t="str">
            <v>SOF3130</v>
          </cell>
          <cell r="B13" t="str">
            <v>Total for Cash Credit</v>
          </cell>
          <cell r="C13">
            <v>14985521</v>
          </cell>
          <cell r="D13">
            <v>0</v>
          </cell>
          <cell r="E13">
            <v>14985521</v>
          </cell>
          <cell r="F13" t="str">
            <v/>
          </cell>
        </row>
        <row r="14">
          <cell r="A14" t="str">
            <v>SOF3100</v>
          </cell>
          <cell r="B14" t="str">
            <v>Total for Secured Loans</v>
          </cell>
          <cell r="C14">
            <v>14985521</v>
          </cell>
          <cell r="D14">
            <v>0</v>
          </cell>
          <cell r="E14">
            <v>14985521</v>
          </cell>
          <cell r="F14" t="str">
            <v/>
          </cell>
        </row>
        <row r="15">
          <cell r="A15" t="str">
            <v>SOF3000</v>
          </cell>
          <cell r="B15" t="str">
            <v>Total for Loan Funds</v>
          </cell>
          <cell r="C15">
            <v>14985521</v>
          </cell>
          <cell r="D15">
            <v>0</v>
          </cell>
          <cell r="E15">
            <v>14985521</v>
          </cell>
          <cell r="F15" t="str">
            <v/>
          </cell>
        </row>
        <row r="16">
          <cell r="A16" t="str">
            <v>SOF</v>
          </cell>
          <cell r="B16" t="str">
            <v>Total for Sources of Funds</v>
          </cell>
          <cell r="C16">
            <v>-354527813.10000002</v>
          </cell>
          <cell r="D16">
            <v>-348290923.20999998</v>
          </cell>
          <cell r="E16">
            <v>-6236889.8899999997</v>
          </cell>
          <cell r="F16" t="str">
            <v xml:space="preserve">      1.8-</v>
          </cell>
        </row>
        <row r="17">
          <cell r="A17" t="str">
            <v>AOF</v>
          </cell>
          <cell r="B17" t="str">
            <v>Application of Funds</v>
          </cell>
          <cell r="F17" t="str">
            <v/>
          </cell>
        </row>
        <row r="18">
          <cell r="A18" t="str">
            <v>AOF1000</v>
          </cell>
          <cell r="B18" t="str">
            <v>Fixed Assets</v>
          </cell>
          <cell r="F18" t="str">
            <v/>
          </cell>
        </row>
        <row r="19">
          <cell r="A19" t="str">
            <v>ACF1100</v>
          </cell>
          <cell r="B19" t="str">
            <v>21101000 Freehold Land</v>
          </cell>
          <cell r="C19">
            <v>8280000</v>
          </cell>
          <cell r="D19">
            <v>8280000</v>
          </cell>
          <cell r="E19">
            <v>0</v>
          </cell>
          <cell r="F19" t="str">
            <v xml:space="preserve">      0.0</v>
          </cell>
        </row>
        <row r="20">
          <cell r="A20" t="str">
            <v>ACF1100</v>
          </cell>
          <cell r="B20" t="str">
            <v>21103500 Continous Processing Plant</v>
          </cell>
          <cell r="C20">
            <v>368053845.12</v>
          </cell>
          <cell r="D20">
            <v>368053845.12</v>
          </cell>
          <cell r="E20">
            <v>0</v>
          </cell>
          <cell r="F20" t="str">
            <v xml:space="preserve">      0.0</v>
          </cell>
        </row>
        <row r="21">
          <cell r="A21" t="str">
            <v>ACF1100</v>
          </cell>
          <cell r="B21" t="str">
            <v>Total for Gross Block</v>
          </cell>
          <cell r="C21">
            <v>376333845.12</v>
          </cell>
          <cell r="D21">
            <v>376333845.12</v>
          </cell>
          <cell r="E21">
            <v>0</v>
          </cell>
          <cell r="F21" t="str">
            <v xml:space="preserve">      0.0</v>
          </cell>
        </row>
        <row r="22">
          <cell r="A22" t="str">
            <v>ACF1200</v>
          </cell>
          <cell r="B22" t="str">
            <v>21203500 Acc. Dep - Continous Processing Plant</v>
          </cell>
          <cell r="C22">
            <v>-8079195.9100000001</v>
          </cell>
          <cell r="D22">
            <v>-8079195.9100000001</v>
          </cell>
          <cell r="E22">
            <v>0</v>
          </cell>
          <cell r="F22" t="str">
            <v xml:space="preserve">      0.0</v>
          </cell>
        </row>
        <row r="23">
          <cell r="A23" t="str">
            <v>ACF1200</v>
          </cell>
          <cell r="B23" t="str">
            <v>Total for Less : Accoumulated Depreciation</v>
          </cell>
          <cell r="C23">
            <v>-8079195.9100000001</v>
          </cell>
          <cell r="D23">
            <v>-8079195.9100000001</v>
          </cell>
          <cell r="E23">
            <v>0</v>
          </cell>
          <cell r="F23" t="str">
            <v xml:space="preserve">      0.0</v>
          </cell>
        </row>
        <row r="24">
          <cell r="A24" t="str">
            <v>AOF1000</v>
          </cell>
          <cell r="B24" t="str">
            <v>Total for Fixed Assets</v>
          </cell>
          <cell r="C24">
            <v>368254649.20999998</v>
          </cell>
          <cell r="D24">
            <v>368254649.20999998</v>
          </cell>
          <cell r="E24">
            <v>0</v>
          </cell>
          <cell r="F24" t="str">
            <v xml:space="preserve">      0.0</v>
          </cell>
        </row>
        <row r="25">
          <cell r="A25" t="str">
            <v>AOF3000</v>
          </cell>
          <cell r="B25" t="str">
            <v>Current Assets, Loans &amp; Advances</v>
          </cell>
          <cell r="F25" t="str">
            <v/>
          </cell>
        </row>
        <row r="26">
          <cell r="A26" t="str">
            <v>AOF3121</v>
          </cell>
          <cell r="B26" t="str">
            <v>24430000 Debtors Control Acount - Domestic</v>
          </cell>
          <cell r="C26">
            <v>21426561</v>
          </cell>
          <cell r="D26">
            <v>15605347</v>
          </cell>
          <cell r="E26">
            <v>5821214</v>
          </cell>
          <cell r="F26" t="str">
            <v xml:space="preserve">     37.3</v>
          </cell>
        </row>
        <row r="27">
          <cell r="A27" t="str">
            <v>AOF3121</v>
          </cell>
          <cell r="B27" t="str">
            <v>Total for Domestic</v>
          </cell>
          <cell r="C27">
            <v>21426561</v>
          </cell>
          <cell r="D27">
            <v>15605347</v>
          </cell>
          <cell r="E27">
            <v>5821214</v>
          </cell>
          <cell r="F27" t="str">
            <v xml:space="preserve">     37.3</v>
          </cell>
        </row>
        <row r="28">
          <cell r="A28" t="str">
            <v>AOF3120</v>
          </cell>
          <cell r="B28" t="str">
            <v>Total for Sundry Debtors</v>
          </cell>
          <cell r="C28">
            <v>21426561</v>
          </cell>
          <cell r="D28">
            <v>15605347</v>
          </cell>
          <cell r="E28">
            <v>5821214</v>
          </cell>
          <cell r="F28" t="str">
            <v xml:space="preserve">     37.3</v>
          </cell>
        </row>
        <row r="29">
          <cell r="A29" t="str">
            <v>AOF3156</v>
          </cell>
          <cell r="B29" t="str">
            <v>24520202 ICICI -Roaming Receipt A/c</v>
          </cell>
          <cell r="C29">
            <v>635740</v>
          </cell>
          <cell r="D29">
            <v>54933</v>
          </cell>
          <cell r="E29">
            <v>580807</v>
          </cell>
          <cell r="F29" t="str">
            <v xml:space="preserve">  1,057.3</v>
          </cell>
        </row>
        <row r="30">
          <cell r="A30" t="str">
            <v>AOF3156</v>
          </cell>
          <cell r="B30" t="str">
            <v>Total for Balances with Schedule Banks</v>
          </cell>
          <cell r="C30">
            <v>635740</v>
          </cell>
          <cell r="D30">
            <v>54933</v>
          </cell>
          <cell r="E30">
            <v>580807</v>
          </cell>
          <cell r="F30" t="str">
            <v xml:space="preserve">  1,057.3</v>
          </cell>
        </row>
        <row r="31">
          <cell r="A31" t="str">
            <v>AOF3150</v>
          </cell>
          <cell r="B31" t="str">
            <v>Total for Cash &amp; Bank Balances</v>
          </cell>
          <cell r="C31">
            <v>635740</v>
          </cell>
          <cell r="D31">
            <v>54933</v>
          </cell>
          <cell r="E31">
            <v>580807</v>
          </cell>
          <cell r="F31" t="str">
            <v xml:space="preserve">  1,057.3</v>
          </cell>
        </row>
        <row r="32">
          <cell r="A32" t="str">
            <v>AOF3100</v>
          </cell>
          <cell r="B32" t="str">
            <v>Total for Currents Assets</v>
          </cell>
          <cell r="C32">
            <v>22062301</v>
          </cell>
          <cell r="D32">
            <v>15660280</v>
          </cell>
          <cell r="E32">
            <v>6402021</v>
          </cell>
          <cell r="F32" t="str">
            <v xml:space="preserve">     40.9</v>
          </cell>
        </row>
        <row r="33">
          <cell r="A33" t="str">
            <v>AOF3519</v>
          </cell>
          <cell r="B33" t="str">
            <v>24631000 Prepaid expenses</v>
          </cell>
          <cell r="C33">
            <v>-165131.10999999999</v>
          </cell>
          <cell r="D33">
            <v>0</v>
          </cell>
          <cell r="E33">
            <v>-165131.10999999999</v>
          </cell>
          <cell r="F33" t="str">
            <v/>
          </cell>
        </row>
        <row r="34">
          <cell r="A34" t="str">
            <v>AOF3519</v>
          </cell>
          <cell r="B34" t="str">
            <v>Total for Other - Advances</v>
          </cell>
          <cell r="C34">
            <v>-165131.10999999999</v>
          </cell>
          <cell r="D34">
            <v>0</v>
          </cell>
          <cell r="E34">
            <v>-165131.10999999999</v>
          </cell>
          <cell r="F34" t="str">
            <v/>
          </cell>
        </row>
        <row r="35">
          <cell r="A35" t="str">
            <v>ACF3510</v>
          </cell>
          <cell r="B35" t="str">
            <v>Total forAdvances Recoverable in Cash or Kind</v>
          </cell>
          <cell r="C35">
            <v>-165131.10999999999</v>
          </cell>
          <cell r="D35">
            <v>0</v>
          </cell>
          <cell r="E35">
            <v>-165131.10999999999</v>
          </cell>
          <cell r="F35" t="str">
            <v/>
          </cell>
        </row>
        <row r="36">
          <cell r="A36" t="str">
            <v>AOF3549</v>
          </cell>
          <cell r="B36" t="str">
            <v>24638500 Prepaid Expenses</v>
          </cell>
          <cell r="C36">
            <v>552830</v>
          </cell>
          <cell r="D36">
            <v>552830</v>
          </cell>
          <cell r="E36">
            <v>0</v>
          </cell>
          <cell r="F36" t="str">
            <v xml:space="preserve">      0.0</v>
          </cell>
        </row>
        <row r="37">
          <cell r="A37" t="str">
            <v>AOF3549</v>
          </cell>
          <cell r="B37" t="str">
            <v>Total for Other</v>
          </cell>
          <cell r="C37">
            <v>552830</v>
          </cell>
          <cell r="D37">
            <v>552830</v>
          </cell>
          <cell r="E37">
            <v>0</v>
          </cell>
          <cell r="F37" t="str">
            <v xml:space="preserve">      0.0</v>
          </cell>
        </row>
        <row r="38">
          <cell r="A38" t="str">
            <v>ACF3540 AO</v>
          </cell>
          <cell r="B38" t="str">
            <v>Total forBal with Customs,Excise &amp; Income Tax</v>
          </cell>
          <cell r="C38">
            <v>552830</v>
          </cell>
          <cell r="D38">
            <v>552830</v>
          </cell>
          <cell r="E38">
            <v>0</v>
          </cell>
          <cell r="F38" t="str">
            <v xml:space="preserve">      0.0</v>
          </cell>
        </row>
        <row r="39">
          <cell r="A39" t="str">
            <v>AOF3500</v>
          </cell>
          <cell r="B39" t="str">
            <v>Total for Loans &amp; Advances</v>
          </cell>
          <cell r="C39">
            <v>387698.89</v>
          </cell>
          <cell r="D39">
            <v>552830</v>
          </cell>
          <cell r="E39">
            <v>-165131.10999999999</v>
          </cell>
          <cell r="F39" t="str">
            <v xml:space="preserve">     29.9-</v>
          </cell>
        </row>
        <row r="40">
          <cell r="A40" t="str">
            <v>AOF3000</v>
          </cell>
          <cell r="B40" t="str">
            <v>Total for Current Assets, Loans &amp; Advances</v>
          </cell>
          <cell r="C40">
            <v>22449999.890000001</v>
          </cell>
          <cell r="D40">
            <v>16213110</v>
          </cell>
          <cell r="E40">
            <v>6236889.8899999997</v>
          </cell>
          <cell r="F40" t="str">
            <v xml:space="preserve">     38.5</v>
          </cell>
        </row>
        <row r="41">
          <cell r="A41" t="str">
            <v>AOF4000</v>
          </cell>
          <cell r="B41" t="str">
            <v>Current Liabilities &amp; Provisons</v>
          </cell>
          <cell r="F41" t="str">
            <v/>
          </cell>
        </row>
        <row r="42">
          <cell r="A42" t="str">
            <v>AOF4116</v>
          </cell>
          <cell r="B42" t="str">
            <v>13101610 Creditors Control Account - Domestic Capital Purch</v>
          </cell>
          <cell r="C42">
            <v>-36176836</v>
          </cell>
          <cell r="D42">
            <v>-36176836</v>
          </cell>
          <cell r="E42">
            <v>0</v>
          </cell>
          <cell r="F42" t="str">
            <v xml:space="preserve">      0.0</v>
          </cell>
        </row>
        <row r="43">
          <cell r="A43" t="str">
            <v>AOF4116</v>
          </cell>
          <cell r="B43" t="str">
            <v>Total for Capital</v>
          </cell>
          <cell r="C43">
            <v>-36176836</v>
          </cell>
          <cell r="D43">
            <v>-36176836</v>
          </cell>
          <cell r="E43">
            <v>0</v>
          </cell>
          <cell r="F43" t="str">
            <v xml:space="preserve">      0.0</v>
          </cell>
        </row>
        <row r="44">
          <cell r="A44" t="str">
            <v>AOF4110</v>
          </cell>
          <cell r="B44" t="str">
            <v>Total for Creditors</v>
          </cell>
          <cell r="C44">
            <v>-36176836</v>
          </cell>
          <cell r="D44">
            <v>-36176836</v>
          </cell>
          <cell r="E44">
            <v>0</v>
          </cell>
          <cell r="F44" t="str">
            <v xml:space="preserve">      0.0</v>
          </cell>
        </row>
        <row r="45">
          <cell r="A45" t="str">
            <v>AOF4100</v>
          </cell>
          <cell r="B45" t="str">
            <v>Total for Liabilities</v>
          </cell>
          <cell r="C45">
            <v>-36176836</v>
          </cell>
          <cell r="D45">
            <v>-36176836</v>
          </cell>
          <cell r="E45">
            <v>0</v>
          </cell>
          <cell r="F45" t="str">
            <v xml:space="preserve">      0.0</v>
          </cell>
        </row>
        <row r="46">
          <cell r="A46" t="str">
            <v>AOF4000</v>
          </cell>
          <cell r="B46" t="str">
            <v>Total for Current Liabilities &amp; Provisons</v>
          </cell>
          <cell r="C46">
            <v>-36176836</v>
          </cell>
          <cell r="D46">
            <v>-36176836</v>
          </cell>
          <cell r="E46">
            <v>0</v>
          </cell>
          <cell r="F46" t="str">
            <v xml:space="preserve">      0.0</v>
          </cell>
        </row>
        <row r="47">
          <cell r="A47" t="str">
            <v>AOF</v>
          </cell>
          <cell r="B47" t="str">
            <v>Total for Assets</v>
          </cell>
          <cell r="C47">
            <v>354527813.10000002</v>
          </cell>
          <cell r="D47">
            <v>348290923.20999998</v>
          </cell>
          <cell r="E47">
            <v>6236889.8899999997</v>
          </cell>
          <cell r="F47" t="str">
            <v xml:space="preserve">      1.8</v>
          </cell>
        </row>
        <row r="48">
          <cell r="A48" t="str">
            <v>SAL900</v>
          </cell>
          <cell r="B48" t="str">
            <v>46100000 Sale of Electricity- MSEDCL</v>
          </cell>
          <cell r="C48">
            <v>-37031908</v>
          </cell>
          <cell r="D48">
            <v>-15605347</v>
          </cell>
          <cell r="E48">
            <v>-21426561</v>
          </cell>
          <cell r="F48" t="str">
            <v xml:space="preserve">    137.3-</v>
          </cell>
        </row>
        <row r="49">
          <cell r="A49" t="str">
            <v>SAL900</v>
          </cell>
          <cell r="B49" t="str">
            <v>Total for Other Sales</v>
          </cell>
          <cell r="C49">
            <v>-37031908</v>
          </cell>
          <cell r="D49">
            <v>-15605347</v>
          </cell>
          <cell r="E49">
            <v>-21426561</v>
          </cell>
          <cell r="F49" t="str">
            <v xml:space="preserve">    137.3-</v>
          </cell>
        </row>
        <row r="50">
          <cell r="A50" t="str">
            <v>SAL</v>
          </cell>
          <cell r="B50" t="str">
            <v>Total Net Sales</v>
          </cell>
          <cell r="C50">
            <v>-37031908</v>
          </cell>
          <cell r="D50">
            <v>-15605347</v>
          </cell>
          <cell r="E50">
            <v>-21426561</v>
          </cell>
          <cell r="F50" t="str">
            <v xml:space="preserve">    137.3-</v>
          </cell>
        </row>
        <row r="51">
          <cell r="A51" t="str">
            <v>INC</v>
          </cell>
          <cell r="B51" t="str">
            <v>Grand Total for Income</v>
          </cell>
          <cell r="C51">
            <v>-37031908</v>
          </cell>
          <cell r="D51">
            <v>-15605347</v>
          </cell>
          <cell r="E51">
            <v>-21426561</v>
          </cell>
          <cell r="F51" t="str">
            <v xml:space="preserve">    137.3-</v>
          </cell>
        </row>
        <row r="52">
          <cell r="A52" t="str">
            <v>OTH100</v>
          </cell>
          <cell r="B52" t="str">
            <v>58080000 Insurance Charges</v>
          </cell>
          <cell r="C52">
            <v>267440.11</v>
          </cell>
          <cell r="D52">
            <v>102309</v>
          </cell>
          <cell r="E52">
            <v>165131.10999999999</v>
          </cell>
          <cell r="F52" t="str">
            <v xml:space="preserve">    161.4</v>
          </cell>
        </row>
        <row r="53">
          <cell r="A53" t="str">
            <v>OTH100</v>
          </cell>
          <cell r="B53" t="str">
            <v>Total for Insurance Charges</v>
          </cell>
          <cell r="C53">
            <v>267440.11</v>
          </cell>
          <cell r="D53">
            <v>102309</v>
          </cell>
          <cell r="E53">
            <v>165131.10999999999</v>
          </cell>
          <cell r="F53" t="str">
            <v xml:space="preserve">    161.4</v>
          </cell>
        </row>
        <row r="54">
          <cell r="A54" t="str">
            <v>OTH</v>
          </cell>
          <cell r="B54" t="str">
            <v>Total for Other Administrative Expenses</v>
          </cell>
          <cell r="C54">
            <v>267440.11</v>
          </cell>
          <cell r="D54">
            <v>102309</v>
          </cell>
          <cell r="E54">
            <v>165131.10999999999</v>
          </cell>
          <cell r="F54" t="str">
            <v xml:space="preserve">    161.4</v>
          </cell>
        </row>
        <row r="55">
          <cell r="A55" t="str">
            <v>FIN700</v>
          </cell>
          <cell r="B55" t="str">
            <v>58031250 Bank Charges - Otherss</v>
          </cell>
          <cell r="C55">
            <v>39187</v>
          </cell>
          <cell r="D55">
            <v>168</v>
          </cell>
          <cell r="E55">
            <v>39019</v>
          </cell>
          <cell r="F55" t="str">
            <v xml:space="preserve"> 23,225.6</v>
          </cell>
        </row>
        <row r="56">
          <cell r="A56" t="str">
            <v>FIN700</v>
          </cell>
          <cell r="B56" t="str">
            <v>Total for Bank Charges</v>
          </cell>
          <cell r="C56">
            <v>39187</v>
          </cell>
          <cell r="D56">
            <v>168</v>
          </cell>
          <cell r="E56">
            <v>39019</v>
          </cell>
          <cell r="F56" t="str">
            <v xml:space="preserve"> 23,225.6</v>
          </cell>
        </row>
        <row r="57">
          <cell r="A57" t="str">
            <v>FIN</v>
          </cell>
          <cell r="B57" t="str">
            <v>Total for Interest &amp; Financial Charges</v>
          </cell>
          <cell r="C57">
            <v>39187</v>
          </cell>
          <cell r="D57">
            <v>168</v>
          </cell>
          <cell r="E57">
            <v>39019</v>
          </cell>
          <cell r="F57" t="str">
            <v xml:space="preserve"> 23,225.6</v>
          </cell>
        </row>
        <row r="58">
          <cell r="A58" t="str">
            <v>DEP</v>
          </cell>
          <cell r="B58" t="str">
            <v>58052500 Depriciation Continous Processing Plant</v>
          </cell>
          <cell r="C58">
            <v>4845000.3</v>
          </cell>
          <cell r="D58">
            <v>4845000.3</v>
          </cell>
          <cell r="E58">
            <v>0</v>
          </cell>
          <cell r="F58" t="str">
            <v xml:space="preserve">      0.0</v>
          </cell>
        </row>
        <row r="59">
          <cell r="A59" t="str">
            <v>DEP</v>
          </cell>
          <cell r="B59" t="str">
            <v>Total for Depreciation</v>
          </cell>
          <cell r="C59">
            <v>4845000.3</v>
          </cell>
          <cell r="D59">
            <v>4845000.3</v>
          </cell>
          <cell r="E59">
            <v>0</v>
          </cell>
          <cell r="F59" t="str">
            <v xml:space="preserve">      0.0</v>
          </cell>
        </row>
        <row r="60">
          <cell r="A60" t="str">
            <v>EXP</v>
          </cell>
          <cell r="B60" t="str">
            <v>Grand Total for Expenses</v>
          </cell>
          <cell r="C60">
            <v>5151627.41</v>
          </cell>
          <cell r="D60">
            <v>4947477.3</v>
          </cell>
          <cell r="E60">
            <v>204150.11</v>
          </cell>
          <cell r="F60" t="str">
            <v xml:space="preserve">      4.1</v>
          </cell>
        </row>
        <row r="61">
          <cell r="A61" t="str">
            <v>P/L</v>
          </cell>
          <cell r="B61" t="str">
            <v>Profit / (Loss)</v>
          </cell>
          <cell r="C61">
            <v>31880280.59</v>
          </cell>
          <cell r="D61">
            <v>10657869.699999999</v>
          </cell>
          <cell r="E61">
            <v>21222410.890000001</v>
          </cell>
          <cell r="F61" t="str">
            <v xml:space="preserve">    199.1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smry"/>
      <sheetName val="icici"/>
      <sheetName val="PLR"/>
      <sheetName val="secu"/>
      <sheetName val="due_dts"/>
      <sheetName val="98-9"/>
      <sheetName val="pr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ssump"/>
      <sheetName val="Tariff"/>
      <sheetName val="ROE"/>
      <sheetName val="Dividend IRR"/>
      <sheetName val="Project IRR"/>
      <sheetName val="DSCR"/>
      <sheetName val="Dep"/>
      <sheetName val="Debt"/>
      <sheetName val="cashflow"/>
      <sheetName val="PL"/>
      <sheetName val="BS"/>
      <sheetName val="Phasing"/>
      <sheetName val="WC"/>
      <sheetName val="Tax"/>
      <sheetName val="Reserves"/>
      <sheetName val="Module1"/>
      <sheetName val="Module2"/>
      <sheetName val="Module3"/>
      <sheetName val="Module4"/>
      <sheetName val="Module5"/>
      <sheetName val="Module6"/>
      <sheetName val="Module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F14">
            <v>1198.7037625123398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"/>
      <sheetName val="Gwalior 1&amp;2"/>
      <sheetName val="Gwalior Phase I"/>
      <sheetName val="Gwalior Phase 2"/>
      <sheetName val="Bijalpur"/>
      <sheetName val="TICAMExp"/>
      <sheetName val="TIRevenue"/>
      <sheetName val="TIint"/>
      <sheetName val="TIP&amp;L Cashflow"/>
      <sheetName val="RNT"/>
      <sheetName val="Raipur"/>
      <sheetName val="Jabalpur"/>
      <sheetName val="MR10"/>
      <sheetName val="Vadodara"/>
      <sheetName val="Resi Bipass"/>
    </sheetNames>
    <sheetDataSet>
      <sheetData sheetId="0" refreshError="1">
        <row r="31">
          <cell r="C31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03"/>
      <sheetName val="Sep 03"/>
      <sheetName val="Monthly P&amp;L"/>
      <sheetName val="July 03"/>
      <sheetName val="Oct 03"/>
      <sheetName val="Nov 03"/>
      <sheetName val="C.S. FTTC"/>
    </sheetNames>
    <sheetDataSet>
      <sheetData sheetId="0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937305.58</v>
          </cell>
          <cell r="G136">
            <v>0</v>
          </cell>
          <cell r="H136">
            <v>319419.06999999995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1510</v>
          </cell>
          <cell r="E146">
            <v>0</v>
          </cell>
          <cell r="F146">
            <v>0</v>
          </cell>
          <cell r="G146">
            <v>0</v>
          </cell>
          <cell r="H146">
            <v>1510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0</v>
          </cell>
          <cell r="F156">
            <v>0</v>
          </cell>
          <cell r="G156">
            <v>7600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2811</v>
          </cell>
          <cell r="E168">
            <v>984</v>
          </cell>
          <cell r="F168">
            <v>0</v>
          </cell>
          <cell r="G168">
            <v>1827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0</v>
          </cell>
          <cell r="F170">
            <v>0</v>
          </cell>
          <cell r="G170">
            <v>1041.7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1151.69</v>
          </cell>
          <cell r="F180">
            <v>0</v>
          </cell>
          <cell r="G180">
            <v>1545.9899999999998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0</v>
          </cell>
          <cell r="F183">
            <v>0</v>
          </cell>
          <cell r="G183">
            <v>2887.91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417.95</v>
          </cell>
          <cell r="F185">
            <v>0</v>
          </cell>
          <cell r="G185">
            <v>75.759999999999991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9935.7099999999991</v>
          </cell>
          <cell r="F190">
            <v>0</v>
          </cell>
          <cell r="G190">
            <v>956.06000000000131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588.63</v>
          </cell>
          <cell r="F191">
            <v>0</v>
          </cell>
          <cell r="G191">
            <v>97.779999999999973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0</v>
          </cell>
          <cell r="F201">
            <v>0</v>
          </cell>
          <cell r="G201">
            <v>153.74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7523.61</v>
          </cell>
          <cell r="E210">
            <v>5018.13</v>
          </cell>
          <cell r="F210">
            <v>0</v>
          </cell>
          <cell r="G210">
            <v>2505.4799999999996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381.48</v>
          </cell>
          <cell r="F211">
            <v>0</v>
          </cell>
          <cell r="G211">
            <v>59.46999999999997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75358</v>
          </cell>
          <cell r="F212">
            <v>0</v>
          </cell>
          <cell r="G212">
            <v>13708.800000000003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691.2</v>
          </cell>
          <cell r="E220">
            <v>691.2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463</v>
          </cell>
          <cell r="F225">
            <v>0</v>
          </cell>
          <cell r="G225">
            <v>46.56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1548.24</v>
          </cell>
          <cell r="F231">
            <v>0</v>
          </cell>
          <cell r="G231">
            <v>296.73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8533.1200000000008</v>
          </cell>
          <cell r="E232">
            <v>4959.3999999999996</v>
          </cell>
          <cell r="F232">
            <v>0</v>
          </cell>
          <cell r="G232">
            <v>3573.7200000000012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159.51</v>
          </cell>
          <cell r="F236">
            <v>0</v>
          </cell>
          <cell r="G236">
            <v>324.14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1535.4</v>
          </cell>
          <cell r="F237">
            <v>0</v>
          </cell>
          <cell r="G237">
            <v>262.77999999999997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1345.15</v>
          </cell>
          <cell r="F242">
            <v>0</v>
          </cell>
          <cell r="G242">
            <v>3019.9999999999995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2636.21</v>
          </cell>
          <cell r="F273">
            <v>0</v>
          </cell>
          <cell r="G273">
            <v>445.40000000000009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2016.7</v>
          </cell>
          <cell r="F277">
            <v>0</v>
          </cell>
          <cell r="G277">
            <v>403.33999999999992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313.85000000000002</v>
          </cell>
          <cell r="E281">
            <v>313.85000000000002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1163.56</v>
          </cell>
          <cell r="F282">
            <v>0</v>
          </cell>
          <cell r="G282">
            <v>245.51999999999998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477.5</v>
          </cell>
          <cell r="F295">
            <v>0</v>
          </cell>
          <cell r="G295">
            <v>19.129999999999995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0</v>
          </cell>
          <cell r="F300">
            <v>0</v>
          </cell>
          <cell r="G300">
            <v>7780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744.75</v>
          </cell>
          <cell r="F302">
            <v>0</v>
          </cell>
          <cell r="G302">
            <v>137.01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1270.23</v>
          </cell>
          <cell r="E308">
            <v>691.88</v>
          </cell>
          <cell r="F308">
            <v>0</v>
          </cell>
          <cell r="G308">
            <v>578.35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573.95000000000005</v>
          </cell>
          <cell r="F314">
            <v>0</v>
          </cell>
          <cell r="G314">
            <v>40.459999999999923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422.26</v>
          </cell>
          <cell r="E317">
            <v>226.8</v>
          </cell>
          <cell r="F317">
            <v>0</v>
          </cell>
          <cell r="G317">
            <v>195.45999999999998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4056.71</v>
          </cell>
          <cell r="E323">
            <v>3324.29</v>
          </cell>
          <cell r="F323">
            <v>0</v>
          </cell>
          <cell r="G323">
            <v>732.42000000000007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7.23</v>
          </cell>
          <cell r="F329">
            <v>0</v>
          </cell>
          <cell r="G329">
            <v>800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18612.96</v>
          </cell>
          <cell r="F331">
            <v>0</v>
          </cell>
          <cell r="G331">
            <v>538.60000000000218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536.9</v>
          </cell>
          <cell r="E332">
            <v>536.9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5831.92</v>
          </cell>
          <cell r="E333">
            <v>5379.26</v>
          </cell>
          <cell r="F333">
            <v>0</v>
          </cell>
          <cell r="G333">
            <v>452.65999999999985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53112.78</v>
          </cell>
          <cell r="E334">
            <v>51739.18</v>
          </cell>
          <cell r="F334">
            <v>0</v>
          </cell>
          <cell r="G334">
            <v>1373.5999999999985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3683.28</v>
          </cell>
          <cell r="E348">
            <v>2922.75</v>
          </cell>
          <cell r="F348">
            <v>0</v>
          </cell>
          <cell r="G348">
            <v>760.5300000000002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44346.05</v>
          </cell>
          <cell r="E351">
            <v>0</v>
          </cell>
          <cell r="F351">
            <v>44346.05</v>
          </cell>
          <cell r="G351">
            <v>0</v>
          </cell>
          <cell r="H351">
            <v>0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3904.47</v>
          </cell>
          <cell r="E358">
            <v>1603.04</v>
          </cell>
          <cell r="F358">
            <v>0</v>
          </cell>
          <cell r="G358">
            <v>2301.4299999999998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8052</v>
          </cell>
          <cell r="E359">
            <v>0</v>
          </cell>
          <cell r="F359">
            <v>0</v>
          </cell>
          <cell r="G359">
            <v>8052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10000</v>
          </cell>
          <cell r="E361">
            <v>5000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4800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197.71</v>
          </cell>
          <cell r="E364">
            <v>0</v>
          </cell>
          <cell r="F364">
            <v>0</v>
          </cell>
          <cell r="G364">
            <v>197.71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108700</v>
          </cell>
          <cell r="E371">
            <v>54350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962</v>
          </cell>
          <cell r="F375">
            <v>0</v>
          </cell>
          <cell r="G375">
            <v>57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902.43</v>
          </cell>
          <cell r="E377">
            <v>594.82000000000005</v>
          </cell>
          <cell r="F377">
            <v>0</v>
          </cell>
          <cell r="G377">
            <v>307.6099999999999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1944.87</v>
          </cell>
          <cell r="E379">
            <v>724.42</v>
          </cell>
          <cell r="F379">
            <v>0</v>
          </cell>
          <cell r="G379">
            <v>1220.4499999999998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88733.83</v>
          </cell>
          <cell r="E380">
            <v>33678.230000000003</v>
          </cell>
          <cell r="F380">
            <v>0</v>
          </cell>
          <cell r="G380">
            <v>55055.6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483.34</v>
          </cell>
          <cell r="E381">
            <v>441.67</v>
          </cell>
          <cell r="F381">
            <v>0</v>
          </cell>
          <cell r="G381">
            <v>41.669999999999959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3513.3</v>
          </cell>
          <cell r="E382">
            <v>3513.3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61562.34</v>
          </cell>
          <cell r="E383">
            <v>32123.74</v>
          </cell>
          <cell r="F383">
            <v>0</v>
          </cell>
          <cell r="G383">
            <v>29438.599999999995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833.53</v>
          </cell>
          <cell r="F384">
            <v>0</v>
          </cell>
          <cell r="G384">
            <v>795.26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210.31</v>
          </cell>
          <cell r="F385">
            <v>0</v>
          </cell>
          <cell r="G385">
            <v>1494.53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9524.16</v>
          </cell>
          <cell r="E387">
            <v>4762.08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13268.84</v>
          </cell>
          <cell r="E388">
            <v>6634.42</v>
          </cell>
          <cell r="F388">
            <v>0</v>
          </cell>
          <cell r="G388">
            <v>6634.42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3951.16</v>
          </cell>
          <cell r="E390">
            <v>1975.58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4637</v>
          </cell>
          <cell r="E392">
            <v>2318.5</v>
          </cell>
          <cell r="F392">
            <v>0</v>
          </cell>
          <cell r="G392">
            <v>2318.5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65820.710000000006</v>
          </cell>
          <cell r="E394">
            <v>32923.51</v>
          </cell>
          <cell r="F394">
            <v>0</v>
          </cell>
          <cell r="G394">
            <v>32897.200000000004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950.04</v>
          </cell>
          <cell r="F399">
            <v>0</v>
          </cell>
          <cell r="G399">
            <v>1187.5500000000002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334.49</v>
          </cell>
          <cell r="E401">
            <v>280.36</v>
          </cell>
          <cell r="F401">
            <v>0</v>
          </cell>
          <cell r="G401">
            <v>54.129999999999995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2779.74</v>
          </cell>
          <cell r="E404">
            <v>1394.53</v>
          </cell>
          <cell r="F404">
            <v>0</v>
          </cell>
          <cell r="G404">
            <v>1385.2099999999998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1225.83</v>
          </cell>
          <cell r="F406">
            <v>0</v>
          </cell>
          <cell r="G406">
            <v>1265.06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200</v>
          </cell>
          <cell r="E407">
            <v>100</v>
          </cell>
          <cell r="F407">
            <v>0</v>
          </cell>
          <cell r="G407">
            <v>100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932.01</v>
          </cell>
          <cell r="E408">
            <v>765.75</v>
          </cell>
          <cell r="F408">
            <v>0</v>
          </cell>
          <cell r="G408">
            <v>166.26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5437.28</v>
          </cell>
          <cell r="E413">
            <v>3159.33</v>
          </cell>
          <cell r="F413">
            <v>0</v>
          </cell>
          <cell r="G413">
            <v>2277.9499999999998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1555.73</v>
          </cell>
          <cell r="E416">
            <v>768.9</v>
          </cell>
          <cell r="F416">
            <v>0</v>
          </cell>
          <cell r="G416">
            <v>786.83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2400.79</v>
          </cell>
          <cell r="E417">
            <v>0</v>
          </cell>
          <cell r="F417">
            <v>0</v>
          </cell>
          <cell r="G417">
            <v>2400.79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2943.36</v>
          </cell>
          <cell r="E418">
            <v>270.26</v>
          </cell>
          <cell r="F418">
            <v>0</v>
          </cell>
          <cell r="G418">
            <v>2673.1000000000004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167.85</v>
          </cell>
          <cell r="F420">
            <v>0</v>
          </cell>
          <cell r="G420">
            <v>21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5509.36</v>
          </cell>
          <cell r="E421">
            <v>2667.79</v>
          </cell>
          <cell r="F421">
            <v>0</v>
          </cell>
          <cell r="G421">
            <v>2841.5699999999997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150000</v>
          </cell>
          <cell r="E423">
            <v>75000</v>
          </cell>
          <cell r="F423">
            <v>0</v>
          </cell>
          <cell r="G423">
            <v>75000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575.04</v>
          </cell>
          <cell r="E427">
            <v>500.04</v>
          </cell>
          <cell r="F427">
            <v>0</v>
          </cell>
          <cell r="G427">
            <v>74.999999999999943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24438.44</v>
          </cell>
          <cell r="E428">
            <v>102946.61</v>
          </cell>
          <cell r="F428">
            <v>0</v>
          </cell>
          <cell r="G428">
            <v>-78508.17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4931.4399999999996</v>
          </cell>
          <cell r="E429">
            <v>2670.53</v>
          </cell>
          <cell r="F429">
            <v>0</v>
          </cell>
          <cell r="G429">
            <v>2260.9099999999994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12244.9</v>
          </cell>
          <cell r="E430">
            <v>5510</v>
          </cell>
          <cell r="F430">
            <v>0</v>
          </cell>
          <cell r="G430">
            <v>6734.9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33652.92</v>
          </cell>
          <cell r="E433">
            <v>15768.86</v>
          </cell>
          <cell r="F433">
            <v>0</v>
          </cell>
          <cell r="G433">
            <v>17884.059999999998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11790.26</v>
          </cell>
          <cell r="F434">
            <v>0</v>
          </cell>
          <cell r="G434">
            <v>10749.710000000001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6600</v>
          </cell>
          <cell r="E436">
            <v>2640</v>
          </cell>
          <cell r="F436">
            <v>0</v>
          </cell>
          <cell r="G436">
            <v>3960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16480.8</v>
          </cell>
          <cell r="F437">
            <v>0</v>
          </cell>
          <cell r="G437">
            <v>12886.650000000001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72372.25</v>
          </cell>
          <cell r="E438">
            <v>43184.74</v>
          </cell>
          <cell r="F438">
            <v>0</v>
          </cell>
          <cell r="G438">
            <v>29187.510000000002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50486.66</v>
          </cell>
          <cell r="E439">
            <v>26449.19</v>
          </cell>
          <cell r="F439">
            <v>0</v>
          </cell>
          <cell r="G439">
            <v>24037.470000000005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132266</v>
          </cell>
          <cell r="E440">
            <v>66401.98</v>
          </cell>
          <cell r="F440">
            <v>0</v>
          </cell>
          <cell r="G440">
            <v>65864.02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84943.11</v>
          </cell>
          <cell r="E441">
            <v>44425.16</v>
          </cell>
          <cell r="F441">
            <v>0</v>
          </cell>
          <cell r="G441">
            <v>40517.949999999997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44407.71</v>
          </cell>
          <cell r="E442">
            <v>23154.14</v>
          </cell>
          <cell r="F442">
            <v>0</v>
          </cell>
          <cell r="G442">
            <v>21253.57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7969.58</v>
          </cell>
          <cell r="F443">
            <v>0</v>
          </cell>
          <cell r="G443">
            <v>4315.2999999999993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12408.47</v>
          </cell>
          <cell r="E444">
            <v>6204.62</v>
          </cell>
          <cell r="F444">
            <v>0</v>
          </cell>
          <cell r="G444">
            <v>6203.8499999999995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2389.5</v>
          </cell>
          <cell r="E445">
            <v>1381.5</v>
          </cell>
          <cell r="F445">
            <v>0</v>
          </cell>
          <cell r="G445">
            <v>1008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13043.48</v>
          </cell>
          <cell r="F447">
            <v>0</v>
          </cell>
          <cell r="G447">
            <v>13043.48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4085</v>
          </cell>
          <cell r="E448">
            <v>2105</v>
          </cell>
          <cell r="F448">
            <v>0</v>
          </cell>
          <cell r="G448">
            <v>1980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50624.15</v>
          </cell>
          <cell r="E450">
            <v>36197.15</v>
          </cell>
          <cell r="F450">
            <v>0</v>
          </cell>
          <cell r="G450">
            <v>14427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31376.39</v>
          </cell>
          <cell r="E459">
            <v>16581.53</v>
          </cell>
          <cell r="F459">
            <v>0</v>
          </cell>
          <cell r="G459">
            <v>14794.86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7407.24</v>
          </cell>
          <cell r="E460">
            <v>3947.14</v>
          </cell>
          <cell r="F460">
            <v>0</v>
          </cell>
          <cell r="G460">
            <v>3460.1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775.97</v>
          </cell>
          <cell r="E461">
            <v>430.5</v>
          </cell>
          <cell r="F461">
            <v>0</v>
          </cell>
          <cell r="G461">
            <v>345.47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6819.54</v>
          </cell>
          <cell r="E462">
            <v>3764.28</v>
          </cell>
          <cell r="F462">
            <v>0</v>
          </cell>
          <cell r="G462">
            <v>3055.2599999999998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1303.08</v>
          </cell>
          <cell r="E463">
            <v>651.54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40000</v>
          </cell>
          <cell r="E467">
            <v>20000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1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1256724.6499999999</v>
          </cell>
          <cell r="G136">
            <v>0</v>
          </cell>
          <cell r="H136">
            <v>0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45435.67</v>
          </cell>
          <cell r="E146">
            <v>0</v>
          </cell>
          <cell r="F146">
            <v>1510</v>
          </cell>
          <cell r="G146">
            <v>0</v>
          </cell>
          <cell r="H146">
            <v>43925.67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7600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5805</v>
          </cell>
          <cell r="E168">
            <v>2811</v>
          </cell>
          <cell r="F168">
            <v>0</v>
          </cell>
          <cell r="G168">
            <v>2994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1041.7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2697.68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2887.91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493.71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1281.3399999999999</v>
          </cell>
          <cell r="E186">
            <v>0</v>
          </cell>
          <cell r="F186">
            <v>0</v>
          </cell>
          <cell r="G186">
            <v>1281.3399999999999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10891.77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686.41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153.74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11203.03</v>
          </cell>
          <cell r="E210">
            <v>7523.61</v>
          </cell>
          <cell r="F210">
            <v>0</v>
          </cell>
          <cell r="G210">
            <v>3679.420000000001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440.95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89066.8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1049.48</v>
          </cell>
          <cell r="E220">
            <v>691.2</v>
          </cell>
          <cell r="F220">
            <v>0</v>
          </cell>
          <cell r="G220">
            <v>358.28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509.56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1844.97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8850.77</v>
          </cell>
          <cell r="E232">
            <v>8533.1200000000008</v>
          </cell>
          <cell r="F232">
            <v>0</v>
          </cell>
          <cell r="G232">
            <v>317.64999999999964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483.65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1798.18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4365.1499999999996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339.46</v>
          </cell>
          <cell r="E272">
            <v>0</v>
          </cell>
          <cell r="F272">
            <v>0</v>
          </cell>
          <cell r="G272">
            <v>339.46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3081.61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2420.04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553.85</v>
          </cell>
          <cell r="E281">
            <v>313.85000000000002</v>
          </cell>
          <cell r="F281">
            <v>0</v>
          </cell>
          <cell r="G281">
            <v>240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1409.08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496.63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7780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881.76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C304">
            <v>3781.8</v>
          </cell>
          <cell r="E304">
            <v>0</v>
          </cell>
          <cell r="F304">
            <v>0</v>
          </cell>
          <cell r="G304">
            <v>3781.8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1566.84</v>
          </cell>
          <cell r="E308">
            <v>1270.23</v>
          </cell>
          <cell r="F308">
            <v>0</v>
          </cell>
          <cell r="G308">
            <v>296.6099999999999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614.41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588.16</v>
          </cell>
          <cell r="E317">
            <v>422.26</v>
          </cell>
          <cell r="F317">
            <v>0</v>
          </cell>
          <cell r="G317">
            <v>165.89999999999998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10058.83</v>
          </cell>
          <cell r="E323">
            <v>4056.71</v>
          </cell>
          <cell r="F323">
            <v>0</v>
          </cell>
          <cell r="G323">
            <v>6002.12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807.23</v>
          </cell>
          <cell r="F329">
            <v>0</v>
          </cell>
          <cell r="G329">
            <v>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19151.560000000001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500.21</v>
          </cell>
          <cell r="E332">
            <v>536.9</v>
          </cell>
          <cell r="F332">
            <v>0</v>
          </cell>
          <cell r="G332">
            <v>-36.69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7192.72</v>
          </cell>
          <cell r="E333">
            <v>5831.92</v>
          </cell>
          <cell r="F333">
            <v>0</v>
          </cell>
          <cell r="G333">
            <v>1360.8000000000002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54784.6</v>
          </cell>
          <cell r="E334">
            <v>53112.78</v>
          </cell>
          <cell r="F334">
            <v>0</v>
          </cell>
          <cell r="G334">
            <v>1671.8199999999997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3880.99</v>
          </cell>
          <cell r="E348">
            <v>3683.28</v>
          </cell>
          <cell r="F348">
            <v>0</v>
          </cell>
          <cell r="G348">
            <v>197.70999999999958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44242.55</v>
          </cell>
          <cell r="E351">
            <v>0</v>
          </cell>
          <cell r="F351">
            <v>44346.05</v>
          </cell>
          <cell r="G351">
            <v>0</v>
          </cell>
          <cell r="H351">
            <v>-103.5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4631.0600000000004</v>
          </cell>
          <cell r="E358">
            <v>3904.47</v>
          </cell>
          <cell r="F358">
            <v>0</v>
          </cell>
          <cell r="G358">
            <v>726.5900000000006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12052</v>
          </cell>
          <cell r="E359">
            <v>8052</v>
          </cell>
          <cell r="F359">
            <v>0</v>
          </cell>
          <cell r="G359">
            <v>4000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15000</v>
          </cell>
          <cell r="E361">
            <v>10000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6000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260.51</v>
          </cell>
          <cell r="E364">
            <v>197.71</v>
          </cell>
          <cell r="F364">
            <v>0</v>
          </cell>
          <cell r="G364">
            <v>62.799999999999983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56</v>
          </cell>
          <cell r="E367">
            <v>0</v>
          </cell>
          <cell r="F367">
            <v>0</v>
          </cell>
          <cell r="G367">
            <v>56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163050</v>
          </cell>
          <cell r="E371">
            <v>108700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D374">
            <v>45</v>
          </cell>
          <cell r="E374">
            <v>0</v>
          </cell>
          <cell r="F374">
            <v>0</v>
          </cell>
          <cell r="G374">
            <v>0</v>
          </cell>
          <cell r="H374">
            <v>45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1019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758.73</v>
          </cell>
          <cell r="E377">
            <v>902.43</v>
          </cell>
          <cell r="F377">
            <v>0</v>
          </cell>
          <cell r="G377">
            <v>-143.69999999999993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2558.69</v>
          </cell>
          <cell r="E379">
            <v>1944.87</v>
          </cell>
          <cell r="F379">
            <v>0</v>
          </cell>
          <cell r="G379">
            <v>613.82000000000016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122412.06</v>
          </cell>
          <cell r="E380">
            <v>88733.83</v>
          </cell>
          <cell r="F380">
            <v>0</v>
          </cell>
          <cell r="G380">
            <v>33678.229999999996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525.01</v>
          </cell>
          <cell r="E381">
            <v>483.34</v>
          </cell>
          <cell r="F381">
            <v>0</v>
          </cell>
          <cell r="G381">
            <v>41.670000000000016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4640.7299999999996</v>
          </cell>
          <cell r="E382">
            <v>3513.3</v>
          </cell>
          <cell r="F382">
            <v>0</v>
          </cell>
          <cell r="G382">
            <v>1127.4299999999994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89734.68</v>
          </cell>
          <cell r="E383">
            <v>61562.34</v>
          </cell>
          <cell r="F383">
            <v>0</v>
          </cell>
          <cell r="G383">
            <v>28172.339999999997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1628.79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1704.84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14286.24</v>
          </cell>
          <cell r="E387">
            <v>9524.16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19903.259999999998</v>
          </cell>
          <cell r="E388">
            <v>13268.84</v>
          </cell>
          <cell r="F388">
            <v>0</v>
          </cell>
          <cell r="G388">
            <v>6634.4199999999983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5926.74</v>
          </cell>
          <cell r="E390">
            <v>3951.16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4844.7</v>
          </cell>
          <cell r="E392">
            <v>4637</v>
          </cell>
          <cell r="F392">
            <v>0</v>
          </cell>
          <cell r="G392">
            <v>207.69999999999982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98702.95</v>
          </cell>
          <cell r="E394">
            <v>65820.710000000006</v>
          </cell>
          <cell r="F394">
            <v>0</v>
          </cell>
          <cell r="G394">
            <v>32882.239999999991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2137.59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398.37</v>
          </cell>
          <cell r="E401">
            <v>334.49</v>
          </cell>
          <cell r="F401">
            <v>0</v>
          </cell>
          <cell r="G401">
            <v>63.879999999999995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3024.13</v>
          </cell>
          <cell r="E404">
            <v>2779.74</v>
          </cell>
          <cell r="F404">
            <v>0</v>
          </cell>
          <cell r="G404">
            <v>244.39000000000033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2490.89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360.11</v>
          </cell>
          <cell r="E407">
            <v>200</v>
          </cell>
          <cell r="F407">
            <v>0</v>
          </cell>
          <cell r="G407">
            <v>160.11000000000001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1095.75</v>
          </cell>
          <cell r="E408">
            <v>932.01</v>
          </cell>
          <cell r="F408">
            <v>0</v>
          </cell>
          <cell r="G408">
            <v>163.74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6072.95</v>
          </cell>
          <cell r="E413">
            <v>5437.28</v>
          </cell>
          <cell r="F413">
            <v>0</v>
          </cell>
          <cell r="G413">
            <v>635.67000000000007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2188.4299999999998</v>
          </cell>
          <cell r="E416">
            <v>1555.73</v>
          </cell>
          <cell r="F416">
            <v>0</v>
          </cell>
          <cell r="G416">
            <v>632.69999999999982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4716.32</v>
          </cell>
          <cell r="E417">
            <v>2400.79</v>
          </cell>
          <cell r="F417">
            <v>0</v>
          </cell>
          <cell r="G417">
            <v>2315.5299999999997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2953.33</v>
          </cell>
          <cell r="E418">
            <v>2943.36</v>
          </cell>
          <cell r="F418">
            <v>0</v>
          </cell>
          <cell r="G418">
            <v>9.9699999999997999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188.85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5696.46</v>
          </cell>
          <cell r="E421">
            <v>5509.36</v>
          </cell>
          <cell r="F421">
            <v>0</v>
          </cell>
          <cell r="G421">
            <v>187.10000000000036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143581</v>
          </cell>
          <cell r="E423">
            <v>150000</v>
          </cell>
          <cell r="F423">
            <v>0</v>
          </cell>
          <cell r="G423">
            <v>-6419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2762.46</v>
          </cell>
          <cell r="E427">
            <v>575.04</v>
          </cell>
          <cell r="F427">
            <v>0</v>
          </cell>
          <cell r="G427">
            <v>2187.42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17705.580000000002</v>
          </cell>
          <cell r="E428">
            <v>24438.44</v>
          </cell>
          <cell r="F428">
            <v>0</v>
          </cell>
          <cell r="G428">
            <v>-6732.8599999999969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7640.5</v>
          </cell>
          <cell r="E429">
            <v>4931.4399999999996</v>
          </cell>
          <cell r="F429">
            <v>0</v>
          </cell>
          <cell r="G429">
            <v>2709.0600000000004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14489.9</v>
          </cell>
          <cell r="E430">
            <v>12244.9</v>
          </cell>
          <cell r="F430">
            <v>0</v>
          </cell>
          <cell r="G430">
            <v>2245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49421.78</v>
          </cell>
          <cell r="E433">
            <v>33652.92</v>
          </cell>
          <cell r="F433">
            <v>0</v>
          </cell>
          <cell r="G433">
            <v>15768.86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22539.97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9976.57</v>
          </cell>
          <cell r="E436">
            <v>6600</v>
          </cell>
          <cell r="F436">
            <v>0</v>
          </cell>
          <cell r="G436">
            <v>3376.5699999999997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29367.45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79755.399999999994</v>
          </cell>
          <cell r="E438">
            <v>72372.25</v>
          </cell>
          <cell r="F438">
            <v>0</v>
          </cell>
          <cell r="G438">
            <v>7383.1499999999942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57574.36</v>
          </cell>
          <cell r="E439">
            <v>50486.66</v>
          </cell>
          <cell r="F439">
            <v>0</v>
          </cell>
          <cell r="G439">
            <v>7087.6999999999971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154733.64000000001</v>
          </cell>
          <cell r="E440">
            <v>132266</v>
          </cell>
          <cell r="F440">
            <v>0</v>
          </cell>
          <cell r="G440">
            <v>22467.640000000014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99945.17</v>
          </cell>
          <cell r="E441">
            <v>84943.11</v>
          </cell>
          <cell r="F441">
            <v>0</v>
          </cell>
          <cell r="G441">
            <v>15002.059999999998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52521.61</v>
          </cell>
          <cell r="E442">
            <v>44407.71</v>
          </cell>
          <cell r="F442">
            <v>0</v>
          </cell>
          <cell r="G442">
            <v>8113.9000000000015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12284.88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14938.07</v>
          </cell>
          <cell r="E444">
            <v>12408.47</v>
          </cell>
          <cell r="F444">
            <v>0</v>
          </cell>
          <cell r="G444">
            <v>2529.6000000000004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3597.5</v>
          </cell>
          <cell r="E445">
            <v>2389.5</v>
          </cell>
          <cell r="F445">
            <v>0</v>
          </cell>
          <cell r="G445">
            <v>1208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27568.44</v>
          </cell>
          <cell r="E446">
            <v>0</v>
          </cell>
          <cell r="F446">
            <v>0</v>
          </cell>
          <cell r="G446">
            <v>27568.44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26086.959999999999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8195</v>
          </cell>
          <cell r="E448">
            <v>4085</v>
          </cell>
          <cell r="F448">
            <v>0</v>
          </cell>
          <cell r="G448">
            <v>4110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51467.199999999997</v>
          </cell>
          <cell r="E450">
            <v>50624.15</v>
          </cell>
          <cell r="F450">
            <v>0</v>
          </cell>
          <cell r="G450">
            <v>843.04999999999563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35909.64</v>
          </cell>
          <cell r="E459">
            <v>31376.39</v>
          </cell>
          <cell r="F459">
            <v>0</v>
          </cell>
          <cell r="G459">
            <v>4533.25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8633.76</v>
          </cell>
          <cell r="E460">
            <v>7407.24</v>
          </cell>
          <cell r="F460">
            <v>0</v>
          </cell>
          <cell r="G460">
            <v>1226.5200000000004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781.55</v>
          </cell>
          <cell r="E461">
            <v>775.97</v>
          </cell>
          <cell r="F461">
            <v>0</v>
          </cell>
          <cell r="G461">
            <v>5.5799999999999272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6872.73</v>
          </cell>
          <cell r="E462">
            <v>6819.54</v>
          </cell>
          <cell r="F462">
            <v>0</v>
          </cell>
          <cell r="G462">
            <v>53.1899999999996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1954.62</v>
          </cell>
          <cell r="E463">
            <v>1303.08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60000</v>
          </cell>
          <cell r="E467">
            <v>40000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20056.740000000002</v>
          </cell>
          <cell r="E468">
            <v>0</v>
          </cell>
          <cell r="F468">
            <v>0</v>
          </cell>
          <cell r="G468">
            <v>20056.740000000002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2" refreshError="1"/>
      <sheetData sheetId="3">
        <row r="131">
          <cell r="A131" t="str">
            <v>40000</v>
          </cell>
        </row>
      </sheetData>
      <sheetData sheetId="4"/>
      <sheetData sheetId="5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"/>
      <sheetName val="Net"/>
      <sheetName val="Sell-thru"/>
      <sheetName val="FY98 Reserve Adj."/>
      <sheetName val="FY98 Net Revenue Summary"/>
      <sheetName val="Sheet2"/>
      <sheetName val="FY98 Sellthru Summary"/>
      <sheetName val="FY98 Gross Revenue Summary"/>
      <sheetName val="Q1 FY98"/>
      <sheetName val="Q2 FY98"/>
      <sheetName val="Q3FY98"/>
      <sheetName val="Q4FY98"/>
      <sheetName val="Q4FY97"/>
      <sheetName val="Sheet3"/>
      <sheetName val="FY97 Gross Revenue Summary"/>
      <sheetName val="FY97 Net Revenue Summary"/>
      <sheetName val="Sheet1"/>
      <sheetName val="FY97 Reserve Adj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NA</v>
          </cell>
        </row>
        <row r="5">
          <cell r="A5" t="str">
            <v>Authorware/AIS</v>
          </cell>
          <cell r="B5">
            <v>3699</v>
          </cell>
        </row>
      </sheetData>
      <sheetData sheetId="15"/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Margen zum Package"/>
      <sheetName val="Vorjahreserlöse"/>
      <sheetName val="Ergebnis IFRS CASh Flow"/>
      <sheetName val="Umsatzerlöse konsolidiert"/>
      <sheetName val="ErgebnisUmsatzerlöse o. Interco"/>
      <sheetName val="Pfeildiagramme"/>
      <sheetName val="IFRS 09"/>
      <sheetName val="IFRS 10"/>
      <sheetName val="Mengenabweichung"/>
      <sheetName val="Actual 08 - Actual 09"/>
      <sheetName val="Margenberechnung"/>
      <sheetName val="Actual 08 - Actual 09 V2"/>
      <sheetName val="Actual 09 - Budget 09"/>
      <sheetName val="Actual 09 - Budget 09 V2"/>
      <sheetName val="Arrows -08-09"/>
      <sheetName val="Arrows - Budget09-09"/>
      <sheetName val="ROA"/>
      <sheetName val="Op.CF"/>
      <sheetName val="IFRS 2008"/>
      <sheetName val="IFRS 2009"/>
      <sheetName val="Aug 03"/>
      <sheetName val="Sep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WATER-DATA"/>
      <sheetName val="INDEX-TOTAL"/>
      <sheetName val="HKW-Land"/>
      <sheetName val="HKW-STROM-DATA"/>
      <sheetName val="MATCHCODES"/>
      <sheetName val="MTC"/>
      <sheetName val="ABSCHREIBUNGEN KST"/>
      <sheetName val="CHART"/>
      <sheetName val="TOTAL"/>
      <sheetName val="STROM-DATA"/>
      <sheetName val="GAS-DATA"/>
      <sheetName val="HEAT-DATA"/>
      <sheetName val="OVERHEAD-DATA"/>
      <sheetName val="CONTRACTING-DATA"/>
      <sheetName val="INDEXSOURCE-BASE 2002"/>
    </sheetNames>
    <sheetDataSet>
      <sheetData sheetId="0" refreshError="1"/>
      <sheetData sheetId="1" refreshError="1">
        <row r="8">
          <cell r="R8">
            <v>1900</v>
          </cell>
        </row>
      </sheetData>
      <sheetData sheetId="2" refreshError="1">
        <row r="4">
          <cell r="E4">
            <v>44.6</v>
          </cell>
        </row>
      </sheetData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</sheetNames>
    <sheetDataSet>
      <sheetData sheetId="0" refreshError="1"/>
      <sheetData sheetId="1" refreshError="1"/>
      <sheetData sheetId="2" refreshError="1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CTOR"/>
      <sheetName val="Tableau Synthèse"/>
      <sheetName val="Synthèse"/>
      <sheetName val="Tableau FX"/>
      <sheetName val="Avancement E2"/>
      <sheetName val="ROCE"/>
      <sheetName val="Arrows - Budget"/>
      <sheetName val="Arrows - Actual 07"/>
      <sheetName val="PAO"/>
      <sheetName val="CAFop"/>
      <sheetName val="RESOP"/>
      <sheetName val="PROVISIONS"/>
      <sheetName val="Passage RESOP Ech3 vs Ech1"/>
      <sheetName val="Passage RESOP Ech3 vs Ech2"/>
      <sheetName val="Synth CAFop-RESOP"/>
      <sheetName val="Synth RESOP - RES.NET"/>
      <sheetName val="RESUL. FIN"/>
      <sheetName val="Impôts"/>
      <sheetName val="Synth Cash Flow Libre"/>
      <sheetName val="Synthèse EFN"/>
      <sheetName val="Cash Flow Libre"/>
      <sheetName val="Synthèse INVES."/>
      <sheetName val="INVEST. BRUTS"/>
      <sheetName val="BFR"/>
      <sheetName val="BFR détail Ech3"/>
      <sheetName val="BFR détail Ech2"/>
      <sheetName val="BFR détail Ech1"/>
      <sheetName val="BFR (2)"/>
      <sheetName val="Interface Change"/>
      <sheetName val="Interface Retraitée"/>
      <sheetName val="Retraitements"/>
      <sheetName val="Ecritures en attente"/>
      <sheetName val="Interface"/>
      <sheetName val="Copie valeur"/>
      <sheetName val="sas"/>
      <sheetName val="Extraction"/>
      <sheetName val="Copie Valeur EFN"/>
      <sheetName val="sas EFN"/>
      <sheetName val="Extraction EFN"/>
      <sheetName val="Taux de Change"/>
      <sheetName val="Param"/>
      <sheetName val="R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A30" t="str">
            <v>Braunschweig</v>
          </cell>
        </row>
        <row r="31">
          <cell r="A31" t="str">
            <v>Görlitz</v>
          </cell>
        </row>
        <row r="32">
          <cell r="A32" t="str">
            <v>Oewa</v>
          </cell>
        </row>
        <row r="33">
          <cell r="A33" t="str">
            <v>Weisswasser</v>
          </cell>
        </row>
        <row r="34">
          <cell r="A34" t="str">
            <v>Autres Allemagne</v>
          </cell>
        </row>
        <row r="35">
          <cell r="A35" t="str">
            <v>Développement Autres Allemagne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to complete"/>
      <sheetName val="IRR"/>
      <sheetName val="DSCR &amp; SENS"/>
      <sheetName val="COP N SOF"/>
      <sheetName val="Revenue ok"/>
      <sheetName val="DEPRECITION IT n BOOKS"/>
      <sheetName val="Breakeven"/>
      <sheetName val="Profit And Loss Account "/>
      <sheetName val="Balance Sheet "/>
      <sheetName val="Cmadata"/>
      <sheetName val="TL"/>
      <sheetName val="Cash Flow"/>
      <sheetName val="Material Cost OK"/>
      <sheetName val="Salary OK"/>
      <sheetName val="Power OK"/>
      <sheetName val="IT"/>
      <sheetName val="Working Capital "/>
      <sheetName val="Sheet18"/>
      <sheetName val="Sheet19"/>
      <sheetName val="Sheet20"/>
      <sheetName val="retained"/>
      <sheetName val="repayment"/>
      <sheetName val="Front Page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ng P&amp;L"/>
      <sheetName val="ShockRave P&amp;L"/>
      <sheetName val="ShockMachine P&amp;L"/>
      <sheetName val="ShockContent P&amp;L"/>
      <sheetName val="Consolidate ShockRave Revenue"/>
      <sheetName val="Base Case SR Traffic"/>
      <sheetName val="ShockMachine Revenue and Cost"/>
      <sheetName val="Partner Permutations"/>
      <sheetName val="Purchase Case SR Traffic"/>
      <sheetName val="JV Case SR Traffic"/>
      <sheetName val="Shockrave Production Costs"/>
      <sheetName val="Consolidated Operating Expenses"/>
      <sheetName val="ShockRave Operating Expenses"/>
      <sheetName val="ShockMachine Operating Expenses"/>
      <sheetName val="ShockContent Operating Expenses"/>
      <sheetName val="Base Development Costs"/>
      <sheetName val="Purchase Development Costs"/>
      <sheetName val="JV Development Costs"/>
      <sheetName val="Current IT Costs"/>
      <sheetName val="Incremental IT Costs"/>
      <sheetName val="Revised Development Costs"/>
      <sheetName val="Assumptions"/>
      <sheetName val="Enhancements"/>
      <sheetName val="Customer Life Cycle"/>
      <sheetName val="Memo Buy 1 Yahoo Sponsorship"/>
    </sheetNames>
    <sheetDataSet>
      <sheetData sheetId="0"/>
      <sheetData sheetId="1"/>
      <sheetData sheetId="2"/>
      <sheetData sheetId="3"/>
      <sheetData sheetId="4">
        <row r="6">
          <cell r="F6" t="str">
            <v>Yes</v>
          </cell>
        </row>
        <row r="7">
          <cell r="F7" t="str">
            <v>No</v>
          </cell>
        </row>
        <row r="8">
          <cell r="F8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uon Bank"/>
      <sheetName val="Allocation Of Funds"/>
      <sheetName val="Table Of Contents"/>
      <sheetName val="Capacity "/>
      <sheetName val="Inter Transfer"/>
      <sheetName val="base(I)"/>
      <sheetName val="Base (E)"/>
      <sheetName val="COP CPP"/>
      <sheetName val="Sales"/>
      <sheetName val="Basic Assumption"/>
      <sheetName val="COP"/>
      <sheetName val="Cost &amp; Means"/>
      <sheetName val="Land &amp; Site Development"/>
      <sheetName val="Civil Const."/>
      <sheetName val="Plant &amp; Machinery"/>
      <sheetName val="Summary of Plant &amp; Machinery"/>
      <sheetName val="Miscellaneous"/>
      <sheetName val="Preliminary &amp; preoperative"/>
      <sheetName val="Working Capital"/>
      <sheetName val="Term Loan"/>
      <sheetName val="Term Loan (CPP)"/>
      <sheetName val="Term Loan(EAF)"/>
      <sheetName val="Term Loan(S)"/>
      <sheetName val="Term Loan(m)"/>
      <sheetName val="Raw Materials"/>
      <sheetName val="Power &amp; Fuel (S)"/>
      <sheetName val="Power &amp; Fuel(SMS)"/>
      <sheetName val="Power &amp; Fuel(MBF)"/>
      <sheetName val="Power &amp; Fuel(E)"/>
      <sheetName val="Salary Wages (S)"/>
      <sheetName val="Salary &amp; Wages(M)"/>
      <sheetName val="Salary &amp; Wages(E)"/>
      <sheetName val="Salary &amp; Wages(P)"/>
      <sheetName val="Factory Overheads (S)"/>
      <sheetName val="Factory Overheads(M)"/>
      <sheetName val="Factory Overheads(E)"/>
      <sheetName val="Depreciation (S)"/>
      <sheetName val="Decmbf"/>
      <sheetName val="Depreciation(E)"/>
      <sheetName val="Depreciation(M)"/>
      <sheetName val="Depreciation(CPP)"/>
      <sheetName val="Sensitivity"/>
      <sheetName val="CAS Balance Sheet"/>
      <sheetName val="CA &amp; CL"/>
      <sheetName val="MPBF"/>
      <sheetName val="CAS Fund Flow"/>
      <sheetName val="Parameters"/>
      <sheetName val="Rec'd Statemen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MODEL"/>
      <sheetName val="Reset-Module"/>
      <sheetName val="Hide-Module"/>
      <sheetName val="ruSure-Module"/>
      <sheetName val="Print Module"/>
      <sheetName val="oresreqsum"/>
      <sheetName val="TB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Forecast_Input"/>
      <sheetName val="HI-TARGE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LOB_TABLE"/>
      <sheetName val="INV"/>
      <sheetName val="Copy of AAsamtel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tbc"/>
      <sheetName val="Hid_x0000__x0000_odule"/>
      <sheetName val="FORM-16"/>
      <sheetName val="CBDGT979"/>
      <sheetName val="TG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E64">
            <v>0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Sheet1"/>
      <sheetName val="DPCSUM"/>
      <sheetName val="SBIPLR"/>
      <sheetName val="DPCBGT "/>
      <sheetName val="DPCALL"/>
      <sheetName val="ICICISUM "/>
      <sheetName val="Sheet2"/>
      <sheetName val="Sheet3"/>
      <sheetName val="reco"/>
      <sheetName val="ICI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st Details"/>
      <sheetName val="PROJECT"/>
      <sheetName val="Prod."/>
      <sheetName val="RM"/>
      <sheetName val="Cons."/>
      <sheetName val="Sls"/>
      <sheetName val="Pow"/>
      <sheetName val="DCoSLM"/>
      <sheetName val="DITSLM"/>
      <sheetName val="IT"/>
      <sheetName val="TL"/>
      <sheetName val="WC"/>
      <sheetName val="P_L"/>
      <sheetName val="BS"/>
      <sheetName val=" CMA(L)"/>
      <sheetName val="Sheet3"/>
      <sheetName val="Rate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SI_BASIS"/>
      <sheetName val="IF_FIN"/>
      <sheetName val="IF_BASIS"/>
      <sheetName val="PP_FIN"/>
      <sheetName val="PP_BASIS"/>
      <sheetName val="BF_FIN"/>
      <sheetName val="BF_BASIS"/>
      <sheetName val="COMBI_FIN"/>
      <sheetName val="FORM_II"/>
      <sheetName val="FORM_III"/>
      <sheetName val="FORM_IV"/>
      <sheetName val="FORM_VI"/>
      <sheetName val="ABF"/>
      <sheetName val="RATIOS"/>
      <sheetName val="CHECK"/>
      <sheetName val="CRA_DATA"/>
      <sheetName val="Format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24">
          <cell r="D24">
            <v>48.8</v>
          </cell>
        </row>
        <row r="78">
          <cell r="E78">
            <v>835.73350430418554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bilan 2007-12"/>
      <sheetName val="NEW BILAN"/>
      <sheetName val="ANALYSE "/>
      <sheetName val="VT passage 2006-sept"/>
      <sheetName val="passage 2006-sept"/>
      <sheetName val="SyntheseClotureBilan-PSI"/>
      <sheetName val="Referentials I&amp;M"/>
      <sheetName val="Drop down lists"/>
    </sheetNames>
    <sheetDataSet>
      <sheetData sheetId="0" refreshError="1">
        <row r="6">
          <cell r="E6" t="str">
            <v>CA=ACTUAL</v>
          </cell>
          <cell r="J6" t="str">
            <v>CA=FORECAST</v>
          </cell>
          <cell r="AH6" t="str">
            <v>CA=ACTUAL</v>
          </cell>
          <cell r="AI6" t="str">
            <v>CA=ACTUAL</v>
          </cell>
        </row>
        <row r="7">
          <cell r="E7" t="str">
            <v>DP=2006.12</v>
          </cell>
          <cell r="J7" t="str">
            <v>DP=2007.10</v>
          </cell>
          <cell r="AH7" t="str">
            <v>DP=2007.12</v>
          </cell>
          <cell r="AI7" t="str">
            <v>DP=2007.12</v>
          </cell>
        </row>
        <row r="8">
          <cell r="E8" t="str">
            <v>PE=2006.12</v>
          </cell>
          <cell r="J8" t="str">
            <v>PE=2007.10</v>
          </cell>
          <cell r="AH8" t="str">
            <v>PE=2007.12</v>
          </cell>
          <cell r="AI8" t="str">
            <v>PE=2007.12</v>
          </cell>
        </row>
        <row r="9">
          <cell r="E9" t="str">
            <v>AU sum [All values]</v>
          </cell>
          <cell r="J9" t="str">
            <v>AU sum [All values]</v>
          </cell>
          <cell r="AH9" t="str">
            <v>AU sum [All values]</v>
          </cell>
          <cell r="AI9" t="str">
            <v>AU sum [All values]</v>
          </cell>
        </row>
        <row r="11">
          <cell r="E11" t="str">
            <v>ORU sum [All values]</v>
          </cell>
          <cell r="J11" t="str">
            <v>ORU sum [All values]</v>
          </cell>
          <cell r="AH11" t="str">
            <v>ORU sum [All values]</v>
          </cell>
          <cell r="AI11" t="str">
            <v>ORU sum [All values]</v>
          </cell>
        </row>
        <row r="12">
          <cell r="E12" t="str">
            <v>VP sum [All values]</v>
          </cell>
          <cell r="J12" t="str">
            <v>VP sum [All values]</v>
          </cell>
          <cell r="AH12" t="str">
            <v>VP sum [All values]</v>
          </cell>
          <cell r="AI12" t="str">
            <v>VP sum [All values]</v>
          </cell>
        </row>
        <row r="13">
          <cell r="E13" t="str">
            <v>SC=AS2000</v>
          </cell>
          <cell r="J13" t="str">
            <v>SC=AS2000</v>
          </cell>
          <cell r="AH13" t="str">
            <v>SC=AS2000</v>
          </cell>
          <cell r="AI13" t="str">
            <v>SC=AS2000</v>
          </cell>
        </row>
        <row r="14">
          <cell r="E14" t="str">
            <v>VA=HISTO-3</v>
          </cell>
          <cell r="J14" t="str">
            <v>VA=A1</v>
          </cell>
          <cell r="AH14" t="str">
            <v>VA=a1</v>
          </cell>
          <cell r="AI14" t="str">
            <v>VA=a1</v>
          </cell>
        </row>
        <row r="15">
          <cell r="E15" t="str">
            <v>CC=EUR</v>
          </cell>
          <cell r="J15" t="str">
            <v>CC=EUR</v>
          </cell>
          <cell r="AH15" t="str">
            <v>CC=EUR</v>
          </cell>
          <cell r="AI15" t="str">
            <v>CC=EUR</v>
          </cell>
        </row>
        <row r="17">
          <cell r="E17" t="str">
            <v>FL=F99</v>
          </cell>
          <cell r="J17" t="str">
            <v>FL=F99</v>
          </cell>
          <cell r="AH17" t="str">
            <v>FL=F99</v>
          </cell>
          <cell r="AI17" t="str">
            <v>FL=F10</v>
          </cell>
        </row>
        <row r="20">
          <cell r="AD20" t="str">
            <v>CA=FORECAST</v>
          </cell>
        </row>
        <row r="21">
          <cell r="AD21" t="str">
            <v>DP=2007.10</v>
          </cell>
        </row>
        <row r="22">
          <cell r="AD22" t="str">
            <v>PE=2007.10</v>
          </cell>
        </row>
        <row r="23">
          <cell r="AD23" t="str">
            <v>AU sum [All values]</v>
          </cell>
        </row>
        <row r="25">
          <cell r="AD25" t="str">
            <v>ORU sum [All values]</v>
          </cell>
        </row>
        <row r="26">
          <cell r="AD26" t="str">
            <v>VP sum [All values]</v>
          </cell>
        </row>
        <row r="27">
          <cell r="AD27" t="str">
            <v>SC=AS2000</v>
          </cell>
        </row>
        <row r="28">
          <cell r="AD28" t="str">
            <v>VA=a1</v>
          </cell>
        </row>
        <row r="29">
          <cell r="AD29" t="str">
            <v>CC=EUR</v>
          </cell>
        </row>
        <row r="31">
          <cell r="AD31" t="str">
            <v>FL=F10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plist"/>
      <sheetName val="HW_SW_TYP"/>
    </sheetNames>
    <sheetDataSet>
      <sheetData sheetId="0" refreshError="1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e Cost"/>
      <sheetName val="Power &amp; fuel"/>
      <sheetName val="MC Balance"/>
      <sheetName val="Input-D"/>
      <sheetName val="Input-G"/>
      <sheetName val="Dyecot1"/>
      <sheetName val="Garment1"/>
      <sheetName val="Excise Impact"/>
      <sheetName val="DCF1"/>
      <sheetName val="P&amp;LConsol"/>
      <sheetName val="BSCons"/>
      <sheetName val="CashCons"/>
      <sheetName val="CMA"/>
      <sheetName val="Int"/>
      <sheetName val="Depre"/>
      <sheetName val="ITDepre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Debt Sch"/>
      <sheetName val="Anupam"/>
      <sheetName val="Priya"/>
      <sheetName val="Corp"/>
      <sheetName val="ProjCosts"/>
      <sheetName val="Financials"/>
      <sheetName val="Lease Rent"/>
      <sheetName val="Valuation Corp"/>
      <sheetName val="Project summary"/>
      <sheetName val="Value PVRL (shares)"/>
      <sheetName val="Valuation Priya"/>
      <sheetName val="Valuation Anup"/>
      <sheetName val="BEP"/>
      <sheetName val="Value Priya (Cont Rent)"/>
      <sheetName val="Valuation PVRL"/>
      <sheetName val="Anup-depr"/>
      <sheetName val="Priya-depr"/>
      <sheetName val="AssumComp."/>
      <sheetName val="Capex"/>
      <sheetName val="debt schedu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-9 Schedule"/>
      <sheetName val="Schedule Qty"/>
      <sheetName val="BOQ Distribution"/>
      <sheetName val="Summary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</sheetNames>
    <sheetDataSet>
      <sheetData sheetId="0"/>
      <sheetData sheetId="1"/>
      <sheetData sheetId="2">
        <row r="5">
          <cell r="A5" t="str">
            <v>CLEARING &amp; GRUBBING</v>
          </cell>
          <cell r="C5">
            <v>1.01</v>
          </cell>
          <cell r="D5" t="str">
            <v>HCT</v>
          </cell>
          <cell r="E5">
            <v>47</v>
          </cell>
          <cell r="F5">
            <v>27339.165000000001</v>
          </cell>
          <cell r="G5">
            <v>1284940.7550000001</v>
          </cell>
        </row>
        <row r="6">
          <cell r="A6" t="str">
            <v>EXCAVATION</v>
          </cell>
          <cell r="C6">
            <v>2.0099999999999998</v>
          </cell>
          <cell r="D6" t="str">
            <v>CUM</v>
          </cell>
          <cell r="E6">
            <v>123000</v>
          </cell>
          <cell r="F6">
            <v>34.11</v>
          </cell>
          <cell r="G6">
            <v>4195530</v>
          </cell>
        </row>
        <row r="7">
          <cell r="A7" t="str">
            <v>EARTHWORK IN EMBANKMENT</v>
          </cell>
          <cell r="C7" t="str">
            <v>2.02 + 2.03</v>
          </cell>
          <cell r="D7" t="str">
            <v>CUM</v>
          </cell>
          <cell r="E7">
            <v>355000</v>
          </cell>
          <cell r="F7">
            <v>124.69633802816901</v>
          </cell>
          <cell r="G7">
            <v>44267200</v>
          </cell>
        </row>
        <row r="8">
          <cell r="A8" t="str">
            <v>EARTHWORK IN SUBGRADE</v>
          </cell>
          <cell r="C8">
            <v>2.04</v>
          </cell>
          <cell r="D8" t="str">
            <v>CUM</v>
          </cell>
          <cell r="E8">
            <v>156000</v>
          </cell>
          <cell r="F8">
            <v>164.86500000000001</v>
          </cell>
          <cell r="G8">
            <v>25718940</v>
          </cell>
        </row>
        <row r="9">
          <cell r="A9" t="str">
            <v>MEDIAN FILLING</v>
          </cell>
          <cell r="C9">
            <v>2.06</v>
          </cell>
          <cell r="D9" t="str">
            <v>CUM</v>
          </cell>
          <cell r="E9">
            <v>48000</v>
          </cell>
          <cell r="F9">
            <v>145.91499999999999</v>
          </cell>
          <cell r="G9">
            <v>7003920</v>
          </cell>
        </row>
        <row r="10">
          <cell r="A10" t="str">
            <v>GRANULAR SUB BASE COURSE</v>
          </cell>
          <cell r="C10">
            <v>3.01</v>
          </cell>
          <cell r="D10" t="str">
            <v>CUM</v>
          </cell>
          <cell r="E10">
            <v>60000</v>
          </cell>
          <cell r="F10">
            <v>1338.8175000000001</v>
          </cell>
          <cell r="G10">
            <v>80329050</v>
          </cell>
        </row>
        <row r="11">
          <cell r="A11" t="str">
            <v>WET MIX MACADAM</v>
          </cell>
          <cell r="C11">
            <v>3.02</v>
          </cell>
          <cell r="D11" t="str">
            <v>CUM</v>
          </cell>
          <cell r="E11">
            <v>14000</v>
          </cell>
          <cell r="F11">
            <v>1438.3050000000001</v>
          </cell>
          <cell r="G11">
            <v>20136270</v>
          </cell>
        </row>
        <row r="12">
          <cell r="A12" t="str">
            <v>PROFILE CORRECTIVE COURSE</v>
          </cell>
          <cell r="C12">
            <v>4.03</v>
          </cell>
          <cell r="D12" t="str">
            <v>CUM</v>
          </cell>
          <cell r="E12">
            <v>3384</v>
          </cell>
          <cell r="F12">
            <v>3808.95</v>
          </cell>
          <cell r="G12">
            <v>12889486.799999999</v>
          </cell>
        </row>
        <row r="13">
          <cell r="A13" t="str">
            <v>DENSE BITUMINOUS MACADAM</v>
          </cell>
          <cell r="C13">
            <v>4.04</v>
          </cell>
          <cell r="D13" t="str">
            <v>CUM</v>
          </cell>
          <cell r="E13">
            <v>25742</v>
          </cell>
          <cell r="F13">
            <v>4469.3575000000001</v>
          </cell>
          <cell r="G13">
            <v>115050200.765</v>
          </cell>
        </row>
        <row r="14">
          <cell r="A14" t="str">
            <v>BITUMINOUS CONCRETE</v>
          </cell>
          <cell r="C14">
            <v>4.05</v>
          </cell>
          <cell r="D14" t="str">
            <v>CUM</v>
          </cell>
          <cell r="E14">
            <v>10175</v>
          </cell>
          <cell r="F14">
            <v>5341.0574999999999</v>
          </cell>
          <cell r="G14">
            <v>54345260.0625</v>
          </cell>
        </row>
        <row r="15">
          <cell r="A15" t="str">
            <v>BITUMENOUS MACADAM</v>
          </cell>
          <cell r="C15">
            <v>4.0599999999999996</v>
          </cell>
          <cell r="D15" t="str">
            <v>CUM</v>
          </cell>
          <cell r="E15">
            <v>16701</v>
          </cell>
          <cell r="F15">
            <v>3808.95</v>
          </cell>
          <cell r="G15">
            <v>63613273.949999996</v>
          </cell>
        </row>
        <row r="16">
          <cell r="A16" t="str">
            <v>SEMI DENSE BITUMENOUS COURSE</v>
          </cell>
          <cell r="C16">
            <v>4.07</v>
          </cell>
          <cell r="D16" t="str">
            <v>CUM</v>
          </cell>
          <cell r="E16">
            <v>227</v>
          </cell>
          <cell r="F16">
            <v>4497.7825000000003</v>
          </cell>
          <cell r="G16">
            <v>1020996.6275000001</v>
          </cell>
        </row>
        <row r="17">
          <cell r="A17" t="str">
            <v>DRY LEAN CONCRETE</v>
          </cell>
          <cell r="C17">
            <v>4.09</v>
          </cell>
          <cell r="D17" t="str">
            <v>CUM</v>
          </cell>
          <cell r="E17">
            <v>30697</v>
          </cell>
          <cell r="F17">
            <v>2346.0100000000007</v>
          </cell>
          <cell r="G17">
            <v>72015468.970000014</v>
          </cell>
        </row>
        <row r="18">
          <cell r="A18" t="str">
            <v>PAVEMENT QUALITY CONCRETE</v>
          </cell>
          <cell r="C18">
            <v>4.0999999999999996</v>
          </cell>
          <cell r="D18" t="str">
            <v>CUM</v>
          </cell>
          <cell r="E18">
            <v>55538</v>
          </cell>
          <cell r="F18">
            <v>4585.8999999999996</v>
          </cell>
          <cell r="G18">
            <v>254691714.19999999</v>
          </cell>
        </row>
        <row r="19">
          <cell r="A19" t="str">
            <v>MEDIAN KERB</v>
          </cell>
          <cell r="C19">
            <v>9.09</v>
          </cell>
          <cell r="D19" t="str">
            <v>LM</v>
          </cell>
          <cell r="E19">
            <v>42434</v>
          </cell>
          <cell r="F19">
            <v>144.9675</v>
          </cell>
          <cell r="G19">
            <v>6151550.8950000005</v>
          </cell>
        </row>
        <row r="20">
          <cell r="A20" t="str">
            <v>TURFING</v>
          </cell>
          <cell r="C20">
            <v>2.08</v>
          </cell>
          <cell r="D20" t="str">
            <v>SQM</v>
          </cell>
          <cell r="E20">
            <v>129000</v>
          </cell>
          <cell r="F20">
            <v>10.422499999999999</v>
          </cell>
          <cell r="G20">
            <v>1344502.5</v>
          </cell>
        </row>
        <row r="21">
          <cell r="A21" t="str">
            <v>DRAINAGE &amp; PROTECTION WORK</v>
          </cell>
          <cell r="C21" t="str">
            <v>Bill No. 8</v>
          </cell>
          <cell r="D21" t="str">
            <v>%</v>
          </cell>
          <cell r="E21">
            <v>1</v>
          </cell>
          <cell r="F21">
            <v>228818.54962500001</v>
          </cell>
          <cell r="G21">
            <v>22881854.962500002</v>
          </cell>
        </row>
        <row r="22">
          <cell r="A22" t="str">
            <v>ROAD MARKING</v>
          </cell>
          <cell r="C22" t="str">
            <v>Bill No. 9 - 9.09</v>
          </cell>
          <cell r="D22" t="str">
            <v>%</v>
          </cell>
          <cell r="E22">
            <v>1</v>
          </cell>
          <cell r="F22">
            <v>202729.24135000003</v>
          </cell>
          <cell r="G22">
            <v>20272924.135000002</v>
          </cell>
        </row>
        <row r="23">
          <cell r="A23" t="str">
            <v>JUNCTIONS</v>
          </cell>
          <cell r="C23" t="str">
            <v>Bill No. 10</v>
          </cell>
          <cell r="D23" t="str">
            <v>%</v>
          </cell>
          <cell r="E23">
            <v>1</v>
          </cell>
          <cell r="F23">
            <v>37511.998749999999</v>
          </cell>
          <cell r="G23">
            <v>3751199.875</v>
          </cell>
        </row>
        <row r="24">
          <cell r="A24" t="str">
            <v>MISC ROAD WORKS</v>
          </cell>
          <cell r="C24" t="str">
            <v>Bill No 1+2+3+4+8+9+10-(All Above Items)</v>
          </cell>
          <cell r="D24" t="str">
            <v>%</v>
          </cell>
          <cell r="E24">
            <v>1</v>
          </cell>
          <cell r="F24">
            <v>222351.53997500063</v>
          </cell>
          <cell r="G24">
            <v>22235153.997500062</v>
          </cell>
        </row>
        <row r="27">
          <cell r="A27" t="str">
            <v>EXCAVATION</v>
          </cell>
          <cell r="C27">
            <v>5.01</v>
          </cell>
          <cell r="D27" t="str">
            <v>CUM</v>
          </cell>
          <cell r="E27">
            <v>2852</v>
          </cell>
          <cell r="F27">
            <v>60.64</v>
          </cell>
          <cell r="G27">
            <v>172945.28</v>
          </cell>
        </row>
        <row r="28">
          <cell r="A28" t="str">
            <v>REINFORCEMENT</v>
          </cell>
          <cell r="C28">
            <v>5.09</v>
          </cell>
          <cell r="D28" t="str">
            <v>MT</v>
          </cell>
          <cell r="E28">
            <v>316</v>
          </cell>
          <cell r="F28">
            <v>40111.465000000004</v>
          </cell>
          <cell r="G28">
            <v>12675222.940000001</v>
          </cell>
        </row>
        <row r="29">
          <cell r="A29" t="str">
            <v>LEVELLING COURSE  / PCC</v>
          </cell>
          <cell r="C29">
            <v>5.04</v>
          </cell>
          <cell r="D29" t="str">
            <v>CUM</v>
          </cell>
          <cell r="E29">
            <v>585</v>
          </cell>
          <cell r="F29">
            <v>2871.8724999999999</v>
          </cell>
          <cell r="G29">
            <v>1680045.4124999999</v>
          </cell>
        </row>
        <row r="30">
          <cell r="A30" t="str">
            <v>CONCRETE WORKS - RCC</v>
          </cell>
          <cell r="C30" t="str">
            <v>5.05+5.06+5.07+5.08</v>
          </cell>
          <cell r="D30" t="str">
            <v>CUM</v>
          </cell>
          <cell r="E30">
            <v>4154</v>
          </cell>
          <cell r="F30">
            <v>3929.8420131198845</v>
          </cell>
          <cell r="G30">
            <v>16324563.7225</v>
          </cell>
        </row>
        <row r="31">
          <cell r="A31" t="str">
            <v>BACK FILLING</v>
          </cell>
          <cell r="C31" t="str">
            <v>5.02 + 5.03</v>
          </cell>
          <cell r="D31" t="str">
            <v>CUM</v>
          </cell>
          <cell r="E31">
            <v>3086</v>
          </cell>
          <cell r="F31">
            <v>575.54085223590414</v>
          </cell>
          <cell r="G31">
            <v>1776119.07</v>
          </cell>
        </row>
        <row r="32">
          <cell r="A32" t="str">
            <v>MISCELLENIOUS - CULVERTS</v>
          </cell>
          <cell r="C32" t="str">
            <v>Bill No. - 5 - (All above Items)</v>
          </cell>
          <cell r="D32" t="str">
            <v>%</v>
          </cell>
          <cell r="E32">
            <v>1</v>
          </cell>
          <cell r="F32">
            <v>89572.452574999959</v>
          </cell>
          <cell r="G32">
            <v>8957245.2574999966</v>
          </cell>
        </row>
        <row r="35">
          <cell r="A35" t="str">
            <v>EXCAVATION</v>
          </cell>
          <cell r="C35">
            <v>6.01</v>
          </cell>
          <cell r="D35" t="str">
            <v>CUM</v>
          </cell>
          <cell r="E35">
            <v>30989</v>
          </cell>
          <cell r="F35">
            <v>60.64</v>
          </cell>
          <cell r="G35">
            <v>1879172.96</v>
          </cell>
        </row>
        <row r="36">
          <cell r="A36" t="str">
            <v>LEVELLING COURSE  / PCC</v>
          </cell>
          <cell r="C36" t="str">
            <v>6.02 a) + 6.03 a)</v>
          </cell>
          <cell r="D36" t="str">
            <v>CUM</v>
          </cell>
          <cell r="E36">
            <v>2500</v>
          </cell>
          <cell r="F36">
            <v>3199.2011560000001</v>
          </cell>
          <cell r="G36">
            <v>7998002.8900000006</v>
          </cell>
        </row>
        <row r="37">
          <cell r="A37" t="str">
            <v>FOUNDATION CONCRETE</v>
          </cell>
          <cell r="C37" t="str">
            <v>6.02 b) + 6.02 c) + 6.03 b) + 6.03 c)</v>
          </cell>
          <cell r="D37" t="str">
            <v>CUM</v>
          </cell>
          <cell r="E37">
            <v>4094</v>
          </cell>
          <cell r="F37">
            <v>3637.8447844406446</v>
          </cell>
          <cell r="G37">
            <v>14893336.547499999</v>
          </cell>
        </row>
        <row r="38">
          <cell r="A38" t="str">
            <v>REINFORCEMENT</v>
          </cell>
          <cell r="C38">
            <v>6.07</v>
          </cell>
          <cell r="D38" t="str">
            <v>MT</v>
          </cell>
          <cell r="E38">
            <v>1809</v>
          </cell>
          <cell r="F38">
            <v>40111.465000000004</v>
          </cell>
          <cell r="G38">
            <v>72561640.185000002</v>
          </cell>
        </row>
        <row r="39">
          <cell r="A39" t="str">
            <v>WELL FOUNDATION KERB</v>
          </cell>
          <cell r="C39" t="str">
            <v>6.23 a)</v>
          </cell>
          <cell r="D39" t="str">
            <v>CUM</v>
          </cell>
          <cell r="E39">
            <v>39</v>
          </cell>
          <cell r="F39">
            <v>4692.9674999999997</v>
          </cell>
          <cell r="G39">
            <v>183025.73249999998</v>
          </cell>
        </row>
        <row r="40">
          <cell r="A40" t="str">
            <v>WELL FOUNDATION STEINING</v>
          </cell>
          <cell r="C40" t="str">
            <v>6.23 b)</v>
          </cell>
          <cell r="D40" t="str">
            <v>CUM</v>
          </cell>
          <cell r="E40">
            <v>488</v>
          </cell>
          <cell r="F40">
            <v>8351.2649999999994</v>
          </cell>
          <cell r="G40">
            <v>4075417.32</v>
          </cell>
        </row>
        <row r="41">
          <cell r="A41" t="str">
            <v>WELL FOUNDATION CAP</v>
          </cell>
          <cell r="C41" t="str">
            <v>6.23 c)</v>
          </cell>
          <cell r="D41" t="str">
            <v>CUM</v>
          </cell>
          <cell r="E41">
            <v>66</v>
          </cell>
          <cell r="F41">
            <v>4964.8999999999996</v>
          </cell>
          <cell r="G41">
            <v>327683.39999999997</v>
          </cell>
        </row>
        <row r="42">
          <cell r="A42" t="str">
            <v>WELL FOUNDATION BOTTOM PLUG</v>
          </cell>
          <cell r="C42" t="str">
            <v>6.23 d)</v>
          </cell>
          <cell r="D42" t="str">
            <v>CUM</v>
          </cell>
          <cell r="E42">
            <v>128</v>
          </cell>
          <cell r="F42">
            <v>4175.6324999999997</v>
          </cell>
          <cell r="G42">
            <v>534480.96</v>
          </cell>
        </row>
        <row r="43">
          <cell r="A43" t="str">
            <v>WELL FOUNDATION TOP PLUG</v>
          </cell>
          <cell r="C43" t="str">
            <v>6.23 e)</v>
          </cell>
          <cell r="D43" t="str">
            <v>CUM</v>
          </cell>
          <cell r="E43">
            <v>21</v>
          </cell>
          <cell r="F43">
            <v>4692.9674999999997</v>
          </cell>
          <cell r="G43">
            <v>98552.31749999999</v>
          </cell>
        </row>
        <row r="44">
          <cell r="A44" t="str">
            <v>SUPER STRUCTURE CONCRETE</v>
          </cell>
          <cell r="C44" t="str">
            <v>6.05 + 6.13</v>
          </cell>
          <cell r="D44" t="str">
            <v>CUM</v>
          </cell>
          <cell r="E44">
            <v>7675</v>
          </cell>
          <cell r="F44">
            <v>6815.5018166123773</v>
          </cell>
          <cell r="G44">
            <v>52308976.442499995</v>
          </cell>
        </row>
        <row r="45">
          <cell r="A45" t="str">
            <v>BACK FILLING</v>
          </cell>
          <cell r="C45" t="str">
            <v>6.16+6.17</v>
          </cell>
          <cell r="D45" t="str">
            <v>CUM</v>
          </cell>
          <cell r="E45">
            <v>6567</v>
          </cell>
          <cell r="F45">
            <v>417.7162033653114</v>
          </cell>
          <cell r="G45">
            <v>2743142.3075000001</v>
          </cell>
        </row>
        <row r="46">
          <cell r="A46" t="str">
            <v>MISCELLENIOUS - BRIDGES</v>
          </cell>
          <cell r="C46" t="str">
            <v>Bill No. - 6 - (All above Items)</v>
          </cell>
          <cell r="D46" t="str">
            <v>%</v>
          </cell>
          <cell r="E46">
            <v>1</v>
          </cell>
          <cell r="F46">
            <v>1653005.5343250013</v>
          </cell>
          <cell r="G46">
            <v>165300553.43250012</v>
          </cell>
        </row>
        <row r="47">
          <cell r="A47" t="str">
            <v>REHABILISATION OF STRUCTURES</v>
          </cell>
          <cell r="C47" t="str">
            <v>Bill No. - 7</v>
          </cell>
          <cell r="D47" t="str">
            <v>%</v>
          </cell>
          <cell r="E47">
            <v>1</v>
          </cell>
          <cell r="F47">
            <v>87740.94455</v>
          </cell>
          <cell r="G47">
            <v>8774094.4550000001</v>
          </cell>
        </row>
        <row r="50">
          <cell r="A50" t="str">
            <v>ROAD MAINTENANCE</v>
          </cell>
          <cell r="C50" t="str">
            <v>Bill No. 12</v>
          </cell>
          <cell r="D50" t="str">
            <v>%</v>
          </cell>
          <cell r="E50">
            <v>1</v>
          </cell>
          <cell r="F50">
            <v>17955341.977499999</v>
          </cell>
          <cell r="G50">
            <v>17955341.977499999</v>
          </cell>
        </row>
        <row r="51">
          <cell r="A51" t="str">
            <v>MISCELLANIOUS</v>
          </cell>
          <cell r="C51" t="str">
            <v>Bill No. 11</v>
          </cell>
          <cell r="D51" t="str">
            <v>%</v>
          </cell>
          <cell r="E51">
            <v>1</v>
          </cell>
          <cell r="F51">
            <v>25929246.152499996</v>
          </cell>
          <cell r="G51">
            <v>25929246.152499996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"/>
      <sheetName val="Tax Dep"/>
      <sheetName val="debt -Tyre "/>
      <sheetName val="KTP,BTP,TCIL,Comb"/>
      <sheetName val="Valuation - Existing JKI"/>
      <sheetName val="Asm-BS"/>
      <sheetName val="P&amp;L "/>
      <sheetName val="Book Depr"/>
      <sheetName val="Tax-JKI"/>
      <sheetName val="Financials - Existing"/>
      <sheetName val="Book Depr post split"/>
      <sheetName val="Financial Vikrant"/>
      <sheetName val="Financial Post SPLIT"/>
      <sheetName val="Financial Post MERGER"/>
      <sheetName val="Tax- VTL"/>
      <sheetName val="Tax-Post Merger"/>
      <sheetName val="Multiple Valuation"/>
      <sheetName val="Tax(co. format)"/>
      <sheetName val="Dep -Tax - VTL"/>
      <sheetName val="Dep book VTL"/>
      <sheetName val="Book Depr post MERGER"/>
      <sheetName val="Tax Depr (prev)"/>
      <sheetName val="KTP P&amp;L Asmp"/>
      <sheetName val="BTP P&amp;L Asmp"/>
      <sheetName val="debt -Tyre - Print"/>
      <sheetName val="Financials"/>
      <sheetName val="Anupam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WDPL Consolidated"/>
      <sheetName val="Lease rents"/>
      <sheetName val="Dilution"/>
      <sheetName val="Yield on cost"/>
      <sheetName val="Udaipur"/>
      <sheetName val="Raipur FDI (A)"/>
      <sheetName val="Jabalpur FDI (A)"/>
      <sheetName val="Chandigarh FDI (A)"/>
      <sheetName val="MR10 Com FDI (A)"/>
      <sheetName val="Raipur Mixed use FDI (A)"/>
      <sheetName val="Indore Annaporna"/>
      <sheetName val="Bhilai FDI"/>
      <sheetName val="Udaipur Mixed"/>
      <sheetName val="RNT (A)"/>
      <sheetName val="Varodara (A)"/>
      <sheetName val="Ujjain (A)"/>
      <sheetName val="Nanded (A)"/>
      <sheetName val="Kanpur (A)"/>
      <sheetName val="Ludhiana Resi FDI (A)"/>
      <sheetName val="MR10 Resi FDI (A)"/>
      <sheetName val="Bijalpur Resi FDI (A)"/>
      <sheetName val="Udaipur Resi FDI"/>
      <sheetName val="Indore Kanadia Resi FDI"/>
      <sheetName val="Bhopal FDI (B)"/>
      <sheetName val="Ludhiana FDI (A)"/>
      <sheetName val="Amritsar FDI (A)"/>
      <sheetName val="Bhuvneshwar FDI"/>
      <sheetName val="Bhuv Resi FDI (A)"/>
      <sheetName val="Gwalior FDI"/>
      <sheetName val="TI, USD"/>
      <sheetName val="TI, Indore"/>
      <sheetName val="Summary"/>
      <sheetName val="Valuation Summary"/>
      <sheetName val="Combi (Confimed+Pipeline)"/>
      <sheetName val="Combi (13 Projects)"/>
      <sheetName val="Combi (All Confimed)"/>
      <sheetName val="Combi (All FDI)"/>
      <sheetName val="Combi (All Non FDI)"/>
      <sheetName val="Answer Report 1"/>
      <sheetName val="Dilution_Revised"/>
    </sheetNames>
    <sheetDataSet>
      <sheetData sheetId="0" refreshError="1"/>
      <sheetData sheetId="1" refreshError="1">
        <row r="25">
          <cell r="C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Print Menu"/>
      <sheetName val="Forecast-Input"/>
      <sheetName val="Valuation"/>
      <sheetName val="wwww"/>
      <sheetName val="Assume"/>
      <sheetName val="Capital"/>
      <sheetName val="Validation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MTO REV.0"/>
      <sheetName val="TB9899"/>
      <sheetName val="Main workings"/>
      <sheetName val="assumptions"/>
      <sheetName val="Reports"/>
      <sheetName val="Grouped TB-2004-05"/>
      <sheetName val="List_ratios"/>
      <sheetName val="CF"/>
      <sheetName val="Baëance_Shet"/>
      <sheetName val="Print_Menu"/>
      <sheetName val="Setting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Trial Balance"/>
      <sheetName val="Baëance_Sh_x005f_x0005_et"/>
    </sheetNames>
    <sheetDataSet>
      <sheetData sheetId="0" refreshError="1"/>
      <sheetData sheetId="1" refreshError="1"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 t="str">
            <v/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U Analysis 1"/>
      <sheetName val="PU recon"/>
      <sheetName val="PU Analysis"/>
      <sheetName val="Sensitivity_"/>
      <sheetName val="PFSBU"/>
      <sheetName val="Snapshot"/>
      <sheetName val="Project Key Financials"/>
      <sheetName val="Beta"/>
      <sheetName val="Project-DSCR,IRR"/>
      <sheetName val="Valuation"/>
      <sheetName val="Project-Assumptions2"/>
      <sheetName val="Project-WC"/>
      <sheetName val="Project-BS"/>
      <sheetName val="Project-CF"/>
      <sheetName val="Project-P&amp;L"/>
      <sheetName val="Project-COP"/>
      <sheetName val="Project-Assumptions1"/>
      <sheetName val="IO Norms"/>
      <sheetName val="Project-Depreciation"/>
      <sheetName val="PC analysis_KR"/>
      <sheetName val="Project-Cost"/>
      <sheetName val="Project-Capex"/>
      <sheetName val="Quarterly_Phasing"/>
      <sheetName val="Monthly_Phasing"/>
      <sheetName val="Project Cost Comparison"/>
      <sheetName val="Imported P&amp;M"/>
      <sheetName val="IM"/>
      <sheetName val="idc"/>
      <sheetName val="blank"/>
      <sheetName val="Sheet1"/>
      <sheetName val="AMP"/>
      <sheetName val="comparitive"/>
    </sheetNames>
    <sheetDataSet>
      <sheetData sheetId="0"/>
      <sheetData sheetId="1"/>
      <sheetData sheetId="2"/>
      <sheetData sheetId="3"/>
      <sheetData sheetId="4">
        <row r="6">
          <cell r="E6">
            <v>1</v>
          </cell>
        </row>
        <row r="7">
          <cell r="E7">
            <v>1</v>
          </cell>
        </row>
        <row r="8">
          <cell r="E8">
            <v>1</v>
          </cell>
        </row>
        <row r="9">
          <cell r="E9">
            <v>0</v>
          </cell>
        </row>
        <row r="10">
          <cell r="E1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43">
          <cell r="D443">
            <v>0.66846305613036849</v>
          </cell>
        </row>
        <row r="444">
          <cell r="D444">
            <v>0.72531479299168733</v>
          </cell>
        </row>
      </sheetData>
      <sheetData sheetId="22">
        <row r="369">
          <cell r="G369">
            <v>7.3115562311447316E-134</v>
          </cell>
          <cell r="H369">
            <v>2.2112406722741503E-2</v>
          </cell>
          <cell r="I369">
            <v>0.14541448644185628</v>
          </cell>
          <cell r="J369">
            <v>0.48911227065487434</v>
          </cell>
          <cell r="K369">
            <v>1.1145653939578557</v>
          </cell>
          <cell r="L369">
            <v>3.2972706045191256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</row>
        <row r="370">
          <cell r="G370">
            <v>6.0300587483879382E-132</v>
          </cell>
          <cell r="H370">
            <v>2.2112406722742162E-2</v>
          </cell>
          <cell r="I370">
            <v>0.14541448644186686</v>
          </cell>
          <cell r="J370">
            <v>0.48911224831452027</v>
          </cell>
          <cell r="K370">
            <v>1.1145653053599263</v>
          </cell>
          <cell r="L370">
            <v>3.2972681222391351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ProjCost"/>
      <sheetName val="Const Sch"/>
      <sheetName val="Calcs"/>
      <sheetName val="INRDebt"/>
      <sheetName val="USDDebt"/>
      <sheetName val="EuroDebt"/>
      <sheetName val="FrDebt"/>
      <sheetName val="IRR"/>
      <sheetName val="BS&amp;CF"/>
      <sheetName val="P&amp;L"/>
      <sheetName val="Definitions"/>
      <sheetName val="Macro"/>
    </sheetNames>
    <sheetDataSet>
      <sheetData sheetId="0" refreshError="1"/>
      <sheetData sheetId="1">
        <row r="2">
          <cell r="G2">
            <v>1</v>
          </cell>
        </row>
      </sheetData>
      <sheetData sheetId="2">
        <row r="76">
          <cell r="D76">
            <v>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HC"/>
      <sheetName val="RHC"/>
      <sheetName val="Inventory"/>
      <sheetName val="Villages"/>
      <sheetName val="Temples"/>
      <sheetName val="Junction improvement"/>
      <sheetName val="KMS"/>
      <sheetName val="Junction Signs"/>
      <sheetName val="Ext.Junctions"/>
      <sheetName val="Cut&amp;Fill"/>
      <sheetName val="Land Use &amp; Terrain"/>
      <sheetName val="Ave.Road Width"/>
      <sheetName val="Ave.Shoulder"/>
      <sheetName val="Detailed Road Width"/>
      <sheetName val="Detailed Shoulder"/>
      <sheetName val="Jun (2)"/>
      <sheetName val="Fo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 01 contingent"/>
      <sheetName val="Contingent Summary"/>
      <sheetName val="Contingent by CC"/>
      <sheetName val="Mar 01 draft"/>
      <sheetName val="CCList"/>
      <sheetName val="CCTable2001"/>
      <sheetName val="Org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 xml:space="preserve">Consulting </v>
          </cell>
          <cell r="C2" t="str">
            <v xml:space="preserve">COGS </v>
          </cell>
          <cell r="D2" t="str">
            <v/>
          </cell>
          <cell r="E2" t="str">
            <v>Inactive</v>
          </cell>
          <cell r="F2" t="str">
            <v>Inactive</v>
          </cell>
          <cell r="G2" t="str">
            <v/>
          </cell>
        </row>
        <row r="3">
          <cell r="A3" t="str">
            <v>110</v>
          </cell>
          <cell r="B3" t="str">
            <v>Corporate Training</v>
          </cell>
          <cell r="C3" t="str">
            <v xml:space="preserve">COGS </v>
          </cell>
          <cell r="D3" t="str">
            <v/>
          </cell>
          <cell r="E3" t="str">
            <v>Inactive</v>
          </cell>
          <cell r="F3" t="str">
            <v>Inactive</v>
          </cell>
          <cell r="G3" t="str">
            <v/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 xml:space="preserve">Global Order Processing </v>
          </cell>
          <cell r="C5" t="str">
            <v xml:space="preserve">Sales </v>
          </cell>
          <cell r="D5" t="str">
            <v/>
          </cell>
          <cell r="E5" t="str">
            <v>Inactive</v>
          </cell>
          <cell r="F5" t="str">
            <v>Inactive</v>
          </cell>
          <cell r="G5" t="str">
            <v/>
          </cell>
        </row>
        <row r="6">
          <cell r="A6" t="str">
            <v>202</v>
          </cell>
          <cell r="B6" t="str">
            <v xml:space="preserve">Dealer Support </v>
          </cell>
          <cell r="C6" t="str">
            <v xml:space="preserve">Sales </v>
          </cell>
          <cell r="D6" t="str">
            <v/>
          </cell>
          <cell r="E6" t="str">
            <v>Inactive</v>
          </cell>
          <cell r="F6" t="str">
            <v>Inactive</v>
          </cell>
          <cell r="G6" t="str">
            <v/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 xml:space="preserve">Scott Larrimer 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>
            <v>204</v>
          </cell>
          <cell r="B8" t="str">
            <v>Customer Service - Texas</v>
          </cell>
          <cell r="C8" t="str">
            <v>Carmel Martin</v>
          </cell>
          <cell r="D8" t="str">
            <v xml:space="preserve">- 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 xml:space="preserve">Sales </v>
          </cell>
          <cell r="D9" t="str">
            <v/>
          </cell>
          <cell r="E9" t="str">
            <v>Inactive</v>
          </cell>
          <cell r="F9" t="str">
            <v>Inactive</v>
          </cell>
          <cell r="G9" t="str">
            <v/>
          </cell>
        </row>
        <row r="10">
          <cell r="A10" t="str">
            <v>206</v>
          </cell>
          <cell r="B10" t="str">
            <v xml:space="preserve">Field Sales Programs </v>
          </cell>
          <cell r="C10" t="str">
            <v xml:space="preserve">Sales </v>
          </cell>
          <cell r="D10" t="str">
            <v/>
          </cell>
          <cell r="E10" t="str">
            <v>Inactive</v>
          </cell>
          <cell r="F10" t="str">
            <v>Inactive</v>
          </cell>
          <cell r="G10" t="str">
            <v/>
          </cell>
        </row>
        <row r="11">
          <cell r="A11" t="str">
            <v>207</v>
          </cell>
          <cell r="B11" t="str">
            <v xml:space="preserve">Field Sales West </v>
          </cell>
          <cell r="C11" t="str">
            <v xml:space="preserve">Sales </v>
          </cell>
          <cell r="D11" t="str">
            <v/>
          </cell>
          <cell r="E11" t="str">
            <v>Inactive</v>
          </cell>
          <cell r="F11" t="str">
            <v>Inactive</v>
          </cell>
          <cell r="G11" t="str">
            <v/>
          </cell>
        </row>
        <row r="12">
          <cell r="A12" t="str">
            <v>208</v>
          </cell>
          <cell r="B12" t="str">
            <v xml:space="preserve">Field Sales East </v>
          </cell>
          <cell r="C12" t="str">
            <v xml:space="preserve">Sales </v>
          </cell>
          <cell r="D12" t="str">
            <v/>
          </cell>
          <cell r="E12" t="str">
            <v>Inactive</v>
          </cell>
          <cell r="F12" t="str">
            <v>Inactive</v>
          </cell>
          <cell r="G12" t="str">
            <v/>
          </cell>
        </row>
        <row r="13">
          <cell r="A13" t="str">
            <v>210</v>
          </cell>
          <cell r="B13" t="str">
            <v>NA Learning Eastern Sales</v>
          </cell>
          <cell r="C13" t="str">
            <v xml:space="preserve">Sales </v>
          </cell>
          <cell r="D13" t="str">
            <v/>
          </cell>
          <cell r="E13" t="str">
            <v>Inactive</v>
          </cell>
          <cell r="F13" t="str">
            <v>Inactive</v>
          </cell>
          <cell r="G13" t="str">
            <v/>
          </cell>
        </row>
        <row r="14">
          <cell r="A14" t="str">
            <v>211</v>
          </cell>
          <cell r="B14" t="str">
            <v>Learning Professional Service</v>
          </cell>
          <cell r="C14" t="str">
            <v xml:space="preserve">Sales </v>
          </cell>
          <cell r="D14" t="str">
            <v/>
          </cell>
          <cell r="E14" t="str">
            <v>Inactive</v>
          </cell>
          <cell r="F14" t="str">
            <v>Inactive</v>
          </cell>
          <cell r="G14" t="str">
            <v/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 xml:space="preserve">sw.com Sales </v>
          </cell>
          <cell r="C18" t="str">
            <v xml:space="preserve">Sales </v>
          </cell>
          <cell r="D18" t="str">
            <v/>
          </cell>
          <cell r="E18" t="str">
            <v>Inactive</v>
          </cell>
          <cell r="F18" t="str">
            <v>Inactive</v>
          </cell>
          <cell r="G18" t="str">
            <v/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 xml:space="preserve">Michael Lekse 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 xml:space="preserve">Sales </v>
          </cell>
          <cell r="D22" t="str">
            <v/>
          </cell>
          <cell r="E22" t="str">
            <v>Inactive</v>
          </cell>
          <cell r="F22" t="str">
            <v>Inactive</v>
          </cell>
          <cell r="G22" t="str">
            <v/>
          </cell>
        </row>
        <row r="23">
          <cell r="A23" t="str">
            <v>222</v>
          </cell>
          <cell r="B23" t="str">
            <v xml:space="preserve">Field Sales West </v>
          </cell>
          <cell r="C23" t="str">
            <v xml:space="preserve">Sales </v>
          </cell>
          <cell r="D23" t="str">
            <v/>
          </cell>
          <cell r="E23" t="str">
            <v>Inactive</v>
          </cell>
          <cell r="F23" t="str">
            <v>Inactive</v>
          </cell>
          <cell r="G23" t="str">
            <v/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 xml:space="preserve">Marina Moreno 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 xml:space="preserve">Sales </v>
          </cell>
          <cell r="D26" t="str">
            <v/>
          </cell>
          <cell r="E26" t="str">
            <v>Inactive</v>
          </cell>
          <cell r="F26" t="str">
            <v>Inactive</v>
          </cell>
          <cell r="G26" t="str">
            <v/>
          </cell>
        </row>
        <row r="27">
          <cell r="A27" t="str">
            <v>227</v>
          </cell>
          <cell r="B27" t="str">
            <v>NA Corporate Sales</v>
          </cell>
          <cell r="C27" t="str">
            <v xml:space="preserve">James Holscher 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eBS US Sales</v>
          </cell>
          <cell r="C28" t="str">
            <v>Sales</v>
          </cell>
          <cell r="D28" t="str">
            <v/>
          </cell>
          <cell r="E28" t="str">
            <v>Inactive</v>
          </cell>
          <cell r="F28" t="str">
            <v>Inactive</v>
          </cell>
          <cell r="G28" t="str">
            <v/>
          </cell>
        </row>
        <row r="29">
          <cell r="A29" t="str">
            <v>230</v>
          </cell>
          <cell r="B29" t="str">
            <v>Worldwide Sales HQ</v>
          </cell>
          <cell r="C29" t="str">
            <v xml:space="preserve">Sales </v>
          </cell>
          <cell r="D29" t="str">
            <v/>
          </cell>
          <cell r="E29" t="str">
            <v>Inactive</v>
          </cell>
          <cell r="F29" t="str">
            <v>Inactive</v>
          </cell>
          <cell r="G29" t="str">
            <v/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 xml:space="preserve">Russell Ziegler </v>
          </cell>
        </row>
        <row r="31">
          <cell r="A31" t="str">
            <v>232</v>
          </cell>
          <cell r="B31" t="str">
            <v>US Sales - Central</v>
          </cell>
          <cell r="C31" t="str">
            <v xml:space="preserve">Toby Timion </v>
          </cell>
          <cell r="D31" t="str">
            <v xml:space="preserve">Maureen Thomas </v>
          </cell>
          <cell r="E31" t="str">
            <v>Sales</v>
          </cell>
          <cell r="F31" t="str">
            <v>Sales</v>
          </cell>
          <cell r="G31" t="str">
            <v xml:space="preserve">Russell Ziegler </v>
          </cell>
        </row>
        <row r="32">
          <cell r="A32" t="str">
            <v>233</v>
          </cell>
          <cell r="B32" t="str">
            <v>Macromedia Canada</v>
          </cell>
          <cell r="C32" t="str">
            <v xml:space="preserve">Sales </v>
          </cell>
          <cell r="D32" t="str">
            <v/>
          </cell>
          <cell r="E32" t="str">
            <v>Inactive</v>
          </cell>
          <cell r="F32" t="str">
            <v>Inactive</v>
          </cell>
          <cell r="G32" t="str">
            <v/>
          </cell>
        </row>
        <row r="33">
          <cell r="A33" t="str">
            <v>234</v>
          </cell>
          <cell r="B33" t="str">
            <v>US Sales - East</v>
          </cell>
          <cell r="C33" t="str">
            <v xml:space="preserve">William Schule 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 xml:space="preserve">Russell Ziegler </v>
          </cell>
        </row>
        <row r="34">
          <cell r="A34" t="str">
            <v>235</v>
          </cell>
          <cell r="B34" t="str">
            <v xml:space="preserve">Product Specialist </v>
          </cell>
          <cell r="C34" t="str">
            <v xml:space="preserve">Sales </v>
          </cell>
          <cell r="D34" t="str">
            <v/>
          </cell>
          <cell r="E34" t="str">
            <v>Inactive</v>
          </cell>
          <cell r="F34" t="str">
            <v>Inactive</v>
          </cell>
          <cell r="G34" t="str">
            <v/>
          </cell>
        </row>
        <row r="35">
          <cell r="A35" t="str">
            <v>237</v>
          </cell>
          <cell r="B35" t="str">
            <v>sw.com Syndication Sales</v>
          </cell>
          <cell r="C35" t="str">
            <v xml:space="preserve">Sales </v>
          </cell>
          <cell r="D35" t="str">
            <v/>
          </cell>
          <cell r="E35" t="str">
            <v>Inactive</v>
          </cell>
          <cell r="F35" t="str">
            <v>Inactive</v>
          </cell>
          <cell r="G35" t="str">
            <v/>
          </cell>
        </row>
        <row r="36">
          <cell r="A36" t="str">
            <v>238</v>
          </cell>
          <cell r="B36" t="str">
            <v>SW Europe Sales</v>
          </cell>
          <cell r="C36" t="str">
            <v xml:space="preserve">Sales </v>
          </cell>
          <cell r="D36" t="str">
            <v/>
          </cell>
          <cell r="E36" t="str">
            <v>Inactive</v>
          </cell>
          <cell r="F36" t="str">
            <v>Inactive</v>
          </cell>
          <cell r="G36" t="str">
            <v/>
          </cell>
        </row>
        <row r="37">
          <cell r="A37" t="str">
            <v>239</v>
          </cell>
          <cell r="B37" t="str">
            <v>SW KK Sales</v>
          </cell>
          <cell r="C37" t="str">
            <v xml:space="preserve">Sales </v>
          </cell>
          <cell r="D37" t="str">
            <v/>
          </cell>
          <cell r="E37" t="str">
            <v>Inactive</v>
          </cell>
          <cell r="F37" t="str">
            <v>Inactive</v>
          </cell>
          <cell r="G37" t="str">
            <v/>
          </cell>
        </row>
        <row r="38">
          <cell r="A38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 xml:space="preserve">Russell Ziegler </v>
          </cell>
        </row>
        <row r="39">
          <cell r="A39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 xml:space="preserve">Russell Ziegler </v>
          </cell>
        </row>
        <row r="40">
          <cell r="A40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 xml:space="preserve">Russell Ziegler </v>
          </cell>
        </row>
        <row r="41">
          <cell r="A41" t="str">
            <v>247</v>
          </cell>
          <cell r="B41" t="str">
            <v xml:space="preserve">Worldwide Sales HQ </v>
          </cell>
          <cell r="C41" t="str">
            <v xml:space="preserve">Sales </v>
          </cell>
          <cell r="D41" t="str">
            <v/>
          </cell>
          <cell r="E41" t="str">
            <v>Inactive</v>
          </cell>
          <cell r="F41" t="str">
            <v>Inactive</v>
          </cell>
          <cell r="G41" t="str">
            <v/>
          </cell>
        </row>
        <row r="42">
          <cell r="A42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 xml:space="preserve">Europe UK 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 xml:space="preserve">Mark Rolfe 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 xml:space="preserve">Macromedia Germany </v>
          </cell>
          <cell r="C45" t="str">
            <v xml:space="preserve">Mark Rolfe 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 xml:space="preserve">Macromedia Sweden </v>
          </cell>
          <cell r="C46" t="str">
            <v xml:space="preserve">Mark Rolfe 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 xml:space="preserve">Macromedia Switzerland </v>
          </cell>
          <cell r="C47" t="str">
            <v xml:space="preserve">Mark Rolfe 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 xml:space="preserve">Andrew Trombley </v>
          </cell>
        </row>
        <row r="48">
          <cell r="A48" t="str">
            <v>256</v>
          </cell>
          <cell r="B48" t="str">
            <v>Macromedia Netherlands BV</v>
          </cell>
          <cell r="C48" t="str">
            <v xml:space="preserve">Mark Rolfe 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 xml:space="preserve">Andrew Trombley 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 xml:space="preserve">Tom Boeckling, Mikel Matto, Eric Yerina </v>
          </cell>
          <cell r="E49" t="str">
            <v>Sales</v>
          </cell>
          <cell r="F49" t="str">
            <v>Sales</v>
          </cell>
          <cell r="G49" t="str">
            <v xml:space="preserve">Russell Ziegler 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D53" t="str">
            <v/>
          </cell>
          <cell r="E53" t="str">
            <v>Inactive</v>
          </cell>
          <cell r="F53" t="str">
            <v>Inactive</v>
          </cell>
          <cell r="G53" t="str">
            <v/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D54" t="str">
            <v/>
          </cell>
          <cell r="E54" t="str">
            <v>Inactive</v>
          </cell>
          <cell r="F54" t="str">
            <v>Inactive</v>
          </cell>
          <cell r="G54" t="str">
            <v/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D55" t="str">
            <v/>
          </cell>
          <cell r="E55" t="str">
            <v>Inactive</v>
          </cell>
          <cell r="F55" t="str">
            <v>Inactive</v>
          </cell>
          <cell r="G55" t="str">
            <v/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 xml:space="preserve">Field Marketing </v>
          </cell>
          <cell r="C57" t="str">
            <v xml:space="preserve">Field Mktg </v>
          </cell>
          <cell r="D57" t="str">
            <v/>
          </cell>
          <cell r="E57" t="str">
            <v>Inactive</v>
          </cell>
          <cell r="F57" t="str">
            <v>Inactive</v>
          </cell>
          <cell r="G57" t="str">
            <v/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 xml:space="preserve">Russell Ziegler 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 xml:space="preserve">Field Mktg </v>
          </cell>
          <cell r="D59" t="str">
            <v/>
          </cell>
          <cell r="E59" t="str">
            <v>Inactive</v>
          </cell>
          <cell r="F59" t="str">
            <v>Inactive</v>
          </cell>
          <cell r="G59" t="str">
            <v/>
          </cell>
        </row>
        <row r="60">
          <cell r="A60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 xml:space="preserve">Field Mktg </v>
          </cell>
          <cell r="D61" t="str">
            <v/>
          </cell>
          <cell r="E61" t="str">
            <v>Inactive</v>
          </cell>
          <cell r="F61" t="str">
            <v>Inactive</v>
          </cell>
          <cell r="G61" t="str">
            <v/>
          </cell>
        </row>
        <row r="62">
          <cell r="A62" t="str">
            <v>285</v>
          </cell>
          <cell r="B62" t="str">
            <v xml:space="preserve">Seminars-Learning </v>
          </cell>
          <cell r="C62" t="str">
            <v xml:space="preserve">Field Mktg </v>
          </cell>
          <cell r="D62" t="str">
            <v/>
          </cell>
          <cell r="E62" t="str">
            <v>Inactive</v>
          </cell>
          <cell r="F62" t="str">
            <v>Inactive</v>
          </cell>
          <cell r="G62" t="str">
            <v/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>
            <v>290</v>
          </cell>
          <cell r="B65" t="str">
            <v>Worldwide Field Marketing</v>
          </cell>
          <cell r="C65" t="str">
            <v>Liz Osborn</v>
          </cell>
          <cell r="D65" t="str">
            <v xml:space="preserve">Scott Morris 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 xml:space="preserve">Dan Oyharchabal </v>
          </cell>
          <cell r="E66" t="str">
            <v>Field Mktg</v>
          </cell>
          <cell r="F66" t="str">
            <v>Sales</v>
          </cell>
          <cell r="G66" t="str">
            <v xml:space="preserve">Russell Ziegler 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 xml:space="preserve">Russell Ziegler 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 xml:space="preserve">Russell Ziegler 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 xml:space="preserve">Russell Ziegler 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 xml:space="preserve">International Marketing </v>
          </cell>
          <cell r="C72" t="str">
            <v xml:space="preserve">Marketing </v>
          </cell>
          <cell r="D72" t="str">
            <v/>
          </cell>
          <cell r="E72" t="str">
            <v>Inactive</v>
          </cell>
          <cell r="F72" t="str">
            <v>Inactive</v>
          </cell>
          <cell r="G72" t="str">
            <v/>
          </cell>
        </row>
        <row r="73">
          <cell r="A73" t="str">
            <v>311</v>
          </cell>
          <cell r="B73" t="str">
            <v xml:space="preserve">Int'l Mktg - Europe </v>
          </cell>
          <cell r="C73" t="str">
            <v xml:space="preserve">Marketing </v>
          </cell>
          <cell r="D73" t="str">
            <v/>
          </cell>
          <cell r="E73" t="str">
            <v>Inactive</v>
          </cell>
          <cell r="F73" t="str">
            <v>Inactive</v>
          </cell>
          <cell r="G73" t="str">
            <v/>
          </cell>
        </row>
        <row r="74">
          <cell r="A74" t="str">
            <v>312</v>
          </cell>
          <cell r="B74" t="str">
            <v xml:space="preserve">Int'l Mktg - Japan </v>
          </cell>
          <cell r="C74" t="str">
            <v xml:space="preserve">Marketing </v>
          </cell>
          <cell r="D74" t="str">
            <v/>
          </cell>
          <cell r="E74" t="str">
            <v>Inactive</v>
          </cell>
          <cell r="F74" t="str">
            <v>Inactive</v>
          </cell>
          <cell r="G74" t="str">
            <v/>
          </cell>
        </row>
        <row r="75">
          <cell r="A75" t="str">
            <v>313</v>
          </cell>
          <cell r="B75" t="str">
            <v xml:space="preserve">Int'l Mktg - Asia Pacific </v>
          </cell>
          <cell r="C75" t="str">
            <v xml:space="preserve">Marketing </v>
          </cell>
          <cell r="D75" t="str">
            <v/>
          </cell>
          <cell r="E75" t="str">
            <v>Inactive</v>
          </cell>
          <cell r="F75" t="str">
            <v>Inactive</v>
          </cell>
          <cell r="G75" t="str">
            <v/>
          </cell>
        </row>
        <row r="76">
          <cell r="A76" t="str">
            <v>314</v>
          </cell>
          <cell r="B76" t="str">
            <v xml:space="preserve">Int'l Mktg - Latin America </v>
          </cell>
          <cell r="C76" t="str">
            <v xml:space="preserve">Marketing </v>
          </cell>
          <cell r="D76" t="str">
            <v/>
          </cell>
          <cell r="E76" t="str">
            <v>Inactive</v>
          </cell>
          <cell r="F76" t="str">
            <v>Inactive</v>
          </cell>
          <cell r="G76" t="str">
            <v/>
          </cell>
        </row>
        <row r="77">
          <cell r="A77" t="str">
            <v>318</v>
          </cell>
          <cell r="B77" t="str">
            <v xml:space="preserve">Marketing Development Fund </v>
          </cell>
          <cell r="C77" t="str">
            <v xml:space="preserve">Marketing </v>
          </cell>
          <cell r="D77" t="str">
            <v/>
          </cell>
          <cell r="E77" t="str">
            <v>Inactive</v>
          </cell>
          <cell r="F77" t="str">
            <v>Inactive</v>
          </cell>
          <cell r="G77" t="str">
            <v/>
          </cell>
        </row>
        <row r="78">
          <cell r="A78" t="str">
            <v>319</v>
          </cell>
          <cell r="B78" t="str">
            <v>sw.com Lunch Program</v>
          </cell>
          <cell r="C78" t="str">
            <v xml:space="preserve">G&amp;A </v>
          </cell>
          <cell r="D78" t="str">
            <v/>
          </cell>
          <cell r="E78" t="str">
            <v>Inactive</v>
          </cell>
          <cell r="F78" t="str">
            <v>Inactive</v>
          </cell>
          <cell r="G78" t="str">
            <v/>
          </cell>
        </row>
        <row r="79">
          <cell r="A79" t="str">
            <v>320</v>
          </cell>
          <cell r="B79" t="str">
            <v>sw.com Creative Services</v>
          </cell>
          <cell r="C79" t="str">
            <v xml:space="preserve">Marketing </v>
          </cell>
          <cell r="D79" t="str">
            <v/>
          </cell>
          <cell r="E79" t="str">
            <v>Inactive</v>
          </cell>
          <cell r="F79" t="str">
            <v>Inactive</v>
          </cell>
          <cell r="G79" t="str">
            <v/>
          </cell>
        </row>
        <row r="80">
          <cell r="A80" t="str">
            <v>321</v>
          </cell>
          <cell r="B80" t="str">
            <v>sw.com Corporate Strat.</v>
          </cell>
          <cell r="C80" t="str">
            <v xml:space="preserve">Marketing </v>
          </cell>
          <cell r="D80" t="str">
            <v/>
          </cell>
          <cell r="E80" t="str">
            <v>Inactive</v>
          </cell>
          <cell r="F80" t="str">
            <v>Inactive</v>
          </cell>
          <cell r="G80" t="str">
            <v/>
          </cell>
        </row>
        <row r="81">
          <cell r="A81" t="str">
            <v>322</v>
          </cell>
          <cell r="B81" t="str">
            <v>sw.com Brand/Visit Acq.</v>
          </cell>
          <cell r="C81" t="str">
            <v xml:space="preserve">Marketing </v>
          </cell>
          <cell r="D81" t="str">
            <v/>
          </cell>
          <cell r="E81" t="str">
            <v>Inactive</v>
          </cell>
          <cell r="F81" t="str">
            <v>Inactive</v>
          </cell>
          <cell r="G81" t="str">
            <v/>
          </cell>
        </row>
        <row r="82">
          <cell r="A82" t="str">
            <v>323</v>
          </cell>
          <cell r="B82" t="str">
            <v>sw.com Cust/Prod Mgt</v>
          </cell>
          <cell r="C82" t="str">
            <v xml:space="preserve">Marketing </v>
          </cell>
          <cell r="D82" t="str">
            <v/>
          </cell>
          <cell r="E82" t="str">
            <v>Inactive</v>
          </cell>
          <cell r="F82" t="str">
            <v>Inactive</v>
          </cell>
          <cell r="G82" t="str">
            <v/>
          </cell>
        </row>
        <row r="83">
          <cell r="A83" t="str">
            <v>324</v>
          </cell>
          <cell r="B83" t="str">
            <v>sw.com Cust Relationship</v>
          </cell>
          <cell r="C83" t="str">
            <v xml:space="preserve">Marketing </v>
          </cell>
          <cell r="D83" t="str">
            <v/>
          </cell>
          <cell r="E83" t="str">
            <v>Inactive</v>
          </cell>
          <cell r="F83" t="str">
            <v>Inactive</v>
          </cell>
          <cell r="G83" t="str">
            <v/>
          </cell>
        </row>
        <row r="84">
          <cell r="A84" t="str">
            <v>325</v>
          </cell>
          <cell r="B84" t="str">
            <v>sw.com Marketing Programs</v>
          </cell>
          <cell r="C84" t="str">
            <v xml:space="preserve">Marketing </v>
          </cell>
          <cell r="D84" t="str">
            <v/>
          </cell>
          <cell r="E84" t="str">
            <v>Inactive</v>
          </cell>
          <cell r="F84" t="str">
            <v>Inactive</v>
          </cell>
          <cell r="G84" t="str">
            <v/>
          </cell>
        </row>
        <row r="85">
          <cell r="A85" t="str">
            <v>326</v>
          </cell>
          <cell r="B85" t="str">
            <v>sw.com PR</v>
          </cell>
          <cell r="C85" t="str">
            <v xml:space="preserve">Marketing </v>
          </cell>
          <cell r="D85" t="str">
            <v/>
          </cell>
          <cell r="E85" t="str">
            <v>Inactive</v>
          </cell>
          <cell r="F85" t="str">
            <v>Inactive</v>
          </cell>
          <cell r="G85" t="str">
            <v/>
          </cell>
        </row>
        <row r="86">
          <cell r="A86" t="str">
            <v>327</v>
          </cell>
          <cell r="B86" t="str">
            <v>sw.com Customer Insights</v>
          </cell>
          <cell r="C86" t="str">
            <v xml:space="preserve">Marketing </v>
          </cell>
          <cell r="D86" t="str">
            <v/>
          </cell>
          <cell r="E86" t="str">
            <v>Inactive</v>
          </cell>
          <cell r="F86" t="str">
            <v>Inactive</v>
          </cell>
          <cell r="G86" t="str">
            <v/>
          </cell>
        </row>
        <row r="87">
          <cell r="A87" t="str">
            <v>329</v>
          </cell>
          <cell r="B87" t="str">
            <v>sw.com Bus Development</v>
          </cell>
          <cell r="C87" t="str">
            <v xml:space="preserve">Marketing </v>
          </cell>
          <cell r="D87" t="str">
            <v/>
          </cell>
          <cell r="E87" t="str">
            <v>Inactive</v>
          </cell>
          <cell r="F87" t="str">
            <v>Inactive</v>
          </cell>
          <cell r="G87" t="str">
            <v/>
          </cell>
        </row>
        <row r="88">
          <cell r="A88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 xml:space="preserve">Marketing Department-DAG </v>
          </cell>
          <cell r="C89" t="str">
            <v xml:space="preserve">Marketing </v>
          </cell>
          <cell r="D89" t="str">
            <v/>
          </cell>
          <cell r="E89" t="str">
            <v>Inactive</v>
          </cell>
          <cell r="F89" t="str">
            <v>Inactive</v>
          </cell>
          <cell r="G89" t="str">
            <v/>
          </cell>
        </row>
        <row r="90">
          <cell r="A90">
            <v>333</v>
          </cell>
          <cell r="B90" t="str">
            <v>Training and Programs</v>
          </cell>
          <cell r="C90" t="str">
            <v>Liz Osborn</v>
          </cell>
          <cell r="D90" t="str">
            <v xml:space="preserve">Maura Huntz 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 xml:space="preserve">sw.com Japan </v>
          </cell>
          <cell r="C91" t="str">
            <v xml:space="preserve">Marketing </v>
          </cell>
          <cell r="D91" t="str">
            <v/>
          </cell>
          <cell r="E91" t="str">
            <v>Inactive</v>
          </cell>
          <cell r="F91" t="str">
            <v>Inactive</v>
          </cell>
          <cell r="G91" t="str">
            <v/>
          </cell>
        </row>
        <row r="92">
          <cell r="A92" t="str">
            <v>336</v>
          </cell>
          <cell r="B92" t="str">
            <v xml:space="preserve">sw.com Europe </v>
          </cell>
          <cell r="C92" t="str">
            <v xml:space="preserve">Marketing </v>
          </cell>
          <cell r="D92" t="str">
            <v/>
          </cell>
          <cell r="E92" t="str">
            <v>Inactive</v>
          </cell>
          <cell r="F92" t="str">
            <v>Inactive</v>
          </cell>
          <cell r="G92" t="str">
            <v/>
          </cell>
        </row>
        <row r="93">
          <cell r="A93" t="str">
            <v>338</v>
          </cell>
          <cell r="B93" t="str">
            <v xml:space="preserve">Online Training </v>
          </cell>
          <cell r="C93" t="str">
            <v xml:space="preserve">Marketing </v>
          </cell>
          <cell r="D93" t="str">
            <v/>
          </cell>
          <cell r="E93" t="str">
            <v>Inactive</v>
          </cell>
          <cell r="F93" t="str">
            <v>Inactive</v>
          </cell>
          <cell r="G93" t="str">
            <v/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 xml:space="preserve">Channel Marketing </v>
          </cell>
          <cell r="C95" t="str">
            <v xml:space="preserve">Marketing </v>
          </cell>
          <cell r="D95" t="str">
            <v/>
          </cell>
          <cell r="E95" t="str">
            <v>Inactive</v>
          </cell>
          <cell r="F95" t="str">
            <v>Inactive</v>
          </cell>
          <cell r="G95" t="str">
            <v/>
          </cell>
        </row>
        <row r="96">
          <cell r="A96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 xml:space="preserve">Marketing </v>
          </cell>
          <cell r="D98" t="str">
            <v/>
          </cell>
          <cell r="E98" t="str">
            <v>Inactive</v>
          </cell>
          <cell r="F98" t="str">
            <v>Inactive</v>
          </cell>
          <cell r="G98" t="str">
            <v/>
          </cell>
        </row>
        <row r="99">
          <cell r="A99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 xml:space="preserve">Direct Marketing </v>
          </cell>
          <cell r="C102" t="str">
            <v xml:space="preserve">Marketing </v>
          </cell>
          <cell r="D102" t="str">
            <v/>
          </cell>
          <cell r="E102" t="str">
            <v>Inactive</v>
          </cell>
          <cell r="F102" t="str">
            <v>Inactive</v>
          </cell>
          <cell r="G102" t="str">
            <v/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 xml:space="preserve">Registration Database </v>
          </cell>
          <cell r="C106" t="str">
            <v xml:space="preserve">Marketing </v>
          </cell>
          <cell r="D106" t="str">
            <v/>
          </cell>
          <cell r="E106" t="str">
            <v>Inactive</v>
          </cell>
          <cell r="F106" t="str">
            <v>Inactive</v>
          </cell>
          <cell r="G106" t="str">
            <v/>
          </cell>
        </row>
        <row r="107">
          <cell r="A107" t="str">
            <v>361</v>
          </cell>
          <cell r="B107" t="str">
            <v>Learning Marketing</v>
          </cell>
          <cell r="C107" t="str">
            <v xml:space="preserve">Marketing </v>
          </cell>
          <cell r="D107" t="str">
            <v/>
          </cell>
          <cell r="E107" t="str">
            <v>Inactive</v>
          </cell>
          <cell r="F107" t="str">
            <v>Inactive</v>
          </cell>
          <cell r="G107" t="str">
            <v/>
          </cell>
        </row>
        <row r="108">
          <cell r="A108" t="str">
            <v>362</v>
          </cell>
          <cell r="B108" t="str">
            <v>Graphics Marketing</v>
          </cell>
          <cell r="C108" t="str">
            <v xml:space="preserve">Marketing </v>
          </cell>
          <cell r="D108" t="str">
            <v/>
          </cell>
          <cell r="E108" t="str">
            <v>Inactive</v>
          </cell>
          <cell r="F108" t="str">
            <v>Inactive</v>
          </cell>
          <cell r="G108" t="str">
            <v/>
          </cell>
        </row>
        <row r="109">
          <cell r="A109" t="str">
            <v>363</v>
          </cell>
          <cell r="B109" t="str">
            <v>IMAT Marketing</v>
          </cell>
          <cell r="C109" t="str">
            <v xml:space="preserve">Marketing </v>
          </cell>
          <cell r="D109" t="str">
            <v/>
          </cell>
          <cell r="E109" t="str">
            <v>Inactive</v>
          </cell>
          <cell r="F109" t="str">
            <v>Inactive</v>
          </cell>
          <cell r="G109" t="str">
            <v/>
          </cell>
        </row>
        <row r="110">
          <cell r="A110" t="str">
            <v>364</v>
          </cell>
          <cell r="B110" t="str">
            <v>Video Marketing</v>
          </cell>
          <cell r="C110" t="str">
            <v xml:space="preserve">Marketing </v>
          </cell>
          <cell r="D110" t="str">
            <v/>
          </cell>
          <cell r="E110" t="str">
            <v>Inactive</v>
          </cell>
          <cell r="F110" t="str">
            <v>Inactive</v>
          </cell>
          <cell r="G110" t="str">
            <v/>
          </cell>
        </row>
        <row r="111">
          <cell r="A111" t="str">
            <v>365</v>
          </cell>
          <cell r="B111" t="str">
            <v xml:space="preserve">sw.com Marketing </v>
          </cell>
          <cell r="C111" t="str">
            <v xml:space="preserve">Marketing </v>
          </cell>
          <cell r="D111" t="str">
            <v/>
          </cell>
          <cell r="E111" t="str">
            <v>Inactive</v>
          </cell>
          <cell r="F111" t="str">
            <v>Inactive</v>
          </cell>
          <cell r="G111" t="str">
            <v/>
          </cell>
        </row>
        <row r="112">
          <cell r="A112">
            <v>366</v>
          </cell>
          <cell r="B112" t="str">
            <v>Customer Marketing</v>
          </cell>
          <cell r="C112" t="str">
            <v xml:space="preserve">Ian Fish 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 xml:space="preserve">Marketing </v>
          </cell>
          <cell r="D113" t="str">
            <v/>
          </cell>
          <cell r="E113" t="str">
            <v>Inactive</v>
          </cell>
          <cell r="F113" t="str">
            <v>Inactive</v>
          </cell>
          <cell r="G113" t="str">
            <v/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 xml:space="preserve">Marketing </v>
          </cell>
          <cell r="D114" t="str">
            <v/>
          </cell>
          <cell r="E114" t="str">
            <v>Inactive</v>
          </cell>
          <cell r="F114" t="str">
            <v>Inactive</v>
          </cell>
          <cell r="G114" t="str">
            <v/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 xml:space="preserve">Web Services </v>
          </cell>
          <cell r="C116" t="str">
            <v xml:space="preserve">Marketing </v>
          </cell>
          <cell r="D116" t="str">
            <v/>
          </cell>
          <cell r="E116" t="str">
            <v>Inactive</v>
          </cell>
          <cell r="F116" t="str">
            <v>Inactive</v>
          </cell>
          <cell r="G116" t="str">
            <v/>
          </cell>
        </row>
        <row r="117">
          <cell r="A117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 xml:space="preserve">Multimedia Production </v>
          </cell>
          <cell r="C118" t="str">
            <v xml:space="preserve">Marketing </v>
          </cell>
          <cell r="D118" t="str">
            <v/>
          </cell>
          <cell r="E118" t="str">
            <v>Inactive</v>
          </cell>
          <cell r="F118" t="str">
            <v>Inactive</v>
          </cell>
          <cell r="G118" t="str">
            <v/>
          </cell>
        </row>
        <row r="119">
          <cell r="A119" t="str">
            <v>374</v>
          </cell>
          <cell r="B119" t="str">
            <v xml:space="preserve">Services Mktg Programs </v>
          </cell>
          <cell r="C119" t="str">
            <v xml:space="preserve">Marketing </v>
          </cell>
          <cell r="D119" t="str">
            <v/>
          </cell>
          <cell r="E119" t="str">
            <v>Inactive</v>
          </cell>
          <cell r="F119" t="str">
            <v>Inactive</v>
          </cell>
          <cell r="G119" t="str">
            <v/>
          </cell>
        </row>
        <row r="120">
          <cell r="A120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 xml:space="preserve">Marketing </v>
          </cell>
          <cell r="D121" t="str">
            <v/>
          </cell>
          <cell r="E121" t="str">
            <v>Inactive</v>
          </cell>
          <cell r="F121" t="str">
            <v>Inactive</v>
          </cell>
          <cell r="G121" t="str">
            <v/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 xml:space="preserve">Product Management </v>
          </cell>
          <cell r="C125" t="str">
            <v xml:space="preserve">Marketing </v>
          </cell>
          <cell r="D125" t="str">
            <v/>
          </cell>
          <cell r="E125" t="str">
            <v>Inactive</v>
          </cell>
          <cell r="F125" t="str">
            <v>Inactive</v>
          </cell>
          <cell r="G125" t="str">
            <v/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D126" t="str">
            <v/>
          </cell>
          <cell r="E126" t="str">
            <v>Inactive</v>
          </cell>
          <cell r="F126" t="str">
            <v>Inactive</v>
          </cell>
          <cell r="G126" t="str">
            <v/>
          </cell>
        </row>
        <row r="127">
          <cell r="A127" t="str">
            <v>392</v>
          </cell>
          <cell r="B127" t="str">
            <v xml:space="preserve">Product Management-DAG </v>
          </cell>
          <cell r="C127" t="str">
            <v xml:space="preserve">Marketing </v>
          </cell>
          <cell r="D127" t="str">
            <v/>
          </cell>
          <cell r="E127" t="str">
            <v>Inactive</v>
          </cell>
          <cell r="F127" t="str">
            <v>Inactive</v>
          </cell>
          <cell r="G127" t="str">
            <v/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 xml:space="preserve">Marketing </v>
          </cell>
          <cell r="D128" t="str">
            <v/>
          </cell>
          <cell r="E128" t="str">
            <v>Inactive</v>
          </cell>
          <cell r="F128" t="str">
            <v>Inactive</v>
          </cell>
          <cell r="G128" t="str">
            <v/>
          </cell>
        </row>
        <row r="129">
          <cell r="A129" t="str">
            <v>400</v>
          </cell>
          <cell r="B129" t="str">
            <v xml:space="preserve">Professional Services HQ </v>
          </cell>
          <cell r="C129" t="str">
            <v xml:space="preserve">Services </v>
          </cell>
          <cell r="D129" t="str">
            <v/>
          </cell>
          <cell r="E129" t="str">
            <v>Inactive</v>
          </cell>
          <cell r="F129" t="str">
            <v>Inactive</v>
          </cell>
          <cell r="G129" t="str">
            <v/>
          </cell>
        </row>
        <row r="130">
          <cell r="A130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 xml:space="preserve">Macromedia Press </v>
          </cell>
          <cell r="C131" t="str">
            <v>R &amp; D</v>
          </cell>
          <cell r="D131" t="str">
            <v/>
          </cell>
          <cell r="E131" t="str">
            <v>Inactive</v>
          </cell>
          <cell r="F131" t="str">
            <v>Inactive</v>
          </cell>
          <cell r="G131" t="str">
            <v/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D132" t="str">
            <v/>
          </cell>
          <cell r="E132" t="str">
            <v>Inactive</v>
          </cell>
          <cell r="F132" t="str">
            <v>Inactive</v>
          </cell>
          <cell r="G132" t="str">
            <v/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D133" t="str">
            <v/>
          </cell>
          <cell r="E133" t="str">
            <v>Inactive</v>
          </cell>
          <cell r="F133" t="str">
            <v>Inactive</v>
          </cell>
          <cell r="G133" t="str">
            <v/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D134" t="str">
            <v/>
          </cell>
          <cell r="E134" t="str">
            <v>Inactive</v>
          </cell>
          <cell r="F134" t="str">
            <v>Inactive</v>
          </cell>
          <cell r="G134" t="str">
            <v/>
          </cell>
        </row>
        <row r="135">
          <cell r="A135" t="str">
            <v>505</v>
          </cell>
          <cell r="B135" t="str">
            <v xml:space="preserve">Video Group </v>
          </cell>
          <cell r="C135" t="str">
            <v>R &amp; D</v>
          </cell>
          <cell r="D135" t="str">
            <v/>
          </cell>
          <cell r="E135" t="str">
            <v>Inactive</v>
          </cell>
          <cell r="F135" t="str">
            <v>Inactive</v>
          </cell>
          <cell r="G135" t="str">
            <v/>
          </cell>
        </row>
        <row r="136">
          <cell r="A136" t="str">
            <v>506</v>
          </cell>
          <cell r="B136" t="str">
            <v xml:space="preserve">Zeus R&amp;D </v>
          </cell>
          <cell r="C136" t="str">
            <v>R &amp; D</v>
          </cell>
          <cell r="D136" t="str">
            <v/>
          </cell>
          <cell r="E136" t="str">
            <v>Inactive</v>
          </cell>
          <cell r="F136" t="str">
            <v>Inactive</v>
          </cell>
          <cell r="G136" t="str">
            <v/>
          </cell>
        </row>
        <row r="137">
          <cell r="A137" t="str">
            <v>507</v>
          </cell>
          <cell r="B137" t="str">
            <v xml:space="preserve">Generator Verticals </v>
          </cell>
          <cell r="C137" t="str">
            <v xml:space="preserve">Roberto Mameli 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 xml:space="preserve">Andy Brown </v>
          </cell>
        </row>
        <row r="138">
          <cell r="A138" t="str">
            <v>508</v>
          </cell>
          <cell r="B138" t="str">
            <v xml:space="preserve">Generator Mgmt </v>
          </cell>
          <cell r="C138" t="str">
            <v xml:space="preserve">Jack Moran 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SW Europe R&amp;D</v>
          </cell>
          <cell r="C139" t="str">
            <v>R &amp; D</v>
          </cell>
          <cell r="D139" t="str">
            <v/>
          </cell>
          <cell r="E139" t="str">
            <v>Inactive</v>
          </cell>
          <cell r="F139" t="str">
            <v>Inactive</v>
          </cell>
          <cell r="G139" t="str">
            <v/>
          </cell>
        </row>
        <row r="140">
          <cell r="A140" t="str">
            <v>510</v>
          </cell>
          <cell r="B140" t="str">
            <v xml:space="preserve">SM Product Development </v>
          </cell>
          <cell r="C140" t="str">
            <v>R &amp; D</v>
          </cell>
          <cell r="D140" t="str">
            <v/>
          </cell>
          <cell r="E140" t="str">
            <v>Inactive</v>
          </cell>
          <cell r="F140" t="str">
            <v>Inactive</v>
          </cell>
          <cell r="G140" t="str">
            <v/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D141" t="str">
            <v/>
          </cell>
          <cell r="E141" t="str">
            <v>Inactive</v>
          </cell>
          <cell r="F141" t="str">
            <v>Inactive</v>
          </cell>
          <cell r="G141" t="str">
            <v/>
          </cell>
        </row>
        <row r="142">
          <cell r="A142" t="str">
            <v>512</v>
          </cell>
          <cell r="B142" t="str">
            <v xml:space="preserve">Authorware R&amp;D </v>
          </cell>
          <cell r="C142" t="str">
            <v>R &amp; D</v>
          </cell>
          <cell r="D142" t="str">
            <v/>
          </cell>
          <cell r="E142" t="str">
            <v>Inactive</v>
          </cell>
          <cell r="F142" t="str">
            <v>Inactive</v>
          </cell>
          <cell r="G142" t="str">
            <v/>
          </cell>
        </row>
        <row r="143">
          <cell r="A143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 xml:space="preserve">Extreme 3D </v>
          </cell>
          <cell r="C144" t="str">
            <v xml:space="preserve">R &amp; D </v>
          </cell>
          <cell r="D144" t="str">
            <v/>
          </cell>
          <cell r="E144" t="str">
            <v>Inactive</v>
          </cell>
          <cell r="F144" t="str">
            <v>Inactive</v>
          </cell>
          <cell r="G144" t="str">
            <v/>
          </cell>
        </row>
        <row r="145">
          <cell r="A145" t="str">
            <v>516</v>
          </cell>
          <cell r="B145" t="str">
            <v xml:space="preserve">Smart 3D-SM </v>
          </cell>
          <cell r="C145" t="str">
            <v xml:space="preserve">R &amp; D </v>
          </cell>
          <cell r="D145" t="str">
            <v/>
          </cell>
          <cell r="E145" t="str">
            <v>Inactive</v>
          </cell>
          <cell r="F145" t="str">
            <v>Inactive</v>
          </cell>
          <cell r="G145" t="str">
            <v/>
          </cell>
        </row>
        <row r="146">
          <cell r="A146" t="str">
            <v>517</v>
          </cell>
          <cell r="B146" t="str">
            <v>Pathware R&amp;D</v>
          </cell>
          <cell r="C146" t="str">
            <v xml:space="preserve">R &amp; D </v>
          </cell>
          <cell r="D146" t="str">
            <v/>
          </cell>
          <cell r="E146" t="str">
            <v>Inactive</v>
          </cell>
          <cell r="F146" t="str">
            <v>Inactive</v>
          </cell>
          <cell r="G146" t="str">
            <v/>
          </cell>
        </row>
        <row r="147">
          <cell r="A147" t="str">
            <v>518</v>
          </cell>
          <cell r="B147" t="str">
            <v>Flash Bus Dev</v>
          </cell>
          <cell r="C147" t="str">
            <v xml:space="preserve">R &amp; D </v>
          </cell>
          <cell r="D147" t="str">
            <v/>
          </cell>
          <cell r="E147" t="str">
            <v>Inactive</v>
          </cell>
          <cell r="F147" t="str">
            <v>Inactive</v>
          </cell>
          <cell r="G147" t="str">
            <v/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 xml:space="preserve">Elaine Connolly 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D150" t="str">
            <v/>
          </cell>
          <cell r="E150" t="str">
            <v>Inactive</v>
          </cell>
          <cell r="F150" t="str">
            <v>Inactive</v>
          </cell>
          <cell r="G150" t="str">
            <v/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 xml:space="preserve">Bill McKee 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 xml:space="preserve">Andy Brown 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D153" t="str">
            <v/>
          </cell>
          <cell r="E153" t="str">
            <v>Inactive</v>
          </cell>
          <cell r="F153" t="str">
            <v>Inactive</v>
          </cell>
          <cell r="G153" t="str">
            <v/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 xml:space="preserve">Victor Grigorieff 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 xml:space="preserve">R &amp; D </v>
          </cell>
          <cell r="D156" t="str">
            <v/>
          </cell>
          <cell r="E156" t="str">
            <v>Inactive</v>
          </cell>
          <cell r="F156" t="str">
            <v>Inactive</v>
          </cell>
          <cell r="G156" t="str">
            <v/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 xml:space="preserve">Kevin Lynch 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D160" t="str">
            <v/>
          </cell>
          <cell r="E160" t="str">
            <v>Inactive</v>
          </cell>
          <cell r="F160" t="str">
            <v>Inactive</v>
          </cell>
          <cell r="G160" t="str">
            <v/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D161" t="str">
            <v/>
          </cell>
          <cell r="E161" t="str">
            <v>Inactive</v>
          </cell>
          <cell r="F161" t="str">
            <v>Inactive</v>
          </cell>
          <cell r="G161" t="str">
            <v/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 xml:space="preserve">Linda Page 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 xml:space="preserve">R &amp; D </v>
          </cell>
          <cell r="D167" t="str">
            <v/>
          </cell>
          <cell r="E167" t="str">
            <v>Inactive</v>
          </cell>
          <cell r="F167" t="str">
            <v>Inactive</v>
          </cell>
          <cell r="G167" t="str">
            <v/>
          </cell>
        </row>
        <row r="168">
          <cell r="A168" t="str">
            <v>539</v>
          </cell>
          <cell r="B168" t="str">
            <v xml:space="preserve">Director Playback </v>
          </cell>
          <cell r="C168" t="str">
            <v xml:space="preserve">R &amp; D </v>
          </cell>
          <cell r="D168" t="str">
            <v/>
          </cell>
          <cell r="E168" t="str">
            <v>Inactive</v>
          </cell>
          <cell r="F168" t="str">
            <v>Inactive</v>
          </cell>
          <cell r="G168" t="str">
            <v/>
          </cell>
        </row>
        <row r="169">
          <cell r="A169" t="str">
            <v>540</v>
          </cell>
          <cell r="B169" t="str">
            <v xml:space="preserve">Shockwave Server </v>
          </cell>
          <cell r="C169" t="str">
            <v>R &amp; D</v>
          </cell>
          <cell r="D169" t="str">
            <v/>
          </cell>
          <cell r="E169" t="str">
            <v>Inactive</v>
          </cell>
          <cell r="F169" t="str">
            <v>Inactive</v>
          </cell>
          <cell r="G169" t="str">
            <v/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D170" t="str">
            <v/>
          </cell>
          <cell r="E170" t="str">
            <v>Inactive</v>
          </cell>
          <cell r="F170" t="str">
            <v>Inactive</v>
          </cell>
          <cell r="G170" t="str">
            <v/>
          </cell>
        </row>
        <row r="171">
          <cell r="A171">
            <v>542</v>
          </cell>
          <cell r="B171" t="str">
            <v>Director QA</v>
          </cell>
          <cell r="C171" t="str">
            <v xml:space="preserve">Alan Isaacs </v>
          </cell>
          <cell r="D171" t="str">
            <v xml:space="preserve">Karl Miller, Matt Hoffberg, Manisha Masher 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 xml:space="preserve">sw.com UI </v>
          </cell>
          <cell r="C173" t="str">
            <v>R &amp; D</v>
          </cell>
          <cell r="D173" t="str">
            <v/>
          </cell>
          <cell r="E173" t="str">
            <v>Inactive</v>
          </cell>
          <cell r="F173" t="str">
            <v>Inactive</v>
          </cell>
          <cell r="G173" t="str">
            <v/>
          </cell>
        </row>
        <row r="174">
          <cell r="A174" t="str">
            <v>545</v>
          </cell>
          <cell r="B174" t="str">
            <v xml:space="preserve">Director A </v>
          </cell>
          <cell r="C174" t="str">
            <v>R &amp; D</v>
          </cell>
          <cell r="D174" t="str">
            <v/>
          </cell>
          <cell r="E174" t="str">
            <v>Inactive</v>
          </cell>
          <cell r="F174" t="str">
            <v>Inactive</v>
          </cell>
          <cell r="G174" t="str">
            <v/>
          </cell>
        </row>
        <row r="175">
          <cell r="A175" t="str">
            <v>546</v>
          </cell>
          <cell r="B175" t="str">
            <v xml:space="preserve">sw.com Delivery </v>
          </cell>
          <cell r="C175" t="str">
            <v>R &amp; D</v>
          </cell>
          <cell r="D175" t="str">
            <v/>
          </cell>
          <cell r="E175" t="str">
            <v>Inactive</v>
          </cell>
          <cell r="F175" t="str">
            <v>Inactive</v>
          </cell>
          <cell r="G175" t="str">
            <v/>
          </cell>
        </row>
        <row r="176">
          <cell r="A176">
            <v>547</v>
          </cell>
          <cell r="B176" t="str">
            <v>Director Development</v>
          </cell>
          <cell r="C176" t="str">
            <v xml:space="preserve">Venu Venugopal 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D177" t="str">
            <v/>
          </cell>
          <cell r="E177" t="str">
            <v>Inactive</v>
          </cell>
          <cell r="F177" t="str">
            <v>Inactive</v>
          </cell>
          <cell r="G177" t="str">
            <v/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D178" t="str">
            <v/>
          </cell>
          <cell r="E178" t="str">
            <v>Inactive</v>
          </cell>
          <cell r="F178" t="str">
            <v>Inactive</v>
          </cell>
          <cell r="G178" t="str">
            <v/>
          </cell>
        </row>
        <row r="179">
          <cell r="A179" t="str">
            <v>550</v>
          </cell>
          <cell r="B179" t="str">
            <v xml:space="preserve">Sound </v>
          </cell>
          <cell r="C179" t="str">
            <v>R &amp; D</v>
          </cell>
          <cell r="D179" t="str">
            <v/>
          </cell>
          <cell r="E179" t="str">
            <v>Inactive</v>
          </cell>
          <cell r="F179" t="str">
            <v>Inactive</v>
          </cell>
          <cell r="G179" t="str">
            <v/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D180" t="str">
            <v/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 xml:space="preserve">R &amp; D 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 xml:space="preserve">Generator Authoring </v>
          </cell>
          <cell r="C182" t="str">
            <v xml:space="preserve">Roberto Mameli </v>
          </cell>
          <cell r="D182" t="str">
            <v xml:space="preserve">Karen Cook </v>
          </cell>
          <cell r="E182" t="str">
            <v>R &amp; D</v>
          </cell>
          <cell r="F182" t="str">
            <v>R &amp; D</v>
          </cell>
          <cell r="G182" t="str">
            <v xml:space="preserve">Andy Brown </v>
          </cell>
        </row>
        <row r="183">
          <cell r="A183" t="str">
            <v>554</v>
          </cell>
          <cell r="B183" t="str">
            <v xml:space="preserve">Ecommerce Engineering </v>
          </cell>
          <cell r="C183" t="str">
            <v>R &amp; D</v>
          </cell>
          <cell r="D183" t="str">
            <v/>
          </cell>
          <cell r="E183" t="str">
            <v>Inactive</v>
          </cell>
          <cell r="F183" t="str">
            <v>Inactive</v>
          </cell>
          <cell r="G183" t="str">
            <v/>
          </cell>
        </row>
        <row r="184">
          <cell r="A184" t="str">
            <v>555</v>
          </cell>
          <cell r="B184" t="str">
            <v xml:space="preserve">Product Integration-SF </v>
          </cell>
          <cell r="C184" t="str">
            <v>R &amp; D</v>
          </cell>
          <cell r="D184" t="str">
            <v/>
          </cell>
          <cell r="E184" t="str">
            <v>Inactive</v>
          </cell>
          <cell r="F184" t="str">
            <v>Inactive</v>
          </cell>
          <cell r="G184" t="str">
            <v/>
          </cell>
        </row>
        <row r="185">
          <cell r="A185" t="str">
            <v>556</v>
          </cell>
          <cell r="B185" t="str">
            <v xml:space="preserve">Studio Development </v>
          </cell>
          <cell r="C185" t="str">
            <v>R &amp; D</v>
          </cell>
          <cell r="D185" t="str">
            <v/>
          </cell>
          <cell r="E185" t="str">
            <v>Inactive</v>
          </cell>
          <cell r="F185" t="str">
            <v>Inactive</v>
          </cell>
          <cell r="G185" t="str">
            <v/>
          </cell>
        </row>
        <row r="186">
          <cell r="A186" t="str">
            <v>557</v>
          </cell>
          <cell r="B186" t="str">
            <v xml:space="preserve">Director Plus Pack </v>
          </cell>
          <cell r="C186" t="str">
            <v>R &amp; D</v>
          </cell>
          <cell r="D186" t="str">
            <v/>
          </cell>
          <cell r="E186" t="str">
            <v>Inactive</v>
          </cell>
          <cell r="F186" t="str">
            <v>Inactive</v>
          </cell>
          <cell r="G186" t="str">
            <v/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D187" t="str">
            <v/>
          </cell>
          <cell r="E187" t="str">
            <v>Inactive</v>
          </cell>
          <cell r="F187" t="str">
            <v>Inactive</v>
          </cell>
          <cell r="G187" t="str">
            <v/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D188" t="str">
            <v/>
          </cell>
          <cell r="E188" t="str">
            <v>Inactive</v>
          </cell>
          <cell r="F188" t="str">
            <v>Inactive</v>
          </cell>
          <cell r="G188" t="str">
            <v/>
          </cell>
        </row>
        <row r="189">
          <cell r="A189" t="str">
            <v>560</v>
          </cell>
          <cell r="B189" t="str">
            <v xml:space="preserve">Enabling Technologies </v>
          </cell>
          <cell r="C189" t="str">
            <v xml:space="preserve">Craig Walters 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 xml:space="preserve">Gren Lewis </v>
          </cell>
        </row>
        <row r="190">
          <cell r="A190" t="str">
            <v>561</v>
          </cell>
          <cell r="B190" t="str">
            <v xml:space="preserve">New Product Development-TX </v>
          </cell>
          <cell r="C190" t="str">
            <v xml:space="preserve">Dennis Griffin 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 xml:space="preserve">Gren Lewis 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D193" t="str">
            <v/>
          </cell>
          <cell r="E193" t="str">
            <v>Inactive</v>
          </cell>
          <cell r="F193" t="str">
            <v>Inactive</v>
          </cell>
          <cell r="G193" t="str">
            <v/>
          </cell>
        </row>
        <row r="194">
          <cell r="A194">
            <v>565</v>
          </cell>
          <cell r="B194" t="str">
            <v>SQA R&amp;D - TX</v>
          </cell>
          <cell r="C194" t="str">
            <v>Deloris Highsmith</v>
          </cell>
          <cell r="D194" t="str">
            <v xml:space="preserve">Gren Lewis 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 xml:space="preserve">Gren Lewis 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 xml:space="preserve">Tim Hussey 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 xml:space="preserve">FreeHand-Shockwave-DAG </v>
          </cell>
          <cell r="C199" t="str">
            <v>R &amp; D</v>
          </cell>
          <cell r="D199" t="str">
            <v/>
          </cell>
          <cell r="E199" t="str">
            <v>Inactive</v>
          </cell>
          <cell r="F199" t="str">
            <v>Inactive</v>
          </cell>
          <cell r="G199" t="str">
            <v/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D200" t="str">
            <v/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D201" t="str">
            <v/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 xml:space="preserve">Graphics Management 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D203" t="str">
            <v/>
          </cell>
          <cell r="E203" t="str">
            <v>Inactive</v>
          </cell>
          <cell r="F203" t="str">
            <v>Inactive</v>
          </cell>
          <cell r="G203" t="str">
            <v/>
          </cell>
        </row>
        <row r="204">
          <cell r="A204" t="str">
            <v>575</v>
          </cell>
          <cell r="B204" t="str">
            <v xml:space="preserve">Freehand Mr. X </v>
          </cell>
          <cell r="C204" t="str">
            <v>R &amp; D</v>
          </cell>
          <cell r="D204" t="str">
            <v/>
          </cell>
          <cell r="E204" t="str">
            <v>Inactive</v>
          </cell>
          <cell r="F204" t="str">
            <v>Inactive</v>
          </cell>
          <cell r="G204" t="str">
            <v/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D205" t="str">
            <v/>
          </cell>
          <cell r="E205" t="str">
            <v>Inactive</v>
          </cell>
          <cell r="F205" t="str">
            <v>Inactive</v>
          </cell>
          <cell r="G205" t="str">
            <v/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D206" t="str">
            <v/>
          </cell>
          <cell r="E206" t="str">
            <v>Inactive</v>
          </cell>
          <cell r="F206" t="str">
            <v>Inactive</v>
          </cell>
          <cell r="G206" t="str">
            <v/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D207" t="str">
            <v/>
          </cell>
          <cell r="E207" t="str">
            <v>Inactive</v>
          </cell>
          <cell r="F207" t="str">
            <v>Inactive</v>
          </cell>
          <cell r="G207" t="str">
            <v/>
          </cell>
        </row>
        <row r="208">
          <cell r="A208" t="str">
            <v>580</v>
          </cell>
          <cell r="B208" t="str">
            <v xml:space="preserve">eBusiness Solutions </v>
          </cell>
          <cell r="C208" t="str">
            <v>R &amp; D</v>
          </cell>
          <cell r="D208" t="str">
            <v/>
          </cell>
          <cell r="E208" t="str">
            <v>Inactive</v>
          </cell>
          <cell r="F208" t="str">
            <v>Inactive</v>
          </cell>
          <cell r="G208" t="str">
            <v/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D209" t="str">
            <v/>
          </cell>
          <cell r="E209" t="str">
            <v>Inactive</v>
          </cell>
          <cell r="F209" t="str">
            <v>Inactive</v>
          </cell>
          <cell r="G209" t="str">
            <v/>
          </cell>
        </row>
        <row r="210">
          <cell r="A210">
            <v>582</v>
          </cell>
          <cell r="B210" t="str">
            <v>Whirlwind R&amp;D - MN</v>
          </cell>
          <cell r="C210" t="str">
            <v xml:space="preserve">Doug Olson 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 xml:space="preserve">Andy Brown 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D211" t="str">
            <v/>
          </cell>
          <cell r="E211" t="str">
            <v>Inactive</v>
          </cell>
          <cell r="F211" t="str">
            <v>Inactive</v>
          </cell>
          <cell r="G211" t="str">
            <v/>
          </cell>
        </row>
        <row r="212">
          <cell r="A212" t="str">
            <v>584</v>
          </cell>
          <cell r="B212" t="str">
            <v>ARIA &amp; LM</v>
          </cell>
          <cell r="C212" t="str">
            <v xml:space="preserve">Tim Keefe 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 xml:space="preserve">Andrew Trombley </v>
          </cell>
        </row>
        <row r="213">
          <cell r="A213" t="str">
            <v>585</v>
          </cell>
          <cell r="B213" t="str">
            <v xml:space="preserve">Matisse </v>
          </cell>
          <cell r="C213" t="str">
            <v>R &amp; D</v>
          </cell>
          <cell r="D213" t="str">
            <v/>
          </cell>
          <cell r="E213" t="str">
            <v>Inactive</v>
          </cell>
          <cell r="F213" t="str">
            <v>Inactive</v>
          </cell>
          <cell r="G213" t="str">
            <v/>
          </cell>
        </row>
        <row r="214">
          <cell r="A214" t="str">
            <v>586</v>
          </cell>
          <cell r="B214" t="str">
            <v xml:space="preserve">eBS R&amp;D </v>
          </cell>
          <cell r="C214" t="str">
            <v>R &amp; D</v>
          </cell>
          <cell r="D214" t="str">
            <v/>
          </cell>
          <cell r="E214" t="str">
            <v>Inactive</v>
          </cell>
          <cell r="F214" t="str">
            <v>Inactive</v>
          </cell>
          <cell r="G214" t="str">
            <v/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D215" t="str">
            <v/>
          </cell>
          <cell r="E215" t="str">
            <v>Inactive</v>
          </cell>
          <cell r="F215" t="str">
            <v>Inactive</v>
          </cell>
          <cell r="G215" t="str">
            <v/>
          </cell>
        </row>
        <row r="216">
          <cell r="A216" t="str">
            <v>589</v>
          </cell>
          <cell r="B216" t="str">
            <v>Adjustment</v>
          </cell>
          <cell r="C216" t="str">
            <v xml:space="preserve">Judy Provines 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 xml:space="preserve">Karen Sammis 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D217" t="str">
            <v/>
          </cell>
          <cell r="E217" t="str">
            <v>Inactive</v>
          </cell>
          <cell r="F217" t="str">
            <v>Inactive</v>
          </cell>
          <cell r="G217" t="str">
            <v/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D218" t="str">
            <v/>
          </cell>
          <cell r="E218" t="str">
            <v>Inactive</v>
          </cell>
          <cell r="F218" t="str">
            <v>Inactive</v>
          </cell>
          <cell r="G218" t="str">
            <v/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D219" t="str">
            <v/>
          </cell>
          <cell r="E219" t="str">
            <v>Inactive</v>
          </cell>
          <cell r="F219" t="str">
            <v>Inactive</v>
          </cell>
          <cell r="G219" t="str">
            <v/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D220" t="str">
            <v/>
          </cell>
          <cell r="E220" t="str">
            <v>Inactive</v>
          </cell>
          <cell r="F220" t="str">
            <v>Inactive</v>
          </cell>
          <cell r="G220" t="str">
            <v/>
          </cell>
        </row>
        <row r="221">
          <cell r="A221" t="str">
            <v>594</v>
          </cell>
          <cell r="B221" t="str">
            <v xml:space="preserve">sw.com Music </v>
          </cell>
          <cell r="C221" t="str">
            <v>R &amp; D</v>
          </cell>
          <cell r="D221" t="str">
            <v/>
          </cell>
          <cell r="E221" t="str">
            <v>Inactive</v>
          </cell>
          <cell r="F221" t="str">
            <v>Inactive</v>
          </cell>
          <cell r="G221" t="str">
            <v/>
          </cell>
        </row>
        <row r="222">
          <cell r="A222" t="str">
            <v>595</v>
          </cell>
          <cell r="B222" t="str">
            <v xml:space="preserve">sw.com Puzzles </v>
          </cell>
          <cell r="C222" t="str">
            <v>R &amp; D</v>
          </cell>
          <cell r="D222" t="str">
            <v/>
          </cell>
          <cell r="E222" t="str">
            <v>Inactive</v>
          </cell>
          <cell r="F222" t="str">
            <v>Inactive</v>
          </cell>
          <cell r="G222" t="str">
            <v/>
          </cell>
        </row>
        <row r="223">
          <cell r="A223" t="str">
            <v>596</v>
          </cell>
          <cell r="B223" t="str">
            <v xml:space="preserve">sw.com Films </v>
          </cell>
          <cell r="C223" t="str">
            <v>R &amp; D</v>
          </cell>
          <cell r="D223" t="str">
            <v/>
          </cell>
          <cell r="E223" t="str">
            <v>Inactive</v>
          </cell>
          <cell r="F223" t="str">
            <v>Inactive</v>
          </cell>
          <cell r="G223" t="str">
            <v/>
          </cell>
        </row>
        <row r="224">
          <cell r="A224" t="str">
            <v>597</v>
          </cell>
          <cell r="B224" t="str">
            <v xml:space="preserve">sw.com Cards </v>
          </cell>
          <cell r="C224" t="str">
            <v>R &amp; D</v>
          </cell>
          <cell r="D224" t="str">
            <v/>
          </cell>
          <cell r="E224" t="str">
            <v>Inactive</v>
          </cell>
          <cell r="F224" t="str">
            <v>Inactive</v>
          </cell>
          <cell r="G224" t="str">
            <v/>
          </cell>
        </row>
        <row r="225">
          <cell r="A225" t="str">
            <v>598</v>
          </cell>
          <cell r="B225" t="str">
            <v xml:space="preserve">sw.com Products </v>
          </cell>
          <cell r="C225" t="str">
            <v>R &amp; D</v>
          </cell>
          <cell r="D225" t="str">
            <v/>
          </cell>
          <cell r="E225" t="str">
            <v>Inactive</v>
          </cell>
          <cell r="F225" t="str">
            <v>Inactive</v>
          </cell>
          <cell r="G225" t="str">
            <v/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D226" t="str">
            <v/>
          </cell>
          <cell r="E226" t="str">
            <v>Inactive</v>
          </cell>
          <cell r="F226" t="str">
            <v>Inactive</v>
          </cell>
          <cell r="G226" t="str">
            <v/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 xml:space="preserve">shockwave.com G&amp;A </v>
          </cell>
          <cell r="C232" t="str">
            <v>G &amp; A</v>
          </cell>
          <cell r="D232" t="str">
            <v/>
          </cell>
          <cell r="E232" t="str">
            <v>Inactive</v>
          </cell>
          <cell r="F232" t="str">
            <v>Inactive</v>
          </cell>
          <cell r="G232" t="str">
            <v/>
          </cell>
        </row>
        <row r="233">
          <cell r="A233" t="str">
            <v>806</v>
          </cell>
          <cell r="B233" t="str">
            <v xml:space="preserve">sw.com Finance </v>
          </cell>
          <cell r="C233" t="str">
            <v>G &amp; A</v>
          </cell>
          <cell r="D233" t="str">
            <v/>
          </cell>
          <cell r="E233" t="str">
            <v>Inactive</v>
          </cell>
          <cell r="F233" t="str">
            <v>Inactive</v>
          </cell>
          <cell r="G233" t="str">
            <v/>
          </cell>
        </row>
        <row r="234">
          <cell r="A234" t="str">
            <v>807</v>
          </cell>
          <cell r="B234" t="str">
            <v xml:space="preserve">sw.com HR </v>
          </cell>
          <cell r="C234" t="str">
            <v>G &amp; A</v>
          </cell>
          <cell r="D234" t="str">
            <v/>
          </cell>
          <cell r="E234" t="str">
            <v>Inactive</v>
          </cell>
          <cell r="F234" t="str">
            <v>Inactive</v>
          </cell>
          <cell r="G234" t="str">
            <v/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D235" t="str">
            <v/>
          </cell>
          <cell r="E235" t="str">
            <v>Inactive</v>
          </cell>
          <cell r="F235" t="str">
            <v>Inactive</v>
          </cell>
          <cell r="G235" t="str">
            <v/>
          </cell>
        </row>
        <row r="236">
          <cell r="A236">
            <v>810</v>
          </cell>
          <cell r="B236" t="str">
            <v>Finance</v>
          </cell>
          <cell r="C236" t="str">
            <v>Martin Aquino</v>
          </cell>
          <cell r="D236" t="str">
            <v xml:space="preserve">Jeanenne Deorsey 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D238" t="str">
            <v/>
          </cell>
          <cell r="E238" t="str">
            <v>Inactive</v>
          </cell>
          <cell r="F238" t="str">
            <v>Inactive</v>
          </cell>
          <cell r="G238" t="str">
            <v/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D239" t="str">
            <v/>
          </cell>
          <cell r="E239" t="str">
            <v>Inactive</v>
          </cell>
          <cell r="F239" t="str">
            <v>Inactive</v>
          </cell>
          <cell r="G239" t="str">
            <v/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D240" t="str">
            <v/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>
            <v>820</v>
          </cell>
          <cell r="B241" t="str">
            <v>Human Resources</v>
          </cell>
          <cell r="C241" t="str">
            <v xml:space="preserve">Michele Murgel, 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 xml:space="preserve">Michael Paynter 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D247" t="str">
            <v/>
          </cell>
          <cell r="E247" t="str">
            <v>Inactive</v>
          </cell>
          <cell r="F247" t="str">
            <v>Inactive</v>
          </cell>
          <cell r="G247" t="str">
            <v/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 xml:space="preserve">Jim Engle 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 xml:space="preserve">eBS G&amp;A </v>
          </cell>
          <cell r="C250" t="str">
            <v>G &amp; A</v>
          </cell>
          <cell r="D250" t="str">
            <v/>
          </cell>
          <cell r="E250" t="str">
            <v>Inactive</v>
          </cell>
          <cell r="F250" t="str">
            <v>Inactive</v>
          </cell>
          <cell r="G250" t="str">
            <v/>
          </cell>
        </row>
        <row r="251">
          <cell r="A251" t="str">
            <v>860</v>
          </cell>
          <cell r="B251" t="str">
            <v xml:space="preserve">G&amp;A-DAG </v>
          </cell>
          <cell r="C251" t="str">
            <v>G &amp; A</v>
          </cell>
          <cell r="D251" t="str">
            <v/>
          </cell>
          <cell r="E251" t="str">
            <v>Inactive</v>
          </cell>
          <cell r="F251" t="str">
            <v>Inactive</v>
          </cell>
          <cell r="G251" t="str">
            <v/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D252" t="str">
            <v/>
          </cell>
          <cell r="E252" t="str">
            <v>Inactive</v>
          </cell>
          <cell r="F252" t="str">
            <v>Inactive</v>
          </cell>
          <cell r="G252" t="str">
            <v/>
          </cell>
        </row>
        <row r="253">
          <cell r="A253" t="str">
            <v>899</v>
          </cell>
          <cell r="B253" t="str">
            <v xml:space="preserve">Ireland/Netherland </v>
          </cell>
          <cell r="C253" t="str">
            <v>G &amp; A</v>
          </cell>
          <cell r="D253" t="str">
            <v/>
          </cell>
          <cell r="E253" t="str">
            <v>Inactive</v>
          </cell>
          <cell r="F253" t="str">
            <v>Inactive</v>
          </cell>
          <cell r="G253" t="str">
            <v/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D262" t="str">
            <v/>
          </cell>
          <cell r="E262" t="str">
            <v>Inactive</v>
          </cell>
          <cell r="F262" t="str">
            <v>Inactive</v>
          </cell>
          <cell r="G262" t="str">
            <v/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D263" t="str">
            <v/>
          </cell>
          <cell r="E263" t="str">
            <v>Inactive</v>
          </cell>
          <cell r="F263" t="str">
            <v>Inactive</v>
          </cell>
          <cell r="G263" t="str">
            <v/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D264" t="str">
            <v/>
          </cell>
          <cell r="E264" t="str">
            <v>Inactive</v>
          </cell>
          <cell r="F264" t="str">
            <v>Inactive</v>
          </cell>
          <cell r="G264" t="str">
            <v/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D265" t="str">
            <v/>
          </cell>
          <cell r="E265" t="str">
            <v>Inactive</v>
          </cell>
          <cell r="F265" t="str">
            <v>Inactive</v>
          </cell>
          <cell r="G265" t="str">
            <v/>
          </cell>
        </row>
        <row r="266">
          <cell r="A266">
            <v>915</v>
          </cell>
          <cell r="B266" t="str">
            <v>Facilities - RWS</v>
          </cell>
          <cell r="C266" t="str">
            <v xml:space="preserve">Sandy Heistand 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D268" t="str">
            <v/>
          </cell>
          <cell r="E268" t="str">
            <v>Inactive</v>
          </cell>
          <cell r="F268" t="str">
            <v>Inactive</v>
          </cell>
          <cell r="G268" t="str">
            <v/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D269" t="str">
            <v/>
          </cell>
          <cell r="E269" t="str">
            <v>Inactive</v>
          </cell>
          <cell r="F269" t="str">
            <v>Inactive</v>
          </cell>
          <cell r="G269" t="str">
            <v/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 xml:space="preserve">Information Tech-SF </v>
          </cell>
          <cell r="C276" t="str">
            <v>Allocations</v>
          </cell>
          <cell r="D276" t="str">
            <v/>
          </cell>
          <cell r="E276" t="str">
            <v>Inactive</v>
          </cell>
          <cell r="F276" t="str">
            <v>Inactive</v>
          </cell>
          <cell r="G276" t="str">
            <v/>
          </cell>
        </row>
        <row r="277">
          <cell r="A277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IT</v>
          </cell>
          <cell r="F277" t="str">
            <v>IT</v>
          </cell>
          <cell r="G277" t="str">
            <v>Julie Morgan</v>
          </cell>
        </row>
        <row r="278">
          <cell r="A278">
            <v>933</v>
          </cell>
          <cell r="B278" t="str">
            <v>IT - Web Engineering</v>
          </cell>
          <cell r="C278" t="str">
            <v xml:space="preserve">Walt Meffert 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>
            <v>934</v>
          </cell>
          <cell r="B279" t="str">
            <v>IT - Business Applications</v>
          </cell>
          <cell r="C279" t="str">
            <v xml:space="preserve">Alma Perez 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 xml:space="preserve">Information Tech-SM </v>
          </cell>
          <cell r="C280" t="str">
            <v>Allocations</v>
          </cell>
          <cell r="D280" t="str">
            <v/>
          </cell>
          <cell r="E280" t="str">
            <v>Inactive</v>
          </cell>
          <cell r="F280" t="str">
            <v>Inactive</v>
          </cell>
          <cell r="G280" t="str">
            <v/>
          </cell>
        </row>
        <row r="281">
          <cell r="A281">
            <v>936</v>
          </cell>
          <cell r="B281" t="str">
            <v>IT - Operations</v>
          </cell>
          <cell r="C281" t="str">
            <v xml:space="preserve">Sam Lamonica </v>
          </cell>
          <cell r="D281" t="str">
            <v>-</v>
          </cell>
          <cell r="E281" t="str">
            <v xml:space="preserve">IT </v>
          </cell>
          <cell r="F281" t="str">
            <v>IT</v>
          </cell>
          <cell r="G281" t="str">
            <v xml:space="preserve">Julie Morgan </v>
          </cell>
        </row>
        <row r="282">
          <cell r="A282" t="str">
            <v>938</v>
          </cell>
          <cell r="B282" t="str">
            <v>IT - Infrastructure</v>
          </cell>
          <cell r="C282" t="str">
            <v xml:space="preserve">Julie Morgan 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 xml:space="preserve">Julie Morgan 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D283" t="str">
            <v/>
          </cell>
          <cell r="E283" t="str">
            <v>Inactive</v>
          </cell>
          <cell r="F283" t="str">
            <v>Inactive</v>
          </cell>
          <cell r="G283" t="str">
            <v/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 xml:space="preserve">Brian Elkins 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D285" t="str">
            <v/>
          </cell>
          <cell r="E285" t="str">
            <v>Inactive</v>
          </cell>
          <cell r="F285" t="str">
            <v>Inactive</v>
          </cell>
          <cell r="G285" t="str">
            <v/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D286" t="str">
            <v/>
          </cell>
          <cell r="E286" t="str">
            <v>Inactive</v>
          </cell>
          <cell r="F286" t="str">
            <v>Inactive</v>
          </cell>
          <cell r="G286" t="str">
            <v/>
          </cell>
        </row>
        <row r="287">
          <cell r="A287" t="str">
            <v>950</v>
          </cell>
          <cell r="B287" t="str">
            <v>Purchasing</v>
          </cell>
          <cell r="C287" t="str">
            <v xml:space="preserve">Lori Lustig </v>
          </cell>
          <cell r="D287" t="str">
            <v xml:space="preserve">Chris Duran 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 xml:space="preserve">Other Income/Expense </v>
          </cell>
          <cell r="C288" t="str">
            <v>Allocations</v>
          </cell>
          <cell r="D288" t="str">
            <v/>
          </cell>
          <cell r="E288" t="str">
            <v>Inactive</v>
          </cell>
          <cell r="F288" t="str">
            <v>Inactive</v>
          </cell>
          <cell r="G288" t="str">
            <v/>
          </cell>
        </row>
      </sheetData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e"/>
      <sheetName val="CCles croissance"/>
      <sheetName val="Geo"/>
      <sheetName val="Rep GEO PAO"/>
      <sheetName val="Histo"/>
      <sheetName val="Détail PA des Projets de Croiss"/>
      <sheetName val="Détail PA des Projets de Cr (2)"/>
      <sheetName val="Rep GEO CE"/>
      <sheetName val="Détail CE des Projets de Croiss"/>
      <sheetName val="PAO et CE 2011"/>
      <sheetName val="Metier"/>
      <sheetName val="Rep PAO DIV"/>
      <sheetName val="Rep CE DIV"/>
      <sheetName val="Cible"/>
      <sheetName val="Roce PBZ vs PLT"/>
      <sheetName val="Scenarii"/>
      <sheetName val="FCF nul"/>
      <sheetName val="Décalage Croissance"/>
      <sheetName val="Cession Berlin"/>
      <sheetName val="Aug de K"/>
      <sheetName val="Rep GEO PLT"/>
      <sheetName val="Rep GEO Croiss"/>
      <sheetName val="Rep Div PLT"/>
      <sheetName val="Feuil1"/>
      <sheetName val="Rep Resop DIV"/>
      <sheetName val="Rep Div PLT (2)"/>
      <sheetName val="looplist"/>
    </sheetNames>
    <sheetDataSet>
      <sheetData sheetId="0"/>
      <sheetData sheetId="1"/>
      <sheetData sheetId="2"/>
      <sheetData sheetId="3" refreshError="1">
        <row r="33">
          <cell r="B33" t="str">
            <v>Evolution du Produit des activités ordinaires du groupe 1999-2011 (avec croissance)</v>
          </cell>
          <cell r="X33" t="str">
            <v>Evolution des capitaux employés moyens 1999-2011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7">
          <cell r="D27" t="str">
            <v>Evolution du Produit des activités ordinaires 1999-2011</v>
          </cell>
          <cell r="X27" t="str">
            <v>Evolution des capitaux employés moyens 1999-2011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s"/>
      <sheetName val="Charts BdG 10 TO"/>
      <sheetName val="Charts BdG 10 CF"/>
      <sheetName val="Charts BdG 10 RESOP"/>
      <sheetName val="FX Rates"/>
      <sheetName val="FX Rates &amp; Scope"/>
      <sheetName val="PAO Variances"/>
      <sheetName val="Gross Inv. Variances"/>
      <sheetName val="CAF Op. Variances"/>
      <sheetName val="Arrows - BdG 10"/>
      <sheetName val="Arrows - AC 09"/>
      <sheetName val="Synthesis"/>
      <sheetName val="Tax"/>
      <sheetName val="FINANCIAL RES."/>
      <sheetName val="PAO"/>
      <sheetName val="COS - Cash"/>
      <sheetName val="Selling - Cash"/>
      <sheetName val="G&amp;A - Cash"/>
      <sheetName val="Synth Costs - Cash"/>
      <sheetName val="CAFOP"/>
      <sheetName val="RESOP"/>
      <sheetName val="Synth CAFop-RESOP"/>
      <sheetName val="RESUL. FIN"/>
      <sheetName val="IMPOTS"/>
      <sheetName val="Synth RESOP - RES.NET"/>
      <sheetName val="Synth Free Cash Flow"/>
      <sheetName val="Gross INVES."/>
      <sheetName val="Net INVES. "/>
      <sheetName val="Synth NFI"/>
      <sheetName val="FCF"/>
      <sheetName val="Synth INVES."/>
      <sheetName val="Interface"/>
      <sheetName val="PAO-CAFOP Final Version"/>
      <sheetName val="PAO-CAFOP Scope impact &amp; Growth"/>
      <sheetName val="PAO-CAFOP Effects calculation"/>
      <sheetName val="Corrected companies P&amp;L"/>
      <sheetName val="Corrections P&amp;L"/>
      <sheetName val="Value copy P&amp;L"/>
      <sheetName val="sas"/>
      <sheetName val="Extraction P&amp;L"/>
      <sheetName val="Corrected companies NFI"/>
      <sheetName val="Corrections NFI"/>
      <sheetName val="Copy Value NFI"/>
      <sheetName val="sas NFI"/>
      <sheetName val="Extraction NFI"/>
      <sheetName val="Exchange Rates"/>
      <sheetName val="Settings"/>
      <sheetName val="Listák"/>
      <sheetName val="Capital Cost Comparison_2601200"/>
      <sheetName val="Zone Divers"/>
      <sheetName val="WWorksArchivedData"/>
      <sheetName val="WWorksAdjustedData"/>
      <sheetName val="EquipmentListing"/>
      <sheetName val="TonnageProjections"/>
      <sheetName val="Rep PAO DIV"/>
      <sheetName val="Rep GEO P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B9" t="str">
            <v>Czech Republic - PvK group</v>
          </cell>
        </row>
        <row r="10">
          <cell r="B10" t="str">
            <v>Czech Republic - ScvK group</v>
          </cell>
        </row>
        <row r="11">
          <cell r="B11" t="str">
            <v>Czech Republic - Regional Companies</v>
          </cell>
        </row>
        <row r="12">
          <cell r="B12" t="str">
            <v>Czech Republic - Others</v>
          </cell>
        </row>
        <row r="13">
          <cell r="B13" t="str">
            <v>Veolia Voda</v>
          </cell>
        </row>
        <row r="14">
          <cell r="B14" t="str">
            <v>Poland</v>
          </cell>
        </row>
        <row r="15">
          <cell r="B15" t="str">
            <v>Slovakia</v>
          </cell>
        </row>
        <row r="16">
          <cell r="B16" t="str">
            <v>Central Europe Development</v>
          </cell>
        </row>
        <row r="19">
          <cell r="B19" t="str">
            <v>AcquaLatina (Incl. Idrolatina)</v>
          </cell>
        </row>
        <row r="20">
          <cell r="B20" t="str">
            <v>Other Italy</v>
          </cell>
        </row>
        <row r="21">
          <cell r="B21" t="str">
            <v>Artelia</v>
          </cell>
        </row>
        <row r="22">
          <cell r="B22" t="str">
            <v>Other Portugal</v>
          </cell>
        </row>
        <row r="23">
          <cell r="B23" t="str">
            <v>Spain</v>
          </cell>
        </row>
        <row r="24">
          <cell r="B24" t="str">
            <v>South Europe Development</v>
          </cell>
        </row>
        <row r="27">
          <cell r="B27" t="str">
            <v>Bucarest</v>
          </cell>
        </row>
        <row r="28">
          <cell r="B28" t="str">
            <v>Ploiesti</v>
          </cell>
        </row>
        <row r="29">
          <cell r="B29" t="str">
            <v>Apa Servicii</v>
          </cell>
        </row>
        <row r="30">
          <cell r="B30" t="str">
            <v>Hungary</v>
          </cell>
        </row>
        <row r="31">
          <cell r="B31" t="str">
            <v>South-East Europe Development</v>
          </cell>
        </row>
        <row r="32">
          <cell r="B32" t="str">
            <v>South-East Europe</v>
          </cell>
        </row>
        <row r="34">
          <cell r="B34" t="str">
            <v>Turkey</v>
          </cell>
        </row>
        <row r="35">
          <cell r="B35" t="str">
            <v>Armenia</v>
          </cell>
        </row>
        <row r="36">
          <cell r="B36" t="str">
            <v>Oriental Europe Development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2">
          <cell r="AI2" t="str">
            <v>CONF</v>
          </cell>
          <cell r="AJ2" t="str">
            <v>CONSUMPTION</v>
          </cell>
          <cell r="AL2" t="str">
            <v>HEATING</v>
          </cell>
          <cell r="AO2" t="str">
            <v>BISC</v>
          </cell>
          <cell r="AP2" t="str">
            <v>CONSUMPTION</v>
          </cell>
          <cell r="AR2" t="str">
            <v>HEATING</v>
          </cell>
        </row>
        <row r="3">
          <cell r="AK3" t="str">
            <v>%</v>
          </cell>
          <cell r="AL3" t="str">
            <v>LOSS</v>
          </cell>
          <cell r="AO3" t="str">
            <v/>
          </cell>
          <cell r="AP3" t="str">
            <v/>
          </cell>
          <cell r="AQ3" t="str">
            <v>%</v>
          </cell>
          <cell r="AR3" t="str">
            <v>LOSS</v>
          </cell>
        </row>
        <row r="4">
          <cell r="AI4" t="str">
            <v>DEXTRINE</v>
          </cell>
          <cell r="AL4">
            <v>0</v>
          </cell>
          <cell r="AO4" t="str">
            <v>CANDY SYRUP</v>
          </cell>
          <cell r="AR4">
            <v>0</v>
          </cell>
        </row>
        <row r="5">
          <cell r="AI5" t="str">
            <v>STARCH</v>
          </cell>
          <cell r="AL5">
            <v>0</v>
          </cell>
          <cell r="AO5" t="str">
            <v>SUGAR SYRUP</v>
          </cell>
          <cell r="AR5">
            <v>0</v>
          </cell>
        </row>
        <row r="6">
          <cell r="B6" t="str">
            <v xml:space="preserve"> STATEMENT OF INPUT-OUTPUT FOR THE MONTH  OF</v>
          </cell>
          <cell r="U6">
            <v>38786.752964004627</v>
          </cell>
          <cell r="AI6" t="str">
            <v>COND.MILK</v>
          </cell>
          <cell r="AL6">
            <v>0</v>
          </cell>
          <cell r="AO6" t="str">
            <v>CAP.OLE</v>
          </cell>
          <cell r="AR6">
            <v>0</v>
          </cell>
        </row>
        <row r="7">
          <cell r="AI7" t="str">
            <v>CHOC MASS</v>
          </cell>
          <cell r="AL7">
            <v>0</v>
          </cell>
          <cell r="AO7" t="str">
            <v>GARLIC POW</v>
          </cell>
          <cell r="AR7">
            <v>0</v>
          </cell>
        </row>
        <row r="8">
          <cell r="B8" t="str">
            <v>I.   STATEMENT SHOWING ACTUAL CONSUMPTION OF RAW MATERIALS FOR BISCUITS AND CONFECTIONERIES</v>
          </cell>
          <cell r="AI8" t="str">
            <v>COCO POW</v>
          </cell>
          <cell r="AL8">
            <v>0</v>
          </cell>
          <cell r="AO8" t="str">
            <v>JEERA</v>
          </cell>
          <cell r="AR8">
            <v>0</v>
          </cell>
        </row>
        <row r="9">
          <cell r="AI9" t="str">
            <v>COFFEE POW</v>
          </cell>
          <cell r="AL9">
            <v>0</v>
          </cell>
          <cell r="AO9" t="str">
            <v>MUST.POW</v>
          </cell>
          <cell r="AR9">
            <v>0</v>
          </cell>
        </row>
        <row r="10">
          <cell r="B10" t="str">
            <v>DESCRIPTION</v>
          </cell>
          <cell r="D10" t="str">
            <v>ACTUAL CONSUMPTION</v>
          </cell>
          <cell r="N10" t="str">
            <v>NET ISSUE AFTER SCRAP</v>
          </cell>
          <cell r="Q10" t="str">
            <v xml:space="preserve">      HEATING LOSS</v>
          </cell>
          <cell r="T10" t="str">
            <v xml:space="preserve">   TOTAL SOLID INPUT</v>
          </cell>
          <cell r="AI10" t="str">
            <v>APPLE FLV</v>
          </cell>
          <cell r="AL10">
            <v>0</v>
          </cell>
          <cell r="AO10" t="str">
            <v>PEPPER LIQ</v>
          </cell>
          <cell r="AR10">
            <v>0</v>
          </cell>
        </row>
        <row r="11">
          <cell r="K11" t="str">
            <v>WASTE</v>
          </cell>
          <cell r="N11" t="str">
            <v>&amp; GRINDING &amp; OTHER LOSS</v>
          </cell>
          <cell r="AI11" t="str">
            <v>BANANA FLV.</v>
          </cell>
          <cell r="AL11">
            <v>0</v>
          </cell>
          <cell r="AO11" t="str">
            <v>CHEESE UNP</v>
          </cell>
          <cell r="AR11">
            <v>0</v>
          </cell>
        </row>
        <row r="12">
          <cell r="D12" t="str">
            <v>Bisc</v>
          </cell>
          <cell r="F12" t="str">
            <v>Conf</v>
          </cell>
          <cell r="H12" t="str">
            <v>Total</v>
          </cell>
          <cell r="I12" t="str">
            <v xml:space="preserve"> LOSS</v>
          </cell>
          <cell r="K12" t="str">
            <v>DOUGH</v>
          </cell>
          <cell r="L12" t="str">
            <v>SWEEPAGE</v>
          </cell>
          <cell r="M12" t="str">
            <v>TOTAL</v>
          </cell>
          <cell r="N12" t="str">
            <v>Bisc</v>
          </cell>
          <cell r="O12" t="str">
            <v>Conf</v>
          </cell>
          <cell r="P12" t="str">
            <v>Total</v>
          </cell>
          <cell r="Q12" t="str">
            <v>Bisc</v>
          </cell>
          <cell r="R12" t="str">
            <v>Conf</v>
          </cell>
          <cell r="S12" t="str">
            <v>Total</v>
          </cell>
          <cell r="T12" t="str">
            <v>Bisc</v>
          </cell>
          <cell r="U12" t="str">
            <v>Conf</v>
          </cell>
          <cell r="V12" t="str">
            <v>Total</v>
          </cell>
          <cell r="AI12" t="str">
            <v>CARDAMOM</v>
          </cell>
          <cell r="AL12">
            <v>0</v>
          </cell>
          <cell r="AO12" t="str">
            <v>PRO.CHEES</v>
          </cell>
          <cell r="AR12">
            <v>0</v>
          </cell>
        </row>
        <row r="13">
          <cell r="B13" t="str">
            <v xml:space="preserve"> 1. MAJOR INGREDIENTS :</v>
          </cell>
          <cell r="D13" t="str">
            <v>Qty.</v>
          </cell>
          <cell r="F13" t="str">
            <v>Qty.</v>
          </cell>
          <cell r="H13" t="str">
            <v>Qty.</v>
          </cell>
          <cell r="I13" t="str">
            <v>(1)</v>
          </cell>
          <cell r="K13" t="str">
            <v>(2)</v>
          </cell>
          <cell r="L13" t="str">
            <v>(3)</v>
          </cell>
          <cell r="M13" t="str">
            <v>(1+2+3)</v>
          </cell>
          <cell r="N13" t="str">
            <v>Qty.</v>
          </cell>
          <cell r="O13" t="str">
            <v>Qty.</v>
          </cell>
          <cell r="P13" t="str">
            <v>Qty.</v>
          </cell>
          <cell r="Q13" t="str">
            <v>Qty.</v>
          </cell>
          <cell r="R13" t="str">
            <v>Qty.</v>
          </cell>
          <cell r="S13" t="str">
            <v>Qty.</v>
          </cell>
          <cell r="T13" t="str">
            <v>Qty.</v>
          </cell>
          <cell r="U13" t="str">
            <v>Qty.</v>
          </cell>
          <cell r="V13" t="str">
            <v>Qty.</v>
          </cell>
          <cell r="AI13" t="str">
            <v>COCONT POWDER</v>
          </cell>
          <cell r="AL13">
            <v>0</v>
          </cell>
          <cell r="AO13" t="str">
            <v>CHEESE POWDER</v>
          </cell>
          <cell r="AR13">
            <v>0</v>
          </cell>
          <cell r="AS13" t="str">
            <v/>
          </cell>
        </row>
        <row r="14">
          <cell r="AI14" t="str">
            <v>DAIRY MILK</v>
          </cell>
          <cell r="AL14">
            <v>0</v>
          </cell>
          <cell r="AO14" t="str">
            <v>CANE SYRUP</v>
          </cell>
          <cell r="AR14">
            <v>0</v>
          </cell>
        </row>
        <row r="15">
          <cell r="B15" t="str">
            <v xml:space="preserve"> a) Maida</v>
          </cell>
          <cell r="H15">
            <v>0</v>
          </cell>
          <cell r="M15">
            <v>0</v>
          </cell>
          <cell r="N15">
            <v>0</v>
          </cell>
          <cell r="O15" t="str">
            <v>--</v>
          </cell>
          <cell r="P15">
            <v>0</v>
          </cell>
          <cell r="Q15">
            <v>0</v>
          </cell>
          <cell r="R15" t="str">
            <v>--</v>
          </cell>
          <cell r="S15">
            <v>0</v>
          </cell>
          <cell r="T15">
            <v>0</v>
          </cell>
          <cell r="U15" t="str">
            <v>--</v>
          </cell>
          <cell r="V15">
            <v>0</v>
          </cell>
          <cell r="AI15" t="str">
            <v>GRP.FLV</v>
          </cell>
          <cell r="AL15">
            <v>0</v>
          </cell>
          <cell r="AO15" t="str">
            <v>ROASTED PEANUT</v>
          </cell>
          <cell r="AR15">
            <v>0</v>
          </cell>
        </row>
        <row r="16">
          <cell r="R16" t="str">
            <v/>
          </cell>
          <cell r="AI16" t="str">
            <v>MENTHOL</v>
          </cell>
          <cell r="AL16">
            <v>0</v>
          </cell>
          <cell r="AO16" t="str">
            <v>BUTTER FLV.</v>
          </cell>
          <cell r="AR16">
            <v>0</v>
          </cell>
        </row>
        <row r="17">
          <cell r="B17" t="str">
            <v xml:space="preserve"> b) Sugar               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I17" t="str">
            <v>MANGO FLV</v>
          </cell>
          <cell r="AL17">
            <v>0</v>
          </cell>
          <cell r="AO17" t="str">
            <v>CHEESE FLV.</v>
          </cell>
          <cell r="AR17">
            <v>0</v>
          </cell>
        </row>
        <row r="18">
          <cell r="AI18" t="str">
            <v>MANGO POWDER</v>
          </cell>
          <cell r="AL18">
            <v>0</v>
          </cell>
          <cell r="AO18" t="str">
            <v>MARIE PARLE CONC</v>
          </cell>
          <cell r="AR18">
            <v>0</v>
          </cell>
        </row>
        <row r="19">
          <cell r="B19" t="str">
            <v xml:space="preserve"> c) Vanaspati           </v>
          </cell>
          <cell r="H19">
            <v>0</v>
          </cell>
          <cell r="I19" t="str">
            <v>--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--</v>
          </cell>
          <cell r="R19" t="str">
            <v>--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I19" t="str">
            <v>MELON FLV</v>
          </cell>
          <cell r="AL19">
            <v>0</v>
          </cell>
          <cell r="AO19" t="str">
            <v>PEANUT FLV</v>
          </cell>
          <cell r="AR19">
            <v>0</v>
          </cell>
        </row>
        <row r="20">
          <cell r="X20" t="str">
            <v>FERMENTATION LOSS</v>
          </cell>
          <cell r="AI20" t="str">
            <v>ORNGE FLV</v>
          </cell>
          <cell r="AL20">
            <v>0</v>
          </cell>
          <cell r="AO20" t="str">
            <v>BHA</v>
          </cell>
          <cell r="AR20">
            <v>0</v>
          </cell>
        </row>
        <row r="21">
          <cell r="B21" t="str">
            <v xml:space="preserve"> d)  Palm Kernel Oil / Cocovit  Oil</v>
          </cell>
          <cell r="H21">
            <v>0</v>
          </cell>
          <cell r="I21" t="str">
            <v>--</v>
          </cell>
          <cell r="M21">
            <v>0</v>
          </cell>
          <cell r="N21">
            <v>0</v>
          </cell>
          <cell r="O21" t="str">
            <v>--</v>
          </cell>
          <cell r="P21">
            <v>0</v>
          </cell>
          <cell r="Q21" t="str">
            <v>--</v>
          </cell>
          <cell r="R21" t="str">
            <v>--</v>
          </cell>
          <cell r="S21">
            <v>0</v>
          </cell>
          <cell r="T21">
            <v>0</v>
          </cell>
          <cell r="U21" t="str">
            <v>--</v>
          </cell>
          <cell r="V21">
            <v>0</v>
          </cell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  <cell r="AI21" t="str">
            <v>PP COLA CINNAMON</v>
          </cell>
          <cell r="AL21">
            <v>0</v>
          </cell>
          <cell r="AO21" t="str">
            <v>VAN.LIQD</v>
          </cell>
          <cell r="AR21">
            <v>0</v>
          </cell>
        </row>
        <row r="22">
          <cell r="R22" t="str">
            <v/>
          </cell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  <cell r="AI22" t="str">
            <v>PINEAPPLE SWEET</v>
          </cell>
          <cell r="AL22">
            <v>0</v>
          </cell>
          <cell r="AO22" t="str">
            <v>CARAMEL COL</v>
          </cell>
          <cell r="AR22">
            <v>0</v>
          </cell>
        </row>
        <row r="23">
          <cell r="B23" t="str">
            <v xml:space="preserve"> e) Liquid Glucose       </v>
          </cell>
          <cell r="H23">
            <v>0</v>
          </cell>
          <cell r="I23" t="str">
            <v>--</v>
          </cell>
          <cell r="M23">
            <v>0</v>
          </cell>
          <cell r="N23" t="str">
            <v>--</v>
          </cell>
          <cell r="O23">
            <v>0</v>
          </cell>
          <cell r="P23">
            <v>0</v>
          </cell>
          <cell r="Q23" t="str">
            <v>--</v>
          </cell>
          <cell r="R23">
            <v>0</v>
          </cell>
          <cell r="S23">
            <v>0</v>
          </cell>
          <cell r="T23" t="str">
            <v>--</v>
          </cell>
          <cell r="U23">
            <v>0</v>
          </cell>
          <cell r="V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  <cell r="AI23" t="str">
            <v>STRAW FLV</v>
          </cell>
          <cell r="AL23">
            <v>0</v>
          </cell>
          <cell r="AO23" t="str">
            <v>AMMONIA</v>
          </cell>
          <cell r="AR23">
            <v>0</v>
          </cell>
        </row>
        <row r="24">
          <cell r="Q24" t="str">
            <v/>
          </cell>
          <cell r="X24" t="str">
            <v>MONACO</v>
          </cell>
          <cell r="AB24" t="e">
            <v>#DIV/0!</v>
          </cell>
          <cell r="AF24" t="e">
            <v>#DIV/0!</v>
          </cell>
          <cell r="AI24" t="str">
            <v>COCONT FLV</v>
          </cell>
          <cell r="AL24">
            <v>0</v>
          </cell>
          <cell r="AO24" t="str">
            <v>CHEM.P</v>
          </cell>
          <cell r="AR24">
            <v>0</v>
          </cell>
        </row>
        <row r="25">
          <cell r="B25" t="str">
            <v xml:space="preserve"> f) Skimmed  Milk  Powder  </v>
          </cell>
          <cell r="H25">
            <v>0</v>
          </cell>
          <cell r="I25" t="str">
            <v>--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AI25" t="str">
            <v>PP COLA OIL</v>
          </cell>
          <cell r="AL25">
            <v>0</v>
          </cell>
          <cell r="AO25" t="str">
            <v>CHEM. S</v>
          </cell>
          <cell r="AR25">
            <v>0</v>
          </cell>
        </row>
        <row r="26">
          <cell r="Q26" t="str">
            <v/>
          </cell>
          <cell r="R26" t="str">
            <v/>
          </cell>
          <cell r="AI26" t="str">
            <v>PP LIME EXT</v>
          </cell>
          <cell r="AL26">
            <v>0</v>
          </cell>
          <cell r="AO26" t="str">
            <v>EHTYL VAN.</v>
          </cell>
          <cell r="AR26">
            <v>0</v>
          </cell>
        </row>
        <row r="27">
          <cell r="B27" t="str">
            <v xml:space="preserve">2.  OTHERS               </v>
          </cell>
          <cell r="D27">
            <v>0</v>
          </cell>
          <cell r="F27">
            <v>0</v>
          </cell>
          <cell r="H27">
            <v>0</v>
          </cell>
          <cell r="I27" t="str">
            <v>--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F27" t="str">
            <v/>
          </cell>
          <cell r="AI27" t="str">
            <v>BRILLIANT BLUE</v>
          </cell>
          <cell r="AL27">
            <v>0</v>
          </cell>
          <cell r="AO27" t="str">
            <v>FINAMOUL 87</v>
          </cell>
          <cell r="AR27">
            <v>0</v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  <cell r="AI28" t="str">
            <v>TBHQ</v>
          </cell>
          <cell r="AL28">
            <v>0</v>
          </cell>
          <cell r="AO28" t="str">
            <v>FINAMOUL SF</v>
          </cell>
          <cell r="AR28">
            <v>0</v>
          </cell>
        </row>
        <row r="29">
          <cell r="AO29" t="str">
            <v>LACTIC ACID</v>
          </cell>
          <cell r="AR29">
            <v>0</v>
          </cell>
        </row>
        <row r="30">
          <cell r="B30" t="str">
            <v xml:space="preserve">    TOTAL CONSUMPTION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F30" t="str">
            <v/>
          </cell>
          <cell r="AI30" t="str">
            <v>CARAM COL</v>
          </cell>
          <cell r="AL30">
            <v>0</v>
          </cell>
          <cell r="AO30" t="str">
            <v>MALIC ACI.</v>
          </cell>
          <cell r="AR30">
            <v>0</v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  <cell r="AI31" t="str">
            <v>CARAM COL RT 80</v>
          </cell>
          <cell r="AL31">
            <v>0</v>
          </cell>
          <cell r="AO31" t="str">
            <v>PAPAINE</v>
          </cell>
          <cell r="AR31">
            <v>0</v>
          </cell>
        </row>
        <row r="32">
          <cell r="T32" t="str">
            <v/>
          </cell>
          <cell r="U32" t="str">
            <v/>
          </cell>
          <cell r="AL32">
            <v>0</v>
          </cell>
          <cell r="AO32" t="str">
            <v>PROPYLENE</v>
          </cell>
          <cell r="AR32">
            <v>0</v>
          </cell>
        </row>
        <row r="33">
          <cell r="B33" t="str">
            <v xml:space="preserve">     TOTAL SOLID INPUT  --------&gt;  (A)</v>
          </cell>
          <cell r="D33" t="e">
            <v>#DIV/0!</v>
          </cell>
          <cell r="F33">
            <v>0</v>
          </cell>
          <cell r="H33" t="e">
            <v>#DIV/0!</v>
          </cell>
          <cell r="M33" t="str">
            <v>LESS : FERMENTATION LOSS</v>
          </cell>
          <cell r="Q33" t="e">
            <v>#DIV/0!</v>
          </cell>
          <cell r="R33" t="str">
            <v/>
          </cell>
          <cell r="T33" t="e">
            <v>#DIV/0!</v>
          </cell>
          <cell r="U33" t="str">
            <v/>
          </cell>
          <cell r="V33" t="e">
            <v>#DIV/0!</v>
          </cell>
          <cell r="AI33" t="str">
            <v>TATRAZ</v>
          </cell>
          <cell r="AL33">
            <v>0</v>
          </cell>
          <cell r="AO33" t="str">
            <v>SALT REF - TATA</v>
          </cell>
          <cell r="AR33">
            <v>0</v>
          </cell>
        </row>
        <row r="34">
          <cell r="N34" t="str">
            <v xml:space="preserve">  % ON NET ISSUE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>
            <v>0</v>
          </cell>
          <cell r="V34" t="e">
            <v>#DIV/0!</v>
          </cell>
          <cell r="AI34" t="str">
            <v>S.YELLOW</v>
          </cell>
          <cell r="AL34">
            <v>0</v>
          </cell>
          <cell r="AO34" t="str">
            <v xml:space="preserve">SALT REF </v>
          </cell>
        </row>
        <row r="35">
          <cell r="AO35" t="str">
            <v>BIOBAKE</v>
          </cell>
          <cell r="AR35">
            <v>0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  <cell r="AI36" t="str">
            <v>CAUST.SODA</v>
          </cell>
          <cell r="AL36">
            <v>0</v>
          </cell>
          <cell r="AO36" t="str">
            <v>LECITHIN</v>
          </cell>
          <cell r="AR36">
            <v>0</v>
          </cell>
        </row>
        <row r="37">
          <cell r="AI37" t="str">
            <v>ETH.VAN.</v>
          </cell>
          <cell r="AL37">
            <v>0</v>
          </cell>
          <cell r="AO37" t="str">
            <v>SODA</v>
          </cell>
          <cell r="AR37">
            <v>0</v>
          </cell>
        </row>
        <row r="38">
          <cell r="AF38" t="str">
            <v>-</v>
          </cell>
          <cell r="AI38" t="str">
            <v>GUM ARABI</v>
          </cell>
          <cell r="AL38">
            <v>0</v>
          </cell>
          <cell r="AO38" t="str">
            <v>VAN.POW</v>
          </cell>
          <cell r="AR38">
            <v>0</v>
          </cell>
        </row>
        <row r="39">
          <cell r="AD39" t="str">
            <v>TOTAL-&gt;</v>
          </cell>
          <cell r="AF39" t="e">
            <v>#DIV/0!</v>
          </cell>
          <cell r="AI39" t="str">
            <v>MALIC ACID</v>
          </cell>
          <cell r="AL39">
            <v>0</v>
          </cell>
          <cell r="AO39" t="str">
            <v>YEAST</v>
          </cell>
          <cell r="AR39">
            <v>0</v>
          </cell>
        </row>
        <row r="41">
          <cell r="AF41" t="str">
            <v>=</v>
          </cell>
          <cell r="AI41" t="str">
            <v>PROP.GLY</v>
          </cell>
          <cell r="AL41">
            <v>0</v>
          </cell>
          <cell r="AO41" t="str">
            <v>STARCH</v>
          </cell>
          <cell r="AR41">
            <v>0</v>
          </cell>
        </row>
        <row r="42">
          <cell r="AI42" t="str">
            <v>STEAR.ACID</v>
          </cell>
          <cell r="AL42">
            <v>0</v>
          </cell>
          <cell r="AO42" t="str">
            <v>MILK COND 5118</v>
          </cell>
          <cell r="AR42">
            <v>0</v>
          </cell>
        </row>
        <row r="43">
          <cell r="AI43" t="str">
            <v>LECITHIN</v>
          </cell>
          <cell r="AL43">
            <v>0</v>
          </cell>
          <cell r="AO43" t="str">
            <v>METHI LEAVES</v>
          </cell>
          <cell r="AR43">
            <v>0</v>
          </cell>
        </row>
        <row r="44">
          <cell r="AI44" t="str">
            <v>SALT REF -TATA</v>
          </cell>
          <cell r="AL44">
            <v>0</v>
          </cell>
          <cell r="AO44" t="str">
            <v>VITAMIN-MINERAL PREMIX</v>
          </cell>
          <cell r="AR44">
            <v>0</v>
          </cell>
        </row>
        <row r="45">
          <cell r="AI45" t="str">
            <v xml:space="preserve">SALT REF  </v>
          </cell>
        </row>
        <row r="46">
          <cell r="AI46" t="str">
            <v>VAN.POW</v>
          </cell>
          <cell r="AL46">
            <v>0</v>
          </cell>
          <cell r="AO46" t="str">
            <v>ONION FLAKES</v>
          </cell>
          <cell r="AR46">
            <v>0</v>
          </cell>
        </row>
        <row r="47">
          <cell r="AI47" t="str">
            <v>PP COLADIENE</v>
          </cell>
          <cell r="AL47">
            <v>0</v>
          </cell>
          <cell r="AO47" t="str">
            <v>SESAME SEEDS</v>
          </cell>
          <cell r="AR47">
            <v>0</v>
          </cell>
        </row>
        <row r="48">
          <cell r="AI48" t="str">
            <v>BLACK CURRENT</v>
          </cell>
          <cell r="AL48">
            <v>0</v>
          </cell>
          <cell r="AO48" t="str">
            <v>TBHQ</v>
          </cell>
          <cell r="AR48">
            <v>0</v>
          </cell>
        </row>
        <row r="49">
          <cell r="AI49" t="str">
            <v>Guava Flavour PPoE52</v>
          </cell>
          <cell r="AL49">
            <v>0</v>
          </cell>
          <cell r="AO49" t="str">
            <v>MINERAL VITAMIN</v>
          </cell>
          <cell r="AR49">
            <v>0</v>
          </cell>
        </row>
        <row r="50">
          <cell r="AI50" t="str">
            <v>Lychee Flavour{PPOA1</v>
          </cell>
        </row>
        <row r="51">
          <cell r="AI51" t="str">
            <v>Lemon Flavour PPoF54</v>
          </cell>
          <cell r="AL51">
            <v>0</v>
          </cell>
          <cell r="AO51" t="str">
            <v>G.M.S SMOOTHEX</v>
          </cell>
          <cell r="AR51">
            <v>0</v>
          </cell>
        </row>
        <row r="52">
          <cell r="AI52" t="str">
            <v>Lemon Yellow (Tartra</v>
          </cell>
          <cell r="AL52">
            <v>0</v>
          </cell>
          <cell r="AP52" t="str">
            <v>-</v>
          </cell>
          <cell r="AR52" t="str">
            <v>-</v>
          </cell>
        </row>
        <row r="53">
          <cell r="AJ53" t="str">
            <v>-</v>
          </cell>
          <cell r="AL53" t="str">
            <v>-</v>
          </cell>
          <cell r="AP53">
            <v>0</v>
          </cell>
          <cell r="AR53">
            <v>0</v>
          </cell>
        </row>
        <row r="54">
          <cell r="AJ54">
            <v>0</v>
          </cell>
          <cell r="AL54">
            <v>0</v>
          </cell>
        </row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mporary"/>
      <sheetName val="Sheet2"/>
      <sheetName val="Sheet3"/>
      <sheetName val="REPORT Bak (2)"/>
      <sheetName val="REPORT Bak"/>
      <sheetName val="DataSheet"/>
      <sheetName val="Moisture"/>
      <sheetName val="CPP"/>
      <sheetName val="DG Set"/>
      <sheetName val="Chem Comp"/>
      <sheetName val="Production"/>
      <sheetName val="LMWGHT"/>
    </sheetNames>
    <sheetDataSet>
      <sheetData sheetId="0"/>
      <sheetData sheetId="1"/>
      <sheetData sheetId="2">
        <row r="1">
          <cell r="B1">
            <v>1</v>
          </cell>
        </row>
        <row r="3">
          <cell r="B3">
            <v>12</v>
          </cell>
          <cell r="L3">
            <v>44</v>
          </cell>
        </row>
        <row r="4">
          <cell r="B4">
            <v>36495</v>
          </cell>
          <cell r="G4">
            <v>37975.114813333515</v>
          </cell>
          <cell r="L4">
            <v>83620</v>
          </cell>
        </row>
        <row r="5">
          <cell r="B5">
            <v>1048</v>
          </cell>
          <cell r="G5">
            <v>18266</v>
          </cell>
          <cell r="L5">
            <v>71266</v>
          </cell>
        </row>
        <row r="6">
          <cell r="G6">
            <v>12668</v>
          </cell>
          <cell r="L6">
            <v>2741</v>
          </cell>
        </row>
        <row r="7">
          <cell r="L7">
            <v>2.5113609184405645E-4</v>
          </cell>
        </row>
        <row r="8">
          <cell r="L8">
            <v>14008</v>
          </cell>
        </row>
        <row r="9">
          <cell r="B9">
            <v>370.4</v>
          </cell>
          <cell r="C9">
            <v>388.49999999999994</v>
          </cell>
          <cell r="D9">
            <v>0</v>
          </cell>
          <cell r="G9">
            <v>115278</v>
          </cell>
          <cell r="L9">
            <v>12668</v>
          </cell>
        </row>
        <row r="10">
          <cell r="B10">
            <v>103.3</v>
          </cell>
          <cell r="C10">
            <v>0</v>
          </cell>
          <cell r="D10">
            <v>18.22</v>
          </cell>
          <cell r="G10">
            <v>58009.75</v>
          </cell>
          <cell r="L10">
            <v>510.12080536912748</v>
          </cell>
        </row>
        <row r="11">
          <cell r="B11">
            <v>20</v>
          </cell>
          <cell r="C11">
            <v>0</v>
          </cell>
          <cell r="D11">
            <v>0</v>
          </cell>
          <cell r="L11">
            <v>0.27991147915476872</v>
          </cell>
        </row>
        <row r="12">
          <cell r="B12">
            <v>108.614</v>
          </cell>
          <cell r="C12">
            <v>0</v>
          </cell>
          <cell r="D12">
            <v>211.31</v>
          </cell>
          <cell r="G12">
            <v>1165.2944901836606</v>
          </cell>
        </row>
        <row r="13">
          <cell r="L13">
            <v>11</v>
          </cell>
          <cell r="N13">
            <v>10.050000000000001</v>
          </cell>
        </row>
        <row r="14">
          <cell r="L14">
            <v>2.476516137747271E-2</v>
          </cell>
        </row>
        <row r="15">
          <cell r="B15">
            <v>763.79300000000001</v>
          </cell>
          <cell r="L15">
            <v>13.355527546151144</v>
          </cell>
        </row>
        <row r="16">
          <cell r="B16">
            <v>709.59563601377363</v>
          </cell>
        </row>
        <row r="17">
          <cell r="B17">
            <v>535</v>
          </cell>
          <cell r="C17">
            <v>12305</v>
          </cell>
        </row>
        <row r="20">
          <cell r="L20">
            <v>20</v>
          </cell>
        </row>
        <row r="21">
          <cell r="B21">
            <v>661.43965991936363</v>
          </cell>
          <cell r="L21">
            <v>9808.2900000000009</v>
          </cell>
        </row>
        <row r="22">
          <cell r="B22">
            <v>93.653340080636298</v>
          </cell>
          <cell r="L22">
            <v>3981</v>
          </cell>
        </row>
        <row r="23">
          <cell r="B23">
            <v>0</v>
          </cell>
          <cell r="L23">
            <v>35.83</v>
          </cell>
        </row>
        <row r="24">
          <cell r="L24">
            <v>65062.5</v>
          </cell>
        </row>
        <row r="25">
          <cell r="B25">
            <v>408.37024079754605</v>
          </cell>
          <cell r="L25">
            <v>0</v>
          </cell>
        </row>
        <row r="26">
          <cell r="B26">
            <v>0</v>
          </cell>
          <cell r="L26">
            <v>0</v>
          </cell>
        </row>
        <row r="27">
          <cell r="B27">
            <v>0</v>
          </cell>
          <cell r="L27">
            <v>108.614</v>
          </cell>
        </row>
        <row r="28">
          <cell r="B28">
            <v>0</v>
          </cell>
          <cell r="L28">
            <v>50174.5</v>
          </cell>
        </row>
        <row r="29">
          <cell r="B29">
            <v>0</v>
          </cell>
        </row>
        <row r="30">
          <cell r="B30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27.4</v>
          </cell>
        </row>
        <row r="35">
          <cell r="B35">
            <v>53.550000000000004</v>
          </cell>
        </row>
        <row r="36">
          <cell r="B36">
            <v>38.65</v>
          </cell>
        </row>
        <row r="37">
          <cell r="B37">
            <v>11.508000000000001</v>
          </cell>
        </row>
        <row r="38">
          <cell r="B38">
            <v>9.35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ire aging"/>
      <sheetName val="Allaire summary aging"/>
      <sheetName val="Top 25"/>
      <sheetName val="Top 50"/>
      <sheetName val="CHART AR Region"/>
      <sheetName val="Combined Summary Aging "/>
      <sheetName val="Comb Summ Aging by channel"/>
      <sheetName val="MM summary aging"/>
      <sheetName val="MM aging"/>
      <sheetName val="Chann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ALSO ABC Trading AG</v>
          </cell>
          <cell r="B2" t="str">
            <v>7-EUR</v>
          </cell>
        </row>
        <row r="3">
          <cell r="A3" t="str">
            <v>Altitude Software, Inc.</v>
          </cell>
          <cell r="B3" t="str">
            <v>5-OEM</v>
          </cell>
        </row>
        <row r="4">
          <cell r="A4" t="str">
            <v>Apacabar</v>
          </cell>
          <cell r="B4" t="str">
            <v>7-EUR</v>
          </cell>
        </row>
        <row r="5">
          <cell r="A5" t="str">
            <v>ASAP Software Express</v>
          </cell>
          <cell r="B5" t="str">
            <v>3-CORP</v>
          </cell>
        </row>
        <row r="6">
          <cell r="A6" t="str">
            <v>Blue Martini Software</v>
          </cell>
          <cell r="B6" t="str">
            <v>5-OEM</v>
          </cell>
        </row>
        <row r="7">
          <cell r="A7" t="str">
            <v>Borland</v>
          </cell>
          <cell r="B7" t="str">
            <v>5-OEM</v>
          </cell>
        </row>
        <row r="8">
          <cell r="A8" t="str">
            <v>BroadVision</v>
          </cell>
          <cell r="B8" t="str">
            <v>5-OEM</v>
          </cell>
        </row>
        <row r="9">
          <cell r="A9" t="str">
            <v>BroadVision Sales</v>
          </cell>
          <cell r="B9" t="str">
            <v>4-DIR</v>
          </cell>
        </row>
        <row r="10">
          <cell r="A10" t="str">
            <v>Cal State Polytechnic Univ</v>
          </cell>
          <cell r="B10" t="str">
            <v>2-EDUC</v>
          </cell>
        </row>
        <row r="11">
          <cell r="A11" t="str">
            <v>Compucom</v>
          </cell>
          <cell r="B11" t="str">
            <v>3-CORP</v>
          </cell>
        </row>
        <row r="12">
          <cell r="A12" t="str">
            <v>Computer 2000 AG</v>
          </cell>
          <cell r="B12" t="str">
            <v>7-EUR</v>
          </cell>
        </row>
        <row r="13">
          <cell r="A13" t="str">
            <v>Computers Unlimited</v>
          </cell>
          <cell r="B13" t="str">
            <v>7-EUR</v>
          </cell>
        </row>
        <row r="14">
          <cell r="A14" t="str">
            <v>Core Peripherals</v>
          </cell>
          <cell r="B14" t="str">
            <v>7-EUR</v>
          </cell>
        </row>
        <row r="15">
          <cell r="A15" t="str">
            <v>Custom Edge, Sub of Compaq</v>
          </cell>
          <cell r="B15" t="str">
            <v>3-CORP</v>
          </cell>
        </row>
        <row r="16">
          <cell r="A16" t="str">
            <v>D &amp; H Distributing Company</v>
          </cell>
          <cell r="B16" t="str">
            <v>2-EDUC</v>
          </cell>
        </row>
        <row r="17">
          <cell r="A17" t="str">
            <v>Double Click-mm.com</v>
          </cell>
          <cell r="B17" t="str">
            <v>4-DIR</v>
          </cell>
        </row>
        <row r="18">
          <cell r="A18" t="str">
            <v>Douglas Stewart Company</v>
          </cell>
          <cell r="B18" t="str">
            <v>2-EDUC</v>
          </cell>
        </row>
        <row r="19">
          <cell r="A19" t="str">
            <v>Feeder SA</v>
          </cell>
          <cell r="B19" t="str">
            <v>7-EUR</v>
          </cell>
        </row>
        <row r="20">
          <cell r="A20" t="str">
            <v>Firmware Design</v>
          </cell>
          <cell r="B20" t="str">
            <v>91-APAC</v>
          </cell>
        </row>
        <row r="21">
          <cell r="A21" t="str">
            <v>GrandTech C.G. Systems, Inc.</v>
          </cell>
          <cell r="B21" t="str">
            <v>91-APAC</v>
          </cell>
        </row>
        <row r="22">
          <cell r="A22" t="str">
            <v>GrandTech C.G. Systems,HK</v>
          </cell>
          <cell r="B22" t="str">
            <v>91-APAC</v>
          </cell>
        </row>
        <row r="23">
          <cell r="A23" t="str">
            <v>HumanCom, Inc.</v>
          </cell>
          <cell r="B23" t="str">
            <v>91-APAC</v>
          </cell>
        </row>
        <row r="24">
          <cell r="A24" t="str">
            <v>IBM Corporation</v>
          </cell>
          <cell r="B24" t="str">
            <v>3-CORP</v>
          </cell>
        </row>
        <row r="25">
          <cell r="A25" t="str">
            <v>Infinigate AG</v>
          </cell>
          <cell r="B25" t="str">
            <v>7-EUR</v>
          </cell>
        </row>
        <row r="26">
          <cell r="A26" t="str">
            <v>Ingram Micro</v>
          </cell>
          <cell r="B26" t="str">
            <v>3-DIST</v>
          </cell>
        </row>
        <row r="27">
          <cell r="A27" t="str">
            <v>INGRAM MICRO CANADA</v>
          </cell>
          <cell r="B27" t="str">
            <v>3-DIST</v>
          </cell>
        </row>
        <row r="28">
          <cell r="A28" t="str">
            <v>Ingram Micro Europe AG</v>
          </cell>
          <cell r="B28" t="str">
            <v>7-EUR</v>
          </cell>
        </row>
        <row r="29">
          <cell r="A29" t="str">
            <v>Ingram Micro US Education</v>
          </cell>
          <cell r="B29" t="str">
            <v>2-EDUC</v>
          </cell>
        </row>
        <row r="30">
          <cell r="A30" t="str">
            <v>Intus Technologies Inc.</v>
          </cell>
          <cell r="B30" t="str">
            <v>91-APAC</v>
          </cell>
        </row>
        <row r="31">
          <cell r="A31" t="str">
            <v>IXL</v>
          </cell>
          <cell r="B31" t="str">
            <v>3-CORP</v>
          </cell>
        </row>
        <row r="32">
          <cell r="A32" t="str">
            <v>Leapnet, Inc.</v>
          </cell>
          <cell r="B32" t="str">
            <v>3-CORP</v>
          </cell>
        </row>
        <row r="33">
          <cell r="A33" t="str">
            <v>Lotus Development Corp.</v>
          </cell>
          <cell r="B33" t="str">
            <v>5-OEM</v>
          </cell>
        </row>
        <row r="34">
          <cell r="A34" t="str">
            <v>Macrotron Distribution GmbH</v>
          </cell>
          <cell r="B34" t="str">
            <v>7-EUR</v>
          </cell>
        </row>
        <row r="35">
          <cell r="A35" t="str">
            <v>Marubeni Corporation</v>
          </cell>
          <cell r="B35" t="str">
            <v>8-JPN</v>
          </cell>
        </row>
        <row r="36">
          <cell r="A36" t="str">
            <v>Memory Set</v>
          </cell>
          <cell r="B36" t="str">
            <v>7-EUR</v>
          </cell>
        </row>
        <row r="37">
          <cell r="A37" t="str">
            <v>Modus Preston Fulfill Plus</v>
          </cell>
          <cell r="B37" t="str">
            <v>4-DIR</v>
          </cell>
        </row>
        <row r="38">
          <cell r="A38" t="str">
            <v>NEC Computers Services SARL</v>
          </cell>
          <cell r="B38" t="str">
            <v>7-EUR</v>
          </cell>
        </row>
        <row r="39">
          <cell r="A39" t="str">
            <v>NIAM-TMS</v>
          </cell>
          <cell r="B39" t="str">
            <v>7-EUR</v>
          </cell>
        </row>
        <row r="40">
          <cell r="A40" t="str">
            <v>OPENGATE SPA</v>
          </cell>
          <cell r="B40" t="str">
            <v>7-EUR</v>
          </cell>
        </row>
        <row r="41">
          <cell r="A41" t="str">
            <v>PacRim Technologies Ltd</v>
          </cell>
          <cell r="B41" t="str">
            <v>91-APAC</v>
          </cell>
        </row>
        <row r="42">
          <cell r="A42" t="str">
            <v>PARS</v>
          </cell>
          <cell r="B42" t="str">
            <v>91-APAC</v>
          </cell>
        </row>
        <row r="43">
          <cell r="A43" t="str">
            <v>Pericon.com Pte Ltd</v>
          </cell>
          <cell r="B43" t="str">
            <v>91-APAC</v>
          </cell>
        </row>
        <row r="44">
          <cell r="A44" t="str">
            <v>Promate</v>
          </cell>
          <cell r="B44" t="str">
            <v>7-EUR</v>
          </cell>
        </row>
        <row r="45">
          <cell r="A45" t="str">
            <v>Quicksoft Marketing(1988)LTD</v>
          </cell>
          <cell r="B45" t="str">
            <v>7-EUR</v>
          </cell>
        </row>
        <row r="46">
          <cell r="A46" t="str">
            <v>Release Education</v>
          </cell>
          <cell r="B46" t="str">
            <v>4-DIR</v>
          </cell>
        </row>
        <row r="47">
          <cell r="A47" t="str">
            <v>Release Software Corp.</v>
          </cell>
          <cell r="B47" t="str">
            <v>4-DIR</v>
          </cell>
        </row>
        <row r="48">
          <cell r="A48" t="str">
            <v>Renaissance Software NZ Ltd</v>
          </cell>
          <cell r="B48" t="str">
            <v>91-APAC</v>
          </cell>
        </row>
        <row r="49">
          <cell r="A49" t="str">
            <v>Scholastic Australia Pty Ltd</v>
          </cell>
          <cell r="B49" t="str">
            <v>91-APAC</v>
          </cell>
        </row>
        <row r="50">
          <cell r="A50" t="str">
            <v>shockwave.com</v>
          </cell>
          <cell r="B50" t="str">
            <v>98-WEB</v>
          </cell>
        </row>
        <row r="51">
          <cell r="A51" t="str">
            <v>Softbank Korea Co., Ltd</v>
          </cell>
          <cell r="B51" t="str">
            <v>91-APAC</v>
          </cell>
        </row>
        <row r="52">
          <cell r="A52" t="str">
            <v>Softchina Corporation</v>
          </cell>
          <cell r="B52" t="str">
            <v>91-APAC</v>
          </cell>
        </row>
        <row r="53">
          <cell r="A53" t="str">
            <v>Softline AG</v>
          </cell>
          <cell r="B53" t="str">
            <v>7-EUR</v>
          </cell>
        </row>
        <row r="54">
          <cell r="A54" t="str">
            <v>Software House International</v>
          </cell>
          <cell r="B54" t="str">
            <v>3-CORP</v>
          </cell>
        </row>
        <row r="55">
          <cell r="A55" t="str">
            <v>Studentlitteratur Software</v>
          </cell>
          <cell r="B55" t="str">
            <v>7-EUR</v>
          </cell>
        </row>
        <row r="56">
          <cell r="A56" t="str">
            <v>TD Brasil Ltda.</v>
          </cell>
          <cell r="B56" t="str">
            <v>91-APAC</v>
          </cell>
        </row>
        <row r="57">
          <cell r="A57" t="str">
            <v>Tech Data</v>
          </cell>
          <cell r="B57" t="str">
            <v>3-DIST</v>
          </cell>
        </row>
        <row r="58">
          <cell r="A58" t="str">
            <v>Tech Data AG</v>
          </cell>
          <cell r="B58" t="str">
            <v>7-EUR</v>
          </cell>
        </row>
        <row r="59">
          <cell r="A59" t="str">
            <v>Tech Data Belgium</v>
          </cell>
          <cell r="B59" t="str">
            <v>7-EUR</v>
          </cell>
        </row>
        <row r="60">
          <cell r="A60" t="str">
            <v>The Art Insitues Int'l</v>
          </cell>
          <cell r="B60" t="str">
            <v>2-EDUC</v>
          </cell>
        </row>
        <row r="61">
          <cell r="A61" t="str">
            <v>TSI</v>
          </cell>
          <cell r="B61" t="str">
            <v>7-EUR</v>
          </cell>
        </row>
        <row r="62">
          <cell r="A62" t="str">
            <v>UMAX Technologies</v>
          </cell>
          <cell r="B62" t="str">
            <v>5-OEM</v>
          </cell>
        </row>
        <row r="63">
          <cell r="A63" t="str">
            <v>Venturus</v>
          </cell>
          <cell r="B63" t="str">
            <v>91-APAC</v>
          </cell>
        </row>
        <row r="64">
          <cell r="A64" t="str">
            <v>WebGain, Inc.</v>
          </cell>
          <cell r="B64" t="str">
            <v>5-OEM</v>
          </cell>
        </row>
        <row r="65">
          <cell r="A65" t="str">
            <v>Add more company names and channel codes here. Do not forget to resort the whole list alphabetically</v>
          </cell>
        </row>
        <row r="66">
          <cell r="A66" t="str">
            <v>Add more company names and channel codes here. Do not forget to resort the whole list alphabetically</v>
          </cell>
        </row>
        <row r="67">
          <cell r="A67" t="str">
            <v>Add more company names and channel codes here. Do not forget to resort the whole list alphabetically</v>
          </cell>
        </row>
        <row r="68">
          <cell r="A68" t="str">
            <v>Add more company names and channel codes here. Do not forget to resort the whole list alphabetically</v>
          </cell>
        </row>
        <row r="69">
          <cell r="A69" t="str">
            <v>Add more company names and channel codes here. Do not forget to resort the whole list alphabetically</v>
          </cell>
        </row>
        <row r="70">
          <cell r="A70" t="str">
            <v>Add more company names and channel codes here. Do not forget to resort the whole list alphabetically</v>
          </cell>
        </row>
        <row r="71">
          <cell r="A71" t="str">
            <v>Add more company names and channel codes here. Do not forget to resort the whole list alphabetically</v>
          </cell>
        </row>
        <row r="72">
          <cell r="A72" t="str">
            <v>Add more company names and channel codes here. Do not forget to resort the whole list alphabetically</v>
          </cell>
        </row>
        <row r="73">
          <cell r="A73" t="str">
            <v>Add more company names and channel codes here. Do not forget to resort the whole list alphabetically</v>
          </cell>
        </row>
        <row r="74">
          <cell r="A74" t="str">
            <v>Add more company names and channel codes here. Do not forget to resort the whole list alphabetically</v>
          </cell>
        </row>
        <row r="75">
          <cell r="A75" t="str">
            <v>Add more company names and channel codes here. Do not forget to resort the whole list alphabetically</v>
          </cell>
        </row>
        <row r="76">
          <cell r="A76" t="str">
            <v>Add more company names and channel codes here. Do not forget to resort the whole list alphabetically</v>
          </cell>
        </row>
        <row r="77">
          <cell r="A77" t="str">
            <v>Add more company names and channel codes here. Do not forget to resort the whole list alphabetically</v>
          </cell>
        </row>
        <row r="78">
          <cell r="A78" t="str">
            <v>Add more company names and channel codes here. Do not forget to resort the whole list alphabetically</v>
          </cell>
        </row>
        <row r="79">
          <cell r="A79" t="str">
            <v>Add more company names and channel codes here. Do not forget to resort the whole list alphabetically</v>
          </cell>
        </row>
        <row r="80">
          <cell r="A80" t="str">
            <v>Add more company names and channel codes here. Do not forget to resort the whole list alphabetically</v>
          </cell>
        </row>
        <row r="81">
          <cell r="A81" t="str">
            <v>Add more company names and channel codes here. Do not forget to resort the whole list alphabetically</v>
          </cell>
        </row>
        <row r="82">
          <cell r="A82" t="str">
            <v>Add more company names and channel codes here. Do not forget to resort the whole list alphabetically</v>
          </cell>
        </row>
        <row r="83">
          <cell r="A83" t="str">
            <v>Add more company names and channel codes here. Do not forget to resort the whole list alphabetically</v>
          </cell>
        </row>
        <row r="84">
          <cell r="A84" t="str">
            <v>Add more company names and channel codes here. Do not forget to resort the whole list alphabetically</v>
          </cell>
        </row>
        <row r="85">
          <cell r="A85" t="str">
            <v>Add more company names and channel codes here. Do not forget to resort the whole list alphabetically</v>
          </cell>
        </row>
        <row r="86">
          <cell r="A86" t="str">
            <v>Add more company names and channel codes here. Do not forget to resort the whole list alphabetically</v>
          </cell>
        </row>
        <row r="87">
          <cell r="A87" t="str">
            <v>Add more company names and channel codes here. Do not forget to resort the whole list alphabetically</v>
          </cell>
        </row>
        <row r="88">
          <cell r="A88" t="str">
            <v>Add more company names and channel codes here. Do not forget to resort the whole list alphabetically</v>
          </cell>
        </row>
        <row r="89">
          <cell r="A89" t="str">
            <v>Add more company names and channel codes here. Do not forget to resort the whole list alphabetically</v>
          </cell>
        </row>
        <row r="90">
          <cell r="A90" t="str">
            <v>Add more company names and channel codes here. Do not forget to resort the whole list alphabetically</v>
          </cell>
        </row>
        <row r="91">
          <cell r="A91" t="str">
            <v>Add more company names and channel codes here. Do not forget to resort the whole list alphabetically</v>
          </cell>
        </row>
        <row r="92">
          <cell r="A92" t="str">
            <v>Add more company names and channel codes here. Do not forget to resort the whole list alphabetically</v>
          </cell>
        </row>
        <row r="93">
          <cell r="A93" t="str">
            <v>Add more company names and channel codes here. Do not forget to resort the whole list alphabetically</v>
          </cell>
        </row>
        <row r="94">
          <cell r="A94" t="str">
            <v>Add more company names and channel codes here. Do not forget to resort the whole list alphabetically</v>
          </cell>
        </row>
        <row r="95">
          <cell r="A95" t="str">
            <v>Add more company names and channel codes here. Do not forget to resort the whole list alphabetically</v>
          </cell>
        </row>
        <row r="96">
          <cell r="A96" t="str">
            <v>Add more company names and channel codes here. Do not forget to resort the whole list alphabetically</v>
          </cell>
        </row>
        <row r="97">
          <cell r="A97" t="str">
            <v>Add more company names and channel codes here. Do not forget to resort the whole list alphabetically</v>
          </cell>
        </row>
        <row r="98">
          <cell r="A98" t="str">
            <v>Add more company names and channel codes here. Do not forget to resort the whole list alphabetically</v>
          </cell>
        </row>
        <row r="99">
          <cell r="A99" t="str">
            <v>Add more company names and channel codes here. Do not forget to resort the whole list alphabetically</v>
          </cell>
        </row>
        <row r="100">
          <cell r="A100" t="str">
            <v>Add more company names and channel codes here. Do not forget to resort the whole list alphabetically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rofile A"/>
      <sheetName val="Profile B"/>
      <sheetName val="Maya - Street"/>
      <sheetName val="Maya - Tops Down"/>
      <sheetName val="Maya - Bottoms Up"/>
      <sheetName val="Oaxaca"/>
      <sheetName val="Wexford"/>
      <sheetName val="P&amp;L Display Page"/>
      <sheetName val="Rev Build - BASE"/>
      <sheetName val="Rev Build - UPSIDE"/>
      <sheetName val="Target DCF"/>
      <sheetName val="Acquiror DCF"/>
      <sheetName val="Synergy DCF"/>
      <sheetName val="NOL DCF"/>
      <sheetName val="MACR DEV"/>
      <sheetName val="PFE - Sharecreep"/>
      <sheetName val="PFE - Syn"/>
      <sheetName val="PFE - 2005"/>
      <sheetName val="PFE - 2006"/>
      <sheetName val="PFE - NTM"/>
      <sheetName val="__FDSCACHE__"/>
      <sheetName val="PI"/>
      <sheetName val="TM"/>
      <sheetName val="Annotated - TM"/>
      <sheetName val="SI"/>
      <sheetName val="KM"/>
      <sheetName val="ER"/>
      <sheetName val="RC"/>
      <sheetName val="PF P&amp;L"/>
      <sheetName val="DEV-T"/>
      <sheetName val="DEVR-T"/>
      <sheetName val="AdditionalPrintCode"/>
      <sheetName val="MainPrintCode"/>
      <sheetName val="IA"/>
      <sheetName val="OM"/>
      <sheetName val="SV-Standalone Target"/>
      <sheetName val="SV-Standalone Acquiror"/>
      <sheetName val="SV-T"/>
      <sheetName val="PIR"/>
      <sheetName val="PFR"/>
      <sheetName val="DEV-NewCo"/>
      <sheetName val="PFR -AV Mult"/>
      <sheetName val="PF B-S"/>
      <sheetName val="Co C"/>
      <sheetName val="Co D"/>
      <sheetName val="Co E"/>
      <sheetName val="Co F"/>
      <sheetName val="Co G"/>
      <sheetName val="Co H"/>
      <sheetName val="Co M"/>
      <sheetName val="Co N"/>
      <sheetName val="Co O"/>
      <sheetName val="Template"/>
      <sheetName val="Options"/>
      <sheetName val="Converts"/>
      <sheetName val="Factset"/>
      <sheetName val="Extended FactSet"/>
      <sheetName val="Macro De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>
        <row r="50">
          <cell r="D50">
            <v>0.16415500000000002</v>
          </cell>
        </row>
      </sheetData>
      <sheetData sheetId="57" refreshError="1"/>
      <sheetData sheetId="5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bsvertical"/>
      <sheetName val="sch1"/>
      <sheetName val="Sheet1"/>
      <sheetName val="sch2"/>
      <sheetName val="sch3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Chann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Remarks"/>
      <sheetName val="Reasons of Low Prodn"/>
      <sheetName val="Temporary"/>
      <sheetName val="Sheet2"/>
      <sheetName val="Sheet3"/>
      <sheetName val="REPORT Bak"/>
      <sheetName val="DataSheet"/>
      <sheetName val="Moisture"/>
      <sheetName val="CPP"/>
      <sheetName val="DG Set"/>
      <sheetName val="Chem Comp"/>
      <sheetName val=" Coke Consumption"/>
      <sheetName val="Production"/>
      <sheetName val="LMW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BX36">
            <v>428.07149319071215</v>
          </cell>
          <cell r="CH36">
            <v>1674.6247370003011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pients"/>
      <sheetName val="Help"/>
      <sheetName val="Markets Yesterday"/>
      <sheetName val="Markets Today"/>
      <sheetName val="Opec Basket"/>
      <sheetName val="Forward Indications"/>
      <sheetName val="ExchangePrices"/>
      <sheetName val="Marketer"/>
      <sheetName val="Historic Data"/>
      <sheetName val="market feeds"/>
      <sheetName val="Flexible"/>
      <sheetName val="Months"/>
      <sheetName val="Quarters"/>
    </sheetNames>
    <sheetDataSet>
      <sheetData sheetId="0" refreshError="1">
        <row r="1">
          <cell r="A1" t="str">
            <v>Name</v>
          </cell>
          <cell r="C1" t="str">
            <v>email</v>
          </cell>
          <cell r="D1" t="str">
            <v>Send  Commentary?</v>
          </cell>
          <cell r="E1" t="str">
            <v>Send  Attachment?</v>
          </cell>
          <cell r="H1" t="str">
            <v>SuccessSent</v>
          </cell>
        </row>
      </sheetData>
      <sheetData sheetId="1" refreshError="1">
        <row r="2">
          <cell r="B2" t="str">
            <v>Morgan Stanley London Oil Commentary</v>
          </cell>
        </row>
        <row r="4">
          <cell r="B4" t="str">
            <v>London Commodities Marketing Group</v>
          </cell>
        </row>
        <row r="5">
          <cell r="B5" t="str">
            <v>london_research@ms.com</v>
          </cell>
        </row>
        <row r="7">
          <cell r="B7" t="str">
            <v>L:\COMMODS\Research\Regulars\LondonOilCommentary\LondonCommentaryTemplate.html</v>
          </cell>
        </row>
        <row r="8">
          <cell r="B8" t="str">
            <v>L:\COMMODS\Research\Regulars\LondonOilCommentary\HTMLRepository\LondonOilCommentary_20050217.html</v>
          </cell>
        </row>
        <row r="11">
          <cell r="B11" t="str">
            <v>L:\COMMODS\Research\Regulars\LondonOilCommentary\HTMLRepository</v>
          </cell>
        </row>
        <row r="13">
          <cell r="B13" t="str">
            <v>L:\COMMODS\Research\Regulars\LondonOilCommentary\ExcelRepository</v>
          </cell>
        </row>
        <row r="16">
          <cell r="B16" t="str">
            <v>L:\COMMODS\Research\Regulars\LondonOilCommentary\ExcelRepository\ForwardIndications_20050217.xls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arameters"/>
      <sheetName val="PAO Bridge Mensuel"/>
      <sheetName val=" Bridge CAFop Trimestriel"/>
      <sheetName val="Synth Trimestriel"/>
      <sheetName val="Business Lines Trimestriel"/>
    </sheetNames>
    <sheetDataSet>
      <sheetData sheetId="0" refreshError="1">
        <row r="3">
          <cell r="B3" t="str">
            <v>France</v>
          </cell>
        </row>
        <row r="18">
          <cell r="E18" t="str">
            <v>Réel Mar. 2013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#12 - June 1 2001 Update"/>
      <sheetName val="Combined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Sheet1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"/>
      <sheetName val="XXXXXXXXXXX0"/>
      <sheetName val="Scheme"/>
      <sheetName val="querries"/>
      <sheetName val="p&amp;l"/>
      <sheetName val="BS"/>
      <sheetName val="Cashflow"/>
      <sheetName val="WCL"/>
      <sheetName val="repa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mbnd 08 09"/>
      <sheetName val="index"/>
      <sheetName val="Assum"/>
      <sheetName val="WCA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inc rec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inc_rec"/>
      <sheetName val="oresreqsum"/>
      <sheetName val="TB"/>
      <sheetName val="INV"/>
      <sheetName val="Copy of AAsamtel"/>
      <sheetName val="Forecast_Input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Parameters"/>
      <sheetName val="Timeoffice"/>
      <sheetName val="HI-TARG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t - Cum02"/>
      <sheetName val="CBDGT979"/>
      <sheetName val="TGT"/>
      <sheetName val="LOB_TABLE"/>
      <sheetName val="Hid_x0000__x0000_odule"/>
      <sheetName val="HP Inv"/>
      <sheetName val="discounts_XP140"/>
      <sheetName val="FORM-16"/>
      <sheetName val="Total Machine Cos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11_Mgmt Pres"/>
      <sheetName val="Datenbank"/>
      <sheetName val="Not jet warranty"/>
      <sheetName val="No warranty"/>
    </sheetNames>
    <sheetDataSet>
      <sheetData sheetId="0"/>
      <sheetData sheetId="1">
        <row r="3">
          <cell r="B3" t="str">
            <v>Country</v>
          </cell>
          <cell r="C3" t="str">
            <v>System Typ</v>
          </cell>
          <cell r="D3" t="str">
            <v>Machine type</v>
          </cell>
          <cell r="E3" t="str">
            <v>Project number</v>
          </cell>
          <cell r="F3" t="str">
            <v>Equipment number</v>
          </cell>
          <cell r="G3" t="str">
            <v>Delivery of system</v>
          </cell>
          <cell r="H3" t="str">
            <v>Warranty Start</v>
          </cell>
          <cell r="I3" t="str">
            <v>Warranty End</v>
          </cell>
          <cell r="J3" t="str">
            <v xml:space="preserve">FAT </v>
          </cell>
          <cell r="K3" t="str">
            <v>Warranty</v>
          </cell>
          <cell r="L3" t="str">
            <v>Conditions</v>
          </cell>
          <cell r="M3" t="str">
            <v>Duration</v>
          </cell>
        </row>
        <row r="4">
          <cell r="A4">
            <v>1</v>
          </cell>
          <cell r="B4" t="str">
            <v>TBB</v>
          </cell>
          <cell r="C4" t="str">
            <v xml:space="preserve">UNI 800 ECO </v>
          </cell>
          <cell r="D4" t="str">
            <v>UNI</v>
          </cell>
          <cell r="E4" t="str">
            <v>Y/000163</v>
          </cell>
          <cell r="F4">
            <v>10012638</v>
          </cell>
          <cell r="G4">
            <v>2000</v>
          </cell>
          <cell r="H4" t="str">
            <v>Expired</v>
          </cell>
          <cell r="I4" t="str">
            <v>Expired</v>
          </cell>
          <cell r="J4" t="str">
            <v>Yes</v>
          </cell>
          <cell r="K4" t="str">
            <v>No</v>
          </cell>
          <cell r="L4" t="str">
            <v>Service paid by customer</v>
          </cell>
        </row>
        <row r="5">
          <cell r="A5">
            <v>2</v>
          </cell>
          <cell r="B5" t="str">
            <v>TBB</v>
          </cell>
          <cell r="C5" t="str">
            <v>UNI 1200</v>
          </cell>
          <cell r="D5" t="str">
            <v>UNI</v>
          </cell>
          <cell r="E5" t="str">
            <v>P/006338</v>
          </cell>
          <cell r="F5">
            <v>10129038</v>
          </cell>
          <cell r="G5" t="str">
            <v xml:space="preserve"> -</v>
          </cell>
          <cell r="H5" t="str">
            <v xml:space="preserve"> -</v>
          </cell>
          <cell r="I5" t="str">
            <v>Expired</v>
          </cell>
          <cell r="J5" t="str">
            <v>Yes</v>
          </cell>
          <cell r="K5" t="str">
            <v>No</v>
          </cell>
        </row>
        <row r="6">
          <cell r="A6">
            <v>3</v>
          </cell>
          <cell r="B6" t="str">
            <v>Germany</v>
          </cell>
          <cell r="C6" t="str">
            <v>KAI-I-M</v>
          </cell>
          <cell r="D6" t="str">
            <v>KAI</v>
          </cell>
          <cell r="E6" t="str">
            <v>N/A</v>
          </cell>
          <cell r="F6">
            <v>21000501</v>
          </cell>
          <cell r="G6">
            <v>1993</v>
          </cell>
          <cell r="H6" t="str">
            <v>Expired</v>
          </cell>
          <cell r="I6" t="str">
            <v>Expired</v>
          </cell>
          <cell r="J6" t="str">
            <v>Yes</v>
          </cell>
          <cell r="K6" t="str">
            <v>No</v>
          </cell>
          <cell r="L6" t="str">
            <v>Service paid by customer</v>
          </cell>
        </row>
        <row r="7">
          <cell r="A7">
            <v>4</v>
          </cell>
          <cell r="B7" t="str">
            <v>Germany</v>
          </cell>
          <cell r="C7" t="str">
            <v>KAI-I-M</v>
          </cell>
          <cell r="D7" t="str">
            <v>KAI</v>
          </cell>
          <cell r="E7" t="str">
            <v>N/A</v>
          </cell>
          <cell r="F7">
            <v>21000502</v>
          </cell>
          <cell r="G7">
            <v>1993</v>
          </cell>
          <cell r="H7" t="str">
            <v>Expired</v>
          </cell>
          <cell r="I7" t="str">
            <v>Expired</v>
          </cell>
          <cell r="J7" t="str">
            <v>Yes</v>
          </cell>
          <cell r="K7" t="str">
            <v>No</v>
          </cell>
          <cell r="L7" t="str">
            <v>Service paid by customer</v>
          </cell>
        </row>
        <row r="8">
          <cell r="A8">
            <v>5</v>
          </cell>
          <cell r="B8" t="str">
            <v>Germany</v>
          </cell>
          <cell r="C8" t="str">
            <v>KAI 1-1200</v>
          </cell>
          <cell r="D8" t="str">
            <v>KAI</v>
          </cell>
          <cell r="E8" t="str">
            <v>P/005805</v>
          </cell>
          <cell r="F8">
            <v>10112789</v>
          </cell>
          <cell r="G8">
            <v>37896</v>
          </cell>
          <cell r="H8">
            <v>38014</v>
          </cell>
          <cell r="I8">
            <v>38379</v>
          </cell>
          <cell r="J8" t="str">
            <v>Yes</v>
          </cell>
          <cell r="K8" t="str">
            <v>No</v>
          </cell>
          <cell r="L8" t="str">
            <v>Service paid by customer</v>
          </cell>
        </row>
        <row r="9">
          <cell r="A9">
            <v>6</v>
          </cell>
          <cell r="B9" t="str">
            <v>Netherlands</v>
          </cell>
          <cell r="C9" t="str">
            <v>KAI20S</v>
          </cell>
          <cell r="D9" t="str">
            <v>KAI</v>
          </cell>
          <cell r="E9" t="str">
            <v>P/006685</v>
          </cell>
          <cell r="F9">
            <v>30000000</v>
          </cell>
          <cell r="G9">
            <v>38052</v>
          </cell>
          <cell r="H9" t="str">
            <v>Expired</v>
          </cell>
          <cell r="I9" t="str">
            <v>Expired</v>
          </cell>
          <cell r="J9" t="str">
            <v>Yes</v>
          </cell>
          <cell r="K9" t="str">
            <v>No</v>
          </cell>
          <cell r="L9" t="str">
            <v>Service paid by customer</v>
          </cell>
        </row>
        <row r="10">
          <cell r="A10">
            <v>7</v>
          </cell>
          <cell r="B10" t="str">
            <v>USA</v>
          </cell>
          <cell r="C10" t="str">
            <v xml:space="preserve">KAI-I-L </v>
          </cell>
          <cell r="D10" t="str">
            <v>KAI</v>
          </cell>
          <cell r="E10" t="str">
            <v>N/A</v>
          </cell>
          <cell r="F10">
            <v>40000091</v>
          </cell>
          <cell r="G10">
            <v>1995</v>
          </cell>
          <cell r="H10" t="str">
            <v>Expired</v>
          </cell>
          <cell r="I10" t="str">
            <v>Expired</v>
          </cell>
          <cell r="J10" t="str">
            <v>Yes</v>
          </cell>
          <cell r="K10" t="str">
            <v>No</v>
          </cell>
          <cell r="L10" t="str">
            <v>Service paid by customer</v>
          </cell>
        </row>
        <row r="11">
          <cell r="A11">
            <v>8</v>
          </cell>
          <cell r="B11" t="str">
            <v>USA</v>
          </cell>
          <cell r="C11" t="str">
            <v xml:space="preserve">KAI-I-L </v>
          </cell>
          <cell r="D11" t="str">
            <v>KAI</v>
          </cell>
          <cell r="E11" t="str">
            <v>N/A</v>
          </cell>
          <cell r="F11">
            <v>40000092</v>
          </cell>
          <cell r="G11">
            <v>1995</v>
          </cell>
          <cell r="H11" t="str">
            <v>Expired</v>
          </cell>
          <cell r="I11" t="str">
            <v>Expired</v>
          </cell>
          <cell r="J11" t="str">
            <v>Yes</v>
          </cell>
          <cell r="K11" t="str">
            <v>No</v>
          </cell>
          <cell r="L11" t="str">
            <v>Service paid by customer</v>
          </cell>
        </row>
        <row r="12">
          <cell r="A12">
            <v>9</v>
          </cell>
          <cell r="B12" t="str">
            <v>USA</v>
          </cell>
          <cell r="C12" t="str">
            <v>KAI 20 M</v>
          </cell>
          <cell r="D12" t="str">
            <v>KAI</v>
          </cell>
          <cell r="E12" t="str">
            <v>N/A</v>
          </cell>
          <cell r="F12">
            <v>40000186</v>
          </cell>
          <cell r="G12">
            <v>1994</v>
          </cell>
          <cell r="H12" t="str">
            <v>Expired</v>
          </cell>
          <cell r="I12" t="str">
            <v>Expired</v>
          </cell>
          <cell r="J12" t="str">
            <v>Yes</v>
          </cell>
          <cell r="K12" t="str">
            <v>No</v>
          </cell>
          <cell r="L12" t="str">
            <v>Service paid by customer</v>
          </cell>
        </row>
        <row r="13">
          <cell r="A13">
            <v>10</v>
          </cell>
          <cell r="B13" t="str">
            <v>USA</v>
          </cell>
          <cell r="C13" t="str">
            <v>KAI-I-M</v>
          </cell>
          <cell r="D13" t="str">
            <v>KAI</v>
          </cell>
          <cell r="E13" t="str">
            <v>N/A</v>
          </cell>
          <cell r="F13">
            <v>40000187</v>
          </cell>
          <cell r="G13" t="str">
            <v>2002 ?</v>
          </cell>
          <cell r="H13" t="str">
            <v>Expired</v>
          </cell>
          <cell r="I13" t="str">
            <v>Expired</v>
          </cell>
          <cell r="J13" t="str">
            <v>Yes</v>
          </cell>
          <cell r="K13" t="str">
            <v>No</v>
          </cell>
          <cell r="L13" t="str">
            <v>Service paid by customer</v>
          </cell>
        </row>
        <row r="14">
          <cell r="A14">
            <v>11</v>
          </cell>
          <cell r="B14" t="str">
            <v>Italy</v>
          </cell>
          <cell r="C14" t="str">
            <v>KAI 1-M</v>
          </cell>
          <cell r="D14" t="str">
            <v>KAI</v>
          </cell>
          <cell r="E14" t="str">
            <v>P/006480</v>
          </cell>
          <cell r="G14" t="str">
            <v>8.6.2004</v>
          </cell>
          <cell r="H14">
            <v>38443</v>
          </cell>
          <cell r="I14">
            <v>38717</v>
          </cell>
          <cell r="J14" t="str">
            <v>Yes</v>
          </cell>
          <cell r="K14" t="str">
            <v>Yes</v>
          </cell>
        </row>
        <row r="15">
          <cell r="A15">
            <v>12</v>
          </cell>
          <cell r="B15" t="str">
            <v>Australia</v>
          </cell>
          <cell r="C15" t="str">
            <v xml:space="preserve">KAI-I-800 </v>
          </cell>
          <cell r="D15" t="str">
            <v>KAI</v>
          </cell>
          <cell r="E15" t="str">
            <v>P/004899</v>
          </cell>
          <cell r="F15">
            <v>10093862</v>
          </cell>
          <cell r="G15">
            <v>37469</v>
          </cell>
          <cell r="H15">
            <v>37514</v>
          </cell>
          <cell r="I15" t="str">
            <v>Expired</v>
          </cell>
          <cell r="J15" t="str">
            <v>Yes</v>
          </cell>
          <cell r="K15" t="str">
            <v>No</v>
          </cell>
          <cell r="L15" t="str">
            <v>Service paid by customer</v>
          </cell>
        </row>
        <row r="16">
          <cell r="B16" t="str">
            <v>Country</v>
          </cell>
          <cell r="C16" t="str">
            <v>System Typ</v>
          </cell>
          <cell r="E16" t="str">
            <v>Project number</v>
          </cell>
          <cell r="F16" t="str">
            <v>Equipment number</v>
          </cell>
          <cell r="G16" t="str">
            <v>Delivery of system</v>
          </cell>
          <cell r="H16" t="str">
            <v>Warranty Start</v>
          </cell>
          <cell r="I16" t="str">
            <v>Warranty End</v>
          </cell>
          <cell r="J16" t="str">
            <v xml:space="preserve">FAT </v>
          </cell>
          <cell r="K16" t="str">
            <v>Warranty</v>
          </cell>
          <cell r="L16" t="str">
            <v>Conditions</v>
          </cell>
        </row>
        <row r="17">
          <cell r="A17">
            <v>1</v>
          </cell>
          <cell r="B17" t="str">
            <v>Taiwan</v>
          </cell>
          <cell r="C17" t="str">
            <v>KAI-I-M</v>
          </cell>
          <cell r="D17" t="str">
            <v>KAI</v>
          </cell>
          <cell r="E17" t="str">
            <v>N/A</v>
          </cell>
          <cell r="F17">
            <v>31000233</v>
          </cell>
          <cell r="G17" t="str">
            <v>1996</v>
          </cell>
          <cell r="H17" t="str">
            <v>Expired</v>
          </cell>
          <cell r="I17" t="str">
            <v>Expired</v>
          </cell>
          <cell r="J17" t="str">
            <v>Yes</v>
          </cell>
          <cell r="K17" t="str">
            <v>No</v>
          </cell>
          <cell r="L17" t="str">
            <v>Service paid by customer</v>
          </cell>
        </row>
        <row r="18">
          <cell r="A18">
            <v>2</v>
          </cell>
          <cell r="B18" t="str">
            <v>Taiwan</v>
          </cell>
          <cell r="C18" t="str">
            <v xml:space="preserve">KAI-IE-400 </v>
          </cell>
          <cell r="D18" t="str">
            <v>KAI</v>
          </cell>
          <cell r="E18" t="str">
            <v>P/000416</v>
          </cell>
          <cell r="F18">
            <v>10044636</v>
          </cell>
          <cell r="G18">
            <v>1997</v>
          </cell>
          <cell r="H18" t="str">
            <v>Expired</v>
          </cell>
          <cell r="I18" t="str">
            <v>Expired</v>
          </cell>
          <cell r="J18" t="str">
            <v>Yes</v>
          </cell>
          <cell r="K18" t="str">
            <v>No</v>
          </cell>
          <cell r="L18" t="str">
            <v>Service paid by customer</v>
          </cell>
        </row>
        <row r="19">
          <cell r="A19">
            <v>3</v>
          </cell>
          <cell r="B19" t="str">
            <v>Taiwan</v>
          </cell>
          <cell r="C19" t="str">
            <v>UNI 700 Cluster</v>
          </cell>
          <cell r="D19" t="str">
            <v>UNI</v>
          </cell>
          <cell r="E19" t="str">
            <v>P/002236</v>
          </cell>
          <cell r="F19">
            <v>10034146</v>
          </cell>
          <cell r="G19">
            <v>2000</v>
          </cell>
          <cell r="H19" t="str">
            <v>Expired</v>
          </cell>
          <cell r="I19" t="str">
            <v>Expired</v>
          </cell>
          <cell r="J19" t="str">
            <v>Yes</v>
          </cell>
          <cell r="K19" t="str">
            <v>No</v>
          </cell>
          <cell r="L19" t="str">
            <v>Service paid by customer</v>
          </cell>
        </row>
        <row r="20">
          <cell r="A20">
            <v>4</v>
          </cell>
          <cell r="B20" t="str">
            <v>Taiwan</v>
          </cell>
          <cell r="C20" t="str">
            <v xml:space="preserve">UNI 800 ECO </v>
          </cell>
          <cell r="D20" t="str">
            <v>UNI</v>
          </cell>
          <cell r="E20" t="str">
            <v>P/004547</v>
          </cell>
          <cell r="F20">
            <v>10084564</v>
          </cell>
          <cell r="G20">
            <v>37320</v>
          </cell>
          <cell r="H20">
            <v>37470</v>
          </cell>
          <cell r="I20" t="str">
            <v>Expired</v>
          </cell>
          <cell r="J20" t="str">
            <v>Yes</v>
          </cell>
          <cell r="K20" t="str">
            <v>No</v>
          </cell>
          <cell r="L20" t="str">
            <v>Service paid by customer</v>
          </cell>
        </row>
        <row r="21">
          <cell r="A21">
            <v>5</v>
          </cell>
          <cell r="B21" t="str">
            <v>Taiwan</v>
          </cell>
          <cell r="C21" t="str">
            <v xml:space="preserve">UNI 800 ECO </v>
          </cell>
          <cell r="D21" t="str">
            <v>UNI</v>
          </cell>
          <cell r="E21" t="str">
            <v>P/004548</v>
          </cell>
          <cell r="F21">
            <v>10084565</v>
          </cell>
          <cell r="G21">
            <v>37320</v>
          </cell>
          <cell r="H21">
            <v>37504</v>
          </cell>
          <cell r="I21" t="str">
            <v>Expired</v>
          </cell>
          <cell r="J21" t="str">
            <v>Yes</v>
          </cell>
          <cell r="K21" t="str">
            <v>No</v>
          </cell>
          <cell r="L21" t="str">
            <v>Service paid by customer</v>
          </cell>
        </row>
        <row r="22">
          <cell r="A22">
            <v>6</v>
          </cell>
          <cell r="B22" t="str">
            <v>Taiwan</v>
          </cell>
          <cell r="C22" t="str">
            <v>KAI 20 L</v>
          </cell>
          <cell r="D22" t="str">
            <v>KAI</v>
          </cell>
          <cell r="E22" t="str">
            <v>P/000250</v>
          </cell>
          <cell r="F22">
            <v>10000206</v>
          </cell>
          <cell r="G22">
            <v>1998</v>
          </cell>
          <cell r="H22" t="str">
            <v>Expired</v>
          </cell>
          <cell r="I22" t="str">
            <v>Expired</v>
          </cell>
          <cell r="J22" t="str">
            <v>Yes</v>
          </cell>
          <cell r="K22" t="str">
            <v>No</v>
          </cell>
          <cell r="L22" t="str">
            <v>Service paid by customer</v>
          </cell>
        </row>
        <row r="23">
          <cell r="A23">
            <v>7</v>
          </cell>
          <cell r="B23" t="str">
            <v>Taiwan</v>
          </cell>
          <cell r="C23" t="str">
            <v>KAI 20 L</v>
          </cell>
          <cell r="D23" t="str">
            <v>KAI</v>
          </cell>
          <cell r="E23" t="str">
            <v>P/000082</v>
          </cell>
          <cell r="F23">
            <v>10000186</v>
          </cell>
          <cell r="G23">
            <v>1999</v>
          </cell>
          <cell r="H23" t="str">
            <v>Expired</v>
          </cell>
          <cell r="I23" t="str">
            <v>Expired</v>
          </cell>
          <cell r="J23" t="str">
            <v>Yes</v>
          </cell>
          <cell r="K23" t="str">
            <v>No</v>
          </cell>
          <cell r="L23" t="str">
            <v>Service paid by customer</v>
          </cell>
        </row>
        <row r="24">
          <cell r="A24">
            <v>8</v>
          </cell>
          <cell r="B24" t="str">
            <v>Taiwan</v>
          </cell>
          <cell r="C24" t="str">
            <v>KAI 20 L</v>
          </cell>
          <cell r="D24" t="str">
            <v>KAI</v>
          </cell>
          <cell r="E24" t="str">
            <v>P/000091</v>
          </cell>
          <cell r="F24">
            <v>10000177</v>
          </cell>
          <cell r="G24">
            <v>1999</v>
          </cell>
          <cell r="H24" t="str">
            <v>Expired</v>
          </cell>
          <cell r="I24" t="str">
            <v>Expired</v>
          </cell>
          <cell r="J24" t="str">
            <v>Yes</v>
          </cell>
          <cell r="K24" t="str">
            <v>No</v>
          </cell>
          <cell r="L24" t="str">
            <v>Service paid by customer</v>
          </cell>
        </row>
        <row r="25">
          <cell r="A25">
            <v>9</v>
          </cell>
          <cell r="B25" t="str">
            <v>Taiwan</v>
          </cell>
          <cell r="C25" t="str">
            <v>KAI 20 L</v>
          </cell>
          <cell r="D25" t="str">
            <v>KAI</v>
          </cell>
          <cell r="E25" t="str">
            <v>P/000097</v>
          </cell>
          <cell r="F25">
            <v>10000182</v>
          </cell>
          <cell r="G25">
            <v>1999</v>
          </cell>
          <cell r="H25" t="str">
            <v>Expired</v>
          </cell>
          <cell r="I25" t="str">
            <v>Expired</v>
          </cell>
          <cell r="J25" t="str">
            <v>Yes</v>
          </cell>
          <cell r="K25" t="str">
            <v>No</v>
          </cell>
          <cell r="L25" t="str">
            <v>Service paid by customer</v>
          </cell>
        </row>
        <row r="26">
          <cell r="A26">
            <v>10</v>
          </cell>
          <cell r="B26" t="str">
            <v>Taiwan</v>
          </cell>
          <cell r="C26" t="str">
            <v>KAI 20 L</v>
          </cell>
          <cell r="D26" t="str">
            <v>KAI</v>
          </cell>
          <cell r="E26" t="str">
            <v>P/000102</v>
          </cell>
          <cell r="F26">
            <v>10000196</v>
          </cell>
          <cell r="G26">
            <v>1999</v>
          </cell>
          <cell r="H26" t="str">
            <v>Expired</v>
          </cell>
          <cell r="I26" t="str">
            <v>Expired</v>
          </cell>
          <cell r="J26" t="str">
            <v>Yes</v>
          </cell>
          <cell r="K26" t="str">
            <v>No</v>
          </cell>
          <cell r="L26" t="str">
            <v>Service paid by customer</v>
          </cell>
        </row>
        <row r="27">
          <cell r="A27">
            <v>11</v>
          </cell>
          <cell r="B27" t="str">
            <v>Taiwan</v>
          </cell>
          <cell r="C27" t="str">
            <v xml:space="preserve">KAI800 </v>
          </cell>
          <cell r="D27" t="str">
            <v>KAI</v>
          </cell>
          <cell r="E27" t="str">
            <v>P/003155</v>
          </cell>
          <cell r="F27">
            <v>10047128</v>
          </cell>
          <cell r="G27">
            <v>36901</v>
          </cell>
          <cell r="H27">
            <v>37286</v>
          </cell>
          <cell r="I27" t="str">
            <v>Expired</v>
          </cell>
          <cell r="J27" t="str">
            <v>Yes</v>
          </cell>
          <cell r="K27" t="str">
            <v>No</v>
          </cell>
          <cell r="L27" t="str">
            <v>Service paid by customer</v>
          </cell>
        </row>
        <row r="28">
          <cell r="A28">
            <v>12</v>
          </cell>
          <cell r="B28" t="str">
            <v>Taiwan</v>
          </cell>
          <cell r="C28" t="str">
            <v xml:space="preserve">KAI800 </v>
          </cell>
          <cell r="D28" t="str">
            <v>KAI</v>
          </cell>
          <cell r="E28" t="str">
            <v>P/003156</v>
          </cell>
          <cell r="F28">
            <v>10047129</v>
          </cell>
          <cell r="G28">
            <v>36943</v>
          </cell>
          <cell r="H28" t="str">
            <v>10. 08. 01</v>
          </cell>
          <cell r="I28" t="str">
            <v>Expired</v>
          </cell>
          <cell r="J28" t="str">
            <v>Yes</v>
          </cell>
          <cell r="K28" t="str">
            <v>No</v>
          </cell>
          <cell r="L28" t="str">
            <v>Service paid by customer</v>
          </cell>
        </row>
        <row r="29">
          <cell r="A29">
            <v>13</v>
          </cell>
          <cell r="B29" t="str">
            <v>Taiwan</v>
          </cell>
          <cell r="C29" t="str">
            <v xml:space="preserve">KAI800 </v>
          </cell>
          <cell r="D29" t="str">
            <v>KAI</v>
          </cell>
          <cell r="E29" t="str">
            <v>P/003157</v>
          </cell>
          <cell r="F29">
            <v>10047130</v>
          </cell>
          <cell r="G29">
            <v>36957</v>
          </cell>
          <cell r="H29">
            <v>37286</v>
          </cell>
          <cell r="I29" t="str">
            <v>Expired</v>
          </cell>
          <cell r="J29" t="str">
            <v>Yes</v>
          </cell>
          <cell r="K29" t="str">
            <v>No</v>
          </cell>
          <cell r="L29" t="str">
            <v>Service paid by customer</v>
          </cell>
        </row>
        <row r="30">
          <cell r="A30">
            <v>14</v>
          </cell>
          <cell r="B30" t="str">
            <v>Taiwan</v>
          </cell>
          <cell r="C30" t="str">
            <v xml:space="preserve">KAI800 </v>
          </cell>
          <cell r="D30" t="str">
            <v>KAI</v>
          </cell>
          <cell r="E30" t="str">
            <v xml:space="preserve">P/003158 </v>
          </cell>
          <cell r="F30">
            <v>10047131</v>
          </cell>
          <cell r="G30">
            <v>36977</v>
          </cell>
          <cell r="H30">
            <v>37286</v>
          </cell>
          <cell r="I30" t="str">
            <v>Expired</v>
          </cell>
          <cell r="J30" t="str">
            <v>Yes</v>
          </cell>
          <cell r="K30" t="str">
            <v>No</v>
          </cell>
          <cell r="L30" t="str">
            <v>Service paid by customer</v>
          </cell>
        </row>
        <row r="31">
          <cell r="A31">
            <v>15</v>
          </cell>
          <cell r="B31" t="str">
            <v>Taiwan</v>
          </cell>
          <cell r="C31" t="str">
            <v xml:space="preserve">KAI800 </v>
          </cell>
          <cell r="D31" t="str">
            <v>KAI</v>
          </cell>
          <cell r="E31" t="str">
            <v xml:space="preserve">P/003570 </v>
          </cell>
          <cell r="F31">
            <v>10055584</v>
          </cell>
          <cell r="G31">
            <v>37006</v>
          </cell>
          <cell r="H31">
            <v>37286</v>
          </cell>
          <cell r="I31" t="str">
            <v>Expired</v>
          </cell>
          <cell r="J31" t="str">
            <v>Yes</v>
          </cell>
          <cell r="K31" t="str">
            <v>No</v>
          </cell>
          <cell r="L31" t="str">
            <v>Service paid by customer</v>
          </cell>
        </row>
        <row r="32">
          <cell r="A32">
            <v>16</v>
          </cell>
          <cell r="B32" t="str">
            <v>Taiwan</v>
          </cell>
          <cell r="C32" t="str">
            <v xml:space="preserve">KAI800 </v>
          </cell>
          <cell r="D32" t="str">
            <v>KAI</v>
          </cell>
          <cell r="E32" t="str">
            <v>P/001682</v>
          </cell>
          <cell r="F32">
            <v>10045103</v>
          </cell>
          <cell r="G32">
            <v>36987</v>
          </cell>
          <cell r="H32">
            <v>37286</v>
          </cell>
          <cell r="I32" t="str">
            <v>Expired</v>
          </cell>
          <cell r="J32" t="str">
            <v>Yes</v>
          </cell>
          <cell r="K32" t="str">
            <v>No</v>
          </cell>
          <cell r="L32" t="str">
            <v>Service paid by customer</v>
          </cell>
        </row>
        <row r="33">
          <cell r="A33">
            <v>17</v>
          </cell>
          <cell r="B33" t="str">
            <v>Taiwan</v>
          </cell>
          <cell r="C33" t="str">
            <v>UNI 800 ECO</v>
          </cell>
          <cell r="D33" t="str">
            <v>UNI</v>
          </cell>
          <cell r="E33" t="str">
            <v>P/005253</v>
          </cell>
          <cell r="F33">
            <v>10100011</v>
          </cell>
          <cell r="G33">
            <v>37551</v>
          </cell>
          <cell r="H33">
            <v>37742</v>
          </cell>
          <cell r="I33">
            <v>38107</v>
          </cell>
          <cell r="J33" t="str">
            <v>Yes</v>
          </cell>
          <cell r="K33" t="str">
            <v>No</v>
          </cell>
          <cell r="L33" t="str">
            <v>Service paid by customer</v>
          </cell>
          <cell r="M33">
            <v>12.166666666666666</v>
          </cell>
        </row>
        <row r="34">
          <cell r="A34">
            <v>19</v>
          </cell>
          <cell r="B34" t="str">
            <v>Taiwan</v>
          </cell>
          <cell r="C34" t="str">
            <v xml:space="preserve">KAI 800 </v>
          </cell>
          <cell r="D34" t="str">
            <v>KAI</v>
          </cell>
          <cell r="E34" t="str">
            <v>P/005243</v>
          </cell>
          <cell r="F34">
            <v>10097996</v>
          </cell>
          <cell r="G34">
            <v>37676</v>
          </cell>
          <cell r="H34">
            <v>37834</v>
          </cell>
          <cell r="I34">
            <v>38200</v>
          </cell>
          <cell r="J34" t="str">
            <v>Yes</v>
          </cell>
          <cell r="K34" t="str">
            <v>No</v>
          </cell>
          <cell r="L34" t="str">
            <v>Service paid by customer</v>
          </cell>
          <cell r="M34">
            <v>12.2</v>
          </cell>
        </row>
        <row r="35">
          <cell r="A35">
            <v>20</v>
          </cell>
          <cell r="B35" t="str">
            <v>Taiwan</v>
          </cell>
          <cell r="C35" t="str">
            <v xml:space="preserve">KAI 800 </v>
          </cell>
          <cell r="D35" t="str">
            <v>KAI</v>
          </cell>
          <cell r="E35" t="str">
            <v>P/005244</v>
          </cell>
          <cell r="F35">
            <v>10097997</v>
          </cell>
          <cell r="G35">
            <v>37683</v>
          </cell>
          <cell r="H35">
            <v>37909</v>
          </cell>
          <cell r="I35">
            <v>38233</v>
          </cell>
          <cell r="J35" t="str">
            <v>Yes</v>
          </cell>
          <cell r="K35" t="str">
            <v>No</v>
          </cell>
          <cell r="L35" t="str">
            <v>Service paid by customer</v>
          </cell>
          <cell r="M35">
            <v>10.8</v>
          </cell>
        </row>
        <row r="36">
          <cell r="A36">
            <v>21</v>
          </cell>
          <cell r="B36" t="str">
            <v>Taiwan</v>
          </cell>
          <cell r="C36" t="str">
            <v xml:space="preserve">KAI 800 </v>
          </cell>
          <cell r="D36" t="str">
            <v>KAI</v>
          </cell>
          <cell r="E36" t="str">
            <v>P/005245</v>
          </cell>
          <cell r="F36">
            <v>10097998</v>
          </cell>
          <cell r="G36">
            <v>37697</v>
          </cell>
          <cell r="H36">
            <v>38138</v>
          </cell>
          <cell r="I36">
            <v>38247</v>
          </cell>
          <cell r="J36" t="str">
            <v>Yes</v>
          </cell>
          <cell r="K36" t="str">
            <v>No</v>
          </cell>
          <cell r="L36" t="str">
            <v>Service paid by customer</v>
          </cell>
          <cell r="M36">
            <v>3.6333333333333333</v>
          </cell>
        </row>
        <row r="37">
          <cell r="A37">
            <v>22</v>
          </cell>
          <cell r="B37" t="str">
            <v>Taiwan</v>
          </cell>
          <cell r="C37" t="str">
            <v xml:space="preserve">KAI 800 </v>
          </cell>
          <cell r="D37" t="str">
            <v>KAI</v>
          </cell>
          <cell r="E37" t="str">
            <v>P/005246</v>
          </cell>
          <cell r="F37">
            <v>10097999</v>
          </cell>
          <cell r="G37">
            <v>37711</v>
          </cell>
          <cell r="H37">
            <v>38138</v>
          </cell>
          <cell r="I37">
            <v>38260</v>
          </cell>
          <cell r="J37" t="str">
            <v>Yes</v>
          </cell>
          <cell r="K37" t="str">
            <v>No</v>
          </cell>
          <cell r="L37" t="str">
            <v>Service paid by customer</v>
          </cell>
          <cell r="M37">
            <v>4.0666666666666664</v>
          </cell>
        </row>
        <row r="38">
          <cell r="A38">
            <v>23</v>
          </cell>
          <cell r="B38" t="str">
            <v>Taiwan</v>
          </cell>
          <cell r="C38" t="str">
            <v xml:space="preserve">KAI 800 </v>
          </cell>
          <cell r="D38" t="str">
            <v>KAI</v>
          </cell>
          <cell r="E38" t="str">
            <v>P/005247</v>
          </cell>
          <cell r="F38">
            <v>10098000</v>
          </cell>
          <cell r="G38">
            <v>37718</v>
          </cell>
          <cell r="H38">
            <v>38138</v>
          </cell>
          <cell r="I38">
            <v>38267</v>
          </cell>
          <cell r="J38" t="str">
            <v>Yes</v>
          </cell>
          <cell r="K38" t="str">
            <v>No</v>
          </cell>
          <cell r="L38" t="str">
            <v>Service paid by customer</v>
          </cell>
          <cell r="M38">
            <v>4.3</v>
          </cell>
        </row>
        <row r="39">
          <cell r="A39">
            <v>24</v>
          </cell>
          <cell r="B39" t="str">
            <v>Taiwan</v>
          </cell>
          <cell r="C39" t="str">
            <v xml:space="preserve">KAI 800 </v>
          </cell>
          <cell r="D39" t="str">
            <v>KAI</v>
          </cell>
          <cell r="E39" t="str">
            <v>P/005248</v>
          </cell>
          <cell r="F39">
            <v>10098001</v>
          </cell>
          <cell r="G39">
            <v>37725</v>
          </cell>
          <cell r="H39">
            <v>38138</v>
          </cell>
          <cell r="I39">
            <v>38274</v>
          </cell>
          <cell r="J39" t="str">
            <v>Yes</v>
          </cell>
          <cell r="K39" t="str">
            <v>No</v>
          </cell>
          <cell r="L39" t="str">
            <v>Service paid by customer</v>
          </cell>
          <cell r="M39">
            <v>4.5333333333333332</v>
          </cell>
        </row>
        <row r="40">
          <cell r="A40">
            <v>18</v>
          </cell>
          <cell r="B40" t="str">
            <v>Taiwan</v>
          </cell>
          <cell r="C40" t="str">
            <v xml:space="preserve">KAI 800 </v>
          </cell>
          <cell r="D40" t="str">
            <v>KAI</v>
          </cell>
          <cell r="E40" t="str">
            <v>P/005199</v>
          </cell>
          <cell r="F40">
            <v>10097994</v>
          </cell>
          <cell r="G40">
            <v>37739</v>
          </cell>
          <cell r="H40">
            <v>37834</v>
          </cell>
          <cell r="I40">
            <v>38288</v>
          </cell>
          <cell r="J40" t="str">
            <v>Yes</v>
          </cell>
          <cell r="K40" t="str">
            <v>No</v>
          </cell>
          <cell r="L40" t="str">
            <v>Service paid by customer</v>
          </cell>
          <cell r="M40">
            <v>15.133333333333333</v>
          </cell>
        </row>
        <row r="41">
          <cell r="A41">
            <v>25</v>
          </cell>
          <cell r="B41" t="str">
            <v>Taiwan</v>
          </cell>
          <cell r="C41" t="str">
            <v xml:space="preserve">KAI 800 </v>
          </cell>
          <cell r="D41" t="str">
            <v>KAI</v>
          </cell>
          <cell r="E41" t="str">
            <v>P/006519</v>
          </cell>
          <cell r="F41">
            <v>10131447</v>
          </cell>
          <cell r="G41">
            <v>38151</v>
          </cell>
          <cell r="H41">
            <v>38441</v>
          </cell>
          <cell r="I41">
            <v>38806</v>
          </cell>
          <cell r="J41" t="str">
            <v>Yes</v>
          </cell>
          <cell r="K41" t="str">
            <v>Yes</v>
          </cell>
          <cell r="M41">
            <v>12.166666666666666</v>
          </cell>
        </row>
        <row r="42">
          <cell r="A42">
            <v>26</v>
          </cell>
          <cell r="B42" t="str">
            <v>Taiwan</v>
          </cell>
          <cell r="C42" t="str">
            <v xml:space="preserve">KAI 800 </v>
          </cell>
          <cell r="D42" t="str">
            <v>KAI</v>
          </cell>
          <cell r="E42" t="str">
            <v>P/006570</v>
          </cell>
          <cell r="F42">
            <v>10132467</v>
          </cell>
          <cell r="G42">
            <v>38292</v>
          </cell>
          <cell r="H42">
            <v>38504</v>
          </cell>
          <cell r="I42">
            <v>38869</v>
          </cell>
          <cell r="J42" t="str">
            <v>not yet</v>
          </cell>
          <cell r="K42" t="str">
            <v>not yet</v>
          </cell>
          <cell r="L42" t="str">
            <v xml:space="preserve">Installation </v>
          </cell>
          <cell r="M42">
            <v>12.166666666666666</v>
          </cell>
          <cell r="N42" t="str">
            <v>Target</v>
          </cell>
        </row>
        <row r="43">
          <cell r="A43">
            <v>27</v>
          </cell>
          <cell r="B43" t="str">
            <v>Taiwan</v>
          </cell>
          <cell r="C43" t="str">
            <v xml:space="preserve">KAI 800 </v>
          </cell>
          <cell r="D43" t="str">
            <v>KAI</v>
          </cell>
          <cell r="E43" t="str">
            <v>P/006571</v>
          </cell>
          <cell r="F43">
            <v>10132468</v>
          </cell>
          <cell r="G43">
            <v>38300</v>
          </cell>
          <cell r="H43">
            <v>38504</v>
          </cell>
          <cell r="I43">
            <v>38869</v>
          </cell>
          <cell r="J43" t="str">
            <v>not yet</v>
          </cell>
          <cell r="K43" t="str">
            <v>not yet</v>
          </cell>
          <cell r="L43" t="str">
            <v xml:space="preserve">Installation </v>
          </cell>
          <cell r="M43">
            <v>12.166666666666666</v>
          </cell>
          <cell r="N43" t="str">
            <v>Target</v>
          </cell>
        </row>
        <row r="44">
          <cell r="A44">
            <v>28</v>
          </cell>
          <cell r="B44" t="str">
            <v>Taiwan</v>
          </cell>
          <cell r="C44" t="str">
            <v xml:space="preserve">KAI 800 </v>
          </cell>
          <cell r="D44" t="str">
            <v>KAI</v>
          </cell>
          <cell r="E44" t="str">
            <v>P/006572</v>
          </cell>
          <cell r="F44">
            <v>10132469</v>
          </cell>
          <cell r="G44">
            <v>38308</v>
          </cell>
          <cell r="H44">
            <v>38504</v>
          </cell>
          <cell r="I44">
            <v>38869</v>
          </cell>
          <cell r="J44" t="str">
            <v>not yet</v>
          </cell>
          <cell r="K44" t="str">
            <v>not yet</v>
          </cell>
          <cell r="L44" t="str">
            <v xml:space="preserve">Installation </v>
          </cell>
          <cell r="M44">
            <v>12.166666666666666</v>
          </cell>
          <cell r="N44" t="str">
            <v>Target</v>
          </cell>
        </row>
        <row r="45">
          <cell r="A45">
            <v>29</v>
          </cell>
          <cell r="B45" t="str">
            <v>Taiwan</v>
          </cell>
          <cell r="C45" t="str">
            <v xml:space="preserve">KAI 800 </v>
          </cell>
          <cell r="D45" t="str">
            <v>KAI</v>
          </cell>
          <cell r="E45" t="str">
            <v>P/006573</v>
          </cell>
          <cell r="F45">
            <v>10132470</v>
          </cell>
          <cell r="G45">
            <v>38314</v>
          </cell>
          <cell r="H45">
            <v>38504</v>
          </cell>
          <cell r="I45">
            <v>38869</v>
          </cell>
          <cell r="J45" t="str">
            <v>not yet</v>
          </cell>
          <cell r="K45" t="str">
            <v>not yet</v>
          </cell>
          <cell r="L45" t="str">
            <v xml:space="preserve">Installation </v>
          </cell>
          <cell r="M45">
            <v>12.166666666666666</v>
          </cell>
          <cell r="N45" t="str">
            <v>Target</v>
          </cell>
        </row>
        <row r="46">
          <cell r="A46">
            <v>30</v>
          </cell>
          <cell r="B46" t="str">
            <v>Taiwan</v>
          </cell>
          <cell r="C46" t="str">
            <v xml:space="preserve">KAI 800 </v>
          </cell>
          <cell r="D46" t="str">
            <v>KAI</v>
          </cell>
          <cell r="E46" t="str">
            <v>P/006574</v>
          </cell>
          <cell r="F46">
            <v>10132471</v>
          </cell>
          <cell r="G46">
            <v>38321</v>
          </cell>
          <cell r="H46">
            <v>38504</v>
          </cell>
          <cell r="I46">
            <v>38869</v>
          </cell>
          <cell r="J46" t="str">
            <v>not yet</v>
          </cell>
          <cell r="K46" t="str">
            <v>not yet</v>
          </cell>
          <cell r="L46" t="str">
            <v xml:space="preserve">Installation </v>
          </cell>
          <cell r="M46">
            <v>12.166666666666666</v>
          </cell>
          <cell r="N46" t="str">
            <v>Target</v>
          </cell>
        </row>
        <row r="47">
          <cell r="A47">
            <v>31</v>
          </cell>
          <cell r="B47" t="str">
            <v>Taiwan</v>
          </cell>
          <cell r="C47" t="str">
            <v xml:space="preserve">KAI 800 </v>
          </cell>
          <cell r="D47" t="str">
            <v>KAI</v>
          </cell>
          <cell r="E47" t="str">
            <v>P/006575</v>
          </cell>
          <cell r="F47">
            <v>10132472</v>
          </cell>
          <cell r="G47">
            <v>38328</v>
          </cell>
          <cell r="H47">
            <v>38504</v>
          </cell>
          <cell r="I47">
            <v>38869</v>
          </cell>
          <cell r="J47" t="str">
            <v>not yet</v>
          </cell>
          <cell r="K47" t="str">
            <v>not yet</v>
          </cell>
          <cell r="L47" t="str">
            <v xml:space="preserve">Installation </v>
          </cell>
          <cell r="M47">
            <v>12.166666666666666</v>
          </cell>
          <cell r="N47" t="str">
            <v>Target</v>
          </cell>
        </row>
        <row r="48">
          <cell r="A48">
            <v>32</v>
          </cell>
          <cell r="B48" t="str">
            <v>Taiwan</v>
          </cell>
          <cell r="C48" t="str">
            <v xml:space="preserve">KAI 800 </v>
          </cell>
          <cell r="D48" t="str">
            <v>KAI</v>
          </cell>
          <cell r="E48" t="str">
            <v>P/006576</v>
          </cell>
          <cell r="F48">
            <v>10132473</v>
          </cell>
          <cell r="G48">
            <v>38336</v>
          </cell>
          <cell r="H48">
            <v>38504</v>
          </cell>
          <cell r="I48">
            <v>38869</v>
          </cell>
          <cell r="J48" t="str">
            <v>not yet</v>
          </cell>
          <cell r="K48" t="str">
            <v>not yet</v>
          </cell>
          <cell r="L48" t="str">
            <v xml:space="preserve">Installation </v>
          </cell>
          <cell r="M48">
            <v>12.166666666666666</v>
          </cell>
          <cell r="N48" t="str">
            <v>Target</v>
          </cell>
        </row>
        <row r="49">
          <cell r="A49">
            <v>33</v>
          </cell>
          <cell r="B49" t="str">
            <v>Taiwan</v>
          </cell>
          <cell r="C49" t="str">
            <v>KAI 20 XL</v>
          </cell>
          <cell r="D49" t="str">
            <v>KAI</v>
          </cell>
          <cell r="E49" t="str">
            <v>P/000105</v>
          </cell>
          <cell r="F49">
            <v>10001846</v>
          </cell>
          <cell r="G49">
            <v>36312</v>
          </cell>
          <cell r="H49">
            <v>36492</v>
          </cell>
          <cell r="I49" t="str">
            <v>Expired</v>
          </cell>
          <cell r="J49" t="str">
            <v>Yes</v>
          </cell>
          <cell r="K49" t="str">
            <v>No</v>
          </cell>
          <cell r="L49" t="str">
            <v>Service paid by customer</v>
          </cell>
        </row>
        <row r="50">
          <cell r="A50">
            <v>34</v>
          </cell>
          <cell r="B50" t="str">
            <v>Taiwan</v>
          </cell>
          <cell r="C50" t="str">
            <v>KAI 20 XL</v>
          </cell>
          <cell r="D50" t="str">
            <v>KAI</v>
          </cell>
          <cell r="E50" t="str">
            <v>P/001523</v>
          </cell>
          <cell r="F50">
            <v>10014050</v>
          </cell>
          <cell r="G50">
            <v>36678</v>
          </cell>
          <cell r="H50">
            <v>37623</v>
          </cell>
          <cell r="I50">
            <v>38453</v>
          </cell>
          <cell r="J50" t="str">
            <v>Yes</v>
          </cell>
          <cell r="K50" t="str">
            <v>No</v>
          </cell>
          <cell r="L50" t="str">
            <v>Service paid by customer</v>
          </cell>
          <cell r="M50">
            <v>27.666666666666668</v>
          </cell>
        </row>
        <row r="51">
          <cell r="A51">
            <v>35</v>
          </cell>
          <cell r="B51" t="str">
            <v>Taiwan</v>
          </cell>
          <cell r="C51" t="str">
            <v>KAI 20 XL</v>
          </cell>
          <cell r="D51" t="str">
            <v>KAI</v>
          </cell>
          <cell r="E51" t="str">
            <v>P/005463</v>
          </cell>
          <cell r="F51">
            <v>10103035</v>
          </cell>
          <cell r="G51">
            <v>37622</v>
          </cell>
          <cell r="H51">
            <v>37622</v>
          </cell>
          <cell r="I51">
            <v>38275</v>
          </cell>
          <cell r="J51" t="str">
            <v>Yes</v>
          </cell>
          <cell r="K51" t="str">
            <v>No</v>
          </cell>
          <cell r="L51" t="str">
            <v>Service paid by customer</v>
          </cell>
          <cell r="M51">
            <v>21.766666666666666</v>
          </cell>
        </row>
        <row r="52">
          <cell r="A52">
            <v>36</v>
          </cell>
          <cell r="B52" t="str">
            <v>Taiwan</v>
          </cell>
          <cell r="C52" t="str">
            <v xml:space="preserve">KAI 800 </v>
          </cell>
          <cell r="D52" t="str">
            <v>KAI</v>
          </cell>
          <cell r="E52" t="str">
            <v xml:space="preserve">P/003693 </v>
          </cell>
          <cell r="F52">
            <v>10059702</v>
          </cell>
          <cell r="G52">
            <v>37048</v>
          </cell>
          <cell r="H52">
            <v>37712</v>
          </cell>
          <cell r="I52">
            <v>38453</v>
          </cell>
          <cell r="J52" t="str">
            <v>Yes</v>
          </cell>
          <cell r="K52" t="str">
            <v>No</v>
          </cell>
          <cell r="L52" t="str">
            <v>Only Pins</v>
          </cell>
          <cell r="M52">
            <v>24.7</v>
          </cell>
        </row>
        <row r="53">
          <cell r="A53">
            <v>37</v>
          </cell>
          <cell r="B53" t="str">
            <v>Taiwan</v>
          </cell>
          <cell r="C53" t="str">
            <v xml:space="preserve">KAI 800 </v>
          </cell>
          <cell r="D53" t="str">
            <v>KAI</v>
          </cell>
          <cell r="E53" t="str">
            <v>P/003694</v>
          </cell>
          <cell r="F53">
            <v>10059703</v>
          </cell>
          <cell r="G53">
            <v>37149</v>
          </cell>
          <cell r="H53">
            <v>37911</v>
          </cell>
          <cell r="I53">
            <v>38277</v>
          </cell>
          <cell r="J53" t="str">
            <v>Yes</v>
          </cell>
          <cell r="K53" t="str">
            <v>No</v>
          </cell>
          <cell r="L53" t="str">
            <v>Only Pins&amp;RF</v>
          </cell>
          <cell r="M53">
            <v>12.2</v>
          </cell>
        </row>
        <row r="54">
          <cell r="A54">
            <v>38</v>
          </cell>
          <cell r="B54" t="str">
            <v>Taiwan</v>
          </cell>
          <cell r="C54" t="str">
            <v>KAI 1200</v>
          </cell>
          <cell r="D54" t="str">
            <v>KAI</v>
          </cell>
          <cell r="E54" t="str">
            <v>P/005465</v>
          </cell>
          <cell r="F54">
            <v>10103895</v>
          </cell>
          <cell r="G54">
            <v>37823</v>
          </cell>
          <cell r="H54">
            <v>38310</v>
          </cell>
          <cell r="I54">
            <v>38430</v>
          </cell>
          <cell r="J54" t="str">
            <v>Yes</v>
          </cell>
          <cell r="K54" t="str">
            <v>Yes</v>
          </cell>
          <cell r="M54">
            <v>4</v>
          </cell>
        </row>
        <row r="55">
          <cell r="A55">
            <v>39</v>
          </cell>
          <cell r="B55" t="str">
            <v>Taiwan</v>
          </cell>
          <cell r="C55" t="str">
            <v>KAI 1200</v>
          </cell>
          <cell r="D55" t="str">
            <v>KAI</v>
          </cell>
          <cell r="E55" t="str">
            <v>P/006232</v>
          </cell>
          <cell r="F55">
            <v>10126470</v>
          </cell>
          <cell r="G55">
            <v>38038</v>
          </cell>
          <cell r="H55">
            <v>38473</v>
          </cell>
          <cell r="I55">
            <v>38838</v>
          </cell>
          <cell r="J55" t="str">
            <v>not yet</v>
          </cell>
          <cell r="K55" t="str">
            <v>Not Yet</v>
          </cell>
          <cell r="L55" t="str">
            <v xml:space="preserve">Installation </v>
          </cell>
          <cell r="M55">
            <v>12.166666666666666</v>
          </cell>
          <cell r="N55" t="str">
            <v>Target</v>
          </cell>
        </row>
        <row r="56">
          <cell r="A56">
            <v>40</v>
          </cell>
          <cell r="B56" t="str">
            <v>Taiwan</v>
          </cell>
          <cell r="C56" t="str">
            <v>KAI 1200</v>
          </cell>
          <cell r="D56" t="str">
            <v>KAI</v>
          </cell>
          <cell r="E56" t="str">
            <v>P/006233</v>
          </cell>
          <cell r="F56">
            <v>10126471</v>
          </cell>
          <cell r="G56">
            <v>38045</v>
          </cell>
          <cell r="H56">
            <v>38473</v>
          </cell>
          <cell r="I56">
            <v>38838</v>
          </cell>
          <cell r="J56" t="str">
            <v>not yet</v>
          </cell>
          <cell r="K56" t="str">
            <v>Not Yet</v>
          </cell>
          <cell r="L56" t="str">
            <v xml:space="preserve">Installation </v>
          </cell>
          <cell r="M56">
            <v>12.166666666666666</v>
          </cell>
          <cell r="N56" t="str">
            <v>Target</v>
          </cell>
        </row>
        <row r="57">
          <cell r="A57">
            <v>41</v>
          </cell>
          <cell r="B57" t="str">
            <v>Taiwan</v>
          </cell>
          <cell r="C57" t="str">
            <v>KAI 1200</v>
          </cell>
          <cell r="D57" t="str">
            <v>KAI</v>
          </cell>
          <cell r="E57" t="str">
            <v>P/005349</v>
          </cell>
          <cell r="F57">
            <v>10108865</v>
          </cell>
          <cell r="G57">
            <v>37849</v>
          </cell>
          <cell r="H57">
            <v>38441</v>
          </cell>
          <cell r="I57">
            <v>38806</v>
          </cell>
          <cell r="J57" t="str">
            <v>Yes</v>
          </cell>
          <cell r="K57" t="str">
            <v>Yes</v>
          </cell>
          <cell r="M57">
            <v>12.166666666666666</v>
          </cell>
        </row>
        <row r="58">
          <cell r="A58">
            <v>42</v>
          </cell>
          <cell r="B58" t="str">
            <v>Taiwan</v>
          </cell>
          <cell r="C58" t="str">
            <v>KAI 1200</v>
          </cell>
          <cell r="D58" t="str">
            <v>KAI</v>
          </cell>
          <cell r="E58" t="str">
            <v>P/006226</v>
          </cell>
          <cell r="F58">
            <v>10126249</v>
          </cell>
          <cell r="G58">
            <v>38152</v>
          </cell>
          <cell r="H58">
            <v>38596</v>
          </cell>
          <cell r="I58">
            <v>38961</v>
          </cell>
          <cell r="J58" t="str">
            <v>not yet</v>
          </cell>
          <cell r="K58" t="str">
            <v>Not Yet</v>
          </cell>
          <cell r="L58" t="str">
            <v xml:space="preserve">Installation </v>
          </cell>
          <cell r="M58">
            <v>12.166666666666666</v>
          </cell>
          <cell r="N58" t="str">
            <v>Target</v>
          </cell>
        </row>
        <row r="59">
          <cell r="A59">
            <v>43</v>
          </cell>
          <cell r="B59" t="str">
            <v>Taiwan</v>
          </cell>
          <cell r="C59" t="str">
            <v>KAI 1200</v>
          </cell>
          <cell r="D59" t="str">
            <v>KAI</v>
          </cell>
          <cell r="E59" t="str">
            <v>P/006227</v>
          </cell>
          <cell r="F59">
            <v>10126250</v>
          </cell>
          <cell r="G59">
            <v>38194</v>
          </cell>
          <cell r="H59">
            <v>38596</v>
          </cell>
          <cell r="I59">
            <v>38961</v>
          </cell>
          <cell r="J59" t="str">
            <v>not yet</v>
          </cell>
          <cell r="K59" t="str">
            <v>Not Yet</v>
          </cell>
          <cell r="L59" t="str">
            <v xml:space="preserve">Installation </v>
          </cell>
          <cell r="M59">
            <v>12.166666666666666</v>
          </cell>
          <cell r="N59" t="str">
            <v>Target</v>
          </cell>
        </row>
        <row r="60">
          <cell r="A60">
            <v>44</v>
          </cell>
          <cell r="B60" t="str">
            <v>Taiwan</v>
          </cell>
          <cell r="C60" t="str">
            <v>KAI 2500</v>
          </cell>
          <cell r="D60" t="str">
            <v>KAI</v>
          </cell>
          <cell r="E60" t="str">
            <v>P/6740</v>
          </cell>
          <cell r="G60">
            <v>38313</v>
          </cell>
          <cell r="H60">
            <v>38687</v>
          </cell>
          <cell r="I60">
            <v>39052</v>
          </cell>
          <cell r="J60" t="str">
            <v>not yet</v>
          </cell>
          <cell r="K60" t="str">
            <v>Not Yet</v>
          </cell>
          <cell r="L60" t="str">
            <v xml:space="preserve">Installation </v>
          </cell>
          <cell r="M60">
            <v>12.166666666666666</v>
          </cell>
          <cell r="N60" t="str">
            <v>Target</v>
          </cell>
        </row>
        <row r="61">
          <cell r="A61">
            <v>45</v>
          </cell>
          <cell r="B61" t="str">
            <v>Taiwan</v>
          </cell>
          <cell r="C61" t="str">
            <v>KAI 2500</v>
          </cell>
          <cell r="D61" t="str">
            <v>KAI</v>
          </cell>
          <cell r="E61" t="str">
            <v>P/6741</v>
          </cell>
          <cell r="G61">
            <v>38331</v>
          </cell>
          <cell r="H61">
            <v>38687</v>
          </cell>
          <cell r="I61">
            <v>39052</v>
          </cell>
          <cell r="J61" t="str">
            <v>not yet</v>
          </cell>
          <cell r="K61" t="str">
            <v>Not Yet</v>
          </cell>
          <cell r="L61" t="str">
            <v xml:space="preserve">Installation </v>
          </cell>
          <cell r="M61">
            <v>12.166666666666666</v>
          </cell>
          <cell r="N61" t="str">
            <v>Target</v>
          </cell>
        </row>
        <row r="62">
          <cell r="A62">
            <v>46</v>
          </cell>
          <cell r="B62" t="str">
            <v>Taiwan</v>
          </cell>
          <cell r="C62" t="str">
            <v>UNI 2500</v>
          </cell>
          <cell r="D62" t="str">
            <v>UNI</v>
          </cell>
          <cell r="E62" t="str">
            <v>P/6742</v>
          </cell>
          <cell r="G62">
            <v>38316</v>
          </cell>
          <cell r="H62">
            <v>38534</v>
          </cell>
          <cell r="I62">
            <v>38899</v>
          </cell>
          <cell r="J62" t="str">
            <v>not yet</v>
          </cell>
          <cell r="K62" t="str">
            <v>Not Yet</v>
          </cell>
          <cell r="L62" t="str">
            <v xml:space="preserve">Installation </v>
          </cell>
          <cell r="M62">
            <v>12.166666666666666</v>
          </cell>
          <cell r="N62" t="str">
            <v>Target</v>
          </cell>
        </row>
        <row r="63">
          <cell r="A63">
            <v>47</v>
          </cell>
          <cell r="B63" t="str">
            <v>Taiwan</v>
          </cell>
          <cell r="C63" t="str">
            <v>UNI 2500</v>
          </cell>
          <cell r="D63" t="str">
            <v>UNI</v>
          </cell>
          <cell r="E63" t="str">
            <v>P/6743</v>
          </cell>
          <cell r="G63">
            <v>38321</v>
          </cell>
          <cell r="H63">
            <v>38687</v>
          </cell>
          <cell r="I63">
            <v>39052</v>
          </cell>
          <cell r="J63" t="str">
            <v>not yet</v>
          </cell>
          <cell r="K63" t="str">
            <v>Not Yet</v>
          </cell>
          <cell r="L63" t="str">
            <v xml:space="preserve">Installation </v>
          </cell>
          <cell r="M63">
            <v>12.166666666666666</v>
          </cell>
          <cell r="N63" t="str">
            <v>Target</v>
          </cell>
        </row>
        <row r="64">
          <cell r="A64">
            <v>48</v>
          </cell>
          <cell r="B64" t="str">
            <v>Taiwan</v>
          </cell>
          <cell r="C64" t="str">
            <v>UNI 2500</v>
          </cell>
          <cell r="D64" t="str">
            <v>UNI</v>
          </cell>
          <cell r="G64">
            <v>38479</v>
          </cell>
          <cell r="H64">
            <v>38626</v>
          </cell>
          <cell r="I64">
            <v>38991</v>
          </cell>
          <cell r="J64" t="str">
            <v>not yet</v>
          </cell>
          <cell r="K64" t="str">
            <v>Not Yet</v>
          </cell>
          <cell r="L64" t="str">
            <v>PO</v>
          </cell>
          <cell r="N64" t="str">
            <v>Target</v>
          </cell>
        </row>
        <row r="65">
          <cell r="B65" t="str">
            <v>Country</v>
          </cell>
          <cell r="C65" t="str">
            <v>System Typ</v>
          </cell>
          <cell r="E65" t="str">
            <v>Project number</v>
          </cell>
          <cell r="F65" t="str">
            <v>Equipment number</v>
          </cell>
          <cell r="G65" t="str">
            <v>Delivery of system</v>
          </cell>
          <cell r="H65" t="str">
            <v>Warranty Start</v>
          </cell>
          <cell r="I65" t="str">
            <v>Warranty End</v>
          </cell>
          <cell r="J65" t="str">
            <v xml:space="preserve">FAT </v>
          </cell>
          <cell r="K65" t="str">
            <v>Warranty</v>
          </cell>
          <cell r="L65" t="str">
            <v>Conditions</v>
          </cell>
          <cell r="M65" t="str">
            <v>Duration</v>
          </cell>
        </row>
        <row r="66">
          <cell r="A66">
            <v>1</v>
          </cell>
          <cell r="B66" t="str">
            <v>Mainland China</v>
          </cell>
          <cell r="C66" t="str">
            <v>KAI 1200</v>
          </cell>
          <cell r="D66" t="str">
            <v>KAI</v>
          </cell>
          <cell r="E66" t="str">
            <v>P/005466</v>
          </cell>
          <cell r="F66">
            <v>10124550</v>
          </cell>
          <cell r="G66" t="str">
            <v>16.5.2004</v>
          </cell>
          <cell r="H66">
            <v>38626</v>
          </cell>
          <cell r="I66">
            <v>38991</v>
          </cell>
          <cell r="J66" t="str">
            <v>Not yet</v>
          </cell>
          <cell r="K66" t="str">
            <v>Not Yet</v>
          </cell>
          <cell r="L66" t="str">
            <v xml:space="preserve">Installation </v>
          </cell>
          <cell r="M66">
            <v>12.166666666666666</v>
          </cell>
          <cell r="N66" t="str">
            <v>Target</v>
          </cell>
        </row>
        <row r="67">
          <cell r="A67">
            <v>2</v>
          </cell>
          <cell r="B67" t="str">
            <v>Mainland China</v>
          </cell>
          <cell r="C67" t="str">
            <v>KAI 1200</v>
          </cell>
          <cell r="D67" t="str">
            <v>KAI</v>
          </cell>
          <cell r="E67" t="str">
            <v>P/005467</v>
          </cell>
          <cell r="F67">
            <v>10124551</v>
          </cell>
          <cell r="G67" t="str">
            <v>31.5.2004</v>
          </cell>
          <cell r="H67">
            <v>38626</v>
          </cell>
          <cell r="I67">
            <v>38991</v>
          </cell>
          <cell r="J67" t="str">
            <v>Not yet</v>
          </cell>
          <cell r="K67" t="str">
            <v>Not Yet</v>
          </cell>
          <cell r="L67" t="str">
            <v xml:space="preserve">Installation </v>
          </cell>
          <cell r="M67">
            <v>12.166666666666666</v>
          </cell>
          <cell r="N67" t="str">
            <v>Target</v>
          </cell>
        </row>
        <row r="68">
          <cell r="A68">
            <v>3</v>
          </cell>
          <cell r="B68" t="str">
            <v>Mainland China</v>
          </cell>
          <cell r="C68" t="str">
            <v>KAI 1200</v>
          </cell>
          <cell r="D68" t="str">
            <v>KAI</v>
          </cell>
          <cell r="E68" t="str">
            <v>P/005582</v>
          </cell>
          <cell r="F68">
            <v>10107525</v>
          </cell>
          <cell r="G68" t="str">
            <v>21.6.2004</v>
          </cell>
          <cell r="H68">
            <v>38626</v>
          </cell>
          <cell r="I68">
            <v>38991</v>
          </cell>
          <cell r="J68" t="str">
            <v>Not yet</v>
          </cell>
          <cell r="K68" t="str">
            <v>Not Yet</v>
          </cell>
          <cell r="L68" t="str">
            <v xml:space="preserve">Installation </v>
          </cell>
          <cell r="M68">
            <v>12.166666666666666</v>
          </cell>
          <cell r="N68" t="str">
            <v>Target</v>
          </cell>
        </row>
        <row r="69">
          <cell r="A69">
            <v>4</v>
          </cell>
          <cell r="B69" t="str">
            <v>Mainland China</v>
          </cell>
          <cell r="C69" t="str">
            <v>KAI 1200</v>
          </cell>
          <cell r="D69" t="str">
            <v>KAI</v>
          </cell>
          <cell r="E69" t="str">
            <v>P/005583</v>
          </cell>
          <cell r="F69">
            <v>10107528</v>
          </cell>
          <cell r="G69" t="str">
            <v>26.10.2004</v>
          </cell>
          <cell r="H69">
            <v>38626</v>
          </cell>
          <cell r="I69">
            <v>38991</v>
          </cell>
          <cell r="J69" t="str">
            <v>Not yet</v>
          </cell>
          <cell r="K69" t="str">
            <v>Not Yet</v>
          </cell>
          <cell r="L69" t="str">
            <v xml:space="preserve">Installation </v>
          </cell>
          <cell r="M69">
            <v>12.166666666666666</v>
          </cell>
          <cell r="N69" t="str">
            <v>Target</v>
          </cell>
        </row>
        <row r="70">
          <cell r="A70">
            <v>5</v>
          </cell>
          <cell r="B70" t="str">
            <v>Mainland China</v>
          </cell>
          <cell r="C70" t="str">
            <v>KAI 1200</v>
          </cell>
          <cell r="D70" t="str">
            <v>KAI</v>
          </cell>
          <cell r="E70" t="str">
            <v>P/005584</v>
          </cell>
          <cell r="F70">
            <v>10107529</v>
          </cell>
          <cell r="G70" t="str">
            <v>8.11.2004</v>
          </cell>
          <cell r="H70">
            <v>38626</v>
          </cell>
          <cell r="I70">
            <v>38991</v>
          </cell>
          <cell r="J70" t="str">
            <v>Not yet</v>
          </cell>
          <cell r="K70" t="str">
            <v>Not Yet</v>
          </cell>
          <cell r="L70" t="str">
            <v xml:space="preserve">Installation </v>
          </cell>
          <cell r="M70">
            <v>12.166666666666666</v>
          </cell>
          <cell r="N70" t="str">
            <v>Target</v>
          </cell>
        </row>
        <row r="71">
          <cell r="A71">
            <v>6</v>
          </cell>
          <cell r="B71" t="str">
            <v>Mainland China</v>
          </cell>
          <cell r="C71" t="str">
            <v>KAI 1200</v>
          </cell>
          <cell r="D71" t="str">
            <v>KAI</v>
          </cell>
          <cell r="E71" t="str">
            <v>P/005585</v>
          </cell>
          <cell r="F71">
            <v>10107530</v>
          </cell>
          <cell r="G71" t="str">
            <v>22.11.2004</v>
          </cell>
          <cell r="H71">
            <v>38626</v>
          </cell>
          <cell r="I71">
            <v>38991</v>
          </cell>
          <cell r="J71" t="str">
            <v>Not yet</v>
          </cell>
          <cell r="K71" t="str">
            <v>Not Yet</v>
          </cell>
          <cell r="L71" t="str">
            <v xml:space="preserve">Installation </v>
          </cell>
          <cell r="M71">
            <v>12.166666666666666</v>
          </cell>
          <cell r="N71" t="str">
            <v>Target</v>
          </cell>
        </row>
        <row r="72">
          <cell r="B72">
            <v>0</v>
          </cell>
          <cell r="D72">
            <v>0</v>
          </cell>
        </row>
        <row r="73">
          <cell r="B73">
            <v>0</v>
          </cell>
          <cell r="D73">
            <v>0</v>
          </cell>
        </row>
        <row r="74">
          <cell r="B74" t="str">
            <v>Country</v>
          </cell>
          <cell r="C74" t="str">
            <v>System Typ</v>
          </cell>
          <cell r="E74" t="str">
            <v>Project number</v>
          </cell>
          <cell r="F74" t="str">
            <v>Equipment number</v>
          </cell>
          <cell r="G74" t="str">
            <v>Delivery of system</v>
          </cell>
          <cell r="H74" t="str">
            <v>Warranty Start</v>
          </cell>
          <cell r="I74" t="str">
            <v>Warranty End</v>
          </cell>
          <cell r="J74" t="str">
            <v xml:space="preserve">FAT </v>
          </cell>
          <cell r="K74" t="str">
            <v>Warranty</v>
          </cell>
          <cell r="L74" t="str">
            <v>Conditions</v>
          </cell>
          <cell r="M74" t="str">
            <v>Duration</v>
          </cell>
        </row>
        <row r="75">
          <cell r="A75">
            <v>1</v>
          </cell>
          <cell r="B75" t="str">
            <v>Korea</v>
          </cell>
          <cell r="C75" t="str">
            <v>KAI 20 M</v>
          </cell>
          <cell r="D75" t="str">
            <v>KAI</v>
          </cell>
          <cell r="E75" t="str">
            <v xml:space="preserve">P/001870 </v>
          </cell>
          <cell r="F75">
            <v>10025725</v>
          </cell>
          <cell r="G75">
            <v>2000</v>
          </cell>
          <cell r="H75">
            <v>36678</v>
          </cell>
          <cell r="I75" t="str">
            <v>Expired</v>
          </cell>
          <cell r="J75" t="str">
            <v>Yes</v>
          </cell>
          <cell r="K75" t="str">
            <v>No</v>
          </cell>
          <cell r="L75" t="str">
            <v>Service paid by customer</v>
          </cell>
        </row>
        <row r="76">
          <cell r="A76">
            <v>2</v>
          </cell>
          <cell r="B76" t="str">
            <v>Korea</v>
          </cell>
          <cell r="C76" t="str">
            <v>KAI 20 M</v>
          </cell>
          <cell r="D76" t="str">
            <v>KAI</v>
          </cell>
          <cell r="E76" t="str">
            <v>P/001871</v>
          </cell>
          <cell r="F76">
            <v>10025785</v>
          </cell>
          <cell r="G76">
            <v>2000</v>
          </cell>
          <cell r="H76">
            <v>36679</v>
          </cell>
          <cell r="I76" t="str">
            <v>Expired</v>
          </cell>
          <cell r="J76" t="str">
            <v>Yes</v>
          </cell>
          <cell r="K76" t="str">
            <v>No</v>
          </cell>
          <cell r="L76" t="str">
            <v>Service paid by customer</v>
          </cell>
        </row>
        <row r="77">
          <cell r="A77">
            <v>3</v>
          </cell>
          <cell r="B77" t="str">
            <v>Korea</v>
          </cell>
          <cell r="C77" t="str">
            <v>KAI 20 M</v>
          </cell>
          <cell r="D77" t="str">
            <v>KAI</v>
          </cell>
          <cell r="E77" t="str">
            <v>P/001872</v>
          </cell>
          <cell r="F77">
            <v>10025812</v>
          </cell>
          <cell r="G77">
            <v>2000</v>
          </cell>
          <cell r="H77">
            <v>36680</v>
          </cell>
          <cell r="I77" t="str">
            <v>Expired</v>
          </cell>
          <cell r="J77" t="str">
            <v>Yes</v>
          </cell>
          <cell r="K77" t="str">
            <v>No</v>
          </cell>
          <cell r="L77" t="str">
            <v>Service paid by customer</v>
          </cell>
        </row>
        <row r="78">
          <cell r="A78">
            <v>4</v>
          </cell>
          <cell r="B78" t="str">
            <v>Korea</v>
          </cell>
          <cell r="C78" t="str">
            <v>KAI800</v>
          </cell>
          <cell r="D78" t="str">
            <v>KAI</v>
          </cell>
          <cell r="E78" t="str">
            <v>P/001448-9</v>
          </cell>
          <cell r="F78">
            <v>10013094</v>
          </cell>
          <cell r="G78">
            <v>36678</v>
          </cell>
          <cell r="H78">
            <v>36678</v>
          </cell>
          <cell r="I78">
            <v>38168</v>
          </cell>
          <cell r="J78" t="str">
            <v>Yes</v>
          </cell>
          <cell r="K78" t="str">
            <v>No</v>
          </cell>
          <cell r="L78" t="str">
            <v>Service paid by customer</v>
          </cell>
          <cell r="M78">
            <v>49.666666666666664</v>
          </cell>
        </row>
        <row r="79">
          <cell r="A79">
            <v>5</v>
          </cell>
          <cell r="B79" t="str">
            <v>Korea</v>
          </cell>
          <cell r="C79" t="str">
            <v>UNI 1200</v>
          </cell>
          <cell r="D79" t="str">
            <v>UNI</v>
          </cell>
          <cell r="E79" t="str">
            <v>P4843</v>
          </cell>
          <cell r="F79">
            <v>10096507</v>
          </cell>
          <cell r="G79">
            <v>37915</v>
          </cell>
          <cell r="H79">
            <v>38441</v>
          </cell>
          <cell r="I79">
            <v>38806</v>
          </cell>
          <cell r="J79" t="str">
            <v>Yes</v>
          </cell>
          <cell r="K79" t="str">
            <v>Yes</v>
          </cell>
          <cell r="M79">
            <v>12.166666666666666</v>
          </cell>
        </row>
        <row r="80">
          <cell r="A80">
            <v>6</v>
          </cell>
          <cell r="B80" t="str">
            <v>Korea</v>
          </cell>
          <cell r="C80" t="str">
            <v>UNI 3000</v>
          </cell>
          <cell r="D80" t="str">
            <v>UNI</v>
          </cell>
          <cell r="E80" t="str">
            <v>P6483</v>
          </cell>
          <cell r="F80">
            <v>10131190</v>
          </cell>
          <cell r="G80">
            <v>38222</v>
          </cell>
          <cell r="H80">
            <v>38504</v>
          </cell>
          <cell r="I80">
            <v>38869</v>
          </cell>
          <cell r="J80" t="str">
            <v>not yet</v>
          </cell>
          <cell r="K80" t="str">
            <v>not yet</v>
          </cell>
          <cell r="L80" t="str">
            <v xml:space="preserve">Installation </v>
          </cell>
          <cell r="M80">
            <v>12.166666666666666</v>
          </cell>
          <cell r="N80" t="str">
            <v>Target</v>
          </cell>
        </row>
        <row r="81">
          <cell r="A81">
            <v>7</v>
          </cell>
          <cell r="B81" t="str">
            <v>Korea</v>
          </cell>
          <cell r="C81" t="str">
            <v>UNI 3000</v>
          </cell>
          <cell r="D81" t="str">
            <v>UNI</v>
          </cell>
          <cell r="E81" t="str">
            <v>P6484</v>
          </cell>
          <cell r="F81">
            <v>10131191</v>
          </cell>
          <cell r="G81">
            <v>38243</v>
          </cell>
          <cell r="H81">
            <v>38504</v>
          </cell>
          <cell r="I81">
            <v>38869</v>
          </cell>
          <cell r="J81" t="str">
            <v>not yet</v>
          </cell>
          <cell r="K81" t="str">
            <v>not yet</v>
          </cell>
          <cell r="L81" t="str">
            <v xml:space="preserve">Installation </v>
          </cell>
          <cell r="M81">
            <v>12.166666666666666</v>
          </cell>
          <cell r="N81" t="str">
            <v>Target</v>
          </cell>
        </row>
        <row r="82">
          <cell r="A82">
            <v>8</v>
          </cell>
          <cell r="B82" t="str">
            <v>Korea</v>
          </cell>
          <cell r="C82" t="str">
            <v>UNI 3000</v>
          </cell>
          <cell r="D82" t="str">
            <v>UNI</v>
          </cell>
          <cell r="E82" t="str">
            <v>P6485</v>
          </cell>
          <cell r="F82">
            <v>10131192</v>
          </cell>
          <cell r="G82">
            <v>38261</v>
          </cell>
          <cell r="H82">
            <v>38687</v>
          </cell>
          <cell r="I82">
            <v>39052</v>
          </cell>
          <cell r="J82" t="str">
            <v>not yet</v>
          </cell>
          <cell r="K82" t="str">
            <v>not yet</v>
          </cell>
          <cell r="L82" t="str">
            <v xml:space="preserve">Installation </v>
          </cell>
          <cell r="M82">
            <v>12.166666666666666</v>
          </cell>
          <cell r="N82" t="str">
            <v>Target</v>
          </cell>
        </row>
        <row r="83">
          <cell r="B83" t="str">
            <v>Country</v>
          </cell>
          <cell r="C83" t="str">
            <v>System Typ</v>
          </cell>
          <cell r="E83" t="str">
            <v>Project number</v>
          </cell>
          <cell r="F83" t="str">
            <v>Equipment number</v>
          </cell>
          <cell r="G83" t="str">
            <v>Delivery of system</v>
          </cell>
          <cell r="H83" t="str">
            <v>Warranty Start</v>
          </cell>
          <cell r="I83" t="str">
            <v>Warranty End</v>
          </cell>
          <cell r="J83" t="str">
            <v xml:space="preserve">FAT </v>
          </cell>
          <cell r="K83" t="str">
            <v>Warranty</v>
          </cell>
          <cell r="L83" t="str">
            <v>Conditions</v>
          </cell>
          <cell r="M83" t="str">
            <v>Duration</v>
          </cell>
        </row>
        <row r="84">
          <cell r="A84">
            <v>1</v>
          </cell>
          <cell r="B84" t="str">
            <v>Japan</v>
          </cell>
          <cell r="C84" t="str">
            <v>SSP 600</v>
          </cell>
          <cell r="D84" t="str">
            <v>UNI</v>
          </cell>
          <cell r="E84" t="str">
            <v>N/A</v>
          </cell>
          <cell r="F84">
            <v>30000193</v>
          </cell>
          <cell r="G84">
            <v>1996</v>
          </cell>
          <cell r="H84" t="str">
            <v>Expired</v>
          </cell>
          <cell r="I84" t="str">
            <v>Expired</v>
          </cell>
          <cell r="J84" t="str">
            <v>Yes</v>
          </cell>
          <cell r="K84" t="str">
            <v>No</v>
          </cell>
          <cell r="L84" t="str">
            <v>Service paid by customer</v>
          </cell>
        </row>
        <row r="85">
          <cell r="A85">
            <v>2</v>
          </cell>
          <cell r="B85" t="str">
            <v>Japan</v>
          </cell>
          <cell r="C85" t="str">
            <v>SSP 600</v>
          </cell>
          <cell r="D85" t="str">
            <v>UNI</v>
          </cell>
          <cell r="E85" t="str">
            <v>N/A</v>
          </cell>
          <cell r="F85">
            <v>30000192</v>
          </cell>
          <cell r="G85">
            <v>1996</v>
          </cell>
          <cell r="H85" t="str">
            <v>Expired</v>
          </cell>
          <cell r="I85" t="str">
            <v>Expired</v>
          </cell>
          <cell r="J85" t="str">
            <v>Yes</v>
          </cell>
          <cell r="K85" t="str">
            <v>No</v>
          </cell>
          <cell r="L85" t="str">
            <v>Service paid by customer</v>
          </cell>
        </row>
        <row r="86">
          <cell r="A86">
            <v>3</v>
          </cell>
          <cell r="B86" t="str">
            <v>Japan</v>
          </cell>
          <cell r="C86" t="str">
            <v>UNI 700 Cluster</v>
          </cell>
          <cell r="D86" t="str">
            <v>UNI</v>
          </cell>
          <cell r="E86" t="str">
            <v>N/A</v>
          </cell>
          <cell r="F86">
            <v>30000191</v>
          </cell>
          <cell r="G86">
            <v>1997</v>
          </cell>
          <cell r="H86" t="str">
            <v>Expired</v>
          </cell>
          <cell r="I86" t="str">
            <v>Expired</v>
          </cell>
          <cell r="J86" t="str">
            <v>Yes</v>
          </cell>
          <cell r="K86" t="str">
            <v>No</v>
          </cell>
          <cell r="L86" t="str">
            <v>Service paid by customer</v>
          </cell>
        </row>
        <row r="87">
          <cell r="A87">
            <v>4</v>
          </cell>
          <cell r="B87" t="str">
            <v>Japan</v>
          </cell>
          <cell r="C87" t="str">
            <v xml:space="preserve">UNI 700 ECO </v>
          </cell>
          <cell r="D87" t="str">
            <v>UNI</v>
          </cell>
          <cell r="E87" t="str">
            <v>P/000783</v>
          </cell>
          <cell r="F87">
            <v>10002630</v>
          </cell>
          <cell r="G87">
            <v>1999</v>
          </cell>
          <cell r="H87" t="str">
            <v>Expired</v>
          </cell>
          <cell r="I87" t="str">
            <v>Expired</v>
          </cell>
          <cell r="J87" t="str">
            <v>Yes</v>
          </cell>
          <cell r="K87" t="str">
            <v>No</v>
          </cell>
          <cell r="L87" t="str">
            <v>Service paid by customer</v>
          </cell>
        </row>
        <row r="88">
          <cell r="A88">
            <v>5</v>
          </cell>
          <cell r="B88" t="str">
            <v>Japan</v>
          </cell>
          <cell r="C88" t="str">
            <v xml:space="preserve">UNI 700 ECO </v>
          </cell>
          <cell r="D88" t="str">
            <v>UNI</v>
          </cell>
          <cell r="E88" t="str">
            <v>P/6824</v>
          </cell>
          <cell r="F88" t="str">
            <v xml:space="preserve"> -</v>
          </cell>
          <cell r="G88" t="str">
            <v>not yet</v>
          </cell>
          <cell r="H88" t="str">
            <v xml:space="preserve"> -</v>
          </cell>
          <cell r="I88" t="str">
            <v xml:space="preserve"> -</v>
          </cell>
          <cell r="J88" t="str">
            <v xml:space="preserve"> -</v>
          </cell>
          <cell r="K88" t="str">
            <v xml:space="preserve"> -</v>
          </cell>
        </row>
        <row r="89">
          <cell r="A89">
            <v>6</v>
          </cell>
          <cell r="B89" t="str">
            <v>Japan</v>
          </cell>
          <cell r="C89" t="str">
            <v xml:space="preserve">UNI 800 ECO </v>
          </cell>
          <cell r="D89" t="str">
            <v>UNI</v>
          </cell>
          <cell r="E89" t="str">
            <v>P/001054</v>
          </cell>
          <cell r="F89">
            <v>10006975</v>
          </cell>
          <cell r="G89">
            <v>2000</v>
          </cell>
          <cell r="H89" t="str">
            <v>Expired</v>
          </cell>
          <cell r="I89" t="str">
            <v>Expired</v>
          </cell>
          <cell r="J89" t="str">
            <v>Yes</v>
          </cell>
          <cell r="K89" t="str">
            <v>No</v>
          </cell>
          <cell r="L89" t="str">
            <v>Service paid by customer</v>
          </cell>
        </row>
        <row r="90">
          <cell r="A90">
            <v>7</v>
          </cell>
          <cell r="B90" t="str">
            <v>Japan</v>
          </cell>
          <cell r="C90" t="str">
            <v xml:space="preserve">UNI 800 ECO </v>
          </cell>
          <cell r="D90" t="str">
            <v>UNI</v>
          </cell>
          <cell r="E90" t="str">
            <v>P/001055</v>
          </cell>
          <cell r="F90">
            <v>10006977</v>
          </cell>
          <cell r="G90">
            <v>2000</v>
          </cell>
          <cell r="H90" t="str">
            <v>Expired</v>
          </cell>
          <cell r="I90" t="str">
            <v>Expired</v>
          </cell>
          <cell r="J90" t="str">
            <v>Yes</v>
          </cell>
          <cell r="K90" t="str">
            <v>No</v>
          </cell>
          <cell r="L90" t="str">
            <v>Service paid by customer</v>
          </cell>
        </row>
        <row r="91">
          <cell r="A91">
            <v>8</v>
          </cell>
          <cell r="B91" t="str">
            <v>Japan</v>
          </cell>
          <cell r="C91" t="str">
            <v xml:space="preserve">UNI 800 ECO </v>
          </cell>
          <cell r="D91" t="str">
            <v>UNI</v>
          </cell>
          <cell r="E91" t="str">
            <v>P/002683</v>
          </cell>
          <cell r="F91">
            <v>10034197</v>
          </cell>
          <cell r="G91">
            <v>2000</v>
          </cell>
          <cell r="H91" t="str">
            <v>Expired</v>
          </cell>
          <cell r="I91" t="str">
            <v>Expired</v>
          </cell>
          <cell r="J91" t="str">
            <v>Yes</v>
          </cell>
          <cell r="K91" t="str">
            <v>No</v>
          </cell>
          <cell r="L91" t="str">
            <v>Service paid by customer</v>
          </cell>
        </row>
        <row r="92">
          <cell r="A92">
            <v>9</v>
          </cell>
          <cell r="B92" t="str">
            <v>Japan</v>
          </cell>
          <cell r="C92" t="str">
            <v xml:space="preserve">UNI 800 ECO </v>
          </cell>
          <cell r="D92" t="str">
            <v>UNI</v>
          </cell>
          <cell r="E92" t="str">
            <v>P/002684</v>
          </cell>
          <cell r="F92">
            <v>10034196</v>
          </cell>
          <cell r="G92">
            <v>2000</v>
          </cell>
          <cell r="H92" t="str">
            <v>Expired</v>
          </cell>
          <cell r="I92" t="str">
            <v>Expired</v>
          </cell>
          <cell r="J92" t="str">
            <v>Yes</v>
          </cell>
          <cell r="K92" t="str">
            <v>No</v>
          </cell>
          <cell r="L92" t="str">
            <v>Service paid by customer</v>
          </cell>
        </row>
        <row r="93">
          <cell r="A93">
            <v>10</v>
          </cell>
          <cell r="B93" t="str">
            <v>Japan</v>
          </cell>
          <cell r="C93" t="str">
            <v xml:space="preserve">UNI 800 ECO </v>
          </cell>
          <cell r="D93" t="str">
            <v>UNI</v>
          </cell>
          <cell r="E93" t="str">
            <v>P/002685</v>
          </cell>
          <cell r="F93">
            <v>10034195</v>
          </cell>
          <cell r="G93">
            <v>2000</v>
          </cell>
          <cell r="H93" t="str">
            <v>Expired</v>
          </cell>
          <cell r="I93" t="str">
            <v>Expired</v>
          </cell>
          <cell r="J93" t="str">
            <v>Yes</v>
          </cell>
          <cell r="K93" t="str">
            <v>No</v>
          </cell>
          <cell r="L93" t="str">
            <v>Service paid by customer</v>
          </cell>
        </row>
        <row r="94">
          <cell r="A94">
            <v>11</v>
          </cell>
          <cell r="B94" t="str">
            <v>Japan</v>
          </cell>
          <cell r="C94" t="str">
            <v xml:space="preserve">UNI 800 ECO </v>
          </cell>
          <cell r="D94" t="str">
            <v>UNI</v>
          </cell>
          <cell r="E94" t="str">
            <v>P/002686</v>
          </cell>
          <cell r="F94">
            <v>10034194</v>
          </cell>
          <cell r="G94">
            <v>2000</v>
          </cell>
          <cell r="H94" t="str">
            <v>Expired</v>
          </cell>
          <cell r="I94" t="str">
            <v>Expired</v>
          </cell>
          <cell r="J94" t="str">
            <v>Yes</v>
          </cell>
          <cell r="K94" t="str">
            <v>No</v>
          </cell>
          <cell r="L94" t="str">
            <v>Service paid by customer</v>
          </cell>
        </row>
        <row r="95">
          <cell r="A95">
            <v>12</v>
          </cell>
          <cell r="B95" t="str">
            <v>Japan</v>
          </cell>
          <cell r="C95" t="str">
            <v xml:space="preserve">UNI 800 ECO </v>
          </cell>
          <cell r="D95" t="str">
            <v>UNI</v>
          </cell>
          <cell r="E95" t="str">
            <v>P/002687</v>
          </cell>
          <cell r="F95">
            <v>10034193</v>
          </cell>
          <cell r="G95">
            <v>2000</v>
          </cell>
          <cell r="H95" t="str">
            <v>Expired</v>
          </cell>
          <cell r="I95" t="str">
            <v>Expired</v>
          </cell>
          <cell r="J95" t="str">
            <v>Yes</v>
          </cell>
          <cell r="K95" t="str">
            <v>No</v>
          </cell>
          <cell r="L95" t="str">
            <v>Service paid by customer</v>
          </cell>
        </row>
        <row r="96">
          <cell r="A96">
            <v>13</v>
          </cell>
          <cell r="B96" t="str">
            <v>Japan</v>
          </cell>
          <cell r="C96" t="str">
            <v xml:space="preserve">UNI 800 ECO </v>
          </cell>
          <cell r="D96" t="str">
            <v>UNI</v>
          </cell>
          <cell r="E96" t="str">
            <v>P/004551</v>
          </cell>
          <cell r="F96">
            <v>10084305</v>
          </cell>
          <cell r="G96">
            <v>37280</v>
          </cell>
          <cell r="H96">
            <v>37437</v>
          </cell>
          <cell r="I96" t="str">
            <v>Expired</v>
          </cell>
          <cell r="J96" t="str">
            <v>Yes</v>
          </cell>
          <cell r="K96" t="str">
            <v>No</v>
          </cell>
          <cell r="L96" t="str">
            <v>Service paid by customer</v>
          </cell>
        </row>
        <row r="97">
          <cell r="A97">
            <v>14</v>
          </cell>
          <cell r="B97" t="str">
            <v>Japan</v>
          </cell>
          <cell r="C97" t="str">
            <v xml:space="preserve">UNI 800 ECO </v>
          </cell>
          <cell r="D97" t="str">
            <v>UNI</v>
          </cell>
          <cell r="E97" t="str">
            <v>P/004550</v>
          </cell>
          <cell r="F97">
            <v>10083996</v>
          </cell>
          <cell r="G97">
            <v>37281</v>
          </cell>
          <cell r="H97">
            <v>37509</v>
          </cell>
          <cell r="I97">
            <v>37874</v>
          </cell>
          <cell r="J97" t="str">
            <v>Yes</v>
          </cell>
          <cell r="K97" t="str">
            <v>No</v>
          </cell>
          <cell r="L97" t="str">
            <v>Service paid by customer</v>
          </cell>
          <cell r="M97">
            <v>12.166666666666666</v>
          </cell>
        </row>
        <row r="98">
          <cell r="A98">
            <v>15</v>
          </cell>
          <cell r="B98" t="str">
            <v>Japan</v>
          </cell>
          <cell r="C98" t="str">
            <v>KAI 20 S</v>
          </cell>
          <cell r="D98" t="str">
            <v>KAI</v>
          </cell>
          <cell r="E98" t="str">
            <v>N/A</v>
          </cell>
          <cell r="F98">
            <v>30000031</v>
          </cell>
          <cell r="G98">
            <v>1994</v>
          </cell>
          <cell r="H98" t="str">
            <v>Expired</v>
          </cell>
          <cell r="I98" t="str">
            <v>Expired</v>
          </cell>
          <cell r="J98" t="str">
            <v>Yes</v>
          </cell>
          <cell r="K98" t="str">
            <v>No</v>
          </cell>
          <cell r="L98" t="str">
            <v>Service paid by customer</v>
          </cell>
        </row>
        <row r="99">
          <cell r="A99">
            <v>16</v>
          </cell>
          <cell r="B99" t="str">
            <v>Japan</v>
          </cell>
          <cell r="C99" t="str">
            <v>KAI 20 M</v>
          </cell>
          <cell r="D99" t="str">
            <v>KAI</v>
          </cell>
          <cell r="E99" t="str">
            <v>N/A</v>
          </cell>
          <cell r="F99">
            <v>30000001</v>
          </cell>
          <cell r="G99">
            <v>1996</v>
          </cell>
          <cell r="H99" t="str">
            <v>Expired</v>
          </cell>
          <cell r="I99" t="str">
            <v>Expired</v>
          </cell>
          <cell r="J99" t="str">
            <v>Yes</v>
          </cell>
          <cell r="K99" t="str">
            <v>No</v>
          </cell>
          <cell r="L99" t="str">
            <v>Service paid by customer</v>
          </cell>
        </row>
        <row r="100">
          <cell r="A100">
            <v>17</v>
          </cell>
          <cell r="B100" t="str">
            <v>Japan</v>
          </cell>
          <cell r="C100" t="str">
            <v>KAI 20 M</v>
          </cell>
          <cell r="D100" t="str">
            <v>KAI</v>
          </cell>
          <cell r="E100" t="str">
            <v>N/A</v>
          </cell>
          <cell r="F100">
            <v>30000002</v>
          </cell>
          <cell r="G100">
            <v>1996</v>
          </cell>
          <cell r="H100" t="str">
            <v>Expired</v>
          </cell>
          <cell r="I100" t="str">
            <v>Expired</v>
          </cell>
          <cell r="J100" t="str">
            <v>Yes</v>
          </cell>
          <cell r="K100" t="str">
            <v>No</v>
          </cell>
          <cell r="L100" t="str">
            <v>Service paid by customer</v>
          </cell>
        </row>
        <row r="101">
          <cell r="A101">
            <v>18</v>
          </cell>
          <cell r="B101" t="str">
            <v>Japan</v>
          </cell>
          <cell r="C101" t="str">
            <v>KAI 20 M</v>
          </cell>
          <cell r="D101" t="str">
            <v>KAI</v>
          </cell>
          <cell r="E101" t="str">
            <v>N/A</v>
          </cell>
          <cell r="F101">
            <v>30000003</v>
          </cell>
          <cell r="G101">
            <v>1996</v>
          </cell>
          <cell r="H101" t="str">
            <v>Expired</v>
          </cell>
          <cell r="I101" t="str">
            <v>Expired</v>
          </cell>
          <cell r="J101" t="str">
            <v>Yes</v>
          </cell>
          <cell r="K101" t="str">
            <v>No</v>
          </cell>
          <cell r="L101" t="str">
            <v>Service paid by customer</v>
          </cell>
        </row>
        <row r="102">
          <cell r="A102">
            <v>19</v>
          </cell>
          <cell r="B102" t="str">
            <v>Japan</v>
          </cell>
          <cell r="C102" t="str">
            <v>KAI 20 M</v>
          </cell>
          <cell r="D102" t="str">
            <v>KAI</v>
          </cell>
          <cell r="E102" t="str">
            <v>N/A</v>
          </cell>
          <cell r="F102">
            <v>30000004</v>
          </cell>
          <cell r="G102">
            <v>1996</v>
          </cell>
          <cell r="H102" t="str">
            <v>Expired</v>
          </cell>
          <cell r="I102" t="str">
            <v>Expired</v>
          </cell>
          <cell r="J102" t="str">
            <v>Yes</v>
          </cell>
          <cell r="K102" t="str">
            <v>No</v>
          </cell>
          <cell r="L102" t="str">
            <v>Service paid by customer</v>
          </cell>
        </row>
        <row r="103">
          <cell r="A103">
            <v>20</v>
          </cell>
          <cell r="B103" t="str">
            <v>Japan</v>
          </cell>
          <cell r="C103" t="str">
            <v>KAI 20 M</v>
          </cell>
          <cell r="D103" t="str">
            <v>KAI</v>
          </cell>
          <cell r="E103" t="str">
            <v>N/A</v>
          </cell>
          <cell r="F103">
            <v>30000005</v>
          </cell>
          <cell r="G103">
            <v>1996</v>
          </cell>
          <cell r="H103" t="str">
            <v>Expired</v>
          </cell>
          <cell r="I103" t="str">
            <v>Expired</v>
          </cell>
          <cell r="J103" t="str">
            <v>Yes</v>
          </cell>
          <cell r="K103" t="str">
            <v>No</v>
          </cell>
          <cell r="L103" t="str">
            <v>Service paid by customer</v>
          </cell>
        </row>
        <row r="104">
          <cell r="A104">
            <v>21</v>
          </cell>
          <cell r="B104" t="str">
            <v>Japan</v>
          </cell>
          <cell r="C104" t="str">
            <v>KAI 20 M</v>
          </cell>
          <cell r="D104" t="str">
            <v>KAI</v>
          </cell>
          <cell r="E104" t="str">
            <v>N/A</v>
          </cell>
          <cell r="F104">
            <v>30000006</v>
          </cell>
          <cell r="G104">
            <v>1996</v>
          </cell>
          <cell r="H104" t="str">
            <v>Expired</v>
          </cell>
          <cell r="I104" t="str">
            <v>Expired</v>
          </cell>
          <cell r="J104" t="str">
            <v>Yes</v>
          </cell>
          <cell r="K104" t="str">
            <v>No</v>
          </cell>
          <cell r="L104" t="str">
            <v>Service paid by customer</v>
          </cell>
        </row>
        <row r="105">
          <cell r="A105">
            <v>22</v>
          </cell>
          <cell r="B105" t="str">
            <v>Japan</v>
          </cell>
          <cell r="C105" t="str">
            <v>KAI 20 M</v>
          </cell>
          <cell r="D105" t="str">
            <v>KAI</v>
          </cell>
          <cell r="E105" t="str">
            <v>P/002836</v>
          </cell>
          <cell r="F105">
            <v>10035665</v>
          </cell>
          <cell r="G105">
            <v>2000</v>
          </cell>
          <cell r="H105" t="str">
            <v>Expired</v>
          </cell>
          <cell r="I105" t="str">
            <v>Expired</v>
          </cell>
          <cell r="J105" t="str">
            <v>Yes</v>
          </cell>
          <cell r="K105" t="str">
            <v>No</v>
          </cell>
          <cell r="L105" t="str">
            <v>Service paid by customer</v>
          </cell>
        </row>
        <row r="106">
          <cell r="A106">
            <v>23</v>
          </cell>
          <cell r="B106" t="str">
            <v>Japan</v>
          </cell>
          <cell r="C106" t="str">
            <v>KAI 20 M</v>
          </cell>
          <cell r="D106" t="str">
            <v>KAI</v>
          </cell>
          <cell r="E106" t="str">
            <v>N/A</v>
          </cell>
          <cell r="F106">
            <v>30000120</v>
          </cell>
          <cell r="G106">
            <v>1997</v>
          </cell>
          <cell r="H106" t="str">
            <v>Expired</v>
          </cell>
          <cell r="I106" t="str">
            <v>Expired</v>
          </cell>
          <cell r="J106" t="str">
            <v>Yes</v>
          </cell>
          <cell r="K106" t="str">
            <v>No</v>
          </cell>
          <cell r="L106" t="str">
            <v>Service paid by customer</v>
          </cell>
        </row>
        <row r="107">
          <cell r="A107">
            <v>24</v>
          </cell>
          <cell r="B107" t="str">
            <v>Japan</v>
          </cell>
          <cell r="C107" t="str">
            <v>KAI 20 M</v>
          </cell>
          <cell r="D107" t="str">
            <v>KAI</v>
          </cell>
          <cell r="E107" t="str">
            <v>N/A</v>
          </cell>
          <cell r="F107">
            <v>30000030</v>
          </cell>
          <cell r="G107">
            <v>1998</v>
          </cell>
          <cell r="H107" t="str">
            <v>Expired</v>
          </cell>
          <cell r="I107" t="str">
            <v>Expired</v>
          </cell>
          <cell r="J107" t="str">
            <v>Yes</v>
          </cell>
          <cell r="K107" t="str">
            <v>No</v>
          </cell>
          <cell r="L107" t="str">
            <v>Service paid by customer</v>
          </cell>
        </row>
        <row r="108">
          <cell r="A108">
            <v>25</v>
          </cell>
          <cell r="B108" t="str">
            <v>Japan</v>
          </cell>
          <cell r="C108" t="str">
            <v>KAI 20 M</v>
          </cell>
          <cell r="D108" t="str">
            <v>KAI</v>
          </cell>
          <cell r="E108" t="str">
            <v>P/002951</v>
          </cell>
          <cell r="F108">
            <v>10035664</v>
          </cell>
          <cell r="G108">
            <v>36921</v>
          </cell>
          <cell r="H108" t="str">
            <v>Expired</v>
          </cell>
          <cell r="I108" t="str">
            <v>Expired</v>
          </cell>
          <cell r="J108" t="str">
            <v>Yes</v>
          </cell>
          <cell r="K108" t="str">
            <v>No</v>
          </cell>
          <cell r="L108" t="str">
            <v>Service paid by customer</v>
          </cell>
        </row>
        <row r="109">
          <cell r="A109">
            <v>26</v>
          </cell>
          <cell r="B109" t="str">
            <v>Japan</v>
          </cell>
          <cell r="C109" t="str">
            <v>KAI 20 M</v>
          </cell>
          <cell r="D109" t="str">
            <v>KAI</v>
          </cell>
          <cell r="E109" t="str">
            <v>P/003202</v>
          </cell>
          <cell r="F109">
            <v>10044631</v>
          </cell>
          <cell r="G109">
            <v>36930</v>
          </cell>
          <cell r="H109" t="str">
            <v>Expired</v>
          </cell>
          <cell r="I109" t="str">
            <v>Expired</v>
          </cell>
          <cell r="J109" t="str">
            <v>Yes</v>
          </cell>
          <cell r="K109" t="str">
            <v>No</v>
          </cell>
          <cell r="L109" t="str">
            <v>Service paid by customer</v>
          </cell>
        </row>
        <row r="110">
          <cell r="A110">
            <v>27</v>
          </cell>
          <cell r="B110" t="str">
            <v>Japan</v>
          </cell>
          <cell r="C110" t="str">
            <v>KAI 20 M</v>
          </cell>
          <cell r="D110" t="str">
            <v>KAI</v>
          </cell>
          <cell r="E110" t="str">
            <v>P/003423</v>
          </cell>
          <cell r="F110">
            <v>10054300</v>
          </cell>
          <cell r="G110">
            <v>36969</v>
          </cell>
          <cell r="H110">
            <v>37180</v>
          </cell>
          <cell r="I110" t="str">
            <v>Expired</v>
          </cell>
          <cell r="J110" t="str">
            <v>Yes</v>
          </cell>
          <cell r="K110" t="str">
            <v>No</v>
          </cell>
          <cell r="L110" t="str">
            <v>Service paid by customer</v>
          </cell>
        </row>
        <row r="111">
          <cell r="A111">
            <v>28</v>
          </cell>
          <cell r="B111" t="str">
            <v>Japan</v>
          </cell>
          <cell r="C111" t="str">
            <v>KAI-1-800</v>
          </cell>
          <cell r="D111" t="str">
            <v>KAI</v>
          </cell>
          <cell r="E111" t="str">
            <v>P/006036</v>
          </cell>
          <cell r="F111">
            <v>10119517</v>
          </cell>
          <cell r="G111">
            <v>38013</v>
          </cell>
          <cell r="H111">
            <v>38064</v>
          </cell>
          <cell r="I111">
            <v>38428</v>
          </cell>
          <cell r="J111" t="str">
            <v>Yes</v>
          </cell>
          <cell r="K111" t="str">
            <v>No</v>
          </cell>
          <cell r="L111" t="str">
            <v>Service paid by customer</v>
          </cell>
          <cell r="M111">
            <v>12.133333333333333</v>
          </cell>
        </row>
        <row r="112">
          <cell r="A112">
            <v>29</v>
          </cell>
          <cell r="B112" t="str">
            <v>Japan</v>
          </cell>
          <cell r="C112" t="str">
            <v>KAI 20 XL</v>
          </cell>
          <cell r="D112" t="str">
            <v>KAI</v>
          </cell>
          <cell r="E112" t="str">
            <v xml:space="preserve">P/004367 </v>
          </cell>
          <cell r="F112">
            <v>10081848</v>
          </cell>
          <cell r="G112">
            <v>37284</v>
          </cell>
          <cell r="H112">
            <v>37596</v>
          </cell>
          <cell r="I112">
            <v>37960</v>
          </cell>
          <cell r="J112" t="str">
            <v>Yes</v>
          </cell>
          <cell r="K112" t="str">
            <v>No</v>
          </cell>
          <cell r="L112" t="str">
            <v>Service paid by customer</v>
          </cell>
          <cell r="M112">
            <v>12.133333333333333</v>
          </cell>
        </row>
        <row r="113">
          <cell r="A113">
            <v>30</v>
          </cell>
          <cell r="B113" t="str">
            <v>Japan</v>
          </cell>
          <cell r="C113" t="str">
            <v>KAI 20 XL</v>
          </cell>
          <cell r="D113" t="str">
            <v>KAI</v>
          </cell>
          <cell r="E113" t="str">
            <v>P/004368</v>
          </cell>
          <cell r="F113">
            <v>10081849</v>
          </cell>
          <cell r="G113">
            <v>37284</v>
          </cell>
          <cell r="H113">
            <v>37596</v>
          </cell>
          <cell r="I113">
            <v>37960</v>
          </cell>
          <cell r="J113" t="str">
            <v>Yes</v>
          </cell>
          <cell r="K113" t="str">
            <v>No</v>
          </cell>
          <cell r="L113" t="str">
            <v>Service paid by customer</v>
          </cell>
          <cell r="M113">
            <v>12.133333333333333</v>
          </cell>
        </row>
        <row r="114">
          <cell r="A114">
            <v>31</v>
          </cell>
          <cell r="B114" t="str">
            <v>Japan</v>
          </cell>
          <cell r="C114" t="str">
            <v>KAI 10</v>
          </cell>
          <cell r="D114" t="str">
            <v>KAI</v>
          </cell>
          <cell r="E114" t="str">
            <v>N/A</v>
          </cell>
          <cell r="F114">
            <v>30000015</v>
          </cell>
          <cell r="G114">
            <v>1995</v>
          </cell>
          <cell r="H114" t="str">
            <v>Expired</v>
          </cell>
          <cell r="I114" t="str">
            <v>Expired</v>
          </cell>
          <cell r="J114" t="str">
            <v>Yes</v>
          </cell>
          <cell r="K114" t="str">
            <v>No</v>
          </cell>
          <cell r="L114" t="str">
            <v>Service paid by customer</v>
          </cell>
        </row>
        <row r="115">
          <cell r="A115">
            <v>32</v>
          </cell>
          <cell r="B115" t="str">
            <v>Japan</v>
          </cell>
          <cell r="C115" t="str">
            <v>HAI 400</v>
          </cell>
          <cell r="D115" t="str">
            <v>Edger</v>
          </cell>
          <cell r="E115" t="str">
            <v>P/000667</v>
          </cell>
          <cell r="F115">
            <v>10001407</v>
          </cell>
          <cell r="G115">
            <v>1999</v>
          </cell>
          <cell r="H115" t="str">
            <v>Expired</v>
          </cell>
          <cell r="I115" t="str">
            <v>Expired</v>
          </cell>
          <cell r="J115" t="str">
            <v>Yes</v>
          </cell>
          <cell r="K115" t="str">
            <v>No</v>
          </cell>
          <cell r="L115" t="str">
            <v>Service paid by customer</v>
          </cell>
        </row>
        <row r="116">
          <cell r="A116">
            <v>33</v>
          </cell>
          <cell r="B116" t="str">
            <v>Japan</v>
          </cell>
          <cell r="C116" t="str">
            <v xml:space="preserve">UNI 700 ECO </v>
          </cell>
          <cell r="D116" t="str">
            <v>UNI</v>
          </cell>
          <cell r="G116" t="str">
            <v>1.11.2004</v>
          </cell>
          <cell r="H116">
            <v>38384</v>
          </cell>
          <cell r="I116">
            <v>38777</v>
          </cell>
          <cell r="J116" t="str">
            <v>Yes</v>
          </cell>
          <cell r="K116" t="str">
            <v>Yes</v>
          </cell>
          <cell r="M116">
            <v>13.1</v>
          </cell>
        </row>
        <row r="117">
          <cell r="A117">
            <v>34</v>
          </cell>
          <cell r="B117" t="str">
            <v>Japan</v>
          </cell>
          <cell r="C117" t="str">
            <v>KAI-1-M</v>
          </cell>
          <cell r="D117" t="str">
            <v>KAI</v>
          </cell>
          <cell r="E117" t="str">
            <v>P/0006481</v>
          </cell>
          <cell r="F117">
            <v>10131173</v>
          </cell>
          <cell r="G117" t="str">
            <v>17.05.2004</v>
          </cell>
          <cell r="H117">
            <v>38534</v>
          </cell>
          <cell r="I117">
            <v>38899</v>
          </cell>
          <cell r="J117" t="str">
            <v>Yes</v>
          </cell>
          <cell r="K117" t="str">
            <v>Yes</v>
          </cell>
          <cell r="M117">
            <v>12.166666666666666</v>
          </cell>
        </row>
        <row r="118">
          <cell r="B118">
            <v>0</v>
          </cell>
          <cell r="D118">
            <v>0</v>
          </cell>
          <cell r="H118" t="str">
            <v xml:space="preserve"> -</v>
          </cell>
          <cell r="I118" t="str">
            <v xml:space="preserve"> -</v>
          </cell>
          <cell r="J118" t="str">
            <v xml:space="preserve"> -</v>
          </cell>
          <cell r="K118" t="str">
            <v xml:space="preserve"> -</v>
          </cell>
        </row>
        <row r="119">
          <cell r="B119" t="str">
            <v>Country</v>
          </cell>
          <cell r="C119" t="str">
            <v>System Typ</v>
          </cell>
          <cell r="E119" t="str">
            <v>Project number</v>
          </cell>
          <cell r="F119" t="str">
            <v>Equipment number</v>
          </cell>
          <cell r="G119" t="str">
            <v>Delivery of system</v>
          </cell>
          <cell r="H119" t="str">
            <v>Warranty Start</v>
          </cell>
          <cell r="I119" t="str">
            <v>Warranty End</v>
          </cell>
          <cell r="J119" t="str">
            <v xml:space="preserve">FAT </v>
          </cell>
          <cell r="K119" t="str">
            <v>Warranty</v>
          </cell>
          <cell r="L119" t="str">
            <v>Conditions</v>
          </cell>
          <cell r="M119" t="str">
            <v>Duration</v>
          </cell>
        </row>
        <row r="120">
          <cell r="A120">
            <v>1</v>
          </cell>
          <cell r="B120" t="str">
            <v>France</v>
          </cell>
          <cell r="C120" t="str">
            <v>KAI-I-M</v>
          </cell>
          <cell r="D120" t="str">
            <v>KAI</v>
          </cell>
          <cell r="E120" t="str">
            <v>N/A</v>
          </cell>
          <cell r="F120">
            <v>25000071</v>
          </cell>
          <cell r="G120">
            <v>1993</v>
          </cell>
          <cell r="H120" t="str">
            <v>Expired</v>
          </cell>
          <cell r="I120" t="str">
            <v>Expired</v>
          </cell>
          <cell r="J120" t="str">
            <v>Yes</v>
          </cell>
          <cell r="K120" t="str">
            <v>No</v>
          </cell>
          <cell r="L120" t="str">
            <v>Service paid by customer</v>
          </cell>
        </row>
        <row r="121">
          <cell r="A121">
            <v>2</v>
          </cell>
          <cell r="B121" t="str">
            <v>France</v>
          </cell>
          <cell r="C121" t="str">
            <v>KAI-I-M</v>
          </cell>
          <cell r="D121" t="str">
            <v>KAI</v>
          </cell>
          <cell r="E121" t="str">
            <v xml:space="preserve">P/004121 </v>
          </cell>
          <cell r="F121">
            <v>10074334</v>
          </cell>
          <cell r="G121">
            <v>37099</v>
          </cell>
          <cell r="H121">
            <v>37156</v>
          </cell>
          <cell r="I121" t="str">
            <v>Expired</v>
          </cell>
          <cell r="J121" t="str">
            <v>Yes</v>
          </cell>
          <cell r="K121" t="str">
            <v>No</v>
          </cell>
          <cell r="L121" t="str">
            <v>Service paid by customer</v>
          </cell>
        </row>
        <row r="122">
          <cell r="A122">
            <v>3</v>
          </cell>
          <cell r="B122" t="str">
            <v>France</v>
          </cell>
          <cell r="C122" t="str">
            <v>KAI-I-M</v>
          </cell>
          <cell r="D122" t="str">
            <v>KAI</v>
          </cell>
          <cell r="E122" t="str">
            <v>N/A</v>
          </cell>
          <cell r="H122" t="str">
            <v>Expired</v>
          </cell>
          <cell r="I122" t="str">
            <v>Expired</v>
          </cell>
          <cell r="J122" t="str">
            <v>Yes</v>
          </cell>
          <cell r="K122" t="str">
            <v>No</v>
          </cell>
          <cell r="L122" t="str">
            <v>Service paid by customer</v>
          </cell>
        </row>
        <row r="123">
          <cell r="A123">
            <v>4</v>
          </cell>
          <cell r="B123" t="str">
            <v>France</v>
          </cell>
          <cell r="C123" t="str">
            <v>KAI-I-XL</v>
          </cell>
          <cell r="D123" t="str">
            <v>KAI</v>
          </cell>
          <cell r="E123" t="str">
            <v>N/A</v>
          </cell>
          <cell r="H123" t="str">
            <v>Expired</v>
          </cell>
          <cell r="I123" t="str">
            <v>Expired</v>
          </cell>
          <cell r="J123" t="str">
            <v>Yes</v>
          </cell>
          <cell r="K123" t="str">
            <v>No</v>
          </cell>
          <cell r="L123" t="str">
            <v>Service paid by customer</v>
          </cell>
        </row>
        <row r="124">
          <cell r="A124">
            <v>5</v>
          </cell>
          <cell r="B124" t="str">
            <v>France</v>
          </cell>
          <cell r="C124" t="str">
            <v xml:space="preserve">KAI-I-800 </v>
          </cell>
          <cell r="D124" t="str">
            <v>KAI</v>
          </cell>
          <cell r="E124" t="str">
            <v>I/000066</v>
          </cell>
          <cell r="F124">
            <v>10002576</v>
          </cell>
          <cell r="G124">
            <v>1999</v>
          </cell>
          <cell r="H124" t="str">
            <v>Expired</v>
          </cell>
          <cell r="I124" t="str">
            <v>Expired</v>
          </cell>
          <cell r="J124" t="str">
            <v>Yes</v>
          </cell>
          <cell r="K124" t="str">
            <v>No</v>
          </cell>
          <cell r="L124" t="str">
            <v>Service paid by customer</v>
          </cell>
        </row>
        <row r="125">
          <cell r="A125">
            <v>6</v>
          </cell>
          <cell r="B125" t="str">
            <v>France</v>
          </cell>
          <cell r="C125" t="str">
            <v xml:space="preserve">KAI-I-800 </v>
          </cell>
          <cell r="D125" t="str">
            <v>KAI</v>
          </cell>
          <cell r="E125" t="str">
            <v xml:space="preserve">I/000067 </v>
          </cell>
          <cell r="F125">
            <v>10001933</v>
          </cell>
          <cell r="G125">
            <v>1999</v>
          </cell>
          <cell r="H125" t="str">
            <v>Expired</v>
          </cell>
          <cell r="I125" t="str">
            <v>Expired</v>
          </cell>
          <cell r="J125" t="str">
            <v>Yes</v>
          </cell>
          <cell r="K125" t="str">
            <v>No</v>
          </cell>
          <cell r="L125" t="str">
            <v>Service paid by customer</v>
          </cell>
        </row>
        <row r="126">
          <cell r="A126">
            <v>7</v>
          </cell>
          <cell r="B126" t="str">
            <v>France</v>
          </cell>
          <cell r="C126" t="str">
            <v>KAI-I-1000</v>
          </cell>
          <cell r="D126" t="str">
            <v>KAI</v>
          </cell>
          <cell r="E126" t="str">
            <v>I/000137</v>
          </cell>
          <cell r="F126">
            <v>10053754</v>
          </cell>
          <cell r="G126">
            <v>2000</v>
          </cell>
          <cell r="H126" t="str">
            <v>Expired</v>
          </cell>
          <cell r="I126" t="str">
            <v>Expired</v>
          </cell>
          <cell r="J126" t="str">
            <v>Yes</v>
          </cell>
          <cell r="K126" t="str">
            <v>No</v>
          </cell>
          <cell r="L126" t="str">
            <v>Service paid by customer</v>
          </cell>
        </row>
        <row r="127">
          <cell r="A127">
            <v>8</v>
          </cell>
          <cell r="B127" t="str">
            <v>France</v>
          </cell>
          <cell r="C127" t="str">
            <v>KAI-I- 1200</v>
          </cell>
          <cell r="D127" t="str">
            <v>KAI</v>
          </cell>
          <cell r="E127" t="str">
            <v>I/000180</v>
          </cell>
          <cell r="F127">
            <v>10085035</v>
          </cell>
          <cell r="G127">
            <v>2002</v>
          </cell>
          <cell r="H127" t="str">
            <v>Expired</v>
          </cell>
          <cell r="I127" t="str">
            <v>Expired</v>
          </cell>
          <cell r="J127" t="str">
            <v>Yes</v>
          </cell>
          <cell r="K127" t="str">
            <v>No</v>
          </cell>
          <cell r="L127" t="str">
            <v>Service paid by customer</v>
          </cell>
        </row>
        <row r="128">
          <cell r="A128">
            <v>9</v>
          </cell>
          <cell r="B128" t="str">
            <v>France</v>
          </cell>
          <cell r="C128" t="str">
            <v xml:space="preserve">HAI-I-700 </v>
          </cell>
          <cell r="D128" t="str">
            <v>Edger</v>
          </cell>
          <cell r="E128" t="str">
            <v>I/000016</v>
          </cell>
          <cell r="G128">
            <v>2000</v>
          </cell>
          <cell r="H128" t="str">
            <v>Expired</v>
          </cell>
          <cell r="I128" t="str">
            <v>Expired</v>
          </cell>
          <cell r="J128" t="str">
            <v>Yes</v>
          </cell>
          <cell r="K128" t="str">
            <v>No</v>
          </cell>
          <cell r="L128" t="str">
            <v>Service paid by customer</v>
          </cell>
        </row>
      </sheetData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st Analysis"/>
      <sheetName val="Summary"/>
      <sheetName val="Working Capital"/>
      <sheetName val="Profit &amp; Loss"/>
      <sheetName val="Cash Flows"/>
      <sheetName val="Balance Sheet"/>
      <sheetName val="Discussion Sheet"/>
      <sheetName val="CMA"/>
      <sheetName val="Depreciation"/>
      <sheetName val="Exist Assump"/>
      <sheetName val="Exist COP"/>
      <sheetName val="SSC_Assu"/>
      <sheetName val="SSC_CoP"/>
      <sheetName val="CRM_Assu"/>
      <sheetName val="CRM_CoP"/>
      <sheetName val="CHECKS"/>
      <sheetName val="IM Sheet"/>
      <sheetName val="IM Presentation"/>
      <sheetName val="Pricing Backu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3">
          <cell r="C113">
            <v>10000000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structuring Ratios"/>
      <sheetName val="Restructuring"/>
      <sheetName val="Points to discuss"/>
      <sheetName val="Consol_Assumptions"/>
      <sheetName val="Summary"/>
      <sheetName val="S4A workings"/>
      <sheetName val="Sheet1"/>
      <sheetName val="S4A-1638 cr"/>
      <sheetName val="UGML os March 31"/>
      <sheetName val="Beta wacc"/>
      <sheetName val="Rev &amp; Cost (BCG)"/>
      <sheetName val="Exst-MV"/>
      <sheetName val="PhI+II-MV"/>
      <sheetName val="Ph I &amp;Ph II-Comb. Fin."/>
      <sheetName val="PhI+Mod1-MV"/>
      <sheetName val="Ph I &amp;Mod I-Comb. Fin."/>
      <sheetName val="Exst-Debt-New"/>
      <sheetName val="Exst-Financials"/>
      <sheetName val="Hot Metal Costing-BCG"/>
      <sheetName val="Exst-Assumption"/>
      <sheetName val="Exst Ops"/>
      <sheetName val="Repayment schedule(old) "/>
      <sheetName val="Repayment Quarterly"/>
      <sheetName val="UGML_Int rates"/>
      <sheetName val="Exst-WC"/>
      <sheetName val="Exst-Debt"/>
      <sheetName val="Exst-Dep"/>
      <sheetName val="Mod I-Proj Financials"/>
      <sheetName val="Mod I-Key Assumptions"/>
      <sheetName val="Mod I-Proj_Assumption Expense"/>
      <sheetName val="Mod I-Proj Cost"/>
      <sheetName val="Mod I-Proj Depri"/>
      <sheetName val="Mod I-Proj WC"/>
      <sheetName val="Mod I-Proj Capex, Debt"/>
      <sheetName val="Ph II-Proj Cost"/>
      <sheetName val="Ph II-Proj Financials"/>
      <sheetName val="COP"/>
      <sheetName val="Bar Costing"/>
      <sheetName val="Ph II-Proj_Assumption Expense"/>
      <sheetName val="Ph II-Key Assumptions"/>
      <sheetName val="Ph II-Proj WC"/>
      <sheetName val="Ph II-Proj Capex, Debt"/>
      <sheetName val="Ph II-Proj Depri"/>
      <sheetName val="S4A_Old "/>
    </sheetNames>
    <sheetDataSet>
      <sheetData sheetId="0"/>
      <sheetData sheetId="1"/>
      <sheetData sheetId="2"/>
      <sheetData sheetId="3"/>
      <sheetData sheetId="4"/>
      <sheetData sheetId="5">
        <row r="41">
          <cell r="E4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02">
          <cell r="C202">
            <v>1000000</v>
          </cell>
        </row>
        <row r="203">
          <cell r="C203">
            <v>10000000</v>
          </cell>
        </row>
        <row r="207">
          <cell r="C207">
            <v>24</v>
          </cell>
        </row>
        <row r="210">
          <cell r="C210">
            <v>365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nsitivity"/>
      <sheetName val="Project-Assumptions1"/>
      <sheetName val="Project-Assumptions2"/>
      <sheetName val="Project-Cost"/>
      <sheetName val="Project-Capex"/>
      <sheetName val="Project-Depreciation"/>
      <sheetName val="Project-COP"/>
      <sheetName val="Project-WC"/>
      <sheetName val="Project-P&amp;L"/>
      <sheetName val="Project-CF"/>
      <sheetName val="Project-BS"/>
      <sheetName val="Project-DSCR,IRR"/>
      <sheetName val="Project Key Financials"/>
      <sheetName val="IO Norms"/>
      <sheetName val="Av Maturity Period"/>
      <sheetName val="P&amp;L-PV Cell"/>
      <sheetName val="CF,NPV-PV Cell"/>
      <sheetName val="P&amp;L-Wafer"/>
      <sheetName val="CF,NPV-Wafer Line"/>
      <sheetName val="Sheet1"/>
      <sheetName val="Project-Depreciation (2)"/>
    </sheetNames>
    <sheetDataSet>
      <sheetData sheetId="0"/>
      <sheetData sheetId="1">
        <row r="10">
          <cell r="F10">
            <v>1</v>
          </cell>
        </row>
        <row r="11">
          <cell r="F11">
            <v>1</v>
          </cell>
        </row>
        <row r="12">
          <cell r="F12">
            <v>1</v>
          </cell>
        </row>
        <row r="14">
          <cell r="F14">
            <v>0</v>
          </cell>
        </row>
      </sheetData>
      <sheetData sheetId="2"/>
      <sheetData sheetId="3"/>
      <sheetData sheetId="4">
        <row r="393">
          <cell r="D393">
            <v>1.8781064573621411</v>
          </cell>
        </row>
        <row r="394">
          <cell r="D394">
            <v>1.8781505669401903</v>
          </cell>
        </row>
        <row r="399">
          <cell r="D399">
            <v>4.6463889986601785</v>
          </cell>
        </row>
        <row r="400">
          <cell r="D400">
            <v>4.6542097025192835</v>
          </cell>
        </row>
      </sheetData>
      <sheetData sheetId="5">
        <row r="123">
          <cell r="E123">
            <v>0.15762788367255279</v>
          </cell>
          <cell r="F123">
            <v>0.8550817577008839</v>
          </cell>
          <cell r="G123">
            <v>2.5447539584528482</v>
          </cell>
          <cell r="H123">
            <v>4.3506938506784323</v>
          </cell>
          <cell r="I123">
            <v>6.3888962418892969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53">
          <cell r="E153">
            <v>0</v>
          </cell>
          <cell r="F153">
            <v>0.27250807546608796</v>
          </cell>
          <cell r="G153">
            <v>0.74234418166277283</v>
          </cell>
          <cell r="H153">
            <v>1.3313864452749717</v>
          </cell>
          <cell r="I153">
            <v>3.8940212624200958</v>
          </cell>
          <cell r="J153">
            <v>7.752757739048012</v>
          </cell>
          <cell r="K153">
            <v>12.858973989341877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E154">
            <v>0</v>
          </cell>
          <cell r="F154">
            <v>0.27148376021089227</v>
          </cell>
          <cell r="G154">
            <v>0.74029556969753196</v>
          </cell>
          <cell r="H154">
            <v>1.3293379138583816</v>
          </cell>
          <cell r="I154">
            <v>3.8929974855361027</v>
          </cell>
          <cell r="J154">
            <v>7.75275927443999</v>
          </cell>
          <cell r="K154">
            <v>12.882364245038257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kunaldesai.blog/nifty-returns/" TargetMode="External"/><Relationship Id="rId1" Type="http://schemas.openxmlformats.org/officeDocument/2006/relationships/hyperlink" Target="https://in.investing.com/rates-bonds/india-10-year-bond-yield-historical-dat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76"/>
  <sheetViews>
    <sheetView showGridLines="0" workbookViewId="0">
      <selection activeCell="F76" sqref="F76"/>
    </sheetView>
  </sheetViews>
  <sheetFormatPr defaultRowHeight="15"/>
  <cols>
    <col min="1" max="1" width="7.140625" bestFit="1" customWidth="1"/>
    <col min="2" max="2" width="36.5703125" style="546" customWidth="1"/>
    <col min="3" max="6" width="13.7109375" style="547" customWidth="1"/>
    <col min="7" max="7" width="18.7109375" style="547" customWidth="1"/>
    <col min="8" max="9" width="13.7109375" style="547" customWidth="1"/>
    <col min="10" max="10" width="12.7109375" customWidth="1"/>
    <col min="16" max="16" width="20.42578125" bestFit="1" customWidth="1"/>
  </cols>
  <sheetData>
    <row r="1" spans="1:8" ht="17.25" customHeight="1"/>
    <row r="2" spans="1:8" ht="19.5" customHeight="1">
      <c r="B2" s="552" t="s">
        <v>859</v>
      </c>
      <c r="C2" s="548"/>
      <c r="D2" s="548"/>
      <c r="E2" s="548"/>
      <c r="F2" s="548"/>
      <c r="G2" s="548"/>
      <c r="H2" s="548"/>
    </row>
    <row r="3" spans="1:8" ht="15.75" customHeight="1"/>
    <row r="4" spans="1:8" ht="18" customHeight="1">
      <c r="B4" s="549" t="s">
        <v>55</v>
      </c>
      <c r="C4" s="550"/>
      <c r="D4" s="550"/>
      <c r="E4" s="550"/>
      <c r="F4" s="550"/>
      <c r="G4" s="550"/>
      <c r="H4" s="550"/>
    </row>
    <row r="5" spans="1:8">
      <c r="C5" s="553">
        <v>1</v>
      </c>
      <c r="D5" s="553">
        <f>C5+1</f>
        <v>2</v>
      </c>
      <c r="E5" s="553">
        <f t="shared" ref="E5:H5" si="0">D5+1</f>
        <v>3</v>
      </c>
      <c r="F5" s="553">
        <f t="shared" si="0"/>
        <v>4</v>
      </c>
      <c r="G5" s="553">
        <f t="shared" si="0"/>
        <v>5</v>
      </c>
      <c r="H5" s="553">
        <f t="shared" si="0"/>
        <v>6</v>
      </c>
    </row>
    <row r="6" spans="1:8">
      <c r="B6" s="549" t="s">
        <v>461</v>
      </c>
      <c r="C6" s="551">
        <f>DATE(2024,3,31)</f>
        <v>45382</v>
      </c>
      <c r="D6" s="551">
        <f>DATE(YEAR(C6)+1,MONTH(C6),DAY(C6))</f>
        <v>45747</v>
      </c>
      <c r="E6" s="551">
        <f t="shared" ref="E6:H6" si="1">DATE(YEAR(D6)+1,MONTH(D6),DAY(D6))</f>
        <v>46112</v>
      </c>
      <c r="F6" s="551">
        <f t="shared" si="1"/>
        <v>46477</v>
      </c>
      <c r="G6" s="551">
        <f t="shared" si="1"/>
        <v>46843</v>
      </c>
      <c r="H6" s="551">
        <f t="shared" si="1"/>
        <v>47208</v>
      </c>
    </row>
    <row r="8" spans="1:8">
      <c r="B8" s="546" t="s">
        <v>860</v>
      </c>
      <c r="C8" s="547">
        <v>3</v>
      </c>
      <c r="D8" s="547">
        <v>12</v>
      </c>
      <c r="E8" s="547">
        <f>D8</f>
        <v>12</v>
      </c>
      <c r="F8" s="547">
        <f t="shared" ref="F8:G8" si="2">E8</f>
        <v>12</v>
      </c>
      <c r="G8" s="547">
        <f t="shared" si="2"/>
        <v>12</v>
      </c>
      <c r="H8" s="547">
        <v>6</v>
      </c>
    </row>
    <row r="10" spans="1:8">
      <c r="B10" s="546" t="s">
        <v>7</v>
      </c>
      <c r="C10" s="554">
        <f>PL!L20</f>
        <v>7.3440112053788233</v>
      </c>
      <c r="D10" s="554">
        <f>PL!M20</f>
        <v>24.787409783386664</v>
      </c>
      <c r="E10" s="554">
        <f>PL!N20</f>
        <v>39.530016667071685</v>
      </c>
      <c r="F10" s="554">
        <f>PL!O20</f>
        <v>38.856474731544694</v>
      </c>
      <c r="G10" s="554">
        <f>PL!P20</f>
        <v>53.808019708513612</v>
      </c>
      <c r="H10" s="554">
        <f>PL!Q20</f>
        <v>31.843106006487389</v>
      </c>
    </row>
    <row r="11" spans="1:8">
      <c r="B11" s="546" t="s">
        <v>861</v>
      </c>
      <c r="C11" s="554">
        <f>PL!L21</f>
        <v>45.5</v>
      </c>
      <c r="D11" s="554">
        <f>PL!M21</f>
        <v>45.5</v>
      </c>
      <c r="E11" s="554">
        <f>PL!N21</f>
        <v>45.5</v>
      </c>
      <c r="F11" s="554">
        <f>PL!O21</f>
        <v>45.5</v>
      </c>
      <c r="G11" s="554">
        <f>PL!P21</f>
        <v>46.04</v>
      </c>
      <c r="H11" s="554">
        <f>PL!Q21</f>
        <v>0</v>
      </c>
    </row>
    <row r="12" spans="1:8">
      <c r="B12" s="546" t="s">
        <v>8</v>
      </c>
      <c r="C12" s="554">
        <f>C10-C11</f>
        <v>-38.15598879462118</v>
      </c>
      <c r="D12" s="554">
        <f t="shared" ref="D12:H12" si="3">D10-D11</f>
        <v>-20.712590216613336</v>
      </c>
      <c r="E12" s="554">
        <f t="shared" si="3"/>
        <v>-5.9699833329283152</v>
      </c>
      <c r="F12" s="554">
        <f t="shared" si="3"/>
        <v>-6.6435252684553063</v>
      </c>
      <c r="G12" s="554">
        <f t="shared" si="3"/>
        <v>7.7680197085136129</v>
      </c>
      <c r="H12" s="554">
        <f t="shared" si="3"/>
        <v>31.843106006487389</v>
      </c>
    </row>
    <row r="13" spans="1:8">
      <c r="A13" s="561">
        <v>0.25169999999999998</v>
      </c>
      <c r="B13" s="546" t="s">
        <v>208</v>
      </c>
      <c r="C13" s="555">
        <f>IF(C12&gt;0,25%,0%)</f>
        <v>0</v>
      </c>
      <c r="D13" s="555">
        <f t="shared" ref="D13:F13" si="4">IF(D12&gt;0,25%,0%)</f>
        <v>0</v>
      </c>
      <c r="E13" s="555">
        <f t="shared" si="4"/>
        <v>0</v>
      </c>
      <c r="F13" s="555">
        <f t="shared" si="4"/>
        <v>0</v>
      </c>
      <c r="G13" s="555">
        <f>IF(G12&gt;0,$A$13,0%)</f>
        <v>0.25169999999999998</v>
      </c>
      <c r="H13" s="555">
        <f>IF(H12&gt;0,$A$13,0%)</f>
        <v>0.25169999999999998</v>
      </c>
    </row>
    <row r="14" spans="1:8">
      <c r="B14" s="546" t="s">
        <v>862</v>
      </c>
      <c r="C14" s="556">
        <f>1-C13</f>
        <v>1</v>
      </c>
      <c r="D14" s="556">
        <f t="shared" ref="D14:H14" si="5">1-D13</f>
        <v>1</v>
      </c>
      <c r="E14" s="556">
        <f t="shared" si="5"/>
        <v>1</v>
      </c>
      <c r="F14" s="556">
        <f t="shared" si="5"/>
        <v>1</v>
      </c>
      <c r="G14" s="556">
        <f t="shared" si="5"/>
        <v>0.74829999999999997</v>
      </c>
      <c r="H14" s="556">
        <f t="shared" si="5"/>
        <v>0.74829999999999997</v>
      </c>
    </row>
    <row r="16" spans="1:8">
      <c r="B16" s="557" t="s">
        <v>863</v>
      </c>
      <c r="C16" s="554">
        <f>C12*C14</f>
        <v>-38.15598879462118</v>
      </c>
      <c r="D16" s="554">
        <f t="shared" ref="D16:H16" si="6">D12*D14</f>
        <v>-20.712590216613336</v>
      </c>
      <c r="E16" s="554">
        <f t="shared" si="6"/>
        <v>-5.9699833329283152</v>
      </c>
      <c r="F16" s="554">
        <f t="shared" si="6"/>
        <v>-6.6435252684553063</v>
      </c>
      <c r="G16" s="554">
        <f t="shared" si="6"/>
        <v>5.8128091478807367</v>
      </c>
      <c r="H16" s="554">
        <f t="shared" si="6"/>
        <v>23.828196224654512</v>
      </c>
    </row>
    <row r="17" spans="2:8">
      <c r="B17" s="557" t="s">
        <v>864</v>
      </c>
      <c r="C17" s="554">
        <f>C11</f>
        <v>45.5</v>
      </c>
      <c r="D17" s="554">
        <f t="shared" ref="D17:H17" si="7">D11</f>
        <v>45.5</v>
      </c>
      <c r="E17" s="554">
        <f t="shared" si="7"/>
        <v>45.5</v>
      </c>
      <c r="F17" s="554">
        <f t="shared" si="7"/>
        <v>45.5</v>
      </c>
      <c r="G17" s="554">
        <f t="shared" si="7"/>
        <v>46.04</v>
      </c>
      <c r="H17" s="554">
        <f t="shared" si="7"/>
        <v>0</v>
      </c>
    </row>
    <row r="18" spans="2:8">
      <c r="B18" s="546" t="s">
        <v>865</v>
      </c>
      <c r="C18" s="554">
        <v>0</v>
      </c>
      <c r="D18" s="554">
        <v>0</v>
      </c>
      <c r="E18" s="554">
        <v>0</v>
      </c>
      <c r="F18" s="554">
        <v>0</v>
      </c>
      <c r="G18" s="554">
        <v>0</v>
      </c>
      <c r="H18" s="554">
        <v>0</v>
      </c>
    </row>
    <row r="19" spans="2:8">
      <c r="B19" s="557" t="s">
        <v>866</v>
      </c>
      <c r="C19" s="554">
        <f>-SUM('Capex Plan'!B32:D32)</f>
        <v>-6.8501662439879123</v>
      </c>
      <c r="D19" s="554">
        <f>-SUM('Capex Plan'!E32:P32)</f>
        <v>-85.632176355104193</v>
      </c>
      <c r="E19" s="554">
        <v>0</v>
      </c>
      <c r="F19" s="554">
        <f>E19</f>
        <v>0</v>
      </c>
      <c r="G19" s="554">
        <f t="shared" ref="G19:H19" si="8">F19</f>
        <v>0</v>
      </c>
      <c r="H19" s="554">
        <f t="shared" si="8"/>
        <v>0</v>
      </c>
    </row>
    <row r="21" spans="2:8">
      <c r="B21" s="546" t="s">
        <v>867</v>
      </c>
      <c r="C21" s="554">
        <f>C16+C17+C18+C19</f>
        <v>0.4938449613909075</v>
      </c>
      <c r="D21" s="554">
        <f t="shared" ref="D21:H21" si="9">D16+D17+D18+D19</f>
        <v>-60.844766571717528</v>
      </c>
      <c r="E21" s="554">
        <f t="shared" si="9"/>
        <v>39.530016667071685</v>
      </c>
      <c r="F21" s="554">
        <f t="shared" si="9"/>
        <v>38.856474731544694</v>
      </c>
      <c r="G21" s="554">
        <f t="shared" si="9"/>
        <v>51.852809147880734</v>
      </c>
      <c r="H21" s="554">
        <f t="shared" si="9"/>
        <v>23.828196224654512</v>
      </c>
    </row>
    <row r="23" spans="2:8">
      <c r="B23" s="546" t="s">
        <v>868</v>
      </c>
      <c r="C23" s="554">
        <f>C8/12</f>
        <v>0.25</v>
      </c>
      <c r="D23" s="554">
        <f>C23+D8/12</f>
        <v>1.25</v>
      </c>
      <c r="E23" s="554">
        <f t="shared" ref="E23:H23" si="10">D23+E8/12</f>
        <v>2.25</v>
      </c>
      <c r="F23" s="554">
        <f t="shared" si="10"/>
        <v>3.25</v>
      </c>
      <c r="G23" s="554">
        <f t="shared" si="10"/>
        <v>4.25</v>
      </c>
      <c r="H23" s="554">
        <f t="shared" si="10"/>
        <v>4.75</v>
      </c>
    </row>
    <row r="24" spans="2:8">
      <c r="B24" s="546" t="s">
        <v>869</v>
      </c>
      <c r="C24" s="554">
        <f>1/(1+$C$26)^C23</f>
        <v>0.96971756224580785</v>
      </c>
      <c r="D24" s="554">
        <f t="shared" ref="D24:H24" si="11">1/(1+$C$26)^D23</f>
        <v>0.85748455297190318</v>
      </c>
      <c r="E24" s="554">
        <f t="shared" si="11"/>
        <v>0.75824114898214334</v>
      </c>
      <c r="F24" s="554">
        <f t="shared" si="11"/>
        <v>0.67048396150944944</v>
      </c>
      <c r="G24" s="554">
        <f t="shared" si="11"/>
        <v>0.59288360074479662</v>
      </c>
      <c r="H24" s="554">
        <f t="shared" si="11"/>
        <v>0.55751936897312537</v>
      </c>
    </row>
    <row r="26" spans="2:8">
      <c r="B26" s="546" t="s">
        <v>189</v>
      </c>
      <c r="C26" s="556">
        <f>M49</f>
        <v>0.13088633361956586</v>
      </c>
    </row>
    <row r="28" spans="2:8">
      <c r="B28" s="546" t="s">
        <v>870</v>
      </c>
      <c r="C28" s="554">
        <f>C21*C24</f>
        <v>0.47889013208736592</v>
      </c>
      <c r="D28" s="554">
        <f t="shared" ref="D28:H28" si="12">D21*D24</f>
        <v>-52.173447464429003</v>
      </c>
      <c r="E28" s="554">
        <f t="shared" si="12"/>
        <v>29.97328525692371</v>
      </c>
      <c r="F28" s="554">
        <f t="shared" si="12"/>
        <v>26.052643108297907</v>
      </c>
      <c r="G28" s="554">
        <f t="shared" si="12"/>
        <v>30.742680196328259</v>
      </c>
      <c r="H28" s="554">
        <f t="shared" si="12"/>
        <v>13.284680922937191</v>
      </c>
    </row>
    <row r="30" spans="2:8">
      <c r="B30" s="549" t="s">
        <v>38</v>
      </c>
      <c r="C30" s="558">
        <f>SUM(C28:H28)</f>
        <v>48.358732152145429</v>
      </c>
    </row>
    <row r="32" spans="2:8">
      <c r="B32" s="546" t="s">
        <v>255</v>
      </c>
      <c r="C32" s="554">
        <f>Valuation_NAV!G15</f>
        <v>3.5154999999999998</v>
      </c>
    </row>
    <row r="33" spans="2:16">
      <c r="B33" s="557" t="s">
        <v>252</v>
      </c>
      <c r="C33" s="554">
        <f>Valuation_NAV!G23</f>
        <v>17.032299999999999</v>
      </c>
    </row>
    <row r="35" spans="2:16">
      <c r="B35" s="549" t="s">
        <v>871</v>
      </c>
      <c r="C35" s="558">
        <f>C30+C32+C33</f>
        <v>68.906532152145431</v>
      </c>
    </row>
    <row r="43" spans="2:16">
      <c r="B43" s="549" t="s">
        <v>872</v>
      </c>
      <c r="C43" s="559"/>
      <c r="D43" s="559"/>
      <c r="E43" s="559"/>
      <c r="F43" s="559"/>
      <c r="I43" s="549" t="s">
        <v>166</v>
      </c>
      <c r="J43" s="568"/>
      <c r="K43" s="568"/>
      <c r="L43" s="568"/>
      <c r="M43" s="568"/>
      <c r="P43" s="561">
        <f>P44-1%</f>
        <v>0.12088633361956587</v>
      </c>
    </row>
    <row r="44" spans="2:16">
      <c r="B44"/>
      <c r="C44"/>
      <c r="D44"/>
      <c r="E44"/>
      <c r="F44"/>
      <c r="I44"/>
      <c r="P44" s="561">
        <f>M47</f>
        <v>0.13088633361956586</v>
      </c>
    </row>
    <row r="45" spans="2:16">
      <c r="B45" s="560" t="s">
        <v>873</v>
      </c>
      <c r="C45"/>
      <c r="D45"/>
      <c r="E45"/>
      <c r="F45" s="561">
        <f>F57</f>
        <v>0.99728136743449647</v>
      </c>
      <c r="I45" s="565" t="s">
        <v>883</v>
      </c>
      <c r="M45" s="569">
        <v>0.03</v>
      </c>
      <c r="P45" s="588">
        <f>P44+1%</f>
        <v>0.14088633361956587</v>
      </c>
    </row>
    <row r="46" spans="2:16">
      <c r="B46" s="560" t="s">
        <v>874</v>
      </c>
      <c r="C46"/>
      <c r="D46"/>
      <c r="E46"/>
      <c r="F46" s="561">
        <f>F66</f>
        <v>0.10064635</v>
      </c>
      <c r="I46" s="565" t="s">
        <v>189</v>
      </c>
      <c r="M46" s="569">
        <f>F49</f>
        <v>0.10088633361956587</v>
      </c>
    </row>
    <row r="47" spans="2:16">
      <c r="B47" s="560" t="s">
        <v>875</v>
      </c>
      <c r="C47"/>
      <c r="D47"/>
      <c r="E47"/>
      <c r="F47" s="561">
        <f>F58</f>
        <v>2.7186325655035315E-3</v>
      </c>
      <c r="I47" s="549" t="s">
        <v>166</v>
      </c>
      <c r="J47" s="570"/>
      <c r="K47" s="570"/>
      <c r="L47" s="570"/>
      <c r="M47" s="571">
        <f>SUM(M45:M46)</f>
        <v>0.13088633361956586</v>
      </c>
    </row>
    <row r="48" spans="2:16">
      <c r="B48" s="560" t="s">
        <v>876</v>
      </c>
      <c r="C48"/>
      <c r="D48"/>
      <c r="E48"/>
      <c r="F48" s="561">
        <f>F76</f>
        <v>0.18891999999999998</v>
      </c>
    </row>
    <row r="49" spans="2:13">
      <c r="B49" s="562" t="s">
        <v>189</v>
      </c>
      <c r="C49" s="563"/>
      <c r="D49" s="563"/>
      <c r="E49" s="563"/>
      <c r="F49" s="564">
        <f>F45*F46+F47*F48</f>
        <v>0.10088633361956587</v>
      </c>
      <c r="M49" s="571">
        <v>0.13088633361956586</v>
      </c>
    </row>
    <row r="52" spans="2:13">
      <c r="B52" s="549" t="s">
        <v>877</v>
      </c>
      <c r="C52" s="559"/>
      <c r="D52" s="559"/>
      <c r="E52" s="559"/>
      <c r="F52" s="550" t="s">
        <v>878</v>
      </c>
    </row>
    <row r="53" spans="2:13">
      <c r="B53"/>
      <c r="C53"/>
      <c r="D53"/>
      <c r="E53"/>
      <c r="F53"/>
    </row>
    <row r="54" spans="2:13">
      <c r="B54" s="565" t="s">
        <v>73</v>
      </c>
      <c r="C54"/>
      <c r="D54"/>
      <c r="E54"/>
      <c r="F54">
        <f>(31248+12.27+5752.29+37.47)/10^2</f>
        <v>370.50029999999998</v>
      </c>
      <c r="G54" s="547" t="s">
        <v>896</v>
      </c>
    </row>
    <row r="55" spans="2:13">
      <c r="B55" s="565" t="s">
        <v>879</v>
      </c>
      <c r="C55"/>
      <c r="D55"/>
      <c r="E55"/>
      <c r="F55">
        <f>101/10^2</f>
        <v>1.01</v>
      </c>
    </row>
    <row r="56" spans="2:13">
      <c r="B56" s="565" t="s">
        <v>880</v>
      </c>
      <c r="C56"/>
      <c r="D56"/>
      <c r="E56"/>
      <c r="F56">
        <f>F54+F55</f>
        <v>371.51029999999997</v>
      </c>
    </row>
    <row r="57" spans="2:13">
      <c r="B57" s="565" t="s">
        <v>881</v>
      </c>
      <c r="C57"/>
      <c r="D57"/>
      <c r="E57"/>
      <c r="F57" s="566">
        <f>F54/F56</f>
        <v>0.99728136743449647</v>
      </c>
    </row>
    <row r="58" spans="2:13">
      <c r="B58" s="565" t="s">
        <v>882</v>
      </c>
      <c r="C58"/>
      <c r="D58"/>
      <c r="E58"/>
      <c r="F58" s="567">
        <f>1-F57</f>
        <v>2.7186325655035315E-3</v>
      </c>
    </row>
    <row r="61" spans="2:13">
      <c r="B61" s="549" t="s">
        <v>884</v>
      </c>
      <c r="C61" s="559"/>
      <c r="D61" s="559"/>
      <c r="E61" s="559"/>
      <c r="F61" s="559"/>
    </row>
    <row r="62" spans="2:13">
      <c r="B62"/>
      <c r="C62"/>
      <c r="D62"/>
      <c r="E62"/>
      <c r="F62"/>
    </row>
    <row r="63" spans="2:13">
      <c r="B63" s="565" t="s">
        <v>183</v>
      </c>
      <c r="C63"/>
      <c r="D63"/>
      <c r="E63"/>
      <c r="F63" s="561">
        <v>0.13450000000000001</v>
      </c>
      <c r="G63" s="547" t="s">
        <v>897</v>
      </c>
    </row>
    <row r="64" spans="2:13">
      <c r="B64" s="565" t="s">
        <v>885</v>
      </c>
      <c r="C64"/>
      <c r="D64"/>
      <c r="E64"/>
      <c r="F64" s="561">
        <f>A13</f>
        <v>0.25169999999999998</v>
      </c>
    </row>
    <row r="65" spans="2:9">
      <c r="B65" s="565" t="s">
        <v>862</v>
      </c>
      <c r="C65"/>
      <c r="D65"/>
      <c r="E65"/>
      <c r="F65" s="566">
        <f>(1-F64)</f>
        <v>0.74829999999999997</v>
      </c>
    </row>
    <row r="66" spans="2:9">
      <c r="B66" s="565" t="s">
        <v>886</v>
      </c>
      <c r="C66"/>
      <c r="D66"/>
      <c r="E66"/>
      <c r="F66" s="561">
        <f>F63*F65</f>
        <v>0.10064635</v>
      </c>
    </row>
    <row r="70" spans="2:9">
      <c r="B70" s="549" t="s">
        <v>887</v>
      </c>
      <c r="C70" s="559"/>
      <c r="D70" s="559"/>
      <c r="E70" s="559"/>
      <c r="F70" s="550" t="s">
        <v>888</v>
      </c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 s="565" t="s">
        <v>889</v>
      </c>
      <c r="C72"/>
      <c r="D72"/>
      <c r="E72"/>
      <c r="F72" s="561">
        <v>7.2160000000000002E-2</v>
      </c>
      <c r="G72" s="573" t="s">
        <v>893</v>
      </c>
      <c r="H72" t="s">
        <v>890</v>
      </c>
      <c r="I72"/>
    </row>
    <row r="73" spans="2:9">
      <c r="B73" s="565" t="s">
        <v>176</v>
      </c>
      <c r="C73"/>
      <c r="D73"/>
      <c r="E73"/>
      <c r="F73" s="572">
        <v>1.5</v>
      </c>
      <c r="G73"/>
      <c r="H73"/>
      <c r="I73"/>
    </row>
    <row r="74" spans="2:9">
      <c r="B74" s="565" t="s">
        <v>891</v>
      </c>
      <c r="C74"/>
      <c r="D74"/>
      <c r="E74"/>
      <c r="F74" s="561">
        <v>0.15</v>
      </c>
      <c r="G74" s="573" t="s">
        <v>895</v>
      </c>
      <c r="H74" t="s">
        <v>894</v>
      </c>
      <c r="I74"/>
    </row>
    <row r="75" spans="2:9">
      <c r="B75" s="565" t="s">
        <v>892</v>
      </c>
      <c r="C75"/>
      <c r="D75"/>
      <c r="E75"/>
      <c r="F75" s="561">
        <f>F74-F72</f>
        <v>7.7839999999999993E-2</v>
      </c>
      <c r="G75"/>
      <c r="H75"/>
      <c r="I75"/>
    </row>
    <row r="76" spans="2:9">
      <c r="B76" s="565" t="s">
        <v>876</v>
      </c>
      <c r="C76"/>
      <c r="D76"/>
      <c r="E76"/>
      <c r="F76" s="574">
        <f>F72+F73*F75</f>
        <v>0.18891999999999998</v>
      </c>
      <c r="G76"/>
      <c r="H76"/>
      <c r="I76"/>
    </row>
  </sheetData>
  <dataValidations count="1">
    <dataValidation type="list" allowBlank="1" showInputMessage="1" showErrorMessage="1" sqref="M49">
      <formula1>$P$43:$P$45</formula1>
    </dataValidation>
  </dataValidations>
  <hyperlinks>
    <hyperlink ref="G72" r:id="rId1"/>
    <hyperlink ref="G74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C5:N16"/>
  <sheetViews>
    <sheetView showGridLines="0" topLeftCell="G1" zoomScale="85" zoomScaleNormal="85" workbookViewId="0"/>
  </sheetViews>
  <sheetFormatPr defaultRowHeight="15"/>
  <cols>
    <col min="3" max="3" width="38" customWidth="1"/>
    <col min="4" max="4" width="11" bestFit="1" customWidth="1"/>
    <col min="5" max="5" width="11.140625" bestFit="1" customWidth="1"/>
    <col min="6" max="6" width="10" bestFit="1" customWidth="1"/>
    <col min="7" max="7" width="15.5703125" bestFit="1" customWidth="1"/>
    <col min="8" max="8" width="23.42578125" bestFit="1" customWidth="1"/>
    <col min="9" max="9" width="28.28515625" bestFit="1" customWidth="1"/>
    <col min="10" max="10" width="11.85546875" bestFit="1" customWidth="1"/>
    <col min="11" max="11" width="15" bestFit="1" customWidth="1"/>
    <col min="12" max="12" width="14.7109375" bestFit="1" customWidth="1"/>
    <col min="13" max="13" width="17.85546875" bestFit="1" customWidth="1"/>
    <col min="14" max="14" width="7.7109375" bestFit="1" customWidth="1"/>
  </cols>
  <sheetData>
    <row r="5" spans="3:14">
      <c r="C5" s="235" t="s">
        <v>211</v>
      </c>
      <c r="D5" s="237" t="s">
        <v>212</v>
      </c>
      <c r="E5" s="237" t="s">
        <v>213</v>
      </c>
      <c r="F5" s="237" t="s">
        <v>75</v>
      </c>
      <c r="G5" s="237" t="s">
        <v>214</v>
      </c>
      <c r="H5" s="237" t="s">
        <v>215</v>
      </c>
      <c r="I5" s="237" t="s">
        <v>216</v>
      </c>
      <c r="J5" s="237" t="s">
        <v>217</v>
      </c>
      <c r="K5" s="237" t="s">
        <v>218</v>
      </c>
      <c r="L5" s="237" t="s">
        <v>219</v>
      </c>
      <c r="M5" s="237" t="s">
        <v>220</v>
      </c>
      <c r="N5" s="238" t="s">
        <v>221</v>
      </c>
    </row>
    <row r="6" spans="3:14">
      <c r="C6" s="239" t="s">
        <v>116</v>
      </c>
      <c r="D6" s="246">
        <f>'Company Beta'!E3</f>
        <v>0.9848598742943907</v>
      </c>
      <c r="E6" s="246">
        <f>'CCM Inputs'!F9</f>
        <v>803.21139108629029</v>
      </c>
      <c r="F6" s="246">
        <f>'Tax and net debt'!C21</f>
        <v>268.41670000000011</v>
      </c>
      <c r="G6" s="246">
        <f>E6+F6</f>
        <v>1071.6280910862904</v>
      </c>
      <c r="H6" s="245">
        <f>F6/E6</f>
        <v>0.33417939907075306</v>
      </c>
      <c r="I6" s="245">
        <f>F6/G6</f>
        <v>0.25047561017919084</v>
      </c>
      <c r="J6" s="245">
        <f>'Tax and net debt'!E4</f>
        <v>0.24590252816807656</v>
      </c>
      <c r="K6" s="246">
        <f>D6/(1+(1-J6)*H6)</f>
        <v>0.78662687992397662</v>
      </c>
      <c r="L6" s="246" t="e">
        <f>K6*(1+(1-$E$16))*($E$13/$E$14)</f>
        <v>#REF!</v>
      </c>
      <c r="M6" s="245">
        <f>G6/$G$11</f>
        <v>6.4022318912733717E-2</v>
      </c>
      <c r="N6" s="247" t="e">
        <f>M6*L6</f>
        <v>#REF!</v>
      </c>
    </row>
    <row r="7" spans="3:14">
      <c r="C7" s="239" t="s">
        <v>117</v>
      </c>
      <c r="D7" s="246">
        <f>'Company Beta'!E4</f>
        <v>1.0412620527747527</v>
      </c>
      <c r="E7" s="246">
        <f>'CCM Inputs'!F10</f>
        <v>4276.3179674567773</v>
      </c>
      <c r="F7" s="246">
        <f>'Tax and net debt'!G21</f>
        <v>-146.24289999999996</v>
      </c>
      <c r="G7" s="246">
        <f t="shared" ref="G7:G10" si="0">E7+F7</f>
        <v>4130.0750674567771</v>
      </c>
      <c r="H7" s="245">
        <f t="shared" ref="H7:H10" si="1">F7/E7</f>
        <v>-3.4198322274658619E-2</v>
      </c>
      <c r="I7" s="245">
        <f t="shared" ref="I7:I10" si="2">F7/G7</f>
        <v>-3.5409259544053176E-2</v>
      </c>
      <c r="J7" s="245">
        <f>'Tax and net debt'!E5</f>
        <v>0.23338414380221431</v>
      </c>
      <c r="K7" s="246">
        <f t="shared" ref="K7:K10" si="3">D7/(1+(1-J7)*H7)</f>
        <v>1.06929575401344</v>
      </c>
      <c r="L7" s="246" t="e">
        <f>K7*(1+(1-$E$16))*($E$13/$E$14)</f>
        <v>#REF!</v>
      </c>
      <c r="M7" s="245">
        <f>G7/$G$11</f>
        <v>0.24674323611115231</v>
      </c>
      <c r="N7" s="247" t="e">
        <f>M7*L7</f>
        <v>#REF!</v>
      </c>
    </row>
    <row r="8" spans="3:14">
      <c r="C8" s="239" t="s">
        <v>118</v>
      </c>
      <c r="D8" s="246">
        <f>'Company Beta'!E5</f>
        <v>1.1791185521681347</v>
      </c>
      <c r="E8" s="246">
        <f>'CCM Inputs'!F11</f>
        <v>1051.0659740920964</v>
      </c>
      <c r="F8" s="246">
        <f>'Tax and net debt'!K21</f>
        <v>335.47</v>
      </c>
      <c r="G8" s="246">
        <f t="shared" si="0"/>
        <v>1386.5359740920965</v>
      </c>
      <c r="H8" s="245">
        <f t="shared" si="1"/>
        <v>0.31917121119801894</v>
      </c>
      <c r="I8" s="245">
        <f t="shared" si="2"/>
        <v>0.24194828426263207</v>
      </c>
      <c r="J8" s="245">
        <f>'Tax and net debt'!E6</f>
        <v>5.9234687833195122E-4</v>
      </c>
      <c r="K8" s="246">
        <f t="shared" si="3"/>
        <v>0.8939609616098837</v>
      </c>
      <c r="L8" s="246" t="e">
        <f>K8*(1+(1-$E$16))*($E$13/$E$14)</f>
        <v>#REF!</v>
      </c>
      <c r="M8" s="245">
        <f>G8/$G$11</f>
        <v>8.2835872870146834E-2</v>
      </c>
      <c r="N8" s="247" t="e">
        <f t="shared" ref="N8:N10" si="4">M8*L8</f>
        <v>#REF!</v>
      </c>
    </row>
    <row r="9" spans="3:14">
      <c r="C9" s="239" t="s">
        <v>119</v>
      </c>
      <c r="D9" s="246">
        <f>'Company Beta'!E6</f>
        <v>0.64172294095584614</v>
      </c>
      <c r="E9" s="246">
        <f>'CCM Inputs'!F12</f>
        <v>1608.0739595544362</v>
      </c>
      <c r="F9" s="246">
        <f>'Tax and net debt'!C30</f>
        <v>373.17520000000002</v>
      </c>
      <c r="G9" s="246">
        <f t="shared" si="0"/>
        <v>1981.2491595544361</v>
      </c>
      <c r="H9" s="245">
        <f t="shared" si="1"/>
        <v>0.23206345565312125</v>
      </c>
      <c r="I9" s="245">
        <f t="shared" si="2"/>
        <v>0.18835349314869793</v>
      </c>
      <c r="J9" s="245">
        <f>'Tax and net debt'!E7</f>
        <v>0.25901186580240182</v>
      </c>
      <c r="K9" s="246">
        <f t="shared" si="3"/>
        <v>0.54756560378116492</v>
      </c>
      <c r="L9" s="246" t="e">
        <f>K9*(1+(1-$E$16))*($E$13/$E$14)</f>
        <v>#REF!</v>
      </c>
      <c r="M9" s="245">
        <f>G9/$G$11</f>
        <v>0.11836584594381067</v>
      </c>
      <c r="N9" s="247" t="e">
        <f t="shared" si="4"/>
        <v>#REF!</v>
      </c>
    </row>
    <row r="10" spans="3:14">
      <c r="C10" s="239" t="s">
        <v>235</v>
      </c>
      <c r="D10" s="246">
        <f>'Company Beta'!E7</f>
        <v>0.88631711392871504</v>
      </c>
      <c r="E10" s="246">
        <f>'CCM Inputs'!F13</f>
        <v>7961.0734152358091</v>
      </c>
      <c r="F10" s="246">
        <f>'Tax and net debt'!G30</f>
        <v>207.79</v>
      </c>
      <c r="G10" s="246">
        <f t="shared" si="0"/>
        <v>8168.863415235809</v>
      </c>
      <c r="H10" s="245">
        <f t="shared" si="1"/>
        <v>2.610075164014113E-2</v>
      </c>
      <c r="I10" s="245">
        <f t="shared" si="2"/>
        <v>2.5436831225804226E-2</v>
      </c>
      <c r="J10" s="245">
        <f>'Tax and net debt'!E8</f>
        <v>0.27076169570237657</v>
      </c>
      <c r="K10" s="246">
        <f t="shared" si="3"/>
        <v>0.86976234630594862</v>
      </c>
      <c r="L10" s="246" t="e">
        <f>K10*(1+(1-$E$16))*($E$13/$E$14)</f>
        <v>#REF!</v>
      </c>
      <c r="M10" s="245">
        <f>G10/$G$11</f>
        <v>0.48803272616215648</v>
      </c>
      <c r="N10" s="247" t="e">
        <f t="shared" si="4"/>
        <v>#REF!</v>
      </c>
    </row>
    <row r="11" spans="3:14">
      <c r="C11" s="248"/>
      <c r="D11" s="249"/>
      <c r="E11" s="250">
        <f>SUM(E6:E10)</f>
        <v>15699.742707425408</v>
      </c>
      <c r="F11" s="249"/>
      <c r="G11" s="250">
        <f>SUM(G6:G10)</f>
        <v>16738.351707425409</v>
      </c>
      <c r="H11" s="249"/>
      <c r="I11" s="249"/>
      <c r="J11" s="249"/>
      <c r="K11" s="249"/>
      <c r="L11" s="250" t="e">
        <f>AVERAGE(L6:L10)</f>
        <v>#REF!</v>
      </c>
      <c r="M11" s="249" t="s">
        <v>222</v>
      </c>
      <c r="N11" s="251" t="e">
        <f>SUM(N6:N10)</f>
        <v>#REF!</v>
      </c>
    </row>
    <row r="12" spans="3:14">
      <c r="C12" t="s">
        <v>223</v>
      </c>
      <c r="L12" s="252" t="e">
        <f>MEDIAN(L6:L10)</f>
        <v>#REF!</v>
      </c>
      <c r="M12" t="s">
        <v>92</v>
      </c>
      <c r="N12" s="252"/>
    </row>
    <row r="13" spans="3:14">
      <c r="D13" t="s">
        <v>224</v>
      </c>
      <c r="E13" s="253">
        <f>DCF!D53</f>
        <v>0.7</v>
      </c>
      <c r="N13" s="252"/>
    </row>
    <row r="14" spans="3:14">
      <c r="D14" t="s">
        <v>225</v>
      </c>
      <c r="E14" s="253">
        <f>1-E13</f>
        <v>0.30000000000000004</v>
      </c>
      <c r="N14" s="252"/>
    </row>
    <row r="16" spans="3:14">
      <c r="D16" t="s">
        <v>208</v>
      </c>
      <c r="E16" s="253" t="e">
        <f>#REF!</f>
        <v>#REF!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K30"/>
  <sheetViews>
    <sheetView showGridLines="0" zoomScale="85" zoomScaleNormal="85" workbookViewId="0"/>
  </sheetViews>
  <sheetFormatPr defaultRowHeight="15"/>
  <cols>
    <col min="2" max="2" width="31.85546875" bestFit="1" customWidth="1"/>
    <col min="3" max="3" width="15.7109375" customWidth="1"/>
    <col min="6" max="6" width="36.140625" customWidth="1"/>
    <col min="7" max="7" width="16" customWidth="1"/>
    <col min="10" max="10" width="36.140625" customWidth="1"/>
  </cols>
  <sheetData>
    <row r="2" spans="2:11">
      <c r="E2" t="s">
        <v>193</v>
      </c>
    </row>
    <row r="3" spans="2:11" ht="30">
      <c r="B3" s="235" t="s">
        <v>206</v>
      </c>
      <c r="C3" s="236" t="s">
        <v>230</v>
      </c>
      <c r="D3" s="237" t="s">
        <v>207</v>
      </c>
      <c r="E3" s="238" t="s">
        <v>208</v>
      </c>
    </row>
    <row r="4" spans="2:11">
      <c r="B4" s="239" t="s">
        <v>116</v>
      </c>
      <c r="C4" s="240">
        <v>206.57249999999999</v>
      </c>
      <c r="D4" s="240">
        <f>51.8-1.0033</f>
        <v>50.796699999999994</v>
      </c>
      <c r="E4" s="241">
        <f t="shared" ref="E4:E8" si="0">D4/C4</f>
        <v>0.24590252816807656</v>
      </c>
      <c r="F4" s="252"/>
    </row>
    <row r="5" spans="2:11">
      <c r="B5" s="239" t="s">
        <v>117</v>
      </c>
      <c r="C5" s="240">
        <v>1933.0662</v>
      </c>
      <c r="D5" s="240">
        <v>451.14699999999999</v>
      </c>
      <c r="E5" s="241">
        <f t="shared" si="0"/>
        <v>0.23338414380221431</v>
      </c>
      <c r="F5" s="252"/>
    </row>
    <row r="6" spans="2:11">
      <c r="B6" s="239" t="s">
        <v>118</v>
      </c>
      <c r="C6" s="240">
        <v>168.82</v>
      </c>
      <c r="D6" s="240">
        <v>0.1</v>
      </c>
      <c r="E6" s="241">
        <f t="shared" si="0"/>
        <v>5.9234687833195122E-4</v>
      </c>
      <c r="F6" s="252"/>
    </row>
    <row r="7" spans="2:11">
      <c r="B7" s="239" t="s">
        <v>119</v>
      </c>
      <c r="C7" s="240">
        <v>237.3038</v>
      </c>
      <c r="D7" s="240">
        <v>61.464500000000001</v>
      </c>
      <c r="E7" s="241">
        <f t="shared" si="0"/>
        <v>0.25901186580240182</v>
      </c>
      <c r="F7" s="252"/>
    </row>
    <row r="8" spans="2:11">
      <c r="B8" s="257" t="s">
        <v>235</v>
      </c>
      <c r="C8" s="258">
        <v>2364.33</v>
      </c>
      <c r="D8" s="258">
        <f>539.46+100.79-0.08</f>
        <v>640.16999999999996</v>
      </c>
      <c r="E8" s="259">
        <f t="shared" si="0"/>
        <v>0.27076169570237657</v>
      </c>
      <c r="F8" s="252"/>
    </row>
    <row r="15" spans="2:11">
      <c r="C15" t="s">
        <v>193</v>
      </c>
      <c r="G15" t="s">
        <v>193</v>
      </c>
      <c r="K15" t="s">
        <v>193</v>
      </c>
    </row>
    <row r="16" spans="2:11">
      <c r="B16" s="594" t="s">
        <v>231</v>
      </c>
      <c r="C16" s="595"/>
      <c r="F16" s="594" t="s">
        <v>232</v>
      </c>
      <c r="G16" s="595"/>
      <c r="J16" s="594" t="s">
        <v>233</v>
      </c>
      <c r="K16" s="595"/>
    </row>
    <row r="17" spans="2:11">
      <c r="B17" s="239" t="s">
        <v>71</v>
      </c>
      <c r="C17" s="247">
        <f>'CCM Inputs'!G9</f>
        <v>149.80290000000002</v>
      </c>
      <c r="F17" s="239" t="s">
        <v>71</v>
      </c>
      <c r="G17" s="247">
        <f>'CCM Inputs'!G10</f>
        <v>10.1739</v>
      </c>
      <c r="J17" s="239" t="s">
        <v>71</v>
      </c>
      <c r="K17" s="247">
        <f>'CCM Inputs'!G11</f>
        <v>290.22000000000003</v>
      </c>
    </row>
    <row r="18" spans="2:11">
      <c r="B18" s="239" t="s">
        <v>209</v>
      </c>
      <c r="C18" s="247">
        <f>'CCM Inputs'!H9</f>
        <v>125.75120000000001</v>
      </c>
      <c r="F18" s="239" t="s">
        <v>209</v>
      </c>
      <c r="G18" s="247">
        <f>'CCM Inputs'!H10</f>
        <v>418.29169999999999</v>
      </c>
      <c r="J18" s="239" t="s">
        <v>209</v>
      </c>
      <c r="K18" s="247">
        <f>'CCM Inputs'!H11</f>
        <v>255.85</v>
      </c>
    </row>
    <row r="19" spans="2:11">
      <c r="B19" s="239" t="s">
        <v>59</v>
      </c>
      <c r="C19" s="242">
        <v>-4.1540999999999997</v>
      </c>
      <c r="F19" s="239" t="s">
        <v>59</v>
      </c>
      <c r="G19" s="242">
        <f>-10.9969</f>
        <v>-10.9969</v>
      </c>
      <c r="J19" s="239" t="s">
        <v>59</v>
      </c>
      <c r="K19" s="242">
        <v>-8.49</v>
      </c>
    </row>
    <row r="20" spans="2:11">
      <c r="B20" s="239" t="s">
        <v>210</v>
      </c>
      <c r="C20" s="242">
        <v>-2.9832999999999998</v>
      </c>
      <c r="F20" s="239" t="s">
        <v>210</v>
      </c>
      <c r="G20" s="242">
        <v>-563.71159999999998</v>
      </c>
      <c r="J20" s="239" t="s">
        <v>210</v>
      </c>
      <c r="K20" s="242">
        <v>-202.11</v>
      </c>
    </row>
    <row r="21" spans="2:11">
      <c r="B21" s="243" t="s">
        <v>75</v>
      </c>
      <c r="C21" s="244">
        <f>SUM(C17:C20)</f>
        <v>268.41670000000011</v>
      </c>
      <c r="F21" s="243" t="s">
        <v>75</v>
      </c>
      <c r="G21" s="244">
        <f>SUM(G17:G20)</f>
        <v>-146.24289999999996</v>
      </c>
      <c r="J21" s="243" t="s">
        <v>75</v>
      </c>
      <c r="K21" s="244">
        <f>SUM(K17:K20)</f>
        <v>335.47</v>
      </c>
    </row>
    <row r="24" spans="2:11">
      <c r="C24" t="s">
        <v>193</v>
      </c>
      <c r="G24" t="s">
        <v>193</v>
      </c>
    </row>
    <row r="25" spans="2:11">
      <c r="B25" s="594" t="s">
        <v>234</v>
      </c>
      <c r="C25" s="595"/>
      <c r="F25" s="594" t="s">
        <v>238</v>
      </c>
      <c r="G25" s="595"/>
    </row>
    <row r="26" spans="2:11">
      <c r="B26" s="239" t="s">
        <v>71</v>
      </c>
      <c r="C26" s="247">
        <f>'CCM Inputs'!G12</f>
        <v>98.8947</v>
      </c>
      <c r="F26" s="239" t="s">
        <v>71</v>
      </c>
      <c r="G26" s="247">
        <f>'CCM Inputs'!G13</f>
        <v>125.83</v>
      </c>
    </row>
    <row r="27" spans="2:11">
      <c r="B27" s="239" t="s">
        <v>209</v>
      </c>
      <c r="C27" s="247">
        <f>'CCM Inputs'!H12</f>
        <v>287.66340000000002</v>
      </c>
      <c r="F27" s="239" t="s">
        <v>209</v>
      </c>
      <c r="G27" s="247">
        <f>'CCM Inputs'!H13</f>
        <v>407.84</v>
      </c>
    </row>
    <row r="28" spans="2:11">
      <c r="B28" s="239" t="s">
        <v>59</v>
      </c>
      <c r="C28" s="242">
        <v>-8.6495999999999995</v>
      </c>
      <c r="F28" s="239" t="s">
        <v>59</v>
      </c>
      <c r="G28" s="242">
        <v>-91.9</v>
      </c>
    </row>
    <row r="29" spans="2:11">
      <c r="B29" s="239" t="s">
        <v>210</v>
      </c>
      <c r="C29" s="242">
        <v>-4.7332999999999998</v>
      </c>
      <c r="F29" s="239" t="s">
        <v>210</v>
      </c>
      <c r="G29" s="242">
        <v>-233.98</v>
      </c>
    </row>
    <row r="30" spans="2:11">
      <c r="B30" s="243" t="s">
        <v>75</v>
      </c>
      <c r="C30" s="244">
        <f>SUM(C26:C29)</f>
        <v>373.17520000000002</v>
      </c>
      <c r="F30" s="243" t="s">
        <v>75</v>
      </c>
      <c r="G30" s="244">
        <f>SUM(G26:G29)</f>
        <v>207.79</v>
      </c>
    </row>
  </sheetData>
  <mergeCells count="5">
    <mergeCell ref="B16:C16"/>
    <mergeCell ref="F16:G16"/>
    <mergeCell ref="J16:K16"/>
    <mergeCell ref="B25:C25"/>
    <mergeCell ref="F25:G2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54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A13" sqref="A13"/>
    </sheetView>
  </sheetViews>
  <sheetFormatPr defaultColWidth="8" defaultRowHeight="12" customHeight="1"/>
  <cols>
    <col min="1" max="1" width="50.42578125" style="294" bestFit="1" customWidth="1"/>
    <col min="2" max="4" width="6.85546875" style="293" customWidth="1"/>
    <col min="5" max="16384" width="8" style="293"/>
  </cols>
  <sheetData>
    <row r="1" spans="1:13" ht="12" customHeight="1">
      <c r="A1" s="290" t="s">
        <v>2</v>
      </c>
      <c r="B1" s="291" t="s">
        <v>263</v>
      </c>
      <c r="C1" s="291" t="s">
        <v>264</v>
      </c>
      <c r="D1" s="292" t="s">
        <v>265</v>
      </c>
    </row>
    <row r="2" spans="1:13" ht="12" customHeight="1">
      <c r="A2" s="294" t="s">
        <v>266</v>
      </c>
      <c r="B2" s="295">
        <f>SUM('CF Capex'!16:16)-SUM('CF Capex'!$7:$7)+SUM('CF Capex'!$23:$23)</f>
        <v>536.77758418099279</v>
      </c>
      <c r="C2" s="295">
        <f>SUM('CF Capex'!B16:B16)-SUM('CF Capex'!B7)+'CF Capex'!B23</f>
        <v>395.2</v>
      </c>
      <c r="D2" s="296">
        <f t="shared" ref="D2:D7" si="0">B2-C2</f>
        <v>141.5775841809928</v>
      </c>
      <c r="F2" s="297">
        <f>C2/458</f>
        <v>0.86288209606986899</v>
      </c>
      <c r="G2" s="298">
        <f>C2/B2</f>
        <v>0.73624534937126751</v>
      </c>
    </row>
    <row r="3" spans="1:13" ht="12" customHeight="1">
      <c r="A3" s="294" t="s">
        <v>267</v>
      </c>
      <c r="B3" s="295">
        <f>SUM('CF Capex'!$21:$21)</f>
        <v>8.42</v>
      </c>
      <c r="C3" s="295">
        <f>'CF Capex'!B21</f>
        <v>8.42</v>
      </c>
      <c r="D3" s="295">
        <f t="shared" si="0"/>
        <v>0</v>
      </c>
    </row>
    <row r="4" spans="1:13" ht="12" customHeight="1">
      <c r="A4" s="294" t="s">
        <v>268</v>
      </c>
      <c r="B4" s="295">
        <f>SUM('CF Capex'!$22:$22)</f>
        <v>8.4269999999999996</v>
      </c>
      <c r="C4" s="295">
        <f>SUM('CF Capex'!$22:$22)</f>
        <v>8.4269999999999996</v>
      </c>
      <c r="D4" s="295">
        <f t="shared" si="0"/>
        <v>0</v>
      </c>
    </row>
    <row r="5" spans="1:13" ht="12" customHeight="1">
      <c r="A5" s="294" t="s">
        <v>269</v>
      </c>
      <c r="B5" s="295">
        <f>SUM('CF Capex'!$18:$18)</f>
        <v>113.79</v>
      </c>
      <c r="C5" s="295">
        <f>B5</f>
        <v>113.79</v>
      </c>
      <c r="D5" s="295">
        <f t="shared" si="0"/>
        <v>0</v>
      </c>
    </row>
    <row r="6" spans="1:13" ht="12" customHeight="1">
      <c r="A6" s="294" t="s">
        <v>270</v>
      </c>
      <c r="B6" s="295">
        <f>SUM('CF Capex'!$20:$20)</f>
        <v>37.57</v>
      </c>
      <c r="C6" s="295">
        <f>'CF Capex'!B20</f>
        <v>37.57</v>
      </c>
      <c r="D6" s="295">
        <f t="shared" si="0"/>
        <v>0</v>
      </c>
    </row>
    <row r="7" spans="1:13" ht="12" customHeight="1">
      <c r="A7" s="294" t="s">
        <v>271</v>
      </c>
      <c r="B7" s="295">
        <f>SUM('CF Capex'!19:19)</f>
        <v>24.72</v>
      </c>
      <c r="C7" s="295">
        <f>'CF Capex'!B19</f>
        <v>24.72</v>
      </c>
      <c r="D7" s="295">
        <f t="shared" si="0"/>
        <v>0</v>
      </c>
    </row>
    <row r="8" spans="1:13" ht="12" customHeight="1">
      <c r="A8" s="290" t="s">
        <v>104</v>
      </c>
      <c r="B8" s="299">
        <f>+SUM(B2:B7)</f>
        <v>729.70458418099281</v>
      </c>
      <c r="C8" s="299">
        <f>+SUM(C2:C7)</f>
        <v>588.12700000000007</v>
      </c>
      <c r="D8" s="299">
        <f>+SUM(D2:D7)</f>
        <v>141.5775841809928</v>
      </c>
      <c r="E8" s="300">
        <f>'R&amp;P'!T8</f>
        <v>0</v>
      </c>
      <c r="F8" s="301">
        <f>D8-E8</f>
        <v>141.5775841809928</v>
      </c>
    </row>
    <row r="9" spans="1:13" ht="12" customHeight="1">
      <c r="A9" s="290"/>
      <c r="B9" s="302"/>
      <c r="C9" s="302"/>
      <c r="D9" s="302"/>
    </row>
    <row r="10" spans="1:13" ht="12" customHeight="1">
      <c r="A10" s="290" t="s">
        <v>272</v>
      </c>
      <c r="B10" s="303"/>
      <c r="C10" s="303"/>
      <c r="D10" s="303"/>
    </row>
    <row r="11" spans="1:13" ht="12" customHeight="1">
      <c r="A11" s="294" t="s">
        <v>273</v>
      </c>
      <c r="B11" s="304">
        <f>SUM('CF Capex'!$38:$38)</f>
        <v>299.43</v>
      </c>
      <c r="C11" s="304">
        <f>'CF Capex'!B38</f>
        <v>239</v>
      </c>
      <c r="D11" s="304">
        <f>B11-C11</f>
        <v>60.430000000000007</v>
      </c>
      <c r="E11" s="302">
        <f>B11*100/70</f>
        <v>427.75714285714287</v>
      </c>
      <c r="F11" s="301">
        <f>C11/0.7</f>
        <v>341.42857142857144</v>
      </c>
      <c r="G11" s="301"/>
    </row>
    <row r="12" spans="1:13" ht="12" customHeight="1">
      <c r="A12" s="294" t="s">
        <v>274</v>
      </c>
      <c r="B12" s="304">
        <f>SUM('CF Capex'!$5:$5)</f>
        <v>53.78</v>
      </c>
      <c r="C12" s="304">
        <f>'CF Capex'!B5</f>
        <v>53.78</v>
      </c>
      <c r="D12" s="304">
        <f>B12-C12</f>
        <v>0</v>
      </c>
      <c r="F12" s="302"/>
    </row>
    <row r="13" spans="1:13" ht="12" customHeight="1">
      <c r="A13" s="290" t="s">
        <v>275</v>
      </c>
      <c r="B13" s="305">
        <f>+SUM(B11:B12)</f>
        <v>353.21000000000004</v>
      </c>
      <c r="C13" s="305">
        <f>+SUM(C11:C12)</f>
        <v>292.77999999999997</v>
      </c>
      <c r="D13" s="305">
        <f>+SUM(D11:D12)</f>
        <v>60.430000000000007</v>
      </c>
      <c r="H13" s="293">
        <f>B13/B2</f>
        <v>0.65801928100057039</v>
      </c>
    </row>
    <row r="14" spans="1:13" ht="12" customHeight="1">
      <c r="A14" s="290"/>
      <c r="B14" s="305"/>
      <c r="C14" s="305"/>
      <c r="D14" s="305"/>
      <c r="M14" s="293">
        <v>58</v>
      </c>
    </row>
    <row r="15" spans="1:13" ht="12" customHeight="1">
      <c r="A15" s="290" t="s">
        <v>276</v>
      </c>
      <c r="B15" s="305">
        <f>+B8-B13</f>
        <v>376.49458418099277</v>
      </c>
      <c r="C15" s="305">
        <f>+C8-C13</f>
        <v>295.34700000000009</v>
      </c>
      <c r="D15" s="305">
        <f>+D8-D13</f>
        <v>81.147584180992794</v>
      </c>
      <c r="M15" s="293">
        <v>106.87</v>
      </c>
    </row>
    <row r="16" spans="1:13" ht="12" customHeight="1">
      <c r="A16" s="294" t="s">
        <v>277</v>
      </c>
      <c r="B16" s="304">
        <f>SUM('CF Capex'!$6:$6)-SUM('CF Capex'!$17:$17)</f>
        <v>-9.0028637689999869</v>
      </c>
      <c r="C16" s="304">
        <f>-'CF Capex'!B17+'CF Capex'!B6</f>
        <v>-8.9828637690000015</v>
      </c>
      <c r="D16" s="304">
        <f>B16-C16</f>
        <v>-1.9999999999985363E-2</v>
      </c>
      <c r="M16" s="293">
        <f>M14/M15</f>
        <v>0.54271544867596144</v>
      </c>
    </row>
    <row r="17" spans="1:7" ht="12" customHeight="1">
      <c r="A17" s="290" t="s">
        <v>278</v>
      </c>
      <c r="B17" s="305">
        <f>B15-B16</f>
        <v>385.49744794999276</v>
      </c>
      <c r="C17" s="305">
        <f>C15-C16</f>
        <v>304.3298637690001</v>
      </c>
      <c r="D17" s="305">
        <f>D15-D16</f>
        <v>81.167584180992776</v>
      </c>
      <c r="G17" s="301"/>
    </row>
    <row r="18" spans="1:7" ht="12" hidden="1" customHeight="1">
      <c r="A18" s="290"/>
      <c r="B18" s="302"/>
      <c r="C18" s="302"/>
      <c r="D18" s="302"/>
    </row>
    <row r="19" spans="1:7" ht="12" hidden="1" customHeight="1">
      <c r="A19" s="294" t="s">
        <v>279</v>
      </c>
      <c r="B19" s="306">
        <f>IRR!C12</f>
        <v>-3.9540666183663919E-3</v>
      </c>
      <c r="C19" s="304"/>
      <c r="D19" s="306"/>
    </row>
    <row r="20" spans="1:7" ht="12" hidden="1" customHeight="1">
      <c r="A20" s="294" t="s">
        <v>280</v>
      </c>
      <c r="B20" s="306" t="e">
        <f>IRR!B27</f>
        <v>#NUM!</v>
      </c>
      <c r="C20" s="306"/>
      <c r="D20" s="306"/>
    </row>
    <row r="21" spans="1:7" ht="12" hidden="1" customHeight="1">
      <c r="A21" s="294" t="s">
        <v>281</v>
      </c>
      <c r="B21" s="307">
        <f>PL!R10</f>
        <v>524.45133418516366</v>
      </c>
      <c r="C21" s="307"/>
      <c r="D21" s="307"/>
    </row>
    <row r="22" spans="1:7" ht="12" hidden="1" customHeight="1">
      <c r="A22" s="294" t="s">
        <v>282</v>
      </c>
      <c r="B22" s="307">
        <f>PL!R18</f>
        <v>328.28229608278082</v>
      </c>
      <c r="C22" s="307"/>
      <c r="D22" s="307"/>
    </row>
    <row r="23" spans="1:7" ht="12" hidden="1" customHeight="1">
      <c r="A23" s="294" t="s">
        <v>283</v>
      </c>
      <c r="B23" s="307">
        <f>B21-B22-B24</f>
        <v>381.92134398317683</v>
      </c>
      <c r="C23" s="307"/>
      <c r="D23" s="307"/>
    </row>
    <row r="24" spans="1:7" ht="12" hidden="1" customHeight="1">
      <c r="A24" s="294" t="s">
        <v>284</v>
      </c>
      <c r="B24" s="307">
        <f>PL!R25</f>
        <v>-185.75230588079398</v>
      </c>
      <c r="C24" s="307"/>
      <c r="D24" s="307"/>
    </row>
    <row r="25" spans="1:7" s="294" customFormat="1" ht="12" customHeight="1">
      <c r="B25" s="308"/>
      <c r="C25" s="308"/>
      <c r="D25" s="308"/>
    </row>
    <row r="26" spans="1:7" s="294" customFormat="1" ht="12" customHeight="1">
      <c r="A26" s="290" t="s">
        <v>285</v>
      </c>
      <c r="B26" s="308"/>
      <c r="C26" s="308"/>
      <c r="D26" s="308"/>
    </row>
    <row r="27" spans="1:7" s="294" customFormat="1" ht="12" customHeight="1">
      <c r="A27" s="294" t="s">
        <v>225</v>
      </c>
      <c r="B27" s="309">
        <v>61.5</v>
      </c>
      <c r="C27" s="309">
        <f>SUM(F43:F45)</f>
        <v>61.5</v>
      </c>
      <c r="D27" s="309">
        <f>C27-B27</f>
        <v>0</v>
      </c>
    </row>
    <row r="28" spans="1:7" s="294" customFormat="1" ht="12" customHeight="1">
      <c r="A28" s="294" t="s">
        <v>224</v>
      </c>
      <c r="B28" s="309">
        <v>177.85</v>
      </c>
      <c r="C28" s="309">
        <f>SUM(F47,F49)</f>
        <v>177.85000000000002</v>
      </c>
      <c r="D28" s="309">
        <f>B28-C28</f>
        <v>0</v>
      </c>
    </row>
    <row r="29" spans="1:7" s="294" customFormat="1" ht="12" customHeight="1">
      <c r="A29" s="294" t="s">
        <v>286</v>
      </c>
      <c r="B29" s="309">
        <v>65</v>
      </c>
      <c r="C29" s="309">
        <f>SUM(F46,F48)</f>
        <v>65</v>
      </c>
      <c r="D29" s="309">
        <f>B29-C29</f>
        <v>0</v>
      </c>
    </row>
    <row r="30" spans="1:7" s="294" customFormat="1" ht="12" customHeight="1">
      <c r="A30" s="310" t="s">
        <v>287</v>
      </c>
      <c r="B30" s="309">
        <v>50</v>
      </c>
      <c r="C30" s="309">
        <v>0</v>
      </c>
      <c r="D30" s="309">
        <f>B30-C30</f>
        <v>50</v>
      </c>
    </row>
    <row r="31" spans="1:7" s="294" customFormat="1" ht="12" customHeight="1">
      <c r="A31" s="310" t="s">
        <v>288</v>
      </c>
      <c r="B31" s="309">
        <f>B17-SUM(B27:B30)</f>
        <v>31.147447949992738</v>
      </c>
      <c r="C31" s="309">
        <f>C17-SUM(C27:C30)</f>
        <v>-2.013623099992401E-2</v>
      </c>
      <c r="D31" s="309">
        <f>B31-C31</f>
        <v>31.167584180992662</v>
      </c>
      <c r="F31" s="311"/>
    </row>
    <row r="32" spans="1:7" s="294" customFormat="1" ht="12" customHeight="1">
      <c r="A32" s="290" t="s">
        <v>104</v>
      </c>
      <c r="B32" s="312">
        <f>SUM(B27:B31)</f>
        <v>385.49744794999276</v>
      </c>
      <c r="C32" s="312">
        <f>SUM(C27:C31)</f>
        <v>304.3298637690001</v>
      </c>
      <c r="D32" s="312">
        <f>SUM(D27:D31)</f>
        <v>81.167584180992662</v>
      </c>
    </row>
    <row r="33" spans="1:6" s="294" customFormat="1" ht="12" customHeight="1">
      <c r="A33" s="290"/>
      <c r="B33" s="312"/>
      <c r="C33" s="312"/>
      <c r="D33" s="312"/>
    </row>
    <row r="34" spans="1:6" s="294" customFormat="1" ht="12" customHeight="1">
      <c r="A34" s="290"/>
      <c r="B34" s="312"/>
      <c r="C34" s="312"/>
      <c r="D34" s="312"/>
    </row>
    <row r="35" spans="1:6" s="294" customFormat="1" ht="12" customHeight="1">
      <c r="A35" s="290" t="s">
        <v>289</v>
      </c>
      <c r="B35" s="312"/>
      <c r="C35" s="312"/>
      <c r="D35" s="312"/>
    </row>
    <row r="36" spans="1:6" s="294" customFormat="1" ht="12" customHeight="1">
      <c r="A36" s="290"/>
      <c r="B36" s="312"/>
      <c r="C36" s="312"/>
      <c r="D36" s="312"/>
    </row>
    <row r="37" spans="1:6" s="294" customFormat="1" ht="12" customHeight="1">
      <c r="A37" s="290"/>
      <c r="B37" s="312"/>
      <c r="C37" s="312"/>
      <c r="D37" s="312"/>
    </row>
    <row r="38" spans="1:6" s="294" customFormat="1" ht="12" customHeight="1">
      <c r="A38" s="290"/>
      <c r="B38" s="312"/>
      <c r="C38" s="312"/>
      <c r="D38" s="312"/>
    </row>
    <row r="39" spans="1:6" s="294" customFormat="1" ht="12" customHeight="1">
      <c r="A39" s="290"/>
      <c r="B39" s="312"/>
      <c r="C39" s="312"/>
      <c r="D39" s="312"/>
    </row>
    <row r="40" spans="1:6" s="294" customFormat="1" ht="12" customHeight="1">
      <c r="A40" s="290"/>
      <c r="B40" s="312"/>
      <c r="C40" s="312"/>
      <c r="D40" s="312"/>
    </row>
    <row r="41" spans="1:6" ht="12" customHeight="1">
      <c r="B41" s="302"/>
    </row>
    <row r="42" spans="1:6" ht="12" customHeight="1">
      <c r="A42" s="290" t="s">
        <v>2</v>
      </c>
      <c r="B42" s="313" t="s">
        <v>290</v>
      </c>
      <c r="C42" s="313" t="s">
        <v>291</v>
      </c>
      <c r="D42" s="313" t="s">
        <v>292</v>
      </c>
      <c r="E42" s="313" t="s">
        <v>293</v>
      </c>
      <c r="F42" s="313" t="s">
        <v>104</v>
      </c>
    </row>
    <row r="43" spans="1:6" ht="12" customHeight="1">
      <c r="A43" s="294" t="s">
        <v>294</v>
      </c>
      <c r="B43" s="314">
        <v>0.49</v>
      </c>
      <c r="C43" s="314">
        <v>0.52</v>
      </c>
      <c r="D43" s="314">
        <v>0</v>
      </c>
      <c r="E43" s="314">
        <v>0</v>
      </c>
      <c r="F43" s="314">
        <f>SUM(B43:E43)</f>
        <v>1.01</v>
      </c>
    </row>
    <row r="44" spans="1:6" ht="12" customHeight="1">
      <c r="A44" s="294" t="s">
        <v>295</v>
      </c>
      <c r="B44" s="314">
        <v>14.57</v>
      </c>
      <c r="C44" s="314">
        <v>15.17</v>
      </c>
      <c r="D44" s="314">
        <v>0</v>
      </c>
      <c r="E44" s="314">
        <v>0</v>
      </c>
      <c r="F44" s="314">
        <f t="shared" ref="F44:F49" si="1">SUM(B44:E44)</f>
        <v>29.740000000000002</v>
      </c>
    </row>
    <row r="45" spans="1:6" ht="12" customHeight="1">
      <c r="A45" s="294" t="s">
        <v>296</v>
      </c>
      <c r="B45" s="314">
        <v>15.07</v>
      </c>
      <c r="C45" s="314">
        <v>15.68</v>
      </c>
      <c r="D45" s="314">
        <v>0</v>
      </c>
      <c r="E45" s="314">
        <v>0</v>
      </c>
      <c r="F45" s="314">
        <f t="shared" si="1"/>
        <v>30.75</v>
      </c>
    </row>
    <row r="46" spans="1:6" ht="12" customHeight="1">
      <c r="A46" s="294" t="s">
        <v>297</v>
      </c>
      <c r="B46" s="314">
        <v>15.68</v>
      </c>
      <c r="C46" s="314">
        <v>16.32</v>
      </c>
      <c r="D46" s="314">
        <v>0</v>
      </c>
      <c r="E46" s="314">
        <v>0</v>
      </c>
      <c r="F46" s="314">
        <f t="shared" si="1"/>
        <v>32</v>
      </c>
    </row>
    <row r="47" spans="1:6" ht="12" customHeight="1">
      <c r="A47" s="294" t="s">
        <v>298</v>
      </c>
      <c r="B47" s="314">
        <v>0</v>
      </c>
      <c r="C47" s="314">
        <v>0</v>
      </c>
      <c r="D47" s="314">
        <v>70.260000000000005</v>
      </c>
      <c r="E47" s="314">
        <v>96.01</v>
      </c>
      <c r="F47" s="314">
        <f t="shared" si="1"/>
        <v>166.27</v>
      </c>
    </row>
    <row r="48" spans="1:6" ht="12" customHeight="1">
      <c r="A48" s="294" t="s">
        <v>299</v>
      </c>
      <c r="B48" s="314">
        <v>0</v>
      </c>
      <c r="C48" s="314">
        <v>3</v>
      </c>
      <c r="D48" s="314">
        <v>30</v>
      </c>
      <c r="E48" s="314">
        <v>0</v>
      </c>
      <c r="F48" s="314">
        <f t="shared" si="1"/>
        <v>33</v>
      </c>
    </row>
    <row r="49" spans="1:6" ht="12" customHeight="1">
      <c r="A49" s="294" t="s">
        <v>300</v>
      </c>
      <c r="B49" s="314">
        <v>0</v>
      </c>
      <c r="C49" s="314">
        <v>0</v>
      </c>
      <c r="D49" s="314">
        <f>3.91+2.66</f>
        <v>6.57</v>
      </c>
      <c r="E49" s="314">
        <v>5.01</v>
      </c>
      <c r="F49" s="314">
        <f t="shared" si="1"/>
        <v>11.58</v>
      </c>
    </row>
    <row r="50" spans="1:6" ht="12" customHeight="1">
      <c r="A50" s="290" t="s">
        <v>104</v>
      </c>
      <c r="B50" s="313">
        <f>SUM(B43:B49)</f>
        <v>45.81</v>
      </c>
      <c r="C50" s="313">
        <f>SUM(C43:C49)</f>
        <v>50.69</v>
      </c>
      <c r="D50" s="313">
        <f>SUM(D43:D49)</f>
        <v>106.83000000000001</v>
      </c>
      <c r="E50" s="313">
        <f>SUM(E43:E49)</f>
        <v>101.02000000000001</v>
      </c>
      <c r="F50" s="313">
        <f>SUM(F43:F49)</f>
        <v>304.34999999999997</v>
      </c>
    </row>
    <row r="51" spans="1:6" ht="12" customHeight="1">
      <c r="B51" s="315"/>
      <c r="C51" s="315"/>
      <c r="D51" s="315"/>
      <c r="E51" s="315"/>
      <c r="F51" s="315"/>
    </row>
    <row r="52" spans="1:6" ht="12" customHeight="1">
      <c r="A52" s="290" t="s">
        <v>301</v>
      </c>
      <c r="B52" s="316">
        <v>45.81</v>
      </c>
      <c r="C52" s="316">
        <v>51.69</v>
      </c>
      <c r="D52" s="316">
        <v>114.4</v>
      </c>
      <c r="E52" s="317">
        <v>105.01</v>
      </c>
      <c r="F52" s="313">
        <f>SUM(B52:E52)</f>
        <v>316.91000000000003</v>
      </c>
    </row>
    <row r="53" spans="1:6" ht="12" customHeight="1">
      <c r="B53" s="315"/>
      <c r="C53" s="315"/>
      <c r="D53" s="315"/>
      <c r="E53" s="315"/>
      <c r="F53" s="315"/>
    </row>
    <row r="54" spans="1:6" ht="12" customHeight="1">
      <c r="A54" s="294" t="s">
        <v>302</v>
      </c>
      <c r="B54" s="318">
        <f>B52-B50</f>
        <v>0</v>
      </c>
      <c r="C54" s="318">
        <f>C52-C50</f>
        <v>1</v>
      </c>
      <c r="D54" s="318">
        <f>D52-D50</f>
        <v>7.5699999999999932</v>
      </c>
      <c r="E54" s="318">
        <f>E52-E50</f>
        <v>3.9899999999999949</v>
      </c>
      <c r="F54" s="318">
        <f>F52-F50</f>
        <v>12.560000000000059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topLeftCell="A22" zoomScaleNormal="100" workbookViewId="0">
      <selection activeCell="J23" sqref="J23"/>
    </sheetView>
  </sheetViews>
  <sheetFormatPr defaultColWidth="9.140625" defaultRowHeight="12"/>
  <cols>
    <col min="1" max="1" width="28.5703125" style="319" bestFit="1" customWidth="1"/>
    <col min="2" max="17" width="6.7109375" style="319" customWidth="1"/>
    <col min="18" max="16384" width="9.140625" style="319"/>
  </cols>
  <sheetData>
    <row r="1" spans="1:18" hidden="1">
      <c r="Q1" s="320" t="s">
        <v>303</v>
      </c>
    </row>
    <row r="2" spans="1:18" hidden="1">
      <c r="A2" s="321" t="s">
        <v>304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8" hidden="1">
      <c r="A3" s="319" t="s">
        <v>321</v>
      </c>
      <c r="B3" s="323" t="e">
        <f>PL!#REF!+PL!B18</f>
        <v>#REF!</v>
      </c>
      <c r="C3" s="323" t="e">
        <f>PL!#REF!+PL!C18</f>
        <v>#REF!</v>
      </c>
      <c r="D3" s="323" t="e">
        <f>PL!#REF!+PL!D18</f>
        <v>#REF!</v>
      </c>
      <c r="E3" s="323" t="e">
        <f>PL!#REF!+PL!E18</f>
        <v>#REF!</v>
      </c>
      <c r="F3" s="323" t="e">
        <f>PL!#REF!+PL!F18</f>
        <v>#REF!</v>
      </c>
      <c r="G3" s="323" t="e">
        <f>PL!#REF!+PL!G18</f>
        <v>#REF!</v>
      </c>
      <c r="H3" s="323" t="e">
        <f>PL!#REF!+PL!H18</f>
        <v>#REF!</v>
      </c>
      <c r="I3" s="323" t="e">
        <f>PL!#REF!+PL!I18</f>
        <v>#REF!</v>
      </c>
      <c r="J3" s="323" t="e">
        <f>PL!#REF!+PL!J18</f>
        <v>#REF!</v>
      </c>
      <c r="K3" s="323" t="e">
        <f>PL!#REF!+PL!K18</f>
        <v>#REF!</v>
      </c>
      <c r="L3" s="323" t="e">
        <f>PL!#REF!+PL!L18</f>
        <v>#REF!</v>
      </c>
      <c r="M3" s="323" t="e">
        <f>PL!#REF!+PL!M18</f>
        <v>#REF!</v>
      </c>
      <c r="N3" s="323" t="e">
        <f>PL!#REF!+PL!N18</f>
        <v>#REF!</v>
      </c>
      <c r="O3" s="323" t="e">
        <f>PL!#REF!+PL!O18</f>
        <v>#REF!</v>
      </c>
      <c r="P3" s="323" t="e">
        <f>PL!#REF!+PL!P18</f>
        <v>#REF!</v>
      </c>
      <c r="Q3" s="323" t="e">
        <f>PL!#REF!+PL!Q18</f>
        <v>#REF!</v>
      </c>
    </row>
    <row r="4" spans="1:18" ht="15" hidden="1">
      <c r="A4" s="319" t="s">
        <v>225</v>
      </c>
      <c r="B4" s="324">
        <v>42</v>
      </c>
      <c r="C4" s="324">
        <v>0</v>
      </c>
      <c r="D4" s="324">
        <v>19.5</v>
      </c>
      <c r="E4" s="325">
        <v>0</v>
      </c>
      <c r="F4" s="325">
        <v>0</v>
      </c>
      <c r="G4" s="325">
        <v>0</v>
      </c>
      <c r="H4" s="325">
        <v>0</v>
      </c>
      <c r="I4" s="325">
        <v>0</v>
      </c>
      <c r="J4" s="325">
        <v>0</v>
      </c>
      <c r="K4" s="325">
        <v>0</v>
      </c>
      <c r="L4" s="325">
        <v>0</v>
      </c>
      <c r="M4" s="325">
        <v>0</v>
      </c>
      <c r="N4" s="325">
        <v>0</v>
      </c>
      <c r="O4" s="325">
        <v>0</v>
      </c>
      <c r="P4" s="325">
        <v>0</v>
      </c>
      <c r="Q4" s="325">
        <v>0</v>
      </c>
    </row>
    <row r="5" spans="1:18" hidden="1">
      <c r="A5" s="319" t="s">
        <v>322</v>
      </c>
      <c r="B5" s="323">
        <v>18.100000000000001</v>
      </c>
      <c r="C5" s="323" t="e">
        <f>BS!#REF!-BS!#REF!</f>
        <v>#REF!</v>
      </c>
      <c r="D5" s="323" t="e">
        <f>BS!#REF!-BS!#REF!</f>
        <v>#REF!</v>
      </c>
      <c r="E5" s="323" t="e">
        <f>BS!#REF!-BS!#REF!</f>
        <v>#REF!</v>
      </c>
      <c r="F5" s="323" t="e">
        <f>BS!#REF!-BS!#REF!</f>
        <v>#REF!</v>
      </c>
      <c r="G5" s="323" t="e">
        <f>BS!#REF!-BS!#REF!</f>
        <v>#REF!</v>
      </c>
      <c r="H5" s="323" t="e">
        <f>BS!#REF!-BS!#REF!</f>
        <v>#REF!</v>
      </c>
      <c r="I5" s="323" t="e">
        <f>BS!I6-BS!#REF!</f>
        <v>#REF!</v>
      </c>
      <c r="J5" s="323" t="e">
        <f>184.4-SUM(B5:I5)</f>
        <v>#REF!</v>
      </c>
      <c r="K5" s="323">
        <v>0</v>
      </c>
      <c r="L5" s="323">
        <v>0</v>
      </c>
      <c r="M5" s="323">
        <v>0</v>
      </c>
      <c r="N5" s="323">
        <v>0</v>
      </c>
      <c r="O5" s="323">
        <v>0</v>
      </c>
      <c r="P5" s="323">
        <v>0</v>
      </c>
      <c r="Q5" s="323">
        <v>0</v>
      </c>
    </row>
    <row r="6" spans="1:18" hidden="1">
      <c r="A6" s="319" t="s">
        <v>323</v>
      </c>
      <c r="B6" s="323" t="e">
        <f>BS!#REF!</f>
        <v>#REF!</v>
      </c>
      <c r="C6" s="323" t="e">
        <f>BS!#REF!-BS!#REF!</f>
        <v>#REF!</v>
      </c>
      <c r="D6" s="323" t="e">
        <f>BS!#REF!-BS!#REF!</f>
        <v>#REF!</v>
      </c>
      <c r="E6" s="323" t="e">
        <f>BS!#REF!-BS!#REF!</f>
        <v>#REF!</v>
      </c>
      <c r="F6" s="323" t="e">
        <f>BS!#REF!-BS!#REF!</f>
        <v>#REF!</v>
      </c>
      <c r="G6" s="323" t="e">
        <f>BS!#REF!-BS!#REF!</f>
        <v>#REF!</v>
      </c>
      <c r="H6" s="323" t="e">
        <f>BS!#REF!-BS!#REF!</f>
        <v>#REF!</v>
      </c>
      <c r="I6" s="323" t="e">
        <f>BS!I7-BS!#REF!</f>
        <v>#REF!</v>
      </c>
      <c r="J6" s="323">
        <f>BS!J7-BS!I7</f>
        <v>0</v>
      </c>
      <c r="K6" s="323">
        <f>BS!K7-BS!J7</f>
        <v>-19</v>
      </c>
      <c r="L6" s="323">
        <f>BS!L7-BS!K7</f>
        <v>0</v>
      </c>
      <c r="M6" s="323">
        <f>BS!M7-BS!L7</f>
        <v>0</v>
      </c>
      <c r="N6" s="323">
        <f>BS!N7-BS!M7</f>
        <v>0</v>
      </c>
      <c r="O6" s="323">
        <f>BS!O7-BS!N7</f>
        <v>0</v>
      </c>
      <c r="P6" s="323">
        <f>BS!P7-BS!O7</f>
        <v>0</v>
      </c>
      <c r="Q6" s="323">
        <f>BS!Q7-BS!P7</f>
        <v>0</v>
      </c>
    </row>
    <row r="7" spans="1:18" hidden="1">
      <c r="A7" s="319" t="s">
        <v>299</v>
      </c>
      <c r="B7" s="323" t="e">
        <f>BS!#REF!</f>
        <v>#REF!</v>
      </c>
      <c r="C7" s="323" t="e">
        <f>BS!#REF!-BS!#REF!</f>
        <v>#REF!</v>
      </c>
      <c r="D7" s="323" t="e">
        <f>BS!#REF!-BS!#REF!</f>
        <v>#REF!</v>
      </c>
      <c r="E7" s="323" t="e">
        <f>BS!#REF!-BS!#REF!</f>
        <v>#REF!</v>
      </c>
      <c r="F7" s="323" t="e">
        <f>BS!#REF!-BS!#REF!</f>
        <v>#REF!</v>
      </c>
      <c r="G7" s="323" t="e">
        <f>BS!#REF!-BS!#REF!</f>
        <v>#REF!</v>
      </c>
      <c r="H7" s="323" t="e">
        <f>BS!#REF!-BS!#REF!</f>
        <v>#REF!</v>
      </c>
      <c r="I7" s="323" t="e">
        <f>BS!I8-BS!#REF!</f>
        <v>#REF!</v>
      </c>
      <c r="J7" s="323">
        <f>BS!J8-BS!I8</f>
        <v>-30</v>
      </c>
      <c r="K7" s="323">
        <f>BS!K8-BS!J8</f>
        <v>0</v>
      </c>
      <c r="L7" s="323">
        <f>BS!L8-BS!K8</f>
        <v>0</v>
      </c>
      <c r="M7" s="323">
        <f>BS!M8-BS!L8</f>
        <v>0</v>
      </c>
      <c r="N7" s="323">
        <f>BS!N8-BS!M8</f>
        <v>0</v>
      </c>
      <c r="O7" s="323">
        <f>BS!O8-BS!N8</f>
        <v>0</v>
      </c>
      <c r="P7" s="323">
        <f>BS!P8-BS!O8</f>
        <v>0</v>
      </c>
      <c r="Q7" s="323">
        <f>BS!Q8-BS!P8</f>
        <v>0</v>
      </c>
    </row>
    <row r="8" spans="1:18" ht="15" hidden="1">
      <c r="A8" s="319" t="s">
        <v>150</v>
      </c>
      <c r="B8" s="324" t="e">
        <f>BS!#REF!</f>
        <v>#REF!</v>
      </c>
      <c r="C8" s="324" t="e">
        <f>BS!#REF!-BS!#REF!</f>
        <v>#REF!</v>
      </c>
      <c r="D8" s="324" t="e">
        <f>BS!#REF!-BS!#REF!</f>
        <v>#REF!</v>
      </c>
      <c r="E8" s="324" t="e">
        <f>BS!#REF!-BS!#REF!</f>
        <v>#REF!</v>
      </c>
      <c r="F8" s="324" t="e">
        <f>BS!#REF!-BS!#REF!</f>
        <v>#REF!</v>
      </c>
      <c r="G8" s="324" t="e">
        <f>BS!#REF!-BS!#REF!</f>
        <v>#REF!</v>
      </c>
      <c r="H8" s="324" t="e">
        <f>BS!#REF!-BS!#REF!</f>
        <v>#REF!</v>
      </c>
      <c r="I8" s="324" t="e">
        <f>BS!I13-BS!#REF!</f>
        <v>#REF!</v>
      </c>
      <c r="J8" s="324">
        <f>BS!J13-BS!I13</f>
        <v>-2.9</v>
      </c>
      <c r="K8" s="324">
        <f>BS!K13-BS!J13</f>
        <v>0</v>
      </c>
      <c r="L8" s="324">
        <f>BS!L13-BS!K13</f>
        <v>0</v>
      </c>
      <c r="M8" s="324">
        <f>BS!M13-BS!L13</f>
        <v>0</v>
      </c>
      <c r="N8" s="324">
        <f>BS!N13-BS!M13</f>
        <v>0</v>
      </c>
      <c r="O8" s="324">
        <f>BS!O13-BS!N13</f>
        <v>0</v>
      </c>
      <c r="P8" s="324">
        <f>BS!P13-BS!O13</f>
        <v>0</v>
      </c>
      <c r="Q8" s="324">
        <f>BS!Q13-BS!P13</f>
        <v>0</v>
      </c>
    </row>
    <row r="9" spans="1:18" ht="12.75" hidden="1" thickBot="1">
      <c r="A9" s="321" t="s">
        <v>324</v>
      </c>
      <c r="B9" s="326" t="e">
        <f t="shared" ref="B9:Q9" si="0">SUM(B3:B8)</f>
        <v>#REF!</v>
      </c>
      <c r="C9" s="326" t="e">
        <f t="shared" si="0"/>
        <v>#REF!</v>
      </c>
      <c r="D9" s="326" t="e">
        <f t="shared" si="0"/>
        <v>#REF!</v>
      </c>
      <c r="E9" s="326" t="e">
        <f t="shared" si="0"/>
        <v>#REF!</v>
      </c>
      <c r="F9" s="326" t="e">
        <f t="shared" si="0"/>
        <v>#REF!</v>
      </c>
      <c r="G9" s="326" t="e">
        <f t="shared" si="0"/>
        <v>#REF!</v>
      </c>
      <c r="H9" s="326" t="e">
        <f t="shared" si="0"/>
        <v>#REF!</v>
      </c>
      <c r="I9" s="326" t="e">
        <f t="shared" si="0"/>
        <v>#REF!</v>
      </c>
      <c r="J9" s="326" t="e">
        <f t="shared" si="0"/>
        <v>#REF!</v>
      </c>
      <c r="K9" s="326" t="e">
        <f t="shared" si="0"/>
        <v>#REF!</v>
      </c>
      <c r="L9" s="326" t="e">
        <f t="shared" si="0"/>
        <v>#REF!</v>
      </c>
      <c r="M9" s="326" t="e">
        <f t="shared" si="0"/>
        <v>#REF!</v>
      </c>
      <c r="N9" s="326" t="e">
        <f t="shared" si="0"/>
        <v>#REF!</v>
      </c>
      <c r="O9" s="326" t="e">
        <f t="shared" si="0"/>
        <v>#REF!</v>
      </c>
      <c r="P9" s="326" t="e">
        <f t="shared" si="0"/>
        <v>#REF!</v>
      </c>
      <c r="Q9" s="326" t="e">
        <f t="shared" si="0"/>
        <v>#REF!</v>
      </c>
      <c r="R9" s="327"/>
    </row>
    <row r="10" spans="1:18" hidden="1">
      <c r="D10" s="323"/>
      <c r="E10" s="323"/>
      <c r="F10" s="323"/>
      <c r="G10" s="323"/>
      <c r="H10" s="323"/>
      <c r="I10" s="323"/>
      <c r="J10" s="323"/>
    </row>
    <row r="11" spans="1:18" hidden="1">
      <c r="A11" s="321" t="s">
        <v>325</v>
      </c>
      <c r="B11" s="322" t="str">
        <f t="shared" ref="B11:Q11" si="1">B2</f>
        <v>2013-14</v>
      </c>
      <c r="C11" s="322" t="str">
        <f t="shared" si="1"/>
        <v>2014-15</v>
      </c>
      <c r="D11" s="322" t="str">
        <f t="shared" si="1"/>
        <v>2015-16</v>
      </c>
      <c r="E11" s="322" t="str">
        <f t="shared" si="1"/>
        <v>2016-17</v>
      </c>
      <c r="F11" s="322" t="str">
        <f t="shared" si="1"/>
        <v>2017-18</v>
      </c>
      <c r="G11" s="322" t="str">
        <f t="shared" si="1"/>
        <v>2018-19</v>
      </c>
      <c r="H11" s="322" t="str">
        <f t="shared" si="1"/>
        <v>2019-20</v>
      </c>
      <c r="I11" s="322" t="str">
        <f t="shared" si="1"/>
        <v>2020-21</v>
      </c>
      <c r="J11" s="322" t="str">
        <f t="shared" si="1"/>
        <v>2021-22</v>
      </c>
      <c r="K11" s="322" t="str">
        <f t="shared" si="1"/>
        <v>2022-23</v>
      </c>
      <c r="L11" s="322" t="str">
        <f t="shared" si="1"/>
        <v>2023-24</v>
      </c>
      <c r="M11" s="322" t="str">
        <f t="shared" si="1"/>
        <v>2024-25</v>
      </c>
      <c r="N11" s="322" t="str">
        <f t="shared" si="1"/>
        <v>2025-26</v>
      </c>
      <c r="O11" s="322" t="str">
        <f t="shared" si="1"/>
        <v>2026-27</v>
      </c>
      <c r="P11" s="322" t="str">
        <f t="shared" si="1"/>
        <v>2027-28</v>
      </c>
      <c r="Q11" s="322" t="str">
        <f t="shared" si="1"/>
        <v>2028-29</v>
      </c>
    </row>
    <row r="12" spans="1:18" hidden="1">
      <c r="A12" s="319" t="s">
        <v>326</v>
      </c>
      <c r="B12" s="323" t="e">
        <f>BS!#REF!</f>
        <v>#REF!</v>
      </c>
      <c r="C12" s="323" t="e">
        <f>BS!#REF!-BS!#REF!</f>
        <v>#REF!</v>
      </c>
      <c r="D12" s="323" t="e">
        <f>BS!#REF!-BS!#REF!</f>
        <v>#REF!</v>
      </c>
      <c r="E12" s="323" t="e">
        <f>BS!#REF!-BS!#REF!</f>
        <v>#REF!</v>
      </c>
      <c r="F12" s="323" t="e">
        <f>BS!#REF!-BS!#REF!</f>
        <v>#REF!</v>
      </c>
      <c r="G12" s="323" t="e">
        <f>BS!#REF!-BS!#REF!</f>
        <v>#REF!</v>
      </c>
      <c r="H12" s="323" t="e">
        <f>BS!#REF!-BS!#REF!</f>
        <v>#REF!</v>
      </c>
      <c r="I12" s="323" t="e">
        <f>BS!I17-BS!#REF!</f>
        <v>#REF!</v>
      </c>
      <c r="J12" s="323">
        <f>BS!J17-BS!I17</f>
        <v>33.285697786252001</v>
      </c>
      <c r="K12" s="323">
        <f>BS!K17-BS!J17</f>
        <v>42.613962060103688</v>
      </c>
      <c r="L12" s="323">
        <f>BS!L17-BS!K17</f>
        <v>-0.53714393772565927</v>
      </c>
      <c r="M12" s="323">
        <f>BS!M17-BS!L17</f>
        <v>0.48000000000024556</v>
      </c>
      <c r="N12" s="323">
        <f>BS!N17-BS!M17</f>
        <v>0.48000000000024556</v>
      </c>
      <c r="O12" s="323">
        <f>BS!O17-BS!N17</f>
        <v>0.48000000000024556</v>
      </c>
      <c r="P12" s="323">
        <f>BS!P17-BS!O17</f>
        <v>0.48000000000024556</v>
      </c>
      <c r="Q12" s="323">
        <f>BS!Q17-BS!P17</f>
        <v>0.24000000000012278</v>
      </c>
    </row>
    <row r="13" spans="1:18" hidden="1">
      <c r="A13" s="319" t="s">
        <v>327</v>
      </c>
      <c r="B13" s="323" t="e">
        <f>-BS!#REF!</f>
        <v>#REF!</v>
      </c>
      <c r="C13" s="323" t="e">
        <f>-BS!#REF!</f>
        <v>#REF!</v>
      </c>
      <c r="D13" s="323" t="e">
        <f>-BS!#REF!</f>
        <v>#REF!</v>
      </c>
      <c r="E13" s="323" t="e">
        <f>-BS!#REF!</f>
        <v>#REF!</v>
      </c>
      <c r="F13" s="323" t="e">
        <f>-BS!#REF!</f>
        <v>#REF!</v>
      </c>
      <c r="G13" s="323" t="e">
        <f>-BS!#REF!</f>
        <v>#REF!</v>
      </c>
      <c r="H13" s="323" t="e">
        <f>-BS!#REF!</f>
        <v>#REF!</v>
      </c>
      <c r="I13" s="323">
        <f>-BS!I36</f>
        <v>0</v>
      </c>
      <c r="J13" s="323">
        <f>-BS!J36</f>
        <v>0</v>
      </c>
      <c r="K13" s="323">
        <f>-BS!K36</f>
        <v>0</v>
      </c>
      <c r="L13" s="323">
        <f>-BS!L36</f>
        <v>0</v>
      </c>
      <c r="M13" s="323">
        <f>-BS!M36</f>
        <v>0</v>
      </c>
      <c r="N13" s="323">
        <f>-BS!N36</f>
        <v>0</v>
      </c>
      <c r="O13" s="323">
        <f>-BS!O36</f>
        <v>0</v>
      </c>
      <c r="P13" s="323">
        <f>-BS!P36</f>
        <v>0</v>
      </c>
      <c r="Q13" s="323">
        <f>-BS!Q36</f>
        <v>0</v>
      </c>
    </row>
    <row r="14" spans="1:18" hidden="1">
      <c r="A14" s="319" t="s">
        <v>328</v>
      </c>
      <c r="B14" s="323">
        <v>0</v>
      </c>
      <c r="C14" s="323">
        <v>0</v>
      </c>
      <c r="D14" s="323">
        <v>0</v>
      </c>
      <c r="E14" s="323">
        <v>0</v>
      </c>
      <c r="F14" s="323">
        <v>0</v>
      </c>
      <c r="G14" s="323">
        <v>0</v>
      </c>
      <c r="H14" s="323">
        <v>0</v>
      </c>
      <c r="I14" s="323">
        <v>0</v>
      </c>
      <c r="J14" s="323" t="e">
        <f>-(BS!J6-BS!I6)+J5</f>
        <v>#REF!</v>
      </c>
      <c r="K14" s="323">
        <f>-(BS!K6-BS!J6)</f>
        <v>61.355500000000006</v>
      </c>
      <c r="L14" s="323">
        <f>-(BS!L6-BS!K6)</f>
        <v>1.4690449999999942</v>
      </c>
      <c r="M14" s="323">
        <f>-(BS!M6-BS!L6)</f>
        <v>19.097585000000038</v>
      </c>
      <c r="N14" s="323">
        <f>-(BS!N6-BS!M6)</f>
        <v>24.606503750000016</v>
      </c>
      <c r="O14" s="323">
        <f>-(BS!O6-BS!N6)</f>
        <v>27.911855000000003</v>
      </c>
      <c r="P14" s="323">
        <f>-(BS!P6-BS!O6)</f>
        <v>45.540394999999997</v>
      </c>
      <c r="Q14" s="323">
        <f>-(BS!Q6-BS!P6)</f>
        <v>28.279116249999937</v>
      </c>
    </row>
    <row r="15" spans="1:18" ht="12.75" hidden="1" thickBot="1">
      <c r="A15" s="321" t="s">
        <v>329</v>
      </c>
      <c r="B15" s="326" t="e">
        <f t="shared" ref="B15:Q15" si="2">SUM(B12:B14)</f>
        <v>#REF!</v>
      </c>
      <c r="C15" s="326" t="e">
        <f t="shared" si="2"/>
        <v>#REF!</v>
      </c>
      <c r="D15" s="326" t="e">
        <f t="shared" si="2"/>
        <v>#REF!</v>
      </c>
      <c r="E15" s="326" t="e">
        <f t="shared" si="2"/>
        <v>#REF!</v>
      </c>
      <c r="F15" s="326" t="e">
        <f t="shared" si="2"/>
        <v>#REF!</v>
      </c>
      <c r="G15" s="326" t="e">
        <f t="shared" si="2"/>
        <v>#REF!</v>
      </c>
      <c r="H15" s="326" t="e">
        <f t="shared" si="2"/>
        <v>#REF!</v>
      </c>
      <c r="I15" s="326" t="e">
        <f t="shared" si="2"/>
        <v>#REF!</v>
      </c>
      <c r="J15" s="326" t="e">
        <f t="shared" si="2"/>
        <v>#REF!</v>
      </c>
      <c r="K15" s="326">
        <f t="shared" si="2"/>
        <v>103.96946206010369</v>
      </c>
      <c r="L15" s="326">
        <f t="shared" si="2"/>
        <v>0.93190106227433489</v>
      </c>
      <c r="M15" s="326">
        <f t="shared" si="2"/>
        <v>19.577585000000283</v>
      </c>
      <c r="N15" s="326">
        <f t="shared" si="2"/>
        <v>25.086503750000261</v>
      </c>
      <c r="O15" s="326">
        <f t="shared" si="2"/>
        <v>28.391855000000248</v>
      </c>
      <c r="P15" s="326">
        <f t="shared" si="2"/>
        <v>46.020395000000242</v>
      </c>
      <c r="Q15" s="326">
        <f t="shared" si="2"/>
        <v>28.51911625000006</v>
      </c>
    </row>
    <row r="16" spans="1:18" hidden="1">
      <c r="A16" s="321" t="s">
        <v>330</v>
      </c>
      <c r="B16" s="323" t="e">
        <f t="shared" ref="B16:Q16" si="3">+B9-B15</f>
        <v>#REF!</v>
      </c>
      <c r="C16" s="323" t="e">
        <f t="shared" si="3"/>
        <v>#REF!</v>
      </c>
      <c r="D16" s="323" t="e">
        <f t="shared" si="3"/>
        <v>#REF!</v>
      </c>
      <c r="E16" s="323" t="e">
        <f t="shared" si="3"/>
        <v>#REF!</v>
      </c>
      <c r="F16" s="323" t="e">
        <f t="shared" si="3"/>
        <v>#REF!</v>
      </c>
      <c r="G16" s="323" t="e">
        <f t="shared" si="3"/>
        <v>#REF!</v>
      </c>
      <c r="H16" s="323" t="e">
        <f t="shared" si="3"/>
        <v>#REF!</v>
      </c>
      <c r="I16" s="323" t="e">
        <f t="shared" si="3"/>
        <v>#REF!</v>
      </c>
      <c r="J16" s="323" t="e">
        <f t="shared" si="3"/>
        <v>#REF!</v>
      </c>
      <c r="K16" s="323" t="e">
        <f t="shared" si="3"/>
        <v>#REF!</v>
      </c>
      <c r="L16" s="323" t="e">
        <f t="shared" si="3"/>
        <v>#REF!</v>
      </c>
      <c r="M16" s="323" t="e">
        <f t="shared" si="3"/>
        <v>#REF!</v>
      </c>
      <c r="N16" s="323" t="e">
        <f t="shared" si="3"/>
        <v>#REF!</v>
      </c>
      <c r="O16" s="323" t="e">
        <f t="shared" si="3"/>
        <v>#REF!</v>
      </c>
      <c r="P16" s="323" t="e">
        <f t="shared" si="3"/>
        <v>#REF!</v>
      </c>
      <c r="Q16" s="323" t="e">
        <f t="shared" si="3"/>
        <v>#REF!</v>
      </c>
    </row>
    <row r="17" spans="1:19" ht="15" hidden="1">
      <c r="A17" s="321" t="s">
        <v>247</v>
      </c>
      <c r="B17" s="324">
        <v>0</v>
      </c>
      <c r="C17" s="323" t="e">
        <f t="shared" ref="C17:Q17" si="4">B18</f>
        <v>#REF!</v>
      </c>
      <c r="D17" s="323" t="e">
        <f t="shared" si="4"/>
        <v>#REF!</v>
      </c>
      <c r="E17" s="323" t="e">
        <f t="shared" si="4"/>
        <v>#REF!</v>
      </c>
      <c r="F17" s="323" t="e">
        <f t="shared" si="4"/>
        <v>#REF!</v>
      </c>
      <c r="G17" s="323" t="e">
        <f t="shared" si="4"/>
        <v>#REF!</v>
      </c>
      <c r="H17" s="323" t="e">
        <f t="shared" si="4"/>
        <v>#REF!</v>
      </c>
      <c r="I17" s="323" t="e">
        <f t="shared" si="4"/>
        <v>#REF!</v>
      </c>
      <c r="J17" s="323" t="e">
        <f t="shared" si="4"/>
        <v>#REF!</v>
      </c>
      <c r="K17" s="323" t="e">
        <f t="shared" si="4"/>
        <v>#REF!</v>
      </c>
      <c r="L17" s="323" t="e">
        <f t="shared" si="4"/>
        <v>#REF!</v>
      </c>
      <c r="M17" s="323" t="e">
        <f t="shared" si="4"/>
        <v>#REF!</v>
      </c>
      <c r="N17" s="323" t="e">
        <f t="shared" si="4"/>
        <v>#REF!</v>
      </c>
      <c r="O17" s="323" t="e">
        <f t="shared" si="4"/>
        <v>#REF!</v>
      </c>
      <c r="P17" s="323" t="e">
        <f t="shared" si="4"/>
        <v>#REF!</v>
      </c>
      <c r="Q17" s="323" t="e">
        <f t="shared" si="4"/>
        <v>#REF!</v>
      </c>
      <c r="R17" s="328"/>
      <c r="S17" s="328"/>
    </row>
    <row r="18" spans="1:19" hidden="1">
      <c r="A18" s="321" t="s">
        <v>249</v>
      </c>
      <c r="B18" s="323" t="e">
        <f t="shared" ref="B18:Q18" si="5">SUM(B16:B17)</f>
        <v>#REF!</v>
      </c>
      <c r="C18" s="323" t="e">
        <f t="shared" si="5"/>
        <v>#REF!</v>
      </c>
      <c r="D18" s="323" t="e">
        <f t="shared" si="5"/>
        <v>#REF!</v>
      </c>
      <c r="E18" s="323" t="e">
        <f t="shared" si="5"/>
        <v>#REF!</v>
      </c>
      <c r="F18" s="323" t="e">
        <f t="shared" si="5"/>
        <v>#REF!</v>
      </c>
      <c r="G18" s="323" t="e">
        <f t="shared" si="5"/>
        <v>#REF!</v>
      </c>
      <c r="H18" s="323" t="e">
        <f t="shared" si="5"/>
        <v>#REF!</v>
      </c>
      <c r="I18" s="323" t="e">
        <f t="shared" si="5"/>
        <v>#REF!</v>
      </c>
      <c r="J18" s="323" t="e">
        <f t="shared" si="5"/>
        <v>#REF!</v>
      </c>
      <c r="K18" s="323" t="e">
        <f t="shared" si="5"/>
        <v>#REF!</v>
      </c>
      <c r="L18" s="323" t="e">
        <f t="shared" si="5"/>
        <v>#REF!</v>
      </c>
      <c r="M18" s="323" t="e">
        <f t="shared" si="5"/>
        <v>#REF!</v>
      </c>
      <c r="N18" s="323" t="e">
        <f t="shared" si="5"/>
        <v>#REF!</v>
      </c>
      <c r="O18" s="323" t="e">
        <f t="shared" si="5"/>
        <v>#REF!</v>
      </c>
      <c r="P18" s="323" t="e">
        <f t="shared" si="5"/>
        <v>#REF!</v>
      </c>
      <c r="Q18" s="323" t="e">
        <f t="shared" si="5"/>
        <v>#REF!</v>
      </c>
      <c r="R18" s="328"/>
      <c r="S18" s="328"/>
    </row>
    <row r="19" spans="1:19" hidden="1">
      <c r="A19" s="321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8"/>
      <c r="S19" s="328"/>
    </row>
    <row r="20" spans="1:19" ht="15" hidden="1"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</row>
    <row r="21" spans="1:19">
      <c r="A21" s="321" t="s">
        <v>331</v>
      </c>
    </row>
    <row r="22" spans="1:19">
      <c r="A22" s="321" t="s">
        <v>2</v>
      </c>
      <c r="B22" s="322" t="str">
        <f t="shared" ref="B22:Q22" si="6">B11</f>
        <v>2013-14</v>
      </c>
      <c r="C22" s="322" t="str">
        <f t="shared" si="6"/>
        <v>2014-15</v>
      </c>
      <c r="D22" s="322" t="str">
        <f t="shared" si="6"/>
        <v>2015-16</v>
      </c>
      <c r="E22" s="322" t="str">
        <f t="shared" si="6"/>
        <v>2016-17</v>
      </c>
      <c r="F22" s="322" t="str">
        <f t="shared" si="6"/>
        <v>2017-18</v>
      </c>
      <c r="G22" s="322" t="str">
        <f t="shared" si="6"/>
        <v>2018-19</v>
      </c>
      <c r="H22" s="322" t="str">
        <f t="shared" si="6"/>
        <v>2019-20</v>
      </c>
      <c r="I22" s="322" t="str">
        <f t="shared" si="6"/>
        <v>2020-21</v>
      </c>
      <c r="J22" s="322" t="str">
        <f t="shared" si="6"/>
        <v>2021-22</v>
      </c>
      <c r="K22" s="322" t="str">
        <f t="shared" si="6"/>
        <v>2022-23</v>
      </c>
      <c r="L22" s="322" t="str">
        <f t="shared" si="6"/>
        <v>2023-24</v>
      </c>
      <c r="M22" s="322" t="str">
        <f t="shared" si="6"/>
        <v>2024-25</v>
      </c>
      <c r="N22" s="322" t="str">
        <f t="shared" si="6"/>
        <v>2025-26</v>
      </c>
      <c r="O22" s="322" t="str">
        <f t="shared" si="6"/>
        <v>2026-27</v>
      </c>
      <c r="P22" s="322" t="str">
        <f t="shared" si="6"/>
        <v>2027-28</v>
      </c>
      <c r="Q22" s="322" t="str">
        <f t="shared" si="6"/>
        <v>2028-29</v>
      </c>
    </row>
    <row r="23" spans="1:19">
      <c r="A23" s="319" t="s">
        <v>321</v>
      </c>
      <c r="B23" s="323">
        <f>PL!B25+PL!B21</f>
        <v>-2.8291523156181797</v>
      </c>
      <c r="C23" s="323">
        <f>PL!C25+PL!C21</f>
        <v>-0.17056637075291281</v>
      </c>
      <c r="D23" s="323">
        <f>PL!D25+PL!D21</f>
        <v>1.1466213279999968</v>
      </c>
      <c r="E23" s="323">
        <f>PL!E25+PL!E21</f>
        <v>0.85451640488329272</v>
      </c>
      <c r="F23" s="323">
        <f>PL!F25+PL!F21</f>
        <v>0.79690000000000283</v>
      </c>
      <c r="G23" s="323">
        <f>PL!G25+PL!G21</f>
        <v>0.77559999999999818</v>
      </c>
      <c r="H23" s="323">
        <f>PL!H25+PL!H21</f>
        <v>0.15999999999999481</v>
      </c>
      <c r="I23" s="323">
        <f>PL!I25+PL!I21</f>
        <v>-42.74</v>
      </c>
      <c r="J23" s="323">
        <f>PL!J25+PL!J21</f>
        <v>-35.708768000000006</v>
      </c>
      <c r="K23" s="323">
        <f>PL!K25+PL!K21+16.06</f>
        <v>123.80242928187219</v>
      </c>
      <c r="L23" s="323">
        <f>PL!L25+PL!L21</f>
        <v>-8.2038908408396907</v>
      </c>
      <c r="M23" s="323">
        <f>PL!M25+PL!M21</f>
        <v>10.250964250600205</v>
      </c>
      <c r="N23" s="323">
        <f>PL!N25+PL!N21</f>
        <v>27.29852491970253</v>
      </c>
      <c r="O23" s="323">
        <f>PL!O25+PL!O21</f>
        <v>29.435665026308868</v>
      </c>
      <c r="P23" s="323">
        <f>PL!P25+PL!P21</f>
        <v>48.005112147477099</v>
      </c>
      <c r="Q23" s="323">
        <f>PL!Q25+PL!Q21</f>
        <v>30.96456525283326</v>
      </c>
    </row>
    <row r="24" spans="1:19">
      <c r="A24" s="319" t="s">
        <v>332</v>
      </c>
      <c r="B24" s="323">
        <f>SUM(PL!B22:B22)</f>
        <v>7.7491099999999993E-2</v>
      </c>
      <c r="C24" s="323">
        <f>SUM(PL!C22:C22)</f>
        <v>0.2278715</v>
      </c>
      <c r="D24" s="323">
        <f>SUM(PL!D22:D22)</f>
        <v>0.23861950000000001</v>
      </c>
      <c r="E24" s="323">
        <f>SUM(PL!E22:E22)</f>
        <v>0.25939272000000002</v>
      </c>
      <c r="F24" s="323">
        <f>SUM(PL!F22:F22)</f>
        <v>0.26590000000000003</v>
      </c>
      <c r="G24" s="323">
        <f>SUM(PL!G22:G22)</f>
        <v>0.5544</v>
      </c>
      <c r="H24" s="323">
        <f>SUM(PL!H22:H22)</f>
        <v>1.33</v>
      </c>
      <c r="I24" s="323">
        <f>SUM(PL!I22:I22)</f>
        <v>42.41</v>
      </c>
      <c r="J24" s="323">
        <f>SUM(PL!J22:J22)</f>
        <v>47.42</v>
      </c>
      <c r="K24" s="323">
        <f>SUM(PL!K22:K22)-16.06</f>
        <v>4.8701525875848048</v>
      </c>
      <c r="L24" s="323">
        <f>SUM(PL!L22:L22)</f>
        <v>15.547902046218519</v>
      </c>
      <c r="M24" s="323">
        <f>SUM(PL!M22:M22)</f>
        <v>14.536445532786459</v>
      </c>
      <c r="N24" s="323">
        <f>SUM(PL!N22:N22)</f>
        <v>12.231491747369153</v>
      </c>
      <c r="O24" s="323">
        <f>SUM(PL!O22:O22)</f>
        <v>9.420809705235822</v>
      </c>
      <c r="P24" s="323">
        <f>SUM(PL!P22:P22)</f>
        <v>5.8029075610365153</v>
      </c>
      <c r="Q24" s="323">
        <f>SUM(PL!Q22:Q22)</f>
        <v>0.87854075365412954</v>
      </c>
    </row>
    <row r="25" spans="1:19" ht="12.75" thickBot="1">
      <c r="A25" s="321" t="s">
        <v>333</v>
      </c>
      <c r="B25" s="326">
        <f t="shared" ref="B25:Q25" si="7">SUM(B23:B24)</f>
        <v>-2.7516612156181797</v>
      </c>
      <c r="C25" s="326">
        <f t="shared" si="7"/>
        <v>5.7305129247087194E-2</v>
      </c>
      <c r="D25" s="326">
        <f t="shared" si="7"/>
        <v>1.3852408279999968</v>
      </c>
      <c r="E25" s="326">
        <f t="shared" si="7"/>
        <v>1.1139091248832926</v>
      </c>
      <c r="F25" s="326">
        <f t="shared" si="7"/>
        <v>1.0628000000000029</v>
      </c>
      <c r="G25" s="326">
        <f t="shared" si="7"/>
        <v>1.3299999999999983</v>
      </c>
      <c r="H25" s="326">
        <f t="shared" si="7"/>
        <v>1.4899999999999949</v>
      </c>
      <c r="I25" s="326">
        <f t="shared" si="7"/>
        <v>-0.3300000000000054</v>
      </c>
      <c r="J25" s="326">
        <f t="shared" si="7"/>
        <v>11.711231999999995</v>
      </c>
      <c r="K25" s="326">
        <f t="shared" si="7"/>
        <v>128.67258186945699</v>
      </c>
      <c r="L25" s="326">
        <f t="shared" si="7"/>
        <v>7.3440112053788287</v>
      </c>
      <c r="M25" s="326">
        <f t="shared" si="7"/>
        <v>24.787409783386664</v>
      </c>
      <c r="N25" s="326">
        <f t="shared" si="7"/>
        <v>39.530016667071685</v>
      </c>
      <c r="O25" s="326">
        <f t="shared" si="7"/>
        <v>38.856474731544694</v>
      </c>
      <c r="P25" s="326">
        <f t="shared" si="7"/>
        <v>53.808019708513612</v>
      </c>
      <c r="Q25" s="326">
        <f t="shared" si="7"/>
        <v>31.843106006487389</v>
      </c>
    </row>
    <row r="26" spans="1:19" ht="12.75" thickTop="1"/>
    <row r="27" spans="1:19">
      <c r="A27" s="321" t="s">
        <v>2</v>
      </c>
      <c r="B27" s="322" t="str">
        <f t="shared" ref="B27:Q27" si="8">B22</f>
        <v>2013-14</v>
      </c>
      <c r="C27" s="322" t="str">
        <f t="shared" si="8"/>
        <v>2014-15</v>
      </c>
      <c r="D27" s="322" t="str">
        <f t="shared" si="8"/>
        <v>2015-16</v>
      </c>
      <c r="E27" s="322" t="str">
        <f t="shared" si="8"/>
        <v>2016-17</v>
      </c>
      <c r="F27" s="322" t="str">
        <f t="shared" si="8"/>
        <v>2017-18</v>
      </c>
      <c r="G27" s="322" t="str">
        <f t="shared" si="8"/>
        <v>2018-19</v>
      </c>
      <c r="H27" s="322" t="str">
        <f t="shared" si="8"/>
        <v>2019-20</v>
      </c>
      <c r="I27" s="322" t="str">
        <f t="shared" si="8"/>
        <v>2020-21</v>
      </c>
      <c r="J27" s="322" t="str">
        <f t="shared" si="8"/>
        <v>2021-22</v>
      </c>
      <c r="K27" s="322" t="str">
        <f t="shared" si="8"/>
        <v>2022-23</v>
      </c>
      <c r="L27" s="322" t="str">
        <f t="shared" si="8"/>
        <v>2023-24</v>
      </c>
      <c r="M27" s="322" t="str">
        <f t="shared" si="8"/>
        <v>2024-25</v>
      </c>
      <c r="N27" s="322" t="str">
        <f t="shared" si="8"/>
        <v>2025-26</v>
      </c>
      <c r="O27" s="322" t="str">
        <f t="shared" si="8"/>
        <v>2026-27</v>
      </c>
      <c r="P27" s="322" t="str">
        <f t="shared" si="8"/>
        <v>2027-28</v>
      </c>
      <c r="Q27" s="322" t="str">
        <f t="shared" si="8"/>
        <v>2028-29</v>
      </c>
    </row>
    <row r="28" spans="1:19">
      <c r="A28" s="319" t="s">
        <v>334</v>
      </c>
      <c r="B28" s="323">
        <f t="shared" ref="B28:I28" si="9">B14</f>
        <v>0</v>
      </c>
      <c r="C28" s="323">
        <f t="shared" si="9"/>
        <v>0</v>
      </c>
      <c r="D28" s="323">
        <f t="shared" si="9"/>
        <v>0</v>
      </c>
      <c r="E28" s="323">
        <f t="shared" si="9"/>
        <v>0</v>
      </c>
      <c r="F28" s="323">
        <f t="shared" si="9"/>
        <v>0</v>
      </c>
      <c r="G28" s="323">
        <f t="shared" si="9"/>
        <v>0</v>
      </c>
      <c r="H28" s="323">
        <f t="shared" si="9"/>
        <v>0</v>
      </c>
      <c r="I28" s="323">
        <f t="shared" si="9"/>
        <v>0</v>
      </c>
      <c r="J28" s="323">
        <v>0</v>
      </c>
      <c r="K28" s="323">
        <v>0</v>
      </c>
      <c r="L28" s="323">
        <f>SUM(BS!K6:K6)-SUM(BS!L6:L6)</f>
        <v>1.4690449999999942</v>
      </c>
      <c r="M28" s="323">
        <f>SUM(BS!L6:L6)-SUM(BS!M6:M6)</f>
        <v>19.097585000000038</v>
      </c>
      <c r="N28" s="323">
        <f>SUM(BS!M6:M6)-SUM(BS!N6:N6)</f>
        <v>24.606503750000016</v>
      </c>
      <c r="O28" s="323">
        <f>SUM(BS!N6:N6)-SUM(BS!O6:O6)</f>
        <v>27.911855000000003</v>
      </c>
      <c r="P28" s="323">
        <f>SUM(BS!O6:O6)-SUM(BS!P6:P6)</f>
        <v>45.540394999999997</v>
      </c>
      <c r="Q28" s="323">
        <f>SUM(BS!P6:P6)-SUM(BS!Q6:Q6)</f>
        <v>28.279116249999937</v>
      </c>
    </row>
    <row r="29" spans="1:19">
      <c r="A29" s="319" t="s">
        <v>335</v>
      </c>
      <c r="B29" s="323">
        <f t="shared" ref="B29:Q29" si="10">B24</f>
        <v>7.7491099999999993E-2</v>
      </c>
      <c r="C29" s="323">
        <f t="shared" si="10"/>
        <v>0.2278715</v>
      </c>
      <c r="D29" s="323">
        <f t="shared" si="10"/>
        <v>0.23861950000000001</v>
      </c>
      <c r="E29" s="323">
        <f t="shared" si="10"/>
        <v>0.25939272000000002</v>
      </c>
      <c r="F29" s="323">
        <f t="shared" si="10"/>
        <v>0.26590000000000003</v>
      </c>
      <c r="G29" s="323">
        <f t="shared" si="10"/>
        <v>0.5544</v>
      </c>
      <c r="H29" s="323">
        <f t="shared" si="10"/>
        <v>1.33</v>
      </c>
      <c r="I29" s="323">
        <f t="shared" si="10"/>
        <v>42.41</v>
      </c>
      <c r="J29" s="323">
        <f t="shared" si="10"/>
        <v>47.42</v>
      </c>
      <c r="K29" s="323">
        <f t="shared" si="10"/>
        <v>4.8701525875848048</v>
      </c>
      <c r="L29" s="323">
        <f t="shared" si="10"/>
        <v>15.547902046218519</v>
      </c>
      <c r="M29" s="323">
        <f t="shared" si="10"/>
        <v>14.536445532786459</v>
      </c>
      <c r="N29" s="323">
        <f t="shared" si="10"/>
        <v>12.231491747369153</v>
      </c>
      <c r="O29" s="323">
        <f t="shared" si="10"/>
        <v>9.420809705235822</v>
      </c>
      <c r="P29" s="323">
        <f t="shared" si="10"/>
        <v>5.8029075610365153</v>
      </c>
      <c r="Q29" s="323">
        <f t="shared" si="10"/>
        <v>0.87854075365412954</v>
      </c>
    </row>
    <row r="30" spans="1:19" ht="12.75" thickBot="1">
      <c r="A30" s="321" t="s">
        <v>336</v>
      </c>
      <c r="B30" s="326">
        <f t="shared" ref="B30:Q30" si="11">SUM(B28:B29)</f>
        <v>7.7491099999999993E-2</v>
      </c>
      <c r="C30" s="326">
        <f t="shared" si="11"/>
        <v>0.2278715</v>
      </c>
      <c r="D30" s="326">
        <f t="shared" si="11"/>
        <v>0.23861950000000001</v>
      </c>
      <c r="E30" s="326">
        <f t="shared" si="11"/>
        <v>0.25939272000000002</v>
      </c>
      <c r="F30" s="326">
        <f t="shared" si="11"/>
        <v>0.26590000000000003</v>
      </c>
      <c r="G30" s="326">
        <f t="shared" si="11"/>
        <v>0.5544</v>
      </c>
      <c r="H30" s="326">
        <f t="shared" si="11"/>
        <v>1.33</v>
      </c>
      <c r="I30" s="326">
        <f t="shared" si="11"/>
        <v>42.41</v>
      </c>
      <c r="J30" s="326">
        <f t="shared" si="11"/>
        <v>47.42</v>
      </c>
      <c r="K30" s="326">
        <f t="shared" si="11"/>
        <v>4.8701525875848048</v>
      </c>
      <c r="L30" s="326">
        <f t="shared" si="11"/>
        <v>17.016947046218512</v>
      </c>
      <c r="M30" s="326">
        <f t="shared" si="11"/>
        <v>33.634030532786497</v>
      </c>
      <c r="N30" s="326">
        <f t="shared" si="11"/>
        <v>36.837995497369171</v>
      </c>
      <c r="O30" s="326">
        <f t="shared" si="11"/>
        <v>37.332664705235828</v>
      </c>
      <c r="P30" s="326">
        <f t="shared" si="11"/>
        <v>51.343302561036509</v>
      </c>
      <c r="Q30" s="326">
        <f t="shared" si="11"/>
        <v>29.157657003654066</v>
      </c>
    </row>
    <row r="31" spans="1:19" ht="15.75" thickTop="1">
      <c r="A31" s="321" t="s">
        <v>337</v>
      </c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9">
        <f>(L25/L30)</f>
        <v>0.43157043301787834</v>
      </c>
      <c r="M31" s="329">
        <f>(M25/M30)</f>
        <v>0.73697411195556428</v>
      </c>
      <c r="N31" s="329">
        <f>(N25/N30)</f>
        <v>1.0730772978647758</v>
      </c>
      <c r="O31" s="329">
        <f>(O25/O30)</f>
        <v>1.0408170710111446</v>
      </c>
      <c r="P31" s="329">
        <f>IF(P28&lt;=0,0,(P25/P30))</f>
        <v>1.0480046476275473</v>
      </c>
      <c r="Q31" s="329">
        <f>IF(Q28&lt;=0,0,(Q25/Q30))</f>
        <v>1.0921009874866414</v>
      </c>
    </row>
    <row r="32" spans="1:19">
      <c r="A32" s="321" t="s">
        <v>338</v>
      </c>
      <c r="B32" s="330">
        <f>SUM(L25:Q25)/SUM(L30:Q30)</f>
        <v>0.95541864674310972</v>
      </c>
      <c r="D32" s="323"/>
    </row>
    <row r="33" spans="1:15" ht="15">
      <c r="A33" s="331"/>
      <c r="B33" s="323"/>
      <c r="C33" s="323"/>
      <c r="D33" s="323"/>
      <c r="G33" s="325"/>
      <c r="H33" s="325"/>
      <c r="I33" s="325"/>
      <c r="J33" s="325"/>
      <c r="K33" s="325"/>
      <c r="L33" s="325"/>
      <c r="M33" s="325"/>
      <c r="N33" s="325"/>
      <c r="O33" s="325"/>
    </row>
    <row r="34" spans="1:15">
      <c r="A34" s="321"/>
      <c r="B34" s="323"/>
      <c r="C34" s="323"/>
      <c r="D34" s="323"/>
    </row>
    <row r="35" spans="1:15">
      <c r="A35" s="321"/>
      <c r="B35" s="323"/>
      <c r="C35" s="323"/>
      <c r="D35" s="323"/>
    </row>
  </sheetData>
  <autoFilter ref="A2:Q16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8"/>
  <sheetViews>
    <sheetView topLeftCell="A2" workbookViewId="0">
      <selection activeCell="A14" sqref="A14"/>
    </sheetView>
  </sheetViews>
  <sheetFormatPr defaultColWidth="7.7109375" defaultRowHeight="12"/>
  <cols>
    <col min="1" max="1" width="49.140625" style="319" bestFit="1" customWidth="1"/>
    <col min="2" max="2" width="6.85546875" style="319" customWidth="1"/>
    <col min="3" max="3" width="6" style="319" customWidth="1"/>
    <col min="4" max="9" width="6.85546875" style="319" customWidth="1"/>
    <col min="10" max="17" width="7.42578125" style="319" bestFit="1" customWidth="1"/>
    <col min="18" max="16384" width="7.7109375" style="319"/>
  </cols>
  <sheetData>
    <row r="1" spans="1:17">
      <c r="Q1" s="320" t="s">
        <v>303</v>
      </c>
    </row>
    <row r="2" spans="1:17">
      <c r="A2" s="321" t="s">
        <v>339</v>
      </c>
      <c r="B2" s="332">
        <v>41729</v>
      </c>
      <c r="C2" s="332">
        <v>42094</v>
      </c>
      <c r="D2" s="332">
        <v>42460</v>
      </c>
      <c r="E2" s="332">
        <v>42825</v>
      </c>
      <c r="F2" s="332">
        <v>43190</v>
      </c>
      <c r="G2" s="332">
        <v>43555</v>
      </c>
      <c r="H2" s="332">
        <v>43921</v>
      </c>
      <c r="I2" s="332">
        <v>44286</v>
      </c>
      <c r="J2" s="332">
        <v>44651</v>
      </c>
      <c r="K2" s="332">
        <v>45016</v>
      </c>
      <c r="L2" s="332">
        <v>45382</v>
      </c>
      <c r="M2" s="332">
        <v>45747</v>
      </c>
      <c r="N2" s="332">
        <v>46112</v>
      </c>
      <c r="O2" s="332">
        <v>46477</v>
      </c>
      <c r="P2" s="332">
        <v>46843</v>
      </c>
      <c r="Q2" s="332">
        <v>47208</v>
      </c>
    </row>
    <row r="3" spans="1:17" ht="15">
      <c r="A3" s="319" t="str">
        <f>'Monthly BS'!A4</f>
        <v>Equity Veolia Water India Pvt Ltd</v>
      </c>
      <c r="B3" s="325">
        <v>21.42</v>
      </c>
      <c r="C3" s="325">
        <v>21.42</v>
      </c>
      <c r="D3" s="325">
        <v>31.365000000000002</v>
      </c>
      <c r="E3" s="325">
        <v>31.365000000000002</v>
      </c>
      <c r="F3" s="325">
        <v>31.365000000000002</v>
      </c>
      <c r="G3" s="325">
        <v>31.365000000000002</v>
      </c>
      <c r="H3" s="325">
        <v>31.364999999999998</v>
      </c>
      <c r="I3" s="325">
        <v>31.364999999999998</v>
      </c>
      <c r="J3" s="325">
        <f>SUMIF('Monthly BS'!$3:$3,J$2,'Monthly BS'!4:4)</f>
        <v>31.364999999999998</v>
      </c>
      <c r="K3" s="325">
        <f>SUMIF('Monthly BS'!$3:$3,K$2,'Monthly BS'!4:4)</f>
        <v>41.055</v>
      </c>
      <c r="L3" s="325">
        <f>SUMIF('Monthly BS'!$3:$3,L$2,'Monthly BS'!4:4)</f>
        <v>41.055</v>
      </c>
      <c r="M3" s="325">
        <f>SUMIF('Monthly BS'!$3:$3,M$2,'Monthly BS'!4:4)</f>
        <v>41.055</v>
      </c>
      <c r="N3" s="325">
        <f>SUMIF('Monthly BS'!$3:$3,N$2,'Monthly BS'!4:4)</f>
        <v>41.055</v>
      </c>
      <c r="O3" s="325">
        <f>SUMIF('Monthly BS'!$3:$3,O$2,'Monthly BS'!4:4)</f>
        <v>41.055</v>
      </c>
      <c r="P3" s="325">
        <f>SUMIF('Monthly BS'!$3:$3,P$2,'Monthly BS'!4:4)</f>
        <v>41.055</v>
      </c>
      <c r="Q3" s="325">
        <f>SUMIF('Monthly BS'!$3:$3,Q$2,'Monthly BS'!4:4)</f>
        <v>41.055</v>
      </c>
    </row>
    <row r="4" spans="1:17" ht="15">
      <c r="A4" s="319" t="str">
        <f>'Monthly BS'!A5</f>
        <v>Equity Swach Environment Pvt Ltd</v>
      </c>
      <c r="B4" s="325">
        <v>20.58</v>
      </c>
      <c r="C4" s="325">
        <v>20.58</v>
      </c>
      <c r="D4" s="325">
        <v>30.134999999999998</v>
      </c>
      <c r="E4" s="325">
        <v>30.134999999999998</v>
      </c>
      <c r="F4" s="325">
        <v>30.134999999999998</v>
      </c>
      <c r="G4" s="325">
        <v>30.134999999999998</v>
      </c>
      <c r="H4" s="325">
        <v>30.134999999999998</v>
      </c>
      <c r="I4" s="325">
        <v>30.134999999999998</v>
      </c>
      <c r="J4" s="325">
        <f>SUMIF('Monthly BS'!$3:$3,J$2,'Monthly BS'!5:5)</f>
        <v>30.134999999999998</v>
      </c>
      <c r="K4" s="325">
        <f>SUMIF('Monthly BS'!$3:$3,K$2,'Monthly BS'!5:5)</f>
        <v>39.445</v>
      </c>
      <c r="L4" s="325">
        <f>SUMIF('Monthly BS'!$3:$3,L$2,'Monthly BS'!5:5)</f>
        <v>39.445</v>
      </c>
      <c r="M4" s="325">
        <f>SUMIF('Monthly BS'!$3:$3,M$2,'Monthly BS'!5:5)</f>
        <v>39.445</v>
      </c>
      <c r="N4" s="325">
        <f>SUMIF('Monthly BS'!$3:$3,N$2,'Monthly BS'!5:5)</f>
        <v>39.445</v>
      </c>
      <c r="O4" s="325">
        <f>SUMIF('Monthly BS'!$3:$3,O$2,'Monthly BS'!5:5)</f>
        <v>39.445</v>
      </c>
      <c r="P4" s="325">
        <f>SUMIF('Monthly BS'!$3:$3,P$2,'Monthly BS'!5:5)</f>
        <v>39.445</v>
      </c>
      <c r="Q4" s="325">
        <f>SUMIF('Monthly BS'!$3:$3,Q$2,'Monthly BS'!5:5)</f>
        <v>39.445</v>
      </c>
    </row>
    <row r="5" spans="1:17" ht="15">
      <c r="A5" s="319" t="str">
        <f>'Monthly BS'!A6</f>
        <v>Reserve &amp; Surplus</v>
      </c>
      <c r="B5" s="325">
        <v>-3.0274063199999985</v>
      </c>
      <c r="C5" s="325">
        <v>-4.9846567907529113</v>
      </c>
      <c r="D5" s="325">
        <v>-5.7480426868627843</v>
      </c>
      <c r="E5" s="325">
        <v>-5.9183079187484111</v>
      </c>
      <c r="F5" s="325">
        <v>-5.8397079187484087</v>
      </c>
      <c r="G5" s="325">
        <v>-5.5766561000000001</v>
      </c>
      <c r="H5" s="325">
        <v>-5.12</v>
      </c>
      <c r="I5" s="325">
        <v>-84.9529</v>
      </c>
      <c r="J5" s="325">
        <f>SUMIF('Monthly BS'!$3:$3,J$2,'Monthly BS'!6:6)</f>
        <v>-157.70464800604299</v>
      </c>
      <c r="K5" s="325">
        <f>SUMIF('Monthly BS'!$3:$3,K$2,'Monthly BS'!6:6)</f>
        <v>-95.462218724170782</v>
      </c>
      <c r="L5" s="325">
        <f>SUMIF('Monthly BS'!$3:$3,L$2,'Monthly BS'!6:6)</f>
        <v>-138.87688632989799</v>
      </c>
      <c r="M5" s="325">
        <f>SUMIF('Monthly BS'!$3:$3,M$2,'Monthly BS'!6:6)</f>
        <v>-174.12592207929782</v>
      </c>
      <c r="N5" s="325">
        <f>SUMIF('Monthly BS'!$3:$3,N$2,'Monthly BS'!6:6)</f>
        <v>-192.32739715959531</v>
      </c>
      <c r="O5" s="325">
        <f>SUMIF('Monthly BS'!$3:$3,O$2,'Monthly BS'!6:6)</f>
        <v>-208.39173213328647</v>
      </c>
      <c r="P5" s="325">
        <f>SUMIF('Monthly BS'!$3:$3,P$2,'Monthly BS'!6:6)</f>
        <v>-206.42661998580934</v>
      </c>
      <c r="Q5" s="325">
        <f>SUMIF('Monthly BS'!$3:$3,Q$2,'Monthly BS'!6:6)</f>
        <v>-175.46205473297607</v>
      </c>
    </row>
    <row r="6" spans="1:17" ht="15">
      <c r="A6" s="319" t="str">
        <f>'Monthly BS'!A7</f>
        <v>Secured Loans</v>
      </c>
      <c r="B6" s="325">
        <v>18.100000000000001</v>
      </c>
      <c r="C6" s="325">
        <v>42.1</v>
      </c>
      <c r="D6" s="325">
        <v>67.099999999999994</v>
      </c>
      <c r="E6" s="325">
        <v>87.657864499999988</v>
      </c>
      <c r="F6" s="325">
        <v>112.6578646</v>
      </c>
      <c r="G6" s="325">
        <v>127.5256892</v>
      </c>
      <c r="H6" s="325">
        <v>153.13999999999999</v>
      </c>
      <c r="I6" s="325">
        <v>157.71</v>
      </c>
      <c r="J6" s="325">
        <f>SUMIF('Monthly BS'!$3:$3,J$2,'Monthly BS'!7:7)</f>
        <v>208.26</v>
      </c>
      <c r="K6" s="325">
        <f>SUMIF('Monthly BS'!$3:$3,K$2,'Monthly BS'!7:7)</f>
        <v>146.90449999999998</v>
      </c>
      <c r="L6" s="325">
        <f>SUMIF('Monthly BS'!$3:$3,L$2,'Monthly BS'!7:7)</f>
        <v>145.43545499999999</v>
      </c>
      <c r="M6" s="325">
        <f>SUMIF('Monthly BS'!$3:$3,M$2,'Monthly BS'!7:7)</f>
        <v>126.33786999999995</v>
      </c>
      <c r="N6" s="325">
        <f>SUMIF('Monthly BS'!$3:$3,N$2,'Monthly BS'!7:7)</f>
        <v>101.73136624999994</v>
      </c>
      <c r="O6" s="325">
        <f>SUMIF('Monthly BS'!$3:$3,O$2,'Monthly BS'!7:7)</f>
        <v>73.819511249999934</v>
      </c>
      <c r="P6" s="325">
        <f>SUMIF('Monthly BS'!$3:$3,P$2,'Monthly BS'!7:7)</f>
        <v>28.279116249999937</v>
      </c>
      <c r="Q6" s="325">
        <f>SUMIF('Monthly BS'!$3:$3,Q$2,'Monthly BS'!7:7)</f>
        <v>0</v>
      </c>
    </row>
    <row r="7" spans="1:17" ht="15">
      <c r="A7" s="319" t="str">
        <f>'Monthly BS'!A8</f>
        <v>OCPIDs</v>
      </c>
      <c r="B7" s="325">
        <v>0</v>
      </c>
      <c r="C7" s="325">
        <v>0</v>
      </c>
      <c r="D7" s="325">
        <v>0</v>
      </c>
      <c r="E7" s="325">
        <v>0</v>
      </c>
      <c r="F7" s="325">
        <v>0</v>
      </c>
      <c r="G7" s="325">
        <v>32</v>
      </c>
      <c r="H7" s="325">
        <v>32</v>
      </c>
      <c r="I7" s="325">
        <f>SUMIF('Monthly BS'!$3:$3,I$2,'Monthly BS'!8:8)</f>
        <v>32</v>
      </c>
      <c r="J7" s="325">
        <f>SUMIF('Monthly BS'!$3:$3,J$2,'Monthly BS'!8:8)</f>
        <v>32</v>
      </c>
      <c r="K7" s="325">
        <f>SUMIF('Monthly BS'!$3:$3,K$2,'Monthly BS'!8:8)</f>
        <v>13</v>
      </c>
      <c r="L7" s="325">
        <f>SUMIF('Monthly BS'!$3:$3,L$2,'Monthly BS'!8:8)</f>
        <v>13</v>
      </c>
      <c r="M7" s="325">
        <f>SUMIF('Monthly BS'!$3:$3,M$2,'Monthly BS'!8:8)</f>
        <v>13</v>
      </c>
      <c r="N7" s="325">
        <f>SUMIF('Monthly BS'!$3:$3,N$2,'Monthly BS'!8:8)</f>
        <v>13</v>
      </c>
      <c r="O7" s="325">
        <f>SUMIF('Monthly BS'!$3:$3,O$2,'Monthly BS'!8:8)</f>
        <v>13</v>
      </c>
      <c r="P7" s="325">
        <f>SUMIF('Monthly BS'!$3:$3,P$2,'Monthly BS'!8:8)</f>
        <v>13</v>
      </c>
      <c r="Q7" s="325">
        <f>SUMIF('Monthly BS'!$3:$3,Q$2,'Monthly BS'!8:8)</f>
        <v>13</v>
      </c>
    </row>
    <row r="8" spans="1:17" ht="15">
      <c r="A8" s="319" t="str">
        <f>'Monthly BS'!A10</f>
        <v>Short Term Loan</v>
      </c>
      <c r="B8" s="325">
        <v>0</v>
      </c>
      <c r="C8" s="325">
        <v>0</v>
      </c>
      <c r="D8" s="325">
        <v>0</v>
      </c>
      <c r="E8" s="325">
        <v>0</v>
      </c>
      <c r="F8" s="325">
        <v>0</v>
      </c>
      <c r="G8" s="325">
        <v>30</v>
      </c>
      <c r="H8" s="325">
        <v>30</v>
      </c>
      <c r="I8" s="325">
        <f>SUMIF('Monthly BS'!$3:$3,I$2,'Monthly BS'!10:10)</f>
        <v>30</v>
      </c>
      <c r="J8" s="325">
        <f>SUMIF('Monthly BS'!$3:$3,J$2,'Monthly BS'!10:10)</f>
        <v>0</v>
      </c>
      <c r="K8" s="325">
        <f>SUMIF('Monthly BS'!$3:$3,K$2,'Monthly BS'!10:10)</f>
        <v>0</v>
      </c>
      <c r="L8" s="325">
        <f>SUMIF('Monthly BS'!$3:$3,L$2,'Monthly BS'!10:10)</f>
        <v>0</v>
      </c>
      <c r="M8" s="325">
        <f>SUMIF('Monthly BS'!$3:$3,M$2,'Monthly BS'!10:10)</f>
        <v>0</v>
      </c>
      <c r="N8" s="325">
        <f>SUMIF('Monthly BS'!$3:$3,N$2,'Monthly BS'!10:10)</f>
        <v>0</v>
      </c>
      <c r="O8" s="325">
        <f>SUMIF('Monthly BS'!$3:$3,O$2,'Monthly BS'!10:10)</f>
        <v>0</v>
      </c>
      <c r="P8" s="325">
        <f>SUMIF('Monthly BS'!$3:$3,P$2,'Monthly BS'!10:10)</f>
        <v>0</v>
      </c>
      <c r="Q8" s="325">
        <f>SUMIF('Monthly BS'!$3:$3,Q$2,'Monthly BS'!10:10)</f>
        <v>0</v>
      </c>
    </row>
    <row r="9" spans="1:17" ht="15">
      <c r="A9" s="319" t="s">
        <v>340</v>
      </c>
      <c r="B9" s="325">
        <v>0</v>
      </c>
      <c r="C9" s="325">
        <v>0</v>
      </c>
      <c r="D9" s="325">
        <v>0</v>
      </c>
      <c r="E9" s="325">
        <v>0</v>
      </c>
      <c r="F9" s="325">
        <v>0</v>
      </c>
      <c r="G9" s="325">
        <v>0</v>
      </c>
      <c r="H9" s="325">
        <f>SUMIF('Monthly BS'!$3:$3,H$2,'Monthly BS'!9:9)</f>
        <v>0</v>
      </c>
      <c r="I9" s="325">
        <f>SUMIF('Monthly BS'!$3:$3,I$2,'Monthly BS'!9:9)</f>
        <v>2</v>
      </c>
      <c r="J9" s="325">
        <f>SUMIF('Monthly BS'!$3:$3,J$2,'Monthly BS'!9:9)</f>
        <v>3</v>
      </c>
      <c r="K9" s="325">
        <f>SUMIF('Monthly BS'!$3:$3,K$2,'Monthly BS'!9:9)</f>
        <v>0</v>
      </c>
      <c r="L9" s="325">
        <f>SUMIF('Monthly BS'!$3:$3,L$2,'Monthly BS'!9:9)</f>
        <v>0</v>
      </c>
      <c r="M9" s="325">
        <f>SUMIF('Monthly BS'!$3:$3,M$2,'Monthly BS'!9:9)</f>
        <v>0</v>
      </c>
      <c r="N9" s="325">
        <f>SUMIF('Monthly BS'!$3:$3,N$2,'Monthly BS'!9:9)</f>
        <v>0</v>
      </c>
      <c r="O9" s="325">
        <f>SUMIF('Monthly BS'!$3:$3,O$2,'Monthly BS'!9:9)</f>
        <v>0</v>
      </c>
      <c r="P9" s="325">
        <f>SUMIF('Monthly BS'!$3:$3,P$2,'Monthly BS'!9:9)</f>
        <v>0</v>
      </c>
      <c r="Q9" s="325">
        <f>SUMIF('Monthly BS'!$3:$3,Q$2,'Monthly BS'!9:9)</f>
        <v>0</v>
      </c>
    </row>
    <row r="10" spans="1:17" ht="15">
      <c r="A10" s="319" t="s">
        <v>341</v>
      </c>
      <c r="B10" s="325">
        <v>6.8648695729999929</v>
      </c>
      <c r="C10" s="325">
        <v>16.303838772999967</v>
      </c>
      <c r="D10" s="325">
        <v>43.606974644090712</v>
      </c>
      <c r="E10" s="325">
        <v>55.739558066666717</v>
      </c>
      <c r="F10" s="325">
        <v>81.375399999999985</v>
      </c>
      <c r="G10" s="325">
        <v>41.628503200000011</v>
      </c>
      <c r="H10" s="325">
        <v>56.58</v>
      </c>
      <c r="I10" s="325">
        <v>76.48</v>
      </c>
      <c r="J10" s="325">
        <f>SUMIF('Monthly BS'!$3:$3,J$2,'Monthly BS'!11:11)+SUMIF('Monthly BS'!$3:$3,J$2,'Monthly BS'!13:13)</f>
        <v>51.9</v>
      </c>
      <c r="K10" s="325">
        <f>SUMIF('Monthly BS'!$3:$3,K$2,'Monthly BS'!11:11)+SUMIF('Monthly BS'!$3:$3,K$2,'Monthly BS'!13:13)</f>
        <v>44.4</v>
      </c>
      <c r="L10" s="325">
        <f>SUMIF('Monthly BS'!$3:$3,L$2,'Monthly BS'!11:11)+SUMIF('Monthly BS'!$3:$3,L$2,'Monthly BS'!13:13)</f>
        <v>14.669999999999996</v>
      </c>
      <c r="M10" s="325">
        <f>SUMIF('Monthly BS'!$3:$3,M$2,'Monthly BS'!11:11)+SUMIF('Monthly BS'!$3:$3,M$2,'Monthly BS'!13:13)</f>
        <v>11.669999999999996</v>
      </c>
      <c r="N10" s="325">
        <f>SUMIF('Monthly BS'!$3:$3,N$2,'Monthly BS'!11:11)+SUMIF('Monthly BS'!$3:$3,N$2,'Monthly BS'!13:13)</f>
        <v>8.6699999999999964</v>
      </c>
      <c r="O10" s="325">
        <f>SUMIF('Monthly BS'!$3:$3,O$2,'Monthly BS'!11:11)+SUMIF('Monthly BS'!$3:$3,O$2,'Monthly BS'!13:13)</f>
        <v>5.6699999999999964</v>
      </c>
      <c r="P10" s="325">
        <f>SUMIF('Monthly BS'!$3:$3,P$2,'Monthly BS'!11:11)+SUMIF('Monthly BS'!$3:$3,P$2,'Monthly BS'!13:13)</f>
        <v>2.6699999999999964</v>
      </c>
      <c r="Q10" s="325">
        <f>SUMIF('Monthly BS'!$3:$3,Q$2,'Monthly BS'!11:11)+SUMIF('Monthly BS'!$3:$3,Q$2,'Monthly BS'!13:13)</f>
        <v>1.9199999999999964</v>
      </c>
    </row>
    <row r="11" spans="1:17" ht="15">
      <c r="A11" s="319" t="s">
        <v>342</v>
      </c>
      <c r="B11" s="325">
        <v>0</v>
      </c>
      <c r="C11" s="325">
        <v>0</v>
      </c>
      <c r="D11" s="325">
        <v>0</v>
      </c>
      <c r="E11" s="325">
        <v>0</v>
      </c>
      <c r="F11" s="325">
        <v>0</v>
      </c>
      <c r="G11" s="325">
        <v>0</v>
      </c>
      <c r="H11" s="325">
        <v>0</v>
      </c>
      <c r="I11" s="325">
        <v>0</v>
      </c>
      <c r="J11" s="325">
        <f>SUMIF('Monthly BS'!$3:$3,J$2,'Monthly BS'!12:12)+SUMIF('Monthly BS'!$3:$3,J$2,'Monthly BS'!15:15)</f>
        <v>82.35</v>
      </c>
      <c r="K11" s="325">
        <f>SUMIF('Monthly BS'!$3:$3,K$2,'Monthly BS'!12:12)+SUMIF('Monthly BS'!$3:$3,K$2,'Monthly BS'!15:15)</f>
        <v>82.35</v>
      </c>
      <c r="L11" s="325">
        <f>SUMIF('Monthly BS'!$3:$3,L$2,'Monthly BS'!12:12)+SUMIF('Monthly BS'!$3:$3,L$2,'Monthly BS'!15:15)</f>
        <v>82.35</v>
      </c>
      <c r="M11" s="325">
        <f>SUMIF('Monthly BS'!$3:$3,M$2,'Monthly BS'!12:12)+SUMIF('Monthly BS'!$3:$3,M$2,'Monthly BS'!15:15)</f>
        <v>82.35</v>
      </c>
      <c r="N11" s="325">
        <f>SUMIF('Monthly BS'!$3:$3,N$2,'Monthly BS'!12:12)+SUMIF('Monthly BS'!$3:$3,N$2,'Monthly BS'!15:15)</f>
        <v>82.35</v>
      </c>
      <c r="O11" s="325">
        <f>SUMIF('Monthly BS'!$3:$3,O$2,'Monthly BS'!12:12)+SUMIF('Monthly BS'!$3:$3,O$2,'Monthly BS'!15:15)</f>
        <v>82.35</v>
      </c>
      <c r="P11" s="325">
        <f>SUMIF('Monthly BS'!$3:$3,P$2,'Monthly BS'!12:12)+SUMIF('Monthly BS'!$3:$3,P$2,'Monthly BS'!15:15)</f>
        <v>82.35</v>
      </c>
      <c r="Q11" s="325">
        <f>SUMIF('Monthly BS'!$3:$3,Q$2,'Monthly BS'!12:12)+SUMIF('Monthly BS'!$3:$3,Q$2,'Monthly BS'!15:15)</f>
        <v>82.35</v>
      </c>
    </row>
    <row r="12" spans="1:17" ht="15">
      <c r="A12" s="319" t="s">
        <v>343</v>
      </c>
      <c r="B12" s="325">
        <v>0</v>
      </c>
      <c r="C12" s="325">
        <v>0</v>
      </c>
      <c r="D12" s="325">
        <v>0</v>
      </c>
      <c r="E12" s="325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f>SUMIF('Monthly BS'!$3:$3,J$2,'Monthly BS'!14:14)</f>
        <v>0</v>
      </c>
      <c r="K12" s="325">
        <f>SUMIF('Monthly BS'!$3:$3,K$2,'Monthly BS'!14:14)</f>
        <v>0</v>
      </c>
      <c r="L12" s="325">
        <f>SUMIF('Monthly BS'!$3:$3,L$2,'Monthly BS'!14:14)</f>
        <v>9.7355523982324712</v>
      </c>
      <c r="M12" s="325">
        <f>SUMIF('Monthly BS'!$3:$3,M$2,'Monthly BS'!14:14)</f>
        <v>13.446731276666423</v>
      </c>
      <c r="N12" s="325">
        <f>SUMIF('Monthly BS'!$3:$3,N$2,'Monthly BS'!14:14)</f>
        <v>16.354680462310526</v>
      </c>
      <c r="O12" s="325">
        <f>SUMIF('Monthly BS'!$3:$3,O$2,'Monthly BS'!14:14)</f>
        <v>29.906005255017796</v>
      </c>
      <c r="P12" s="325">
        <f>SUMIF('Monthly BS'!$3:$3,P$2,'Monthly BS'!14:14)</f>
        <v>36.74362565821837</v>
      </c>
      <c r="Q12" s="325">
        <f>SUMIF('Monthly BS'!$3:$3,Q$2,'Monthly BS'!14:14)</f>
        <v>0</v>
      </c>
    </row>
    <row r="13" spans="1:17" ht="15">
      <c r="A13" s="319" t="str">
        <f>'Monthly BS'!A15</f>
        <v>Working Capital</v>
      </c>
      <c r="B13" s="325">
        <v>1.069454098</v>
      </c>
      <c r="C13" s="325">
        <v>0</v>
      </c>
      <c r="D13" s="325">
        <v>2.8050000000000002</v>
      </c>
      <c r="E13" s="325">
        <v>0</v>
      </c>
      <c r="F13" s="325">
        <v>2.7759894549999999</v>
      </c>
      <c r="G13" s="325">
        <v>2.2398891999999999</v>
      </c>
      <c r="H13" s="325">
        <v>0.64</v>
      </c>
      <c r="I13" s="325">
        <f>SUMIF('Monthly BS'!$3:$3,I$2,'Monthly BS'!15:15)</f>
        <v>2.9</v>
      </c>
      <c r="J13" s="325">
        <f>SUMIF('Monthly BS'!$3:$3,J$2,'Monthly BS'!15:15)</f>
        <v>0</v>
      </c>
      <c r="K13" s="325">
        <f>SUMIF('Monthly BS'!$3:$3,K$2,'Monthly BS'!15:15)</f>
        <v>0</v>
      </c>
      <c r="L13" s="325">
        <f>SUMIF('Monthly BS'!$3:$3,L$2,'Monthly BS'!15:15)</f>
        <v>0</v>
      </c>
      <c r="M13" s="325">
        <f>SUMIF('Monthly BS'!$3:$3,M$2,'Monthly BS'!15:15)</f>
        <v>0</v>
      </c>
      <c r="N13" s="325">
        <f>SUMIF('Monthly BS'!$3:$3,N$2,'Monthly BS'!15:15)</f>
        <v>0</v>
      </c>
      <c r="O13" s="325">
        <f>SUMIF('Monthly BS'!$3:$3,O$2,'Monthly BS'!15:15)</f>
        <v>0</v>
      </c>
      <c r="P13" s="325">
        <f>SUMIF('Monthly BS'!$3:$3,P$2,'Monthly BS'!15:15)</f>
        <v>0</v>
      </c>
      <c r="Q13" s="325">
        <f>SUMIF('Monthly BS'!$3:$3,Q$2,'Monthly BS'!15:15)</f>
        <v>0</v>
      </c>
    </row>
    <row r="14" spans="1:17" ht="12.75" thickBot="1">
      <c r="A14" s="321" t="s">
        <v>344</v>
      </c>
      <c r="B14" s="326">
        <f t="shared" ref="B14:Q14" si="0">SUM(B3:B13)</f>
        <v>65.006917350999998</v>
      </c>
      <c r="C14" s="326">
        <f t="shared" si="0"/>
        <v>95.419181982247068</v>
      </c>
      <c r="D14" s="326">
        <f t="shared" si="0"/>
        <v>169.26393195722792</v>
      </c>
      <c r="E14" s="326">
        <f t="shared" si="0"/>
        <v>198.97911464791829</v>
      </c>
      <c r="F14" s="326">
        <f t="shared" si="0"/>
        <v>252.46954613625158</v>
      </c>
      <c r="G14" s="326">
        <f t="shared" si="0"/>
        <v>289.31742550000001</v>
      </c>
      <c r="H14" s="326">
        <f t="shared" si="0"/>
        <v>328.73999999999995</v>
      </c>
      <c r="I14" s="326">
        <f t="shared" si="0"/>
        <v>277.63709999999998</v>
      </c>
      <c r="J14" s="326">
        <f t="shared" si="0"/>
        <v>281.305351993957</v>
      </c>
      <c r="K14" s="326">
        <f t="shared" si="0"/>
        <v>271.6922812758292</v>
      </c>
      <c r="L14" s="326">
        <f t="shared" si="0"/>
        <v>206.81412106833449</v>
      </c>
      <c r="M14" s="326">
        <f t="shared" si="0"/>
        <v>153.17867919736852</v>
      </c>
      <c r="N14" s="326">
        <f t="shared" si="0"/>
        <v>110.27864955271515</v>
      </c>
      <c r="O14" s="326">
        <f t="shared" si="0"/>
        <v>76.853784371731251</v>
      </c>
      <c r="P14" s="326">
        <f t="shared" si="0"/>
        <v>37.116121922408958</v>
      </c>
      <c r="Q14" s="326">
        <f t="shared" si="0"/>
        <v>2.3079452670239249</v>
      </c>
    </row>
    <row r="15" spans="1:17" ht="15.75" thickTop="1">
      <c r="B15" s="325"/>
      <c r="I15" s="323"/>
    </row>
    <row r="16" spans="1:17">
      <c r="A16" s="321" t="s">
        <v>345</v>
      </c>
      <c r="B16" s="332">
        <f t="shared" ref="B16:Q16" si="1">B2</f>
        <v>41729</v>
      </c>
      <c r="C16" s="332">
        <f t="shared" si="1"/>
        <v>42094</v>
      </c>
      <c r="D16" s="332">
        <f t="shared" si="1"/>
        <v>42460</v>
      </c>
      <c r="E16" s="332">
        <f t="shared" si="1"/>
        <v>42825</v>
      </c>
      <c r="F16" s="332">
        <f t="shared" si="1"/>
        <v>43190</v>
      </c>
      <c r="G16" s="332">
        <f t="shared" si="1"/>
        <v>43555</v>
      </c>
      <c r="H16" s="332">
        <f t="shared" si="1"/>
        <v>43921</v>
      </c>
      <c r="I16" s="332">
        <f t="shared" si="1"/>
        <v>44286</v>
      </c>
      <c r="J16" s="332">
        <f t="shared" si="1"/>
        <v>44651</v>
      </c>
      <c r="K16" s="332">
        <f t="shared" si="1"/>
        <v>45016</v>
      </c>
      <c r="L16" s="332">
        <f t="shared" si="1"/>
        <v>45382</v>
      </c>
      <c r="M16" s="332">
        <f t="shared" si="1"/>
        <v>45747</v>
      </c>
      <c r="N16" s="332">
        <f t="shared" si="1"/>
        <v>46112</v>
      </c>
      <c r="O16" s="332">
        <f t="shared" si="1"/>
        <v>46477</v>
      </c>
      <c r="P16" s="332">
        <f t="shared" si="1"/>
        <v>46843</v>
      </c>
      <c r="Q16" s="332">
        <f t="shared" si="1"/>
        <v>47208</v>
      </c>
    </row>
    <row r="17" spans="1:17" ht="15">
      <c r="A17" s="319" t="str">
        <f>'Monthly BS'!A19</f>
        <v>Gross Block including Intangible Assets under Development</v>
      </c>
      <c r="B17" s="325">
        <v>50.040035217680007</v>
      </c>
      <c r="C17" s="325">
        <v>75.646559400525874</v>
      </c>
      <c r="D17" s="325">
        <v>143.38440794160985</v>
      </c>
      <c r="E17" s="325">
        <v>180.79833200974329</v>
      </c>
      <c r="F17" s="325">
        <v>219.04499999999999</v>
      </c>
      <c r="G17" s="325">
        <v>232.08206050000001</v>
      </c>
      <c r="H17" s="325">
        <v>274.185</v>
      </c>
      <c r="I17" s="325">
        <v>268.50800457686302</v>
      </c>
      <c r="J17" s="325">
        <f>SUMIF('Monthly BS'!$3:$3,J$2,'Monthly BS'!19:19)</f>
        <v>301.79370236311502</v>
      </c>
      <c r="K17" s="325">
        <f>SUMIF('Monthly BS'!$3:$3,K$2,'Monthly BS'!19:19)</f>
        <v>344.4076644232187</v>
      </c>
      <c r="L17" s="325">
        <f>SUMIF('Monthly BS'!$3:$3,L$2,'Monthly BS'!19:19)</f>
        <v>343.87052048549305</v>
      </c>
      <c r="M17" s="325">
        <f>SUMIF('Monthly BS'!$3:$3,M$2,'Monthly BS'!19:19)</f>
        <v>344.35052048549329</v>
      </c>
      <c r="N17" s="325">
        <f>SUMIF('Monthly BS'!$3:$3,N$2,'Monthly BS'!19:19)</f>
        <v>344.83052048549354</v>
      </c>
      <c r="O17" s="325">
        <f>SUMIF('Monthly BS'!$3:$3,O$2,'Monthly BS'!19:19)</f>
        <v>345.31052048549378</v>
      </c>
      <c r="P17" s="325">
        <f>SUMIF('Monthly BS'!$3:$3,P$2,'Monthly BS'!19:19)</f>
        <v>345.79052048549403</v>
      </c>
      <c r="Q17" s="325">
        <f>SUMIF('Monthly BS'!$3:$3,Q$2,'Monthly BS'!19:19)</f>
        <v>346.03052048549415</v>
      </c>
    </row>
    <row r="18" spans="1:17" ht="15">
      <c r="A18" s="319" t="str">
        <f>'Monthly BS'!A20</f>
        <v>Less: Accumulated Depreciation</v>
      </c>
      <c r="B18" s="325">
        <v>0.198254004381819</v>
      </c>
      <c r="C18" s="325">
        <v>1.9849381043818191</v>
      </c>
      <c r="D18" s="325">
        <v>3.8949453284916888</v>
      </c>
      <c r="E18" s="325">
        <v>4.9105474284916886</v>
      </c>
      <c r="F18" s="325">
        <v>5.44</v>
      </c>
      <c r="G18" s="325">
        <v>5.7458542000000001</v>
      </c>
      <c r="H18" s="325">
        <v>6.6</v>
      </c>
      <c r="I18" s="325">
        <v>41.740826965260602</v>
      </c>
      <c r="J18" s="325">
        <f>SUMIF('Monthly BS'!$3:$3,J$2,'Monthly BS'!20:20)</f>
        <v>72.490826965260595</v>
      </c>
      <c r="K18" s="325">
        <f>SUMIF('Monthly BS'!$3:$3,K$2,'Monthly BS'!20:20)</f>
        <v>117.9908269652606</v>
      </c>
      <c r="L18" s="325">
        <f>SUMIF('Monthly BS'!$3:$3,L$2,'Monthly BS'!20:20)</f>
        <v>163.4908269652606</v>
      </c>
      <c r="M18" s="325">
        <f>SUMIF('Monthly BS'!$3:$3,M$2,'Monthly BS'!20:20)</f>
        <v>208.9908269652606</v>
      </c>
      <c r="N18" s="325">
        <f>SUMIF('Monthly BS'!$3:$3,N$2,'Monthly BS'!20:20)</f>
        <v>254.4908269652606</v>
      </c>
      <c r="O18" s="325">
        <f>SUMIF('Monthly BS'!$3:$3,O$2,'Monthly BS'!20:20)</f>
        <v>299.99082696526057</v>
      </c>
      <c r="P18" s="325">
        <f>SUMIF('Monthly BS'!$3:$3,P$2,'Monthly BS'!20:20)</f>
        <v>346.03082696526059</v>
      </c>
      <c r="Q18" s="325">
        <f>SUMIF('Monthly BS'!$3:$3,Q$2,'Monthly BS'!20:20)</f>
        <v>346.03082696526059</v>
      </c>
    </row>
    <row r="19" spans="1:17" ht="15">
      <c r="A19" s="321" t="str">
        <f>'Monthly BS'!A21</f>
        <v>Net Block</v>
      </c>
      <c r="B19" s="325">
        <f t="shared" ref="B19:Q19" si="2">B17-B18</f>
        <v>49.841781213298191</v>
      </c>
      <c r="C19" s="325">
        <f t="shared" si="2"/>
        <v>73.661621296144048</v>
      </c>
      <c r="D19" s="325">
        <f t="shared" si="2"/>
        <v>139.48946261311815</v>
      </c>
      <c r="E19" s="325">
        <f t="shared" si="2"/>
        <v>175.88778458125159</v>
      </c>
      <c r="F19" s="325">
        <f t="shared" si="2"/>
        <v>213.60499999999999</v>
      </c>
      <c r="G19" s="325">
        <f t="shared" si="2"/>
        <v>226.33620630000001</v>
      </c>
      <c r="H19" s="325">
        <f t="shared" si="2"/>
        <v>267.58499999999998</v>
      </c>
      <c r="I19" s="325">
        <f t="shared" si="2"/>
        <v>226.76717761160242</v>
      </c>
      <c r="J19" s="325">
        <f t="shared" si="2"/>
        <v>229.30287539785442</v>
      </c>
      <c r="K19" s="325">
        <f t="shared" si="2"/>
        <v>226.41683745795811</v>
      </c>
      <c r="L19" s="325">
        <f t="shared" si="2"/>
        <v>180.37969352023245</v>
      </c>
      <c r="M19" s="325">
        <f t="shared" si="2"/>
        <v>135.3596935202327</v>
      </c>
      <c r="N19" s="325">
        <f t="shared" si="2"/>
        <v>90.339693520232942</v>
      </c>
      <c r="O19" s="325">
        <f t="shared" si="2"/>
        <v>45.319693520233216</v>
      </c>
      <c r="P19" s="325">
        <f t="shared" si="2"/>
        <v>-0.24030647976655928</v>
      </c>
      <c r="Q19" s="325">
        <f t="shared" si="2"/>
        <v>-3.0647976643649599E-4</v>
      </c>
    </row>
    <row r="20" spans="1:17" ht="15">
      <c r="A20" s="319" t="str">
        <f>'Monthly BS'!A22</f>
        <v>Other Non Current Assets</v>
      </c>
      <c r="B20" s="325">
        <v>3.35</v>
      </c>
      <c r="C20" s="325">
        <v>3.35</v>
      </c>
      <c r="D20" s="325">
        <v>3.35</v>
      </c>
      <c r="E20" s="325">
        <v>3.3</v>
      </c>
      <c r="F20" s="325">
        <v>3.3</v>
      </c>
      <c r="G20" s="325">
        <v>3.3</v>
      </c>
      <c r="H20" s="325">
        <v>3.3</v>
      </c>
      <c r="I20" s="325">
        <f>SUMIF('Monthly BS'!$3:$3,I$2,'Monthly BS'!22:22)</f>
        <v>3.3</v>
      </c>
      <c r="J20" s="325">
        <f>SUMIF('Monthly BS'!$3:$3,J$2,'Monthly BS'!22:22)</f>
        <v>3.3</v>
      </c>
      <c r="K20" s="325">
        <f>SUMIF('Monthly BS'!$3:$3,K$2,'Monthly BS'!22:22)</f>
        <v>3.3</v>
      </c>
      <c r="L20" s="325">
        <f>SUMIF('Monthly BS'!$3:$3,L$2,'Monthly BS'!22:22)</f>
        <v>3.3</v>
      </c>
      <c r="M20" s="325">
        <f>SUMIF('Monthly BS'!$3:$3,M$2,'Monthly BS'!22:22)</f>
        <v>3.3</v>
      </c>
      <c r="N20" s="325">
        <f>SUMIF('Monthly BS'!$3:$3,N$2,'Monthly BS'!22:22)</f>
        <v>3.3</v>
      </c>
      <c r="O20" s="325">
        <f>SUMIF('Monthly BS'!$3:$3,O$2,'Monthly BS'!22:22)</f>
        <v>3.3</v>
      </c>
      <c r="P20" s="325">
        <f>SUMIF('Monthly BS'!$3:$3,P$2,'Monthly BS'!22:22)</f>
        <v>3.3</v>
      </c>
      <c r="Q20" s="325">
        <f>SUMIF('Monthly BS'!$3:$3,Q$2,'Monthly BS'!22:22)</f>
        <v>3.3</v>
      </c>
    </row>
    <row r="21" spans="1:17" ht="15">
      <c r="A21" s="319" t="s">
        <v>346</v>
      </c>
      <c r="B21" s="325">
        <v>7.3799055499160602</v>
      </c>
      <c r="C21" s="325">
        <v>3.5726147394630274</v>
      </c>
      <c r="D21" s="325">
        <v>1.5928720199999802</v>
      </c>
      <c r="E21" s="325">
        <v>6.4490227000000004</v>
      </c>
      <c r="F21" s="325">
        <v>0.71789999999999998</v>
      </c>
      <c r="G21" s="325">
        <v>12.1956498</v>
      </c>
      <c r="H21" s="333">
        <v>0.22912558800000027</v>
      </c>
      <c r="I21" s="325">
        <f>SUMIF('Monthly BS'!$3:$3,I$2,'Monthly BS'!23:23)+SUMIF('Monthly BS'!$3:$3,I$2,'Monthly BS'!24:24)</f>
        <v>2.44</v>
      </c>
      <c r="J21" s="325">
        <f>SUMIF('Monthly BS'!$3:$3,J$2,'Monthly BS'!23:23)+SUMIF('Monthly BS'!$3:$3,J$2,'Monthly BS'!24:24)</f>
        <v>17.41</v>
      </c>
      <c r="K21" s="325">
        <f>SUMIF('Monthly BS'!$3:$3,K$2,'Monthly BS'!23:23)+SUMIF('Monthly BS'!$3:$3,K$2,'Monthly BS'!24:24)</f>
        <v>16.62740415429127</v>
      </c>
      <c r="L21" s="325">
        <f>SUMIF('Monthly BS'!$3:$3,L$2,'Monthly BS'!23:23)+SUMIF('Monthly BS'!$3:$3,L$2,'Monthly BS'!24:24)</f>
        <v>11.728539050605709</v>
      </c>
      <c r="M21" s="325">
        <f>SUMIF('Monthly BS'!$3:$3,M$2,'Monthly BS'!23:23)+SUMIF('Monthly BS'!$3:$3,M$2,'Monthly BS'!24:24)</f>
        <v>2.3919752299311376</v>
      </c>
      <c r="N21" s="325">
        <f>SUMIF('Monthly BS'!$3:$3,N$2,'Monthly BS'!23:23)+SUMIF('Monthly BS'!$3:$3,N$2,'Monthly BS'!24:24)</f>
        <v>2.4710077143454345</v>
      </c>
      <c r="O21" s="325">
        <f>SUMIF('Monthly BS'!$3:$3,O$2,'Monthly BS'!23:23)+SUMIF('Monthly BS'!$3:$3,O$2,'Monthly BS'!24:24)</f>
        <v>12.427812945467299</v>
      </c>
      <c r="P21" s="325">
        <f>SUMIF('Monthly BS'!$3:$3,P$2,'Monthly BS'!23:23)+SUMIF('Monthly BS'!$3:$3,P$2,'Monthly BS'!24:24)</f>
        <v>17.237982166136746</v>
      </c>
      <c r="Q21" s="325">
        <f>SUMIF('Monthly BS'!$3:$3,Q$2,'Monthly BS'!23:23)+SUMIF('Monthly BS'!$3:$3,Q$2,'Monthly BS'!24:24)</f>
        <v>-3.7369238097880242</v>
      </c>
    </row>
    <row r="22" spans="1:17" ht="15">
      <c r="A22" s="319" t="s">
        <v>246</v>
      </c>
      <c r="B22" s="325">
        <v>0</v>
      </c>
      <c r="C22" s="325">
        <v>0</v>
      </c>
      <c r="D22" s="325">
        <v>0</v>
      </c>
      <c r="E22" s="325">
        <v>0</v>
      </c>
      <c r="F22" s="325">
        <v>0</v>
      </c>
      <c r="G22" s="325">
        <v>17.722158899999954</v>
      </c>
      <c r="H22" s="325">
        <v>23.689627246999976</v>
      </c>
      <c r="I22" s="325">
        <f>SUMIF('Monthly BS'!$3:$3,I$2,'Monthly BS'!25:25)</f>
        <v>14.11</v>
      </c>
      <c r="J22" s="325">
        <f>SUMIF('Monthly BS'!$3:$3,J$2,'Monthly BS'!25:25)</f>
        <v>17.75</v>
      </c>
      <c r="K22" s="325">
        <f>SUMIF('Monthly BS'!$3:$3,K$2,'Monthly BS'!25:25)</f>
        <v>17.75</v>
      </c>
      <c r="L22" s="325">
        <f>SUMIF('Monthly BS'!$3:$3,L$2,'Monthly BS'!25:25)</f>
        <v>2.75</v>
      </c>
      <c r="M22" s="325">
        <f>SUMIF('Monthly BS'!$3:$3,M$2,'Monthly BS'!25:25)</f>
        <v>2.75</v>
      </c>
      <c r="N22" s="325">
        <f>SUMIF('Monthly BS'!$3:$3,N$2,'Monthly BS'!25:25)</f>
        <v>2.75</v>
      </c>
      <c r="O22" s="325">
        <f>SUMIF('Monthly BS'!$3:$3,O$2,'Monthly BS'!25:25)</f>
        <v>2.75</v>
      </c>
      <c r="P22" s="325">
        <f>SUMIF('Monthly BS'!$3:$3,P$2,'Monthly BS'!25:25)</f>
        <v>2.75</v>
      </c>
      <c r="Q22" s="325">
        <f>SUMIF('Monthly BS'!$3:$3,Q$2,'Monthly BS'!25:25)</f>
        <v>2.75</v>
      </c>
    </row>
    <row r="23" spans="1:17" s="334" customFormat="1">
      <c r="A23" s="334" t="s">
        <v>347</v>
      </c>
      <c r="B23" s="333">
        <v>4.4352305877857514</v>
      </c>
      <c r="C23" s="333">
        <v>14.834945946640001</v>
      </c>
      <c r="D23" s="333">
        <v>24.831597324109801</v>
      </c>
      <c r="E23" s="333">
        <v>13.3423073666667</v>
      </c>
      <c r="F23" s="333">
        <v>34.8466461362516</v>
      </c>
      <c r="G23" s="333">
        <v>29.763410499999999</v>
      </c>
      <c r="H23" s="333">
        <v>33.936247164999997</v>
      </c>
      <c r="I23" s="333">
        <f>SUMIF('Monthly BS'!$3:$3,I$2,'Monthly BS'!26:26)</f>
        <v>30.8</v>
      </c>
      <c r="J23" s="333">
        <f>SUMIF('Monthly BS'!$3:$3,J$2,'Monthly BS'!26:26)</f>
        <v>13.54</v>
      </c>
      <c r="K23" s="333">
        <f>SUMIF('Monthly BS'!$3:$3,K$2,'Monthly BS'!26:26)</f>
        <v>7.6018171199999927</v>
      </c>
      <c r="L23" s="333">
        <f>SUMIF('Monthly BS'!$3:$3,L$2,'Monthly BS'!26:26)</f>
        <v>8.6596659539167913</v>
      </c>
      <c r="M23" s="333">
        <f>SUMIF('Monthly BS'!$3:$3,M$2,'Monthly BS'!26:26)</f>
        <v>9.3807879036255102</v>
      </c>
      <c r="N23" s="333">
        <f>SUMIF('Monthly BS'!$3:$3,N$2,'Monthly BS'!26:26)</f>
        <v>11.421725774557828</v>
      </c>
      <c r="O23" s="333">
        <f>SUMIF('Monthly BS'!$3:$3,O$2,'Monthly BS'!26:26)</f>
        <v>13.060055362452083</v>
      </c>
      <c r="P23" s="333">
        <f>SUMIF('Monthly BS'!$3:$3,P$2,'Monthly BS'!26:26)</f>
        <v>14.072223692460314</v>
      </c>
      <c r="Q23" s="333">
        <f>SUMIF('Monthly BS'!$3:$3,Q$2,'Monthly BS'!26:26)</f>
        <v>-1.0469870000129333E-3</v>
      </c>
    </row>
    <row r="24" spans="1:17" ht="12.75" thickBot="1">
      <c r="A24" s="321" t="s">
        <v>29</v>
      </c>
      <c r="B24" s="326">
        <f t="shared" ref="B24:Q24" si="3">SUM(B19:B23)</f>
        <v>65.006917350999998</v>
      </c>
      <c r="C24" s="326">
        <f t="shared" si="3"/>
        <v>95.419181982247068</v>
      </c>
      <c r="D24" s="326">
        <f t="shared" si="3"/>
        <v>169.26393195722792</v>
      </c>
      <c r="E24" s="326">
        <f t="shared" si="3"/>
        <v>198.97911464791829</v>
      </c>
      <c r="F24" s="326">
        <f t="shared" si="3"/>
        <v>252.46954613625158</v>
      </c>
      <c r="G24" s="326">
        <f t="shared" si="3"/>
        <v>289.31742550000001</v>
      </c>
      <c r="H24" s="326">
        <f t="shared" si="3"/>
        <v>328.73999999999995</v>
      </c>
      <c r="I24" s="326">
        <f t="shared" si="3"/>
        <v>277.41717761160243</v>
      </c>
      <c r="J24" s="326">
        <f t="shared" si="3"/>
        <v>281.30287539785445</v>
      </c>
      <c r="K24" s="326">
        <f t="shared" si="3"/>
        <v>271.69605873224941</v>
      </c>
      <c r="L24" s="326">
        <f t="shared" si="3"/>
        <v>206.81789852475498</v>
      </c>
      <c r="M24" s="326">
        <f t="shared" si="3"/>
        <v>153.18245665378936</v>
      </c>
      <c r="N24" s="326">
        <f t="shared" si="3"/>
        <v>110.2824270091362</v>
      </c>
      <c r="O24" s="326">
        <f t="shared" si="3"/>
        <v>76.857561828152598</v>
      </c>
      <c r="P24" s="326">
        <f t="shared" si="3"/>
        <v>37.119899378830503</v>
      </c>
      <c r="Q24" s="326">
        <f t="shared" si="3"/>
        <v>2.3117227234455262</v>
      </c>
    </row>
    <row r="25" spans="1:17" ht="12.75" thickTop="1">
      <c r="D25" s="323"/>
      <c r="G25" s="323"/>
    </row>
    <row r="26" spans="1:17">
      <c r="A26" s="321" t="s">
        <v>348</v>
      </c>
      <c r="B26" s="323">
        <f t="shared" ref="B26:Q26" si="4">B14-B24</f>
        <v>0</v>
      </c>
      <c r="C26" s="323">
        <f t="shared" si="4"/>
        <v>0</v>
      </c>
      <c r="D26" s="323">
        <f t="shared" si="4"/>
        <v>0</v>
      </c>
      <c r="E26" s="323">
        <f t="shared" si="4"/>
        <v>0</v>
      </c>
      <c r="F26" s="323">
        <f t="shared" si="4"/>
        <v>0</v>
      </c>
      <c r="G26" s="323">
        <f t="shared" si="4"/>
        <v>0</v>
      </c>
      <c r="H26" s="323">
        <f t="shared" si="4"/>
        <v>0</v>
      </c>
      <c r="I26" s="323">
        <f t="shared" si="4"/>
        <v>0.21992238839754918</v>
      </c>
      <c r="J26" s="323">
        <f t="shared" si="4"/>
        <v>2.4765961025536853E-3</v>
      </c>
      <c r="K26" s="323">
        <f t="shared" si="4"/>
        <v>-3.7774564202095462E-3</v>
      </c>
      <c r="L26" s="323">
        <f t="shared" si="4"/>
        <v>-3.7774564204937633E-3</v>
      </c>
      <c r="M26" s="323">
        <f t="shared" si="4"/>
        <v>-3.7774564208348238E-3</v>
      </c>
      <c r="N26" s="323">
        <f t="shared" si="4"/>
        <v>-3.7774564210479866E-3</v>
      </c>
      <c r="O26" s="323">
        <f t="shared" si="4"/>
        <v>-3.7774564213464146E-3</v>
      </c>
      <c r="P26" s="323">
        <f t="shared" si="4"/>
        <v>-3.7774564215453665E-3</v>
      </c>
      <c r="Q26" s="323">
        <f t="shared" si="4"/>
        <v>-3.7774564216013218E-3</v>
      </c>
    </row>
    <row r="27" spans="1:17" ht="15">
      <c r="A27" s="321" t="s">
        <v>349</v>
      </c>
      <c r="B27" s="325">
        <f t="shared" ref="B27:I27" si="5">(SUM(B6:B9))/SUM(B3:B4)</f>
        <v>0.43095238095238098</v>
      </c>
      <c r="C27" s="325">
        <f t="shared" si="5"/>
        <v>1.0023809523809524</v>
      </c>
      <c r="D27" s="325">
        <f t="shared" si="5"/>
        <v>1.0910569105691057</v>
      </c>
      <c r="E27" s="325">
        <f t="shared" si="5"/>
        <v>1.4253311300813005</v>
      </c>
      <c r="F27" s="325">
        <f t="shared" si="5"/>
        <v>1.8318351967479674</v>
      </c>
      <c r="G27" s="325">
        <f t="shared" si="5"/>
        <v>3.0817185235772357</v>
      </c>
      <c r="H27" s="325">
        <f t="shared" si="5"/>
        <v>3.498211382113821</v>
      </c>
      <c r="I27" s="325">
        <f t="shared" si="5"/>
        <v>3.605040650406504</v>
      </c>
      <c r="J27" s="325">
        <f t="shared" ref="J27:Q27" si="6">(SUM(J6:J9)-2.9)/SUM(J3:J4)</f>
        <v>3.9082926829268292</v>
      </c>
      <c r="K27" s="325">
        <f t="shared" si="6"/>
        <v>1.9503664596273289</v>
      </c>
      <c r="L27" s="325">
        <f t="shared" si="6"/>
        <v>1.9321174534161489</v>
      </c>
      <c r="M27" s="325">
        <f t="shared" si="6"/>
        <v>1.6948803726708068</v>
      </c>
      <c r="N27" s="325">
        <f t="shared" si="6"/>
        <v>1.3892095186335396</v>
      </c>
      <c r="O27" s="325">
        <f t="shared" si="6"/>
        <v>1.0424784006211172</v>
      </c>
      <c r="P27" s="325">
        <f t="shared" si="6"/>
        <v>0.47675920807453342</v>
      </c>
      <c r="Q27" s="325">
        <f t="shared" si="6"/>
        <v>0.12546583850931678</v>
      </c>
    </row>
    <row r="28" spans="1:17" ht="15"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</row>
    <row r="29" spans="1:17">
      <c r="A29" s="321" t="s">
        <v>350</v>
      </c>
      <c r="B29" s="323">
        <f t="shared" ref="B29:Q29" si="7">+B17+B20</f>
        <v>53.390035217680008</v>
      </c>
      <c r="C29" s="323">
        <f t="shared" si="7"/>
        <v>78.996559400525868</v>
      </c>
      <c r="D29" s="323">
        <f t="shared" si="7"/>
        <v>146.73440794160985</v>
      </c>
      <c r="E29" s="323">
        <f t="shared" si="7"/>
        <v>184.0983320097433</v>
      </c>
      <c r="F29" s="323">
        <f t="shared" si="7"/>
        <v>222.345</v>
      </c>
      <c r="G29" s="323">
        <f t="shared" si="7"/>
        <v>235.38206050000002</v>
      </c>
      <c r="H29" s="323">
        <f t="shared" si="7"/>
        <v>277.48500000000001</v>
      </c>
      <c r="I29" s="323">
        <f t="shared" si="7"/>
        <v>271.80800457686303</v>
      </c>
      <c r="J29" s="323">
        <f t="shared" si="7"/>
        <v>305.09370236311503</v>
      </c>
      <c r="K29" s="323">
        <f t="shared" si="7"/>
        <v>347.70766442321872</v>
      </c>
      <c r="L29" s="323">
        <f t="shared" si="7"/>
        <v>347.17052048549306</v>
      </c>
      <c r="M29" s="323">
        <f t="shared" si="7"/>
        <v>347.6505204854933</v>
      </c>
      <c r="N29" s="323">
        <f t="shared" si="7"/>
        <v>348.13052048549355</v>
      </c>
      <c r="O29" s="323">
        <f t="shared" si="7"/>
        <v>348.61052048549379</v>
      </c>
      <c r="P29" s="323">
        <f t="shared" si="7"/>
        <v>349.09052048549404</v>
      </c>
      <c r="Q29" s="323">
        <f t="shared" si="7"/>
        <v>349.33052048549416</v>
      </c>
    </row>
    <row r="30" spans="1:17">
      <c r="A30" s="321" t="s">
        <v>351</v>
      </c>
      <c r="B30" s="323">
        <f>B29</f>
        <v>53.390035217680008</v>
      </c>
      <c r="C30" s="323">
        <f t="shared" ref="C30:Q30" si="8">C29-B29</f>
        <v>25.60652418284586</v>
      </c>
      <c r="D30" s="323">
        <f t="shared" si="8"/>
        <v>67.737848541083977</v>
      </c>
      <c r="E30" s="323">
        <f t="shared" si="8"/>
        <v>37.363924068133457</v>
      </c>
      <c r="F30" s="323">
        <f t="shared" si="8"/>
        <v>38.246667990256697</v>
      </c>
      <c r="G30" s="323">
        <f t="shared" si="8"/>
        <v>13.037060500000024</v>
      </c>
      <c r="H30" s="323">
        <f t="shared" si="8"/>
        <v>42.102939499999991</v>
      </c>
      <c r="I30" s="323">
        <f t="shared" si="8"/>
        <v>-5.6769954231369866</v>
      </c>
      <c r="J30" s="323">
        <f t="shared" si="8"/>
        <v>33.285697786252001</v>
      </c>
      <c r="K30" s="323">
        <f t="shared" si="8"/>
        <v>42.613962060103688</v>
      </c>
      <c r="L30" s="323">
        <f t="shared" si="8"/>
        <v>-0.53714393772565927</v>
      </c>
      <c r="M30" s="323">
        <f t="shared" si="8"/>
        <v>0.48000000000024556</v>
      </c>
      <c r="N30" s="323">
        <f t="shared" si="8"/>
        <v>0.48000000000024556</v>
      </c>
      <c r="O30" s="323">
        <f t="shared" si="8"/>
        <v>0.48000000000024556</v>
      </c>
      <c r="P30" s="323">
        <f t="shared" si="8"/>
        <v>0.48000000000024556</v>
      </c>
      <c r="Q30" s="323">
        <f t="shared" si="8"/>
        <v>0.24000000000012278</v>
      </c>
    </row>
    <row r="32" spans="1:17">
      <c r="A32" s="321" t="s">
        <v>352</v>
      </c>
      <c r="B32" s="323">
        <f t="shared" ref="B32:Q32" si="9">SUM(B10)-SUM(B22:B23)</f>
        <v>2.4296389852142415</v>
      </c>
      <c r="C32" s="323">
        <f t="shared" si="9"/>
        <v>1.4688928263599657</v>
      </c>
      <c r="D32" s="323">
        <f t="shared" si="9"/>
        <v>18.775377319980912</v>
      </c>
      <c r="E32" s="323">
        <f t="shared" si="9"/>
        <v>42.397250700000015</v>
      </c>
      <c r="F32" s="323">
        <f t="shared" si="9"/>
        <v>46.528753863748385</v>
      </c>
      <c r="G32" s="323">
        <f t="shared" si="9"/>
        <v>-5.8570661999999416</v>
      </c>
      <c r="H32" s="323">
        <f t="shared" si="9"/>
        <v>-1.045874411999975</v>
      </c>
      <c r="I32" s="323">
        <f t="shared" si="9"/>
        <v>31.570000000000007</v>
      </c>
      <c r="J32" s="323">
        <f t="shared" si="9"/>
        <v>20.61</v>
      </c>
      <c r="K32" s="323">
        <f t="shared" si="9"/>
        <v>19.048182880000006</v>
      </c>
      <c r="L32" s="323">
        <f t="shared" si="9"/>
        <v>3.2603340460832051</v>
      </c>
      <c r="M32" s="323">
        <f t="shared" si="9"/>
        <v>-0.46078790362551381</v>
      </c>
      <c r="N32" s="323">
        <f t="shared" si="9"/>
        <v>-5.5017257745578316</v>
      </c>
      <c r="O32" s="323">
        <f t="shared" si="9"/>
        <v>-10.140055362452086</v>
      </c>
      <c r="P32" s="323">
        <f t="shared" si="9"/>
        <v>-14.152223692460316</v>
      </c>
      <c r="Q32" s="323">
        <f t="shared" si="9"/>
        <v>-0.82895301299999069</v>
      </c>
    </row>
    <row r="33" spans="1:17">
      <c r="A33" s="321" t="s">
        <v>353</v>
      </c>
      <c r="B33" s="323">
        <f>B32</f>
        <v>2.4296389852142415</v>
      </c>
      <c r="C33" s="323">
        <f>C32-B32</f>
        <v>-0.96074615885427583</v>
      </c>
      <c r="D33" s="323">
        <f t="shared" ref="D33:P33" si="10">D32-C32</f>
        <v>17.306484493620946</v>
      </c>
      <c r="E33" s="323">
        <f t="shared" si="10"/>
        <v>23.621873380019103</v>
      </c>
      <c r="F33" s="323">
        <f t="shared" si="10"/>
        <v>4.1315031637483699</v>
      </c>
      <c r="G33" s="323">
        <f t="shared" si="10"/>
        <v>-52.385820063748326</v>
      </c>
      <c r="H33" s="323">
        <f t="shared" si="10"/>
        <v>4.8111917879999666</v>
      </c>
      <c r="I33" s="323">
        <f t="shared" si="10"/>
        <v>32.615874411999982</v>
      </c>
      <c r="J33" s="323">
        <f t="shared" si="10"/>
        <v>-10.960000000000008</v>
      </c>
      <c r="K33" s="323">
        <f t="shared" si="10"/>
        <v>-1.5618171199999935</v>
      </c>
      <c r="L33" s="323">
        <f t="shared" si="10"/>
        <v>-15.787848833916801</v>
      </c>
      <c r="M33" s="323">
        <f t="shared" si="10"/>
        <v>-3.7211219497087189</v>
      </c>
      <c r="N33" s="323">
        <f t="shared" si="10"/>
        <v>-5.0409378709323178</v>
      </c>
      <c r="O33" s="323">
        <f t="shared" si="10"/>
        <v>-4.6383295878942548</v>
      </c>
      <c r="P33" s="323">
        <f t="shared" si="10"/>
        <v>-4.0121683300082296</v>
      </c>
      <c r="Q33" s="323">
        <f>Q32-P32-Q32</f>
        <v>14.152223692460316</v>
      </c>
    </row>
    <row r="35" spans="1:17">
      <c r="A35" s="321" t="s">
        <v>354</v>
      </c>
      <c r="B35" s="327">
        <f>B3+B4+B5</f>
        <v>38.972593680000003</v>
      </c>
      <c r="C35" s="327">
        <f t="shared" ref="C35:Q35" si="11">C3+C4+C5</f>
        <v>37.015343209247092</v>
      </c>
      <c r="D35" s="327">
        <f t="shared" si="11"/>
        <v>55.751957313137218</v>
      </c>
      <c r="E35" s="327">
        <f t="shared" si="11"/>
        <v>55.581692081251589</v>
      </c>
      <c r="F35" s="327">
        <f t="shared" si="11"/>
        <v>55.66029208125159</v>
      </c>
      <c r="G35" s="327">
        <f t="shared" si="11"/>
        <v>55.923343899999999</v>
      </c>
      <c r="H35" s="327">
        <f t="shared" si="11"/>
        <v>56.38</v>
      </c>
      <c r="I35" s="327">
        <f t="shared" si="11"/>
        <v>-23.4529</v>
      </c>
      <c r="J35" s="327">
        <f t="shared" si="11"/>
        <v>-96.204648006042987</v>
      </c>
      <c r="K35" s="327">
        <f t="shared" si="11"/>
        <v>-14.962218724170782</v>
      </c>
      <c r="L35" s="327">
        <f t="shared" si="11"/>
        <v>-58.376886329897985</v>
      </c>
      <c r="M35" s="327">
        <f t="shared" si="11"/>
        <v>-93.625922079297823</v>
      </c>
      <c r="N35" s="327">
        <f t="shared" si="11"/>
        <v>-111.82739715959531</v>
      </c>
      <c r="O35" s="327">
        <f t="shared" si="11"/>
        <v>-127.89173213328647</v>
      </c>
      <c r="P35" s="327">
        <f t="shared" si="11"/>
        <v>-125.92661998580934</v>
      </c>
      <c r="Q35" s="335">
        <f t="shared" si="11"/>
        <v>-94.962054732976071</v>
      </c>
    </row>
    <row r="36" spans="1:17">
      <c r="B36" s="323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</row>
    <row r="37" spans="1:17">
      <c r="B37" s="327">
        <f>B24-B10-B11-B12-B13-B6</f>
        <v>38.972593680000003</v>
      </c>
      <c r="C37" s="327">
        <f>C24-C10-C11-C12-C13-C6</f>
        <v>37.015343209247099</v>
      </c>
      <c r="D37" s="327">
        <f>D24-D10-D11-D12-D13-D6</f>
        <v>55.751957313137211</v>
      </c>
      <c r="E37" s="327">
        <f>E24-E10-E11-E12-E13-E6</f>
        <v>55.581692081251589</v>
      </c>
      <c r="F37" s="327">
        <f>F24-F10-F11-F12-F13-F6</f>
        <v>55.660292081251598</v>
      </c>
      <c r="G37" s="327">
        <f>G24-G10-G11-G12-G13-G6-G7-G8</f>
        <v>55.923343900000006</v>
      </c>
      <c r="H37" s="327">
        <f>H24-H10-H11-H12-H13-H6-H7-H8</f>
        <v>56.379999999999995</v>
      </c>
    </row>
    <row r="38" spans="1:17">
      <c r="B38" s="327">
        <f>B35-B37</f>
        <v>0</v>
      </c>
      <c r="C38" s="327">
        <f t="shared" ref="C38:H38" si="12">C35-C37</f>
        <v>0</v>
      </c>
      <c r="D38" s="327">
        <f t="shared" si="12"/>
        <v>0</v>
      </c>
      <c r="E38" s="327">
        <f t="shared" si="12"/>
        <v>0</v>
      </c>
      <c r="F38" s="327">
        <f t="shared" si="12"/>
        <v>0</v>
      </c>
      <c r="G38" s="327">
        <f t="shared" si="12"/>
        <v>0</v>
      </c>
      <c r="H38" s="327">
        <f t="shared" si="12"/>
        <v>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2"/>
  <sheetViews>
    <sheetView workbookViewId="0">
      <pane xSplit="1" ySplit="2" topLeftCell="V3" activePane="bottomRight" state="frozen"/>
      <selection activeCell="U8" sqref="U8"/>
      <selection pane="topRight" activeCell="U8" sqref="U8"/>
      <selection pane="bottomLeft" activeCell="U8" sqref="U8"/>
      <selection pane="bottomRight" activeCell="V1" sqref="V1:AJ1048576"/>
    </sheetView>
  </sheetViews>
  <sheetFormatPr defaultColWidth="8" defaultRowHeight="12"/>
  <cols>
    <col min="1" max="1" width="49.140625" style="319" bestFit="1" customWidth="1"/>
    <col min="2" max="21" width="6.85546875" style="319" hidden="1" customWidth="1"/>
    <col min="22" max="100" width="7.42578125" style="319" bestFit="1" customWidth="1"/>
    <col min="101" max="106" width="7.42578125" style="319" hidden="1" customWidth="1"/>
    <col min="107" max="16384" width="8" style="319"/>
  </cols>
  <sheetData>
    <row r="1" spans="1:106">
      <c r="B1" s="320"/>
      <c r="C1" s="320"/>
      <c r="D1" s="320"/>
      <c r="E1" s="320"/>
      <c r="F1" s="320"/>
      <c r="G1" s="320"/>
      <c r="H1" s="336"/>
      <c r="I1" s="320"/>
      <c r="J1" s="320"/>
      <c r="K1" s="320"/>
      <c r="L1" s="320"/>
      <c r="M1" s="320"/>
      <c r="N1" s="320"/>
      <c r="O1" s="320"/>
      <c r="P1" s="320"/>
      <c r="Q1" s="336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36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 t="s">
        <v>303</v>
      </c>
    </row>
    <row r="2" spans="1:106">
      <c r="B2" s="320" t="s">
        <v>312</v>
      </c>
      <c r="C2" s="320" t="s">
        <v>312</v>
      </c>
      <c r="D2" s="320" t="s">
        <v>312</v>
      </c>
      <c r="E2" s="320" t="s">
        <v>312</v>
      </c>
      <c r="F2" s="320" t="s">
        <v>312</v>
      </c>
      <c r="G2" s="320" t="s">
        <v>312</v>
      </c>
      <c r="H2" s="320" t="s">
        <v>312</v>
      </c>
      <c r="I2" s="320" t="s">
        <v>312</v>
      </c>
      <c r="J2" s="320" t="s">
        <v>312</v>
      </c>
      <c r="K2" s="320" t="s">
        <v>313</v>
      </c>
      <c r="L2" s="320" t="s">
        <v>313</v>
      </c>
      <c r="M2" s="320" t="s">
        <v>313</v>
      </c>
      <c r="N2" s="320" t="s">
        <v>313</v>
      </c>
      <c r="O2" s="320" t="s">
        <v>313</v>
      </c>
      <c r="P2" s="320" t="s">
        <v>313</v>
      </c>
      <c r="Q2" s="320" t="s">
        <v>313</v>
      </c>
      <c r="R2" s="320" t="s">
        <v>313</v>
      </c>
      <c r="S2" s="320" t="s">
        <v>313</v>
      </c>
      <c r="T2" s="320" t="s">
        <v>313</v>
      </c>
      <c r="U2" s="320" t="s">
        <v>313</v>
      </c>
      <c r="V2" s="320" t="s">
        <v>313</v>
      </c>
      <c r="W2" s="320" t="s">
        <v>314</v>
      </c>
      <c r="X2" s="320" t="s">
        <v>314</v>
      </c>
      <c r="Y2" s="320" t="s">
        <v>314</v>
      </c>
      <c r="Z2" s="320" t="s">
        <v>314</v>
      </c>
      <c r="AA2" s="320" t="s">
        <v>314</v>
      </c>
      <c r="AB2" s="320" t="s">
        <v>314</v>
      </c>
      <c r="AC2" s="320" t="s">
        <v>314</v>
      </c>
      <c r="AD2" s="320" t="s">
        <v>314</v>
      </c>
      <c r="AE2" s="320" t="s">
        <v>314</v>
      </c>
      <c r="AF2" s="320" t="s">
        <v>314</v>
      </c>
      <c r="AG2" s="320" t="s">
        <v>314</v>
      </c>
      <c r="AH2" s="320" t="s">
        <v>314</v>
      </c>
      <c r="AI2" s="320" t="s">
        <v>315</v>
      </c>
      <c r="AJ2" s="320" t="s">
        <v>315</v>
      </c>
      <c r="AK2" s="320" t="s">
        <v>315</v>
      </c>
      <c r="AL2" s="320" t="s">
        <v>315</v>
      </c>
      <c r="AM2" s="320" t="s">
        <v>315</v>
      </c>
      <c r="AN2" s="320" t="s">
        <v>315</v>
      </c>
      <c r="AO2" s="320" t="s">
        <v>315</v>
      </c>
      <c r="AP2" s="320" t="s">
        <v>315</v>
      </c>
      <c r="AQ2" s="320" t="s">
        <v>315</v>
      </c>
      <c r="AR2" s="320" t="s">
        <v>315</v>
      </c>
      <c r="AS2" s="320" t="s">
        <v>315</v>
      </c>
      <c r="AT2" s="320" t="s">
        <v>315</v>
      </c>
      <c r="AU2" s="320" t="s">
        <v>316</v>
      </c>
      <c r="AV2" s="320" t="s">
        <v>316</v>
      </c>
      <c r="AW2" s="320" t="s">
        <v>316</v>
      </c>
      <c r="AX2" s="320" t="s">
        <v>316</v>
      </c>
      <c r="AY2" s="320" t="s">
        <v>316</v>
      </c>
      <c r="AZ2" s="320" t="s">
        <v>316</v>
      </c>
      <c r="BA2" s="320" t="s">
        <v>316</v>
      </c>
      <c r="BB2" s="320" t="s">
        <v>316</v>
      </c>
      <c r="BC2" s="320" t="s">
        <v>316</v>
      </c>
      <c r="BD2" s="320" t="s">
        <v>316</v>
      </c>
      <c r="BE2" s="320" t="s">
        <v>316</v>
      </c>
      <c r="BF2" s="320" t="s">
        <v>316</v>
      </c>
      <c r="BG2" s="320" t="s">
        <v>317</v>
      </c>
      <c r="BH2" s="320" t="s">
        <v>317</v>
      </c>
      <c r="BI2" s="320" t="s">
        <v>317</v>
      </c>
      <c r="BJ2" s="320" t="s">
        <v>317</v>
      </c>
      <c r="BK2" s="320" t="s">
        <v>317</v>
      </c>
      <c r="BL2" s="320" t="s">
        <v>317</v>
      </c>
      <c r="BM2" s="320" t="s">
        <v>317</v>
      </c>
      <c r="BN2" s="320" t="s">
        <v>317</v>
      </c>
      <c r="BO2" s="320" t="s">
        <v>317</v>
      </c>
      <c r="BP2" s="320" t="s">
        <v>317</v>
      </c>
      <c r="BQ2" s="320" t="s">
        <v>317</v>
      </c>
      <c r="BR2" s="320" t="s">
        <v>317</v>
      </c>
      <c r="BS2" s="320" t="s">
        <v>318</v>
      </c>
      <c r="BT2" s="320" t="s">
        <v>318</v>
      </c>
      <c r="BU2" s="320" t="s">
        <v>318</v>
      </c>
      <c r="BV2" s="320" t="s">
        <v>318</v>
      </c>
      <c r="BW2" s="320" t="s">
        <v>318</v>
      </c>
      <c r="BX2" s="320" t="s">
        <v>318</v>
      </c>
      <c r="BY2" s="320" t="s">
        <v>318</v>
      </c>
      <c r="BZ2" s="320" t="s">
        <v>318</v>
      </c>
      <c r="CA2" s="320" t="s">
        <v>318</v>
      </c>
      <c r="CB2" s="320" t="s">
        <v>318</v>
      </c>
      <c r="CC2" s="320" t="s">
        <v>318</v>
      </c>
      <c r="CD2" s="320" t="s">
        <v>318</v>
      </c>
      <c r="CE2" s="320" t="s">
        <v>319</v>
      </c>
      <c r="CF2" s="320" t="s">
        <v>319</v>
      </c>
      <c r="CG2" s="320" t="s">
        <v>319</v>
      </c>
      <c r="CH2" s="320" t="s">
        <v>319</v>
      </c>
      <c r="CI2" s="320" t="s">
        <v>319</v>
      </c>
      <c r="CJ2" s="320" t="s">
        <v>319</v>
      </c>
      <c r="CK2" s="320" t="s">
        <v>319</v>
      </c>
      <c r="CL2" s="320" t="s">
        <v>319</v>
      </c>
      <c r="CM2" s="320" t="s">
        <v>319</v>
      </c>
      <c r="CN2" s="320" t="s">
        <v>319</v>
      </c>
      <c r="CO2" s="320" t="s">
        <v>319</v>
      </c>
      <c r="CP2" s="320" t="s">
        <v>319</v>
      </c>
      <c r="CQ2" s="320" t="s">
        <v>320</v>
      </c>
      <c r="CR2" s="320" t="s">
        <v>320</v>
      </c>
      <c r="CS2" s="320" t="s">
        <v>320</v>
      </c>
      <c r="CT2" s="320" t="s">
        <v>320</v>
      </c>
      <c r="CU2" s="320" t="s">
        <v>320</v>
      </c>
      <c r="CV2" s="320" t="s">
        <v>320</v>
      </c>
      <c r="CW2" s="320" t="s">
        <v>320</v>
      </c>
      <c r="CX2" s="337" t="s">
        <v>320</v>
      </c>
      <c r="CY2" s="337" t="s">
        <v>320</v>
      </c>
      <c r="CZ2" s="337" t="s">
        <v>320</v>
      </c>
      <c r="DA2" s="337" t="s">
        <v>320</v>
      </c>
      <c r="DB2" s="337" t="s">
        <v>320</v>
      </c>
    </row>
    <row r="3" spans="1:106">
      <c r="A3" s="321" t="s">
        <v>339</v>
      </c>
      <c r="B3" s="332">
        <v>44043</v>
      </c>
      <c r="C3" s="332">
        <v>44074</v>
      </c>
      <c r="D3" s="332">
        <v>44104</v>
      </c>
      <c r="E3" s="332">
        <v>44135</v>
      </c>
      <c r="F3" s="332">
        <v>44165</v>
      </c>
      <c r="G3" s="332">
        <v>44196</v>
      </c>
      <c r="H3" s="332">
        <v>44227</v>
      </c>
      <c r="I3" s="332">
        <v>44255</v>
      </c>
      <c r="J3" s="332">
        <v>44286</v>
      </c>
      <c r="K3" s="332">
        <v>44316</v>
      </c>
      <c r="L3" s="332">
        <v>44347</v>
      </c>
      <c r="M3" s="332">
        <v>44377</v>
      </c>
      <c r="N3" s="332">
        <v>44408</v>
      </c>
      <c r="O3" s="332">
        <v>44439</v>
      </c>
      <c r="P3" s="332">
        <v>44469</v>
      </c>
      <c r="Q3" s="332">
        <v>44500</v>
      </c>
      <c r="R3" s="332">
        <v>44530</v>
      </c>
      <c r="S3" s="332">
        <v>44561</v>
      </c>
      <c r="T3" s="332">
        <v>44592</v>
      </c>
      <c r="U3" s="332">
        <v>44620</v>
      </c>
      <c r="V3" s="332">
        <v>44651</v>
      </c>
      <c r="W3" s="332">
        <v>44681</v>
      </c>
      <c r="X3" s="332">
        <v>44712</v>
      </c>
      <c r="Y3" s="332">
        <v>44742</v>
      </c>
      <c r="Z3" s="332">
        <v>44773</v>
      </c>
      <c r="AA3" s="332">
        <v>44804</v>
      </c>
      <c r="AB3" s="332">
        <v>44834</v>
      </c>
      <c r="AC3" s="332">
        <v>44865</v>
      </c>
      <c r="AD3" s="332">
        <v>44895</v>
      </c>
      <c r="AE3" s="332">
        <v>44926</v>
      </c>
      <c r="AF3" s="332">
        <v>44957</v>
      </c>
      <c r="AG3" s="332">
        <v>44985</v>
      </c>
      <c r="AH3" s="332">
        <v>45016</v>
      </c>
      <c r="AI3" s="332">
        <v>45046</v>
      </c>
      <c r="AJ3" s="332">
        <v>45077</v>
      </c>
      <c r="AK3" s="332">
        <v>45107</v>
      </c>
      <c r="AL3" s="332">
        <v>45138</v>
      </c>
      <c r="AM3" s="332">
        <v>45169</v>
      </c>
      <c r="AN3" s="332">
        <v>45199</v>
      </c>
      <c r="AO3" s="332">
        <v>45230</v>
      </c>
      <c r="AP3" s="332">
        <v>45260</v>
      </c>
      <c r="AQ3" s="332">
        <v>45291</v>
      </c>
      <c r="AR3" s="332">
        <v>45322</v>
      </c>
      <c r="AS3" s="332">
        <v>45351</v>
      </c>
      <c r="AT3" s="332">
        <v>45382</v>
      </c>
      <c r="AU3" s="332">
        <v>45412</v>
      </c>
      <c r="AV3" s="332">
        <v>45443</v>
      </c>
      <c r="AW3" s="332">
        <v>45473</v>
      </c>
      <c r="AX3" s="332">
        <v>45504</v>
      </c>
      <c r="AY3" s="332">
        <v>45535</v>
      </c>
      <c r="AZ3" s="332">
        <v>45565</v>
      </c>
      <c r="BA3" s="332">
        <v>45596</v>
      </c>
      <c r="BB3" s="332">
        <v>45626</v>
      </c>
      <c r="BC3" s="332">
        <v>45657</v>
      </c>
      <c r="BD3" s="332">
        <v>45688</v>
      </c>
      <c r="BE3" s="332">
        <v>45716</v>
      </c>
      <c r="BF3" s="332">
        <v>45747</v>
      </c>
      <c r="BG3" s="332">
        <v>45777</v>
      </c>
      <c r="BH3" s="332">
        <v>45808</v>
      </c>
      <c r="BI3" s="332">
        <v>45838</v>
      </c>
      <c r="BJ3" s="332">
        <v>45869</v>
      </c>
      <c r="BK3" s="332">
        <v>45900</v>
      </c>
      <c r="BL3" s="332">
        <v>45930</v>
      </c>
      <c r="BM3" s="332">
        <v>45961</v>
      </c>
      <c r="BN3" s="332">
        <v>45991</v>
      </c>
      <c r="BO3" s="332">
        <v>46022</v>
      </c>
      <c r="BP3" s="332">
        <v>46053</v>
      </c>
      <c r="BQ3" s="332">
        <v>46081</v>
      </c>
      <c r="BR3" s="332">
        <v>46112</v>
      </c>
      <c r="BS3" s="332">
        <v>46142</v>
      </c>
      <c r="BT3" s="332">
        <v>46173</v>
      </c>
      <c r="BU3" s="332">
        <v>46203</v>
      </c>
      <c r="BV3" s="332">
        <v>46234</v>
      </c>
      <c r="BW3" s="332">
        <v>46265</v>
      </c>
      <c r="BX3" s="332">
        <v>46295</v>
      </c>
      <c r="BY3" s="332">
        <v>46326</v>
      </c>
      <c r="BZ3" s="332">
        <v>46356</v>
      </c>
      <c r="CA3" s="332">
        <v>46387</v>
      </c>
      <c r="CB3" s="332">
        <v>46418</v>
      </c>
      <c r="CC3" s="332">
        <v>46446</v>
      </c>
      <c r="CD3" s="332">
        <v>46477</v>
      </c>
      <c r="CE3" s="332">
        <v>46507</v>
      </c>
      <c r="CF3" s="332">
        <v>46538</v>
      </c>
      <c r="CG3" s="332">
        <v>46568</v>
      </c>
      <c r="CH3" s="332">
        <v>46599</v>
      </c>
      <c r="CI3" s="332">
        <v>46630</v>
      </c>
      <c r="CJ3" s="332">
        <v>46660</v>
      </c>
      <c r="CK3" s="332">
        <v>46691</v>
      </c>
      <c r="CL3" s="332">
        <v>46721</v>
      </c>
      <c r="CM3" s="332">
        <v>46752</v>
      </c>
      <c r="CN3" s="332">
        <v>46783</v>
      </c>
      <c r="CO3" s="332">
        <v>46812</v>
      </c>
      <c r="CP3" s="332">
        <v>46843</v>
      </c>
      <c r="CQ3" s="332">
        <v>46873</v>
      </c>
      <c r="CR3" s="332">
        <v>46904</v>
      </c>
      <c r="CS3" s="332">
        <v>46934</v>
      </c>
      <c r="CT3" s="332">
        <v>46965</v>
      </c>
      <c r="CU3" s="332">
        <v>46996</v>
      </c>
      <c r="CV3" s="332">
        <v>47026</v>
      </c>
      <c r="CW3" s="332">
        <v>47056</v>
      </c>
      <c r="CX3" s="332">
        <v>47087</v>
      </c>
      <c r="CY3" s="332">
        <v>47117</v>
      </c>
      <c r="CZ3" s="332">
        <v>47148</v>
      </c>
      <c r="DA3" s="332">
        <v>47177</v>
      </c>
      <c r="DB3" s="332">
        <v>47208</v>
      </c>
    </row>
    <row r="4" spans="1:106" ht="15">
      <c r="A4" s="319" t="s">
        <v>355</v>
      </c>
      <c r="B4" s="324">
        <v>31.364999999999998</v>
      </c>
      <c r="C4" s="324">
        <f t="shared" ref="C4:R5" si="0">B4</f>
        <v>31.364999999999998</v>
      </c>
      <c r="D4" s="324">
        <f t="shared" si="0"/>
        <v>31.364999999999998</v>
      </c>
      <c r="E4" s="324">
        <f t="shared" si="0"/>
        <v>31.364999999999998</v>
      </c>
      <c r="F4" s="324">
        <f t="shared" si="0"/>
        <v>31.364999999999998</v>
      </c>
      <c r="G4" s="324">
        <f t="shared" si="0"/>
        <v>31.364999999999998</v>
      </c>
      <c r="H4" s="324">
        <f t="shared" si="0"/>
        <v>31.364999999999998</v>
      </c>
      <c r="I4" s="324">
        <f t="shared" si="0"/>
        <v>31.364999999999998</v>
      </c>
      <c r="J4" s="324">
        <f t="shared" si="0"/>
        <v>31.364999999999998</v>
      </c>
      <c r="K4" s="324">
        <f>J4</f>
        <v>31.364999999999998</v>
      </c>
      <c r="L4" s="324">
        <f t="shared" si="0"/>
        <v>31.364999999999998</v>
      </c>
      <c r="M4" s="324">
        <f t="shared" si="0"/>
        <v>31.364999999999998</v>
      </c>
      <c r="N4" s="324">
        <f t="shared" si="0"/>
        <v>31.364999999999998</v>
      </c>
      <c r="O4" s="324">
        <f t="shared" si="0"/>
        <v>31.364999999999998</v>
      </c>
      <c r="P4" s="324">
        <f t="shared" si="0"/>
        <v>31.364999999999998</v>
      </c>
      <c r="Q4" s="324">
        <f t="shared" si="0"/>
        <v>31.364999999999998</v>
      </c>
      <c r="R4" s="324">
        <f t="shared" si="0"/>
        <v>31.364999999999998</v>
      </c>
      <c r="S4" s="324">
        <f t="shared" ref="S4:AH5" si="1">R4</f>
        <v>31.364999999999998</v>
      </c>
      <c r="T4" s="324">
        <f t="shared" si="1"/>
        <v>31.364999999999998</v>
      </c>
      <c r="U4" s="324">
        <f>T4</f>
        <v>31.364999999999998</v>
      </c>
      <c r="V4" s="324">
        <f t="shared" si="1"/>
        <v>31.364999999999998</v>
      </c>
      <c r="W4" s="324">
        <f t="shared" si="1"/>
        <v>31.364999999999998</v>
      </c>
      <c r="X4" s="324">
        <f t="shared" si="1"/>
        <v>31.364999999999998</v>
      </c>
      <c r="Y4" s="324">
        <f t="shared" si="1"/>
        <v>31.364999999999998</v>
      </c>
      <c r="Z4" s="324">
        <f t="shared" si="1"/>
        <v>31.364999999999998</v>
      </c>
      <c r="AA4" s="324">
        <f t="shared" si="1"/>
        <v>31.364999999999998</v>
      </c>
      <c r="AB4" s="324">
        <f>AA4+19*51%</f>
        <v>41.055</v>
      </c>
      <c r="AC4" s="324">
        <f t="shared" si="1"/>
        <v>41.055</v>
      </c>
      <c r="AD4" s="324">
        <f t="shared" si="1"/>
        <v>41.055</v>
      </c>
      <c r="AE4" s="324">
        <f t="shared" si="1"/>
        <v>41.055</v>
      </c>
      <c r="AF4" s="324">
        <f t="shared" si="1"/>
        <v>41.055</v>
      </c>
      <c r="AG4" s="324">
        <f t="shared" si="1"/>
        <v>41.055</v>
      </c>
      <c r="AH4" s="324">
        <f t="shared" si="1"/>
        <v>41.055</v>
      </c>
      <c r="AI4" s="324">
        <f t="shared" ref="AI4:AX5" si="2">AH4</f>
        <v>41.055</v>
      </c>
      <c r="AJ4" s="324">
        <f t="shared" si="2"/>
        <v>41.055</v>
      </c>
      <c r="AK4" s="324">
        <f t="shared" si="2"/>
        <v>41.055</v>
      </c>
      <c r="AL4" s="324">
        <f t="shared" si="2"/>
        <v>41.055</v>
      </c>
      <c r="AM4" s="324">
        <f t="shared" si="2"/>
        <v>41.055</v>
      </c>
      <c r="AN4" s="324">
        <f t="shared" si="2"/>
        <v>41.055</v>
      </c>
      <c r="AO4" s="324">
        <f t="shared" si="2"/>
        <v>41.055</v>
      </c>
      <c r="AP4" s="324">
        <f t="shared" si="2"/>
        <v>41.055</v>
      </c>
      <c r="AQ4" s="324">
        <f t="shared" si="2"/>
        <v>41.055</v>
      </c>
      <c r="AR4" s="324">
        <f t="shared" si="2"/>
        <v>41.055</v>
      </c>
      <c r="AS4" s="324">
        <f t="shared" si="2"/>
        <v>41.055</v>
      </c>
      <c r="AT4" s="324">
        <f t="shared" si="2"/>
        <v>41.055</v>
      </c>
      <c r="AU4" s="324">
        <f t="shared" si="2"/>
        <v>41.055</v>
      </c>
      <c r="AV4" s="324">
        <f t="shared" si="2"/>
        <v>41.055</v>
      </c>
      <c r="AW4" s="324">
        <f t="shared" si="2"/>
        <v>41.055</v>
      </c>
      <c r="AX4" s="324">
        <f t="shared" si="2"/>
        <v>41.055</v>
      </c>
      <c r="AY4" s="324">
        <f t="shared" ref="AY4:BN5" si="3">AX4</f>
        <v>41.055</v>
      </c>
      <c r="AZ4" s="324">
        <f t="shared" si="3"/>
        <v>41.055</v>
      </c>
      <c r="BA4" s="324">
        <f t="shared" si="3"/>
        <v>41.055</v>
      </c>
      <c r="BB4" s="324">
        <f t="shared" si="3"/>
        <v>41.055</v>
      </c>
      <c r="BC4" s="324">
        <f t="shared" si="3"/>
        <v>41.055</v>
      </c>
      <c r="BD4" s="324">
        <f t="shared" si="3"/>
        <v>41.055</v>
      </c>
      <c r="BE4" s="324">
        <f t="shared" si="3"/>
        <v>41.055</v>
      </c>
      <c r="BF4" s="324">
        <f t="shared" si="3"/>
        <v>41.055</v>
      </c>
      <c r="BG4" s="324">
        <f t="shared" si="3"/>
        <v>41.055</v>
      </c>
      <c r="BH4" s="324">
        <f t="shared" si="3"/>
        <v>41.055</v>
      </c>
      <c r="BI4" s="324">
        <f t="shared" si="3"/>
        <v>41.055</v>
      </c>
      <c r="BJ4" s="324">
        <f t="shared" si="3"/>
        <v>41.055</v>
      </c>
      <c r="BK4" s="324">
        <f t="shared" si="3"/>
        <v>41.055</v>
      </c>
      <c r="BL4" s="324">
        <f t="shared" si="3"/>
        <v>41.055</v>
      </c>
      <c r="BM4" s="324">
        <f t="shared" si="3"/>
        <v>41.055</v>
      </c>
      <c r="BN4" s="324">
        <f t="shared" si="3"/>
        <v>41.055</v>
      </c>
      <c r="BO4" s="324">
        <f t="shared" ref="BO4:CD5" si="4">BN4</f>
        <v>41.055</v>
      </c>
      <c r="BP4" s="324">
        <f t="shared" si="4"/>
        <v>41.055</v>
      </c>
      <c r="BQ4" s="324">
        <f t="shared" si="4"/>
        <v>41.055</v>
      </c>
      <c r="BR4" s="324">
        <f t="shared" si="4"/>
        <v>41.055</v>
      </c>
      <c r="BS4" s="324">
        <f t="shared" si="4"/>
        <v>41.055</v>
      </c>
      <c r="BT4" s="324">
        <f t="shared" si="4"/>
        <v>41.055</v>
      </c>
      <c r="BU4" s="324">
        <f t="shared" si="4"/>
        <v>41.055</v>
      </c>
      <c r="BV4" s="324">
        <f t="shared" si="4"/>
        <v>41.055</v>
      </c>
      <c r="BW4" s="324">
        <f t="shared" si="4"/>
        <v>41.055</v>
      </c>
      <c r="BX4" s="324">
        <f t="shared" si="4"/>
        <v>41.055</v>
      </c>
      <c r="BY4" s="324">
        <f t="shared" si="4"/>
        <v>41.055</v>
      </c>
      <c r="BZ4" s="324">
        <f t="shared" si="4"/>
        <v>41.055</v>
      </c>
      <c r="CA4" s="324">
        <f t="shared" si="4"/>
        <v>41.055</v>
      </c>
      <c r="CB4" s="324">
        <f t="shared" si="4"/>
        <v>41.055</v>
      </c>
      <c r="CC4" s="324">
        <f t="shared" si="4"/>
        <v>41.055</v>
      </c>
      <c r="CD4" s="324">
        <f t="shared" si="4"/>
        <v>41.055</v>
      </c>
      <c r="CE4" s="324">
        <f t="shared" ref="CE4:CT5" si="5">CD4</f>
        <v>41.055</v>
      </c>
      <c r="CF4" s="324">
        <f t="shared" si="5"/>
        <v>41.055</v>
      </c>
      <c r="CG4" s="324">
        <f t="shared" si="5"/>
        <v>41.055</v>
      </c>
      <c r="CH4" s="324">
        <f t="shared" si="5"/>
        <v>41.055</v>
      </c>
      <c r="CI4" s="324">
        <f t="shared" si="5"/>
        <v>41.055</v>
      </c>
      <c r="CJ4" s="324">
        <f t="shared" si="5"/>
        <v>41.055</v>
      </c>
      <c r="CK4" s="324">
        <f t="shared" si="5"/>
        <v>41.055</v>
      </c>
      <c r="CL4" s="324">
        <f t="shared" si="5"/>
        <v>41.055</v>
      </c>
      <c r="CM4" s="324">
        <f t="shared" si="5"/>
        <v>41.055</v>
      </c>
      <c r="CN4" s="324">
        <f t="shared" si="5"/>
        <v>41.055</v>
      </c>
      <c r="CO4" s="324">
        <f t="shared" si="5"/>
        <v>41.055</v>
      </c>
      <c r="CP4" s="324">
        <f t="shared" si="5"/>
        <v>41.055</v>
      </c>
      <c r="CQ4" s="324">
        <f t="shared" si="5"/>
        <v>41.055</v>
      </c>
      <c r="CR4" s="324">
        <f t="shared" si="5"/>
        <v>41.055</v>
      </c>
      <c r="CS4" s="324">
        <f t="shared" si="5"/>
        <v>41.055</v>
      </c>
      <c r="CT4" s="324">
        <f t="shared" si="5"/>
        <v>41.055</v>
      </c>
      <c r="CU4" s="324">
        <f t="shared" ref="CU4:DB5" si="6">CT4</f>
        <v>41.055</v>
      </c>
      <c r="CV4" s="324">
        <f t="shared" si="6"/>
        <v>41.055</v>
      </c>
      <c r="CW4" s="324">
        <f t="shared" si="6"/>
        <v>41.055</v>
      </c>
      <c r="CX4" s="324">
        <f t="shared" si="6"/>
        <v>41.055</v>
      </c>
      <c r="CY4" s="324">
        <f t="shared" si="6"/>
        <v>41.055</v>
      </c>
      <c r="CZ4" s="324">
        <f t="shared" si="6"/>
        <v>41.055</v>
      </c>
      <c r="DA4" s="324">
        <f t="shared" si="6"/>
        <v>41.055</v>
      </c>
      <c r="DB4" s="324">
        <f t="shared" si="6"/>
        <v>41.055</v>
      </c>
    </row>
    <row r="5" spans="1:106" ht="15">
      <c r="A5" s="319" t="s">
        <v>356</v>
      </c>
      <c r="B5" s="324">
        <v>30.134999999999998</v>
      </c>
      <c r="C5" s="324">
        <f t="shared" si="0"/>
        <v>30.134999999999998</v>
      </c>
      <c r="D5" s="324">
        <f t="shared" si="0"/>
        <v>30.134999999999998</v>
      </c>
      <c r="E5" s="324">
        <f t="shared" si="0"/>
        <v>30.134999999999998</v>
      </c>
      <c r="F5" s="324">
        <f t="shared" si="0"/>
        <v>30.134999999999998</v>
      </c>
      <c r="G5" s="324">
        <f t="shared" si="0"/>
        <v>30.134999999999998</v>
      </c>
      <c r="H5" s="324">
        <f t="shared" si="0"/>
        <v>30.134999999999998</v>
      </c>
      <c r="I5" s="324">
        <f t="shared" si="0"/>
        <v>30.134999999999998</v>
      </c>
      <c r="J5" s="324">
        <f t="shared" si="0"/>
        <v>30.134999999999998</v>
      </c>
      <c r="K5" s="324">
        <f t="shared" si="0"/>
        <v>30.134999999999998</v>
      </c>
      <c r="L5" s="324">
        <f t="shared" si="0"/>
        <v>30.134999999999998</v>
      </c>
      <c r="M5" s="324">
        <f t="shared" si="0"/>
        <v>30.134999999999998</v>
      </c>
      <c r="N5" s="324">
        <f t="shared" si="0"/>
        <v>30.134999999999998</v>
      </c>
      <c r="O5" s="324">
        <f t="shared" si="0"/>
        <v>30.134999999999998</v>
      </c>
      <c r="P5" s="324">
        <f t="shared" si="0"/>
        <v>30.134999999999998</v>
      </c>
      <c r="Q5" s="324">
        <f t="shared" si="0"/>
        <v>30.134999999999998</v>
      </c>
      <c r="R5" s="324">
        <f t="shared" si="0"/>
        <v>30.134999999999998</v>
      </c>
      <c r="S5" s="324">
        <f t="shared" si="1"/>
        <v>30.134999999999998</v>
      </c>
      <c r="T5" s="324">
        <f t="shared" si="1"/>
        <v>30.134999999999998</v>
      </c>
      <c r="U5" s="324">
        <f>T5</f>
        <v>30.134999999999998</v>
      </c>
      <c r="V5" s="324">
        <f t="shared" si="1"/>
        <v>30.134999999999998</v>
      </c>
      <c r="W5" s="324">
        <f t="shared" si="1"/>
        <v>30.134999999999998</v>
      </c>
      <c r="X5" s="324">
        <f t="shared" si="1"/>
        <v>30.134999999999998</v>
      </c>
      <c r="Y5" s="324">
        <f t="shared" si="1"/>
        <v>30.134999999999998</v>
      </c>
      <c r="Z5" s="324">
        <f t="shared" si="1"/>
        <v>30.134999999999998</v>
      </c>
      <c r="AA5" s="324">
        <f t="shared" si="1"/>
        <v>30.134999999999998</v>
      </c>
      <c r="AB5" s="324">
        <f>AA5+19*49%</f>
        <v>39.445</v>
      </c>
      <c r="AC5" s="324">
        <f t="shared" si="1"/>
        <v>39.445</v>
      </c>
      <c r="AD5" s="324">
        <f t="shared" si="1"/>
        <v>39.445</v>
      </c>
      <c r="AE5" s="324">
        <f t="shared" si="1"/>
        <v>39.445</v>
      </c>
      <c r="AF5" s="324">
        <f t="shared" si="1"/>
        <v>39.445</v>
      </c>
      <c r="AG5" s="324">
        <f t="shared" si="1"/>
        <v>39.445</v>
      </c>
      <c r="AH5" s="324">
        <f t="shared" si="1"/>
        <v>39.445</v>
      </c>
      <c r="AI5" s="324">
        <f t="shared" si="2"/>
        <v>39.445</v>
      </c>
      <c r="AJ5" s="324">
        <f t="shared" si="2"/>
        <v>39.445</v>
      </c>
      <c r="AK5" s="324">
        <f t="shared" si="2"/>
        <v>39.445</v>
      </c>
      <c r="AL5" s="324">
        <f t="shared" si="2"/>
        <v>39.445</v>
      </c>
      <c r="AM5" s="324">
        <f t="shared" si="2"/>
        <v>39.445</v>
      </c>
      <c r="AN5" s="324">
        <f t="shared" si="2"/>
        <v>39.445</v>
      </c>
      <c r="AO5" s="324">
        <f t="shared" si="2"/>
        <v>39.445</v>
      </c>
      <c r="AP5" s="324">
        <f t="shared" si="2"/>
        <v>39.445</v>
      </c>
      <c r="AQ5" s="324">
        <f t="shared" si="2"/>
        <v>39.445</v>
      </c>
      <c r="AR5" s="324">
        <f t="shared" si="2"/>
        <v>39.445</v>
      </c>
      <c r="AS5" s="324">
        <f t="shared" si="2"/>
        <v>39.445</v>
      </c>
      <c r="AT5" s="324">
        <f t="shared" si="2"/>
        <v>39.445</v>
      </c>
      <c r="AU5" s="324">
        <f t="shared" si="2"/>
        <v>39.445</v>
      </c>
      <c r="AV5" s="324">
        <f t="shared" si="2"/>
        <v>39.445</v>
      </c>
      <c r="AW5" s="324">
        <f t="shared" si="2"/>
        <v>39.445</v>
      </c>
      <c r="AX5" s="324">
        <f t="shared" si="2"/>
        <v>39.445</v>
      </c>
      <c r="AY5" s="324">
        <f t="shared" si="3"/>
        <v>39.445</v>
      </c>
      <c r="AZ5" s="324">
        <f t="shared" si="3"/>
        <v>39.445</v>
      </c>
      <c r="BA5" s="324">
        <f t="shared" si="3"/>
        <v>39.445</v>
      </c>
      <c r="BB5" s="324">
        <f t="shared" si="3"/>
        <v>39.445</v>
      </c>
      <c r="BC5" s="324">
        <f t="shared" si="3"/>
        <v>39.445</v>
      </c>
      <c r="BD5" s="324">
        <f t="shared" si="3"/>
        <v>39.445</v>
      </c>
      <c r="BE5" s="324">
        <f t="shared" si="3"/>
        <v>39.445</v>
      </c>
      <c r="BF5" s="324">
        <f t="shared" si="3"/>
        <v>39.445</v>
      </c>
      <c r="BG5" s="324">
        <f t="shared" si="3"/>
        <v>39.445</v>
      </c>
      <c r="BH5" s="324">
        <f t="shared" si="3"/>
        <v>39.445</v>
      </c>
      <c r="BI5" s="324">
        <f t="shared" si="3"/>
        <v>39.445</v>
      </c>
      <c r="BJ5" s="324">
        <f t="shared" si="3"/>
        <v>39.445</v>
      </c>
      <c r="BK5" s="324">
        <f t="shared" si="3"/>
        <v>39.445</v>
      </c>
      <c r="BL5" s="324">
        <f t="shared" si="3"/>
        <v>39.445</v>
      </c>
      <c r="BM5" s="324">
        <f t="shared" si="3"/>
        <v>39.445</v>
      </c>
      <c r="BN5" s="324">
        <f t="shared" si="3"/>
        <v>39.445</v>
      </c>
      <c r="BO5" s="324">
        <f t="shared" si="4"/>
        <v>39.445</v>
      </c>
      <c r="BP5" s="324">
        <f t="shared" si="4"/>
        <v>39.445</v>
      </c>
      <c r="BQ5" s="324">
        <f t="shared" si="4"/>
        <v>39.445</v>
      </c>
      <c r="BR5" s="324">
        <f t="shared" si="4"/>
        <v>39.445</v>
      </c>
      <c r="BS5" s="324">
        <f t="shared" si="4"/>
        <v>39.445</v>
      </c>
      <c r="BT5" s="324">
        <f t="shared" si="4"/>
        <v>39.445</v>
      </c>
      <c r="BU5" s="324">
        <f t="shared" si="4"/>
        <v>39.445</v>
      </c>
      <c r="BV5" s="324">
        <f t="shared" si="4"/>
        <v>39.445</v>
      </c>
      <c r="BW5" s="324">
        <f t="shared" si="4"/>
        <v>39.445</v>
      </c>
      <c r="BX5" s="324">
        <f t="shared" si="4"/>
        <v>39.445</v>
      </c>
      <c r="BY5" s="324">
        <f t="shared" si="4"/>
        <v>39.445</v>
      </c>
      <c r="BZ5" s="324">
        <f t="shared" si="4"/>
        <v>39.445</v>
      </c>
      <c r="CA5" s="324">
        <f t="shared" si="4"/>
        <v>39.445</v>
      </c>
      <c r="CB5" s="324">
        <f t="shared" si="4"/>
        <v>39.445</v>
      </c>
      <c r="CC5" s="324">
        <f t="shared" si="4"/>
        <v>39.445</v>
      </c>
      <c r="CD5" s="324">
        <f t="shared" si="4"/>
        <v>39.445</v>
      </c>
      <c r="CE5" s="324">
        <f t="shared" si="5"/>
        <v>39.445</v>
      </c>
      <c r="CF5" s="324">
        <f t="shared" si="5"/>
        <v>39.445</v>
      </c>
      <c r="CG5" s="324">
        <f t="shared" si="5"/>
        <v>39.445</v>
      </c>
      <c r="CH5" s="324">
        <f t="shared" si="5"/>
        <v>39.445</v>
      </c>
      <c r="CI5" s="324">
        <f t="shared" si="5"/>
        <v>39.445</v>
      </c>
      <c r="CJ5" s="324">
        <f t="shared" si="5"/>
        <v>39.445</v>
      </c>
      <c r="CK5" s="324">
        <f t="shared" si="5"/>
        <v>39.445</v>
      </c>
      <c r="CL5" s="324">
        <f t="shared" si="5"/>
        <v>39.445</v>
      </c>
      <c r="CM5" s="324">
        <f t="shared" si="5"/>
        <v>39.445</v>
      </c>
      <c r="CN5" s="324">
        <f t="shared" si="5"/>
        <v>39.445</v>
      </c>
      <c r="CO5" s="324">
        <f t="shared" si="5"/>
        <v>39.445</v>
      </c>
      <c r="CP5" s="324">
        <f t="shared" si="5"/>
        <v>39.445</v>
      </c>
      <c r="CQ5" s="324">
        <f t="shared" si="5"/>
        <v>39.445</v>
      </c>
      <c r="CR5" s="324">
        <f t="shared" si="5"/>
        <v>39.445</v>
      </c>
      <c r="CS5" s="324">
        <f t="shared" si="5"/>
        <v>39.445</v>
      </c>
      <c r="CT5" s="324">
        <f t="shared" si="5"/>
        <v>39.445</v>
      </c>
      <c r="CU5" s="324">
        <f t="shared" si="6"/>
        <v>39.445</v>
      </c>
      <c r="CV5" s="324">
        <f t="shared" si="6"/>
        <v>39.445</v>
      </c>
      <c r="CW5" s="324">
        <f t="shared" si="6"/>
        <v>39.445</v>
      </c>
      <c r="CX5" s="324">
        <f t="shared" si="6"/>
        <v>39.445</v>
      </c>
      <c r="CY5" s="324">
        <f t="shared" si="6"/>
        <v>39.445</v>
      </c>
      <c r="CZ5" s="324">
        <f t="shared" si="6"/>
        <v>39.445</v>
      </c>
      <c r="DA5" s="324">
        <f t="shared" si="6"/>
        <v>39.445</v>
      </c>
      <c r="DB5" s="324">
        <f t="shared" si="6"/>
        <v>39.445</v>
      </c>
    </row>
    <row r="6" spans="1:106" ht="15">
      <c r="A6" s="319" t="s">
        <v>357</v>
      </c>
      <c r="B6" s="324">
        <v>-1.7949999999999999</v>
      </c>
      <c r="C6" s="324">
        <f>B6+'Monthly PL'!D31</f>
        <v>-1.7649942673996695</v>
      </c>
      <c r="D6" s="324">
        <f>C6+'Monthly PL'!E31</f>
        <v>0.83653847661057568</v>
      </c>
      <c r="E6" s="324">
        <f>D6+'Monthly PL'!F31</f>
        <v>0.76299575183401513</v>
      </c>
      <c r="F6" s="324">
        <f>E6+'Monthly PL'!G31</f>
        <v>2.257934069192288</v>
      </c>
      <c r="G6" s="324">
        <f>F6+'Monthly PL'!H31</f>
        <v>2.1248390566282431</v>
      </c>
      <c r="H6" s="324">
        <f>G6+'Monthly PL'!I31</f>
        <v>4.4927400364481187</v>
      </c>
      <c r="I6" s="324">
        <f>H6+'Monthly PL'!J31</f>
        <v>5.7358816719166672</v>
      </c>
      <c r="J6" s="324">
        <v>-84.9529</v>
      </c>
      <c r="K6" s="324">
        <f>J6+'Monthly PL'!L31</f>
        <v>-87.004756953329647</v>
      </c>
      <c r="L6" s="324">
        <f>K6+'Monthly PL'!M31</f>
        <v>-87.05257340986104</v>
      </c>
      <c r="M6" s="324">
        <f>L6+'Monthly PL'!N31</f>
        <v>-89.331478601199066</v>
      </c>
      <c r="N6" s="324">
        <f>M6+'Monthly PL'!O31</f>
        <v>-88.468572656736086</v>
      </c>
      <c r="O6" s="324">
        <f>N6+'Monthly PL'!P31</f>
        <v>-90.223585116778267</v>
      </c>
      <c r="P6" s="324">
        <f>O6+'Monthly PL'!Q31</f>
        <v>-89.484825095338593</v>
      </c>
      <c r="Q6" s="324">
        <f>P6+'Monthly PL'!R31</f>
        <v>-92.174670870709875</v>
      </c>
      <c r="R6" s="324">
        <f>Q6+'Monthly PL'!S31</f>
        <v>-91.820573557277839</v>
      </c>
      <c r="S6" s="324">
        <f>R6+'Monthly PL'!T31+1.17</f>
        <v>-93.533343775325477</v>
      </c>
      <c r="T6" s="324">
        <f>S6+'Monthly PL'!U31</f>
        <v>-93.618399684344396</v>
      </c>
      <c r="U6" s="324">
        <f>T6+'Monthly PL'!V31</f>
        <v>-97.000879098443178</v>
      </c>
      <c r="V6" s="324">
        <v>-157.70464800604299</v>
      </c>
      <c r="W6" s="324">
        <f>V6+'Monthly PL'!X31</f>
        <v>-160.51245265570105</v>
      </c>
      <c r="X6" s="324">
        <f>W6+'Monthly PL'!Y31</f>
        <v>-160.37699405462462</v>
      </c>
      <c r="Y6" s="324">
        <f>X6+'Monthly PL'!Z31</f>
        <v>-163.23998490503311</v>
      </c>
      <c r="Z6" s="324">
        <f>Y6+'Monthly PL'!AA31</f>
        <v>-48.746988811677028</v>
      </c>
      <c r="AA6" s="324">
        <f>Z6+'Monthly PL'!AB31</f>
        <v>-51.292878000063602</v>
      </c>
      <c r="AB6" s="324">
        <f>AA6+'Monthly PL'!AC31</f>
        <v>-50.141066603691058</v>
      </c>
      <c r="AC6" s="324">
        <f>AB6+'Monthly PL'!AD31</f>
        <v>-52.449458945145757</v>
      </c>
      <c r="AD6" s="324">
        <f>AC6+'Monthly PL'!AE31</f>
        <v>-51.288264458413991</v>
      </c>
      <c r="AE6" s="324">
        <f>AD6+'Monthly PL'!AF31</f>
        <v>-53.754737304081878</v>
      </c>
      <c r="AF6" s="324">
        <f>AE6+'Monthly PL'!AG31</f>
        <v>-52.086371871316324</v>
      </c>
      <c r="AG6" s="324">
        <f>AF6+'Monthly PL'!AH31</f>
        <v>-51.315353559204432</v>
      </c>
      <c r="AH6" s="324">
        <f>AG6+'Monthly PL'!AI31</f>
        <v>-95.462218724170782</v>
      </c>
      <c r="AI6" s="324">
        <f>AH6+'Monthly PL'!AJ31</f>
        <v>-97.246891851432309</v>
      </c>
      <c r="AJ6" s="324">
        <f>AI6+'Monthly PL'!AK31</f>
        <v>-95.816880574549614</v>
      </c>
      <c r="AK6" s="324">
        <f>AJ6+'Monthly PL'!AL31</f>
        <v>-97.662150981781394</v>
      </c>
      <c r="AL6" s="324">
        <f>AK6+'Monthly PL'!AM31</f>
        <v>-95.676844823585398</v>
      </c>
      <c r="AM6" s="324">
        <f>AL6+'Monthly PL'!AN31</f>
        <v>-97.148684920885415</v>
      </c>
      <c r="AN6" s="324">
        <f>AM6+'Monthly PL'!AO31</f>
        <v>-95.695546984290033</v>
      </c>
      <c r="AO6" s="324">
        <f>AN6+'Monthly PL'!AP31</f>
        <v>-97.335205659829697</v>
      </c>
      <c r="AP6" s="324">
        <f>AO6+'Monthly PL'!AQ31</f>
        <v>-95.145608686644664</v>
      </c>
      <c r="AQ6" s="324">
        <f>AP6+'Monthly PL'!AR31</f>
        <v>-96.843647567120556</v>
      </c>
      <c r="AR6" s="324">
        <f>AQ6+'Monthly PL'!AS31</f>
        <v>-94.368614126899004</v>
      </c>
      <c r="AS6" s="324">
        <f>AR6+'Monthly PL'!AT31</f>
        <v>-95.857374361306782</v>
      </c>
      <c r="AT6" s="324">
        <f>AS6+'Monthly PL'!AU31</f>
        <v>-138.87688632989799</v>
      </c>
      <c r="AU6" s="324">
        <f>AT6+'Monthly PL'!AV31</f>
        <v>-140.16030844290034</v>
      </c>
      <c r="AV6" s="324">
        <f>AU6+'Monthly PL'!AW31</f>
        <v>-137.72109712858301</v>
      </c>
      <c r="AW6" s="324">
        <f>AV6+'Monthly PL'!AX31</f>
        <v>-139.07828429640503</v>
      </c>
      <c r="AX6" s="324">
        <f>AW6+'Monthly PL'!AY31</f>
        <v>-136.11945831006366</v>
      </c>
      <c r="AY6" s="324">
        <f>AX6+'Monthly PL'!AZ31</f>
        <v>-137.11123868981494</v>
      </c>
      <c r="AZ6" s="324">
        <f>AY6+'Monthly PL'!BA31</f>
        <v>-134.35869015899701</v>
      </c>
      <c r="BA6" s="324">
        <f>AZ6+'Monthly PL'!BB31</f>
        <v>-135.58376626301666</v>
      </c>
      <c r="BB6" s="324">
        <f>BA6+'Monthly PL'!BC31</f>
        <v>-132.59195917565992</v>
      </c>
      <c r="BC6" s="324">
        <f>BB6+'Monthly PL'!BD31</f>
        <v>-133.80735567474326</v>
      </c>
      <c r="BD6" s="324">
        <f>BC6+'Monthly PL'!BE31</f>
        <v>-130.54217823261402</v>
      </c>
      <c r="BE6" s="324">
        <f>BD6+'Monthly PL'!BF31</f>
        <v>-131.80366335312701</v>
      </c>
      <c r="BF6" s="324">
        <f>BE6+'Monthly PL'!BG31</f>
        <v>-174.12592207929782</v>
      </c>
      <c r="BG6" s="324">
        <f>BF6+'Monthly PL'!BH31</f>
        <v>-174.41560217312841</v>
      </c>
      <c r="BH6" s="324">
        <f>BG6+'Monthly PL'!BI31</f>
        <v>-169.98324100739148</v>
      </c>
      <c r="BI6" s="324">
        <f>BH6+'Monthly PL'!BJ31</f>
        <v>-170.34845645753299</v>
      </c>
      <c r="BJ6" s="324">
        <f>BI6+'Monthly PL'!BK31</f>
        <v>-165.14311233933728</v>
      </c>
      <c r="BK6" s="324">
        <f>BJ6+'Monthly PL'!BL31</f>
        <v>-164.85514932653192</v>
      </c>
      <c r="BL6" s="324">
        <f>BK6+'Monthly PL'!BM31</f>
        <v>-159.900129029493</v>
      </c>
      <c r="BM6" s="324">
        <f>BL6+'Monthly PL'!BN31</f>
        <v>-159.96099351324847</v>
      </c>
      <c r="BN6" s="324">
        <f>BM6+'Monthly PL'!BO31</f>
        <v>-154.88914424460506</v>
      </c>
      <c r="BO6" s="324">
        <f>BN6+'Monthly PL'!BP31</f>
        <v>-154.92771736744774</v>
      </c>
      <c r="BP6" s="324">
        <f>BO6+'Monthly PL'!BQ31</f>
        <v>-149.54653822537725</v>
      </c>
      <c r="BQ6" s="324">
        <f>BP6+'Monthly PL'!BR31</f>
        <v>-151.85390337691626</v>
      </c>
      <c r="BR6" s="324">
        <f>BQ6+'Monthly PL'!BS31</f>
        <v>-192.32739715959531</v>
      </c>
      <c r="BS6" s="324">
        <f>BR6+'Monthly PL'!BT31</f>
        <v>-192.64132954941726</v>
      </c>
      <c r="BT6" s="324">
        <f>BS6+'Monthly PL'!BU31</f>
        <v>-187.81278699760327</v>
      </c>
      <c r="BU6" s="324">
        <f>BT6+'Monthly PL'!BV31</f>
        <v>-188.45732530100636</v>
      </c>
      <c r="BV6" s="324">
        <f>BU6+'Monthly PL'!BW31</f>
        <v>-183.10631351636633</v>
      </c>
      <c r="BW6" s="324">
        <f>BV6+'Monthly PL'!BX31</f>
        <v>-183.33708746665772</v>
      </c>
      <c r="BX6" s="324">
        <f>BW6+'Monthly PL'!BY31</f>
        <v>-178.25397777550634</v>
      </c>
      <c r="BY6" s="324">
        <f>BX6+'Monthly PL'!BZ31</f>
        <v>-178.72963763078295</v>
      </c>
      <c r="BZ6" s="324">
        <f>BY6+'Monthly PL'!CA31</f>
        <v>-173.41486629695635</v>
      </c>
      <c r="CA6" s="324">
        <f>BZ6+'Monthly PL'!CB31</f>
        <v>-173.84247363838756</v>
      </c>
      <c r="CB6" s="324">
        <f>CA6+'Monthly PL'!CC31</f>
        <v>-168.02812148505706</v>
      </c>
      <c r="CC6" s="324">
        <f>CB6+'Monthly PL'!CD31</f>
        <v>-168.56506517972647</v>
      </c>
      <c r="CD6" s="324">
        <f>CC6+'Monthly PL'!CE31</f>
        <v>-208.39173213328647</v>
      </c>
      <c r="CE6" s="324">
        <f>CD6+'Monthly PL'!CF31</f>
        <v>-208.38797986961674</v>
      </c>
      <c r="CF6" s="324">
        <f>CE6+'Monthly PL'!CG31</f>
        <v>-202.49940891282938</v>
      </c>
      <c r="CG6" s="324">
        <f>CF6+'Monthly PL'!CH31</f>
        <v>-201.70260367601352</v>
      </c>
      <c r="CH6" s="324">
        <f>CG6+'Monthly PL'!CI31</f>
        <v>-194.42508060472201</v>
      </c>
      <c r="CI6" s="324">
        <f>CH6+'Monthly PL'!CJ31</f>
        <v>-193.18908573997234</v>
      </c>
      <c r="CJ6" s="324">
        <f>CI6+'Monthly PL'!CK31</f>
        <v>-186.16727387772576</v>
      </c>
      <c r="CK6" s="324">
        <f>CJ6+'Monthly PL'!CL31</f>
        <v>-185.16592439577673</v>
      </c>
      <c r="CL6" s="324">
        <f>CK6+'Monthly PL'!CM31</f>
        <v>-177.90880167954231</v>
      </c>
      <c r="CM6" s="324">
        <f>CL6+'Monthly PL'!CN31</f>
        <v>-176.79278030710188</v>
      </c>
      <c r="CN6" s="324">
        <f>CM6+'Monthly PL'!CO31</f>
        <v>-169.10137654358704</v>
      </c>
      <c r="CO6" s="324">
        <f>CN6+'Monthly PL'!CP31</f>
        <v>-168.04220183567858</v>
      </c>
      <c r="CP6" s="324">
        <f>CO6+'Monthly PL'!CQ31</f>
        <v>-206.42661998580934</v>
      </c>
      <c r="CQ6" s="324">
        <f>CP6+'Monthly PL'!CR31</f>
        <v>-204.93332245156802</v>
      </c>
      <c r="CR6" s="324">
        <f>CQ6+'Monthly PL'!CS31</f>
        <v>-196.90353461586619</v>
      </c>
      <c r="CS6" s="324">
        <f>CR6+'Monthly PL'!CT31</f>
        <v>-195.01820056378776</v>
      </c>
      <c r="CT6" s="324">
        <f>CS6+'Monthly PL'!CU31</f>
        <v>-186.29597266190666</v>
      </c>
      <c r="CU6" s="324">
        <f>CT6+'Monthly PL'!CV31</f>
        <v>-184.039684581307</v>
      </c>
      <c r="CV6" s="324">
        <f>CU6+'Monthly PL'!CW31</f>
        <v>-175.46205473297607</v>
      </c>
      <c r="CW6" s="324">
        <f>CV6+'Monthly PL'!CX31</f>
        <v>-175.46205473297607</v>
      </c>
      <c r="CX6" s="324">
        <f>CW6+'Monthly PL'!CY31</f>
        <v>-175.46205473297607</v>
      </c>
      <c r="CY6" s="324">
        <f>CX6+'Monthly PL'!CZ31</f>
        <v>-175.46205473297607</v>
      </c>
      <c r="CZ6" s="324">
        <f>CY6+'Monthly PL'!DA31</f>
        <v>-175.46205473297607</v>
      </c>
      <c r="DA6" s="324">
        <f>CZ6+'Monthly PL'!DB31</f>
        <v>-175.46205473297607</v>
      </c>
      <c r="DB6" s="324">
        <f>DA6+'Monthly PL'!DC31</f>
        <v>-175.46205473297607</v>
      </c>
    </row>
    <row r="7" spans="1:106" ht="15">
      <c r="A7" s="319" t="s">
        <v>358</v>
      </c>
      <c r="B7" s="324">
        <v>153.13999999999999</v>
      </c>
      <c r="C7" s="324">
        <f>'Debt (2)'!C15</f>
        <v>171.26</v>
      </c>
      <c r="D7" s="324">
        <f>'Debt (2)'!D15</f>
        <v>171.26</v>
      </c>
      <c r="E7" s="324">
        <f>'Debt (2)'!E15</f>
        <v>171.26</v>
      </c>
      <c r="F7" s="324">
        <f>'Debt (2)'!F15</f>
        <v>171.26</v>
      </c>
      <c r="G7" s="324">
        <f>'Debt (2)'!G15</f>
        <v>171.26</v>
      </c>
      <c r="H7" s="324">
        <f>'Debt (2)'!H15</f>
        <v>171.26</v>
      </c>
      <c r="I7" s="324">
        <f>'Debt (2)'!I15</f>
        <v>171.26</v>
      </c>
      <c r="J7" s="324">
        <f>'Debt (2)'!J15</f>
        <v>171.26</v>
      </c>
      <c r="K7" s="324">
        <f>'Debt (2)'!K15</f>
        <v>171.26</v>
      </c>
      <c r="L7" s="324">
        <f>'Debt (2)'!L15</f>
        <v>171.26</v>
      </c>
      <c r="M7" s="324">
        <f>'Debt (2)'!M15</f>
        <v>171.26</v>
      </c>
      <c r="N7" s="324">
        <f>'Debt (2)'!N15</f>
        <v>171.26</v>
      </c>
      <c r="O7" s="324">
        <f>'Debt (2)'!O15</f>
        <v>171.26</v>
      </c>
      <c r="P7" s="324">
        <f>'Debt (2)'!P15</f>
        <v>171.26</v>
      </c>
      <c r="Q7" s="324">
        <f>'Debt (2)'!Q15</f>
        <v>171.26</v>
      </c>
      <c r="R7" s="324">
        <f>'Debt (2)'!R15</f>
        <v>171.26</v>
      </c>
      <c r="S7" s="324">
        <f>'Debt (2)'!S15</f>
        <v>210.76</v>
      </c>
      <c r="T7" s="324">
        <f>'Debt (2)'!T15</f>
        <v>210.76</v>
      </c>
      <c r="U7" s="324">
        <f>'Debt (2)'!U15</f>
        <v>210.76</v>
      </c>
      <c r="V7" s="324">
        <f>'Debt (2)'!V15</f>
        <v>208.26</v>
      </c>
      <c r="W7" s="324">
        <f>'Debt (2)'!W15</f>
        <v>208.26</v>
      </c>
      <c r="X7" s="324">
        <f>'Debt (2)'!X15</f>
        <v>208.26</v>
      </c>
      <c r="Y7" s="324">
        <f>'Debt (2)'!Y15</f>
        <v>207.01</v>
      </c>
      <c r="Z7" s="324">
        <f>'Debt (2)'!Z15</f>
        <v>93.154499999999985</v>
      </c>
      <c r="AA7" s="324">
        <f>'Debt (2)'!AA15</f>
        <v>146.90449999999998</v>
      </c>
      <c r="AB7" s="324">
        <f>'Debt (2)'!AB15</f>
        <v>146.90449999999998</v>
      </c>
      <c r="AC7" s="324">
        <f>'Debt (2)'!AC15</f>
        <v>146.90449999999998</v>
      </c>
      <c r="AD7" s="324">
        <f>'Debt (2)'!AD15</f>
        <v>146.90449999999998</v>
      </c>
      <c r="AE7" s="324">
        <f>'Debt (2)'!AE15</f>
        <v>146.90449999999998</v>
      </c>
      <c r="AF7" s="324">
        <f>'Debt (2)'!AF15</f>
        <v>146.90449999999998</v>
      </c>
      <c r="AG7" s="324">
        <f>'Debt (2)'!AG15</f>
        <v>146.90449999999998</v>
      </c>
      <c r="AH7" s="324">
        <f>'Debt (2)'!AH15</f>
        <v>146.90449999999998</v>
      </c>
      <c r="AI7" s="324">
        <f>'Debt (2)'!AI15</f>
        <v>146.90449999999998</v>
      </c>
      <c r="AJ7" s="324">
        <f>'Debt (2)'!AJ15</f>
        <v>146.90449999999998</v>
      </c>
      <c r="AK7" s="324">
        <f>'Debt (2)'!AK15</f>
        <v>146.90449999999998</v>
      </c>
      <c r="AL7" s="324">
        <f>'Debt (2)'!AL15</f>
        <v>146.90449999999998</v>
      </c>
      <c r="AM7" s="324">
        <f>'Debt (2)'!AM15</f>
        <v>146.90449999999998</v>
      </c>
      <c r="AN7" s="324">
        <f>'Debt (2)'!AN15</f>
        <v>146.90449999999998</v>
      </c>
      <c r="AO7" s="324">
        <f>'Debt (2)'!AO15</f>
        <v>146.90449999999998</v>
      </c>
      <c r="AP7" s="324">
        <f>'Debt (2)'!AP15</f>
        <v>146.90449999999998</v>
      </c>
      <c r="AQ7" s="324">
        <f>'Debt (2)'!AQ15</f>
        <v>146.90449999999998</v>
      </c>
      <c r="AR7" s="324">
        <f>'Debt (2)'!AR15</f>
        <v>146.90449999999998</v>
      </c>
      <c r="AS7" s="324">
        <f>'Debt (2)'!AS15</f>
        <v>146.90449999999998</v>
      </c>
      <c r="AT7" s="324">
        <f>'Debt (2)'!AT15</f>
        <v>145.43545499999999</v>
      </c>
      <c r="AU7" s="324">
        <f>'Debt (2)'!AU15</f>
        <v>145.43545499999999</v>
      </c>
      <c r="AV7" s="324">
        <f>'Debt (2)'!AV15</f>
        <v>145.43545499999999</v>
      </c>
      <c r="AW7" s="324">
        <f>'Debt (2)'!AW15</f>
        <v>141.02831999999998</v>
      </c>
      <c r="AX7" s="324">
        <f>'Debt (2)'!AX15</f>
        <v>141.02831999999998</v>
      </c>
      <c r="AY7" s="324">
        <f>'Debt (2)'!AY15</f>
        <v>141.02831999999998</v>
      </c>
      <c r="AZ7" s="324">
        <f>'Debt (2)'!AZ15</f>
        <v>136.62118499999997</v>
      </c>
      <c r="BA7" s="324">
        <f>'Debt (2)'!BA15</f>
        <v>136.62118499999997</v>
      </c>
      <c r="BB7" s="324">
        <f>'Debt (2)'!BB15</f>
        <v>136.62118499999997</v>
      </c>
      <c r="BC7" s="324">
        <f>'Debt (2)'!BC15</f>
        <v>132.21404999999996</v>
      </c>
      <c r="BD7" s="324">
        <f>'Debt (2)'!BD15</f>
        <v>132.21404999999996</v>
      </c>
      <c r="BE7" s="324">
        <f>'Debt (2)'!BE15</f>
        <v>132.21404999999996</v>
      </c>
      <c r="BF7" s="324">
        <f>'Debt (2)'!BF15</f>
        <v>126.33786999999995</v>
      </c>
      <c r="BG7" s="324">
        <f>'Debt (2)'!BG15</f>
        <v>126.33786999999995</v>
      </c>
      <c r="BH7" s="324">
        <f>'Debt (2)'!BH15</f>
        <v>126.33786999999995</v>
      </c>
      <c r="BI7" s="324">
        <f>'Debt (2)'!BI15</f>
        <v>120.46168999999995</v>
      </c>
      <c r="BJ7" s="324">
        <f>'Debt (2)'!BJ15</f>
        <v>120.46168999999995</v>
      </c>
      <c r="BK7" s="324">
        <f>'Debt (2)'!BK15</f>
        <v>120.46168999999995</v>
      </c>
      <c r="BL7" s="324">
        <f>'Debt (2)'!BL15</f>
        <v>114.58550999999994</v>
      </c>
      <c r="BM7" s="324">
        <f>'Debt (2)'!BM15</f>
        <v>114.58550999999994</v>
      </c>
      <c r="BN7" s="324">
        <f>'Debt (2)'!BN15</f>
        <v>114.58550999999994</v>
      </c>
      <c r="BO7" s="324">
        <f>'Debt (2)'!BO15</f>
        <v>108.70932999999994</v>
      </c>
      <c r="BP7" s="324">
        <f>'Debt (2)'!BP15</f>
        <v>108.70932999999994</v>
      </c>
      <c r="BQ7" s="324">
        <f>'Debt (2)'!BQ15</f>
        <v>108.70932999999994</v>
      </c>
      <c r="BR7" s="324">
        <f>'Debt (2)'!BR15</f>
        <v>101.73136624999994</v>
      </c>
      <c r="BS7" s="324">
        <f>'Debt (2)'!BS15</f>
        <v>101.73136624999994</v>
      </c>
      <c r="BT7" s="324">
        <f>'Debt (2)'!BT15</f>
        <v>101.73136624999994</v>
      </c>
      <c r="BU7" s="324">
        <f>'Debt (2)'!BU15</f>
        <v>94.753402499999936</v>
      </c>
      <c r="BV7" s="324">
        <f>'Debt (2)'!BV15</f>
        <v>94.753402499999936</v>
      </c>
      <c r="BW7" s="324">
        <f>'Debt (2)'!BW15</f>
        <v>94.753402499999936</v>
      </c>
      <c r="BX7" s="324">
        <f>'Debt (2)'!BX15</f>
        <v>87.775438749999935</v>
      </c>
      <c r="BY7" s="324">
        <f>'Debt (2)'!BY15</f>
        <v>87.775438749999935</v>
      </c>
      <c r="BZ7" s="324">
        <f>'Debt (2)'!BZ15</f>
        <v>87.775438749999935</v>
      </c>
      <c r="CA7" s="324">
        <f>'Debt (2)'!CA15</f>
        <v>80.797474999999935</v>
      </c>
      <c r="CB7" s="324">
        <f>'Debt (2)'!CB15</f>
        <v>80.797474999999935</v>
      </c>
      <c r="CC7" s="324">
        <f>'Debt (2)'!CC15</f>
        <v>80.797474999999935</v>
      </c>
      <c r="CD7" s="324">
        <f>'Debt (2)'!CD15</f>
        <v>73.819511249999934</v>
      </c>
      <c r="CE7" s="324">
        <f>'Debt (2)'!CE15</f>
        <v>73.819511249999934</v>
      </c>
      <c r="CF7" s="324">
        <f>'Debt (2)'!CF15</f>
        <v>73.819511249999934</v>
      </c>
      <c r="CG7" s="324">
        <f>'Debt (2)'!CG15</f>
        <v>64.270718749999929</v>
      </c>
      <c r="CH7" s="324">
        <f>'Debt (2)'!CH15</f>
        <v>64.270718749999929</v>
      </c>
      <c r="CI7" s="324">
        <f>'Debt (2)'!CI15</f>
        <v>64.270718749999929</v>
      </c>
      <c r="CJ7" s="324">
        <f>'Debt (2)'!CJ15</f>
        <v>54.721926249999932</v>
      </c>
      <c r="CK7" s="324">
        <f>'Debt (2)'!CK15</f>
        <v>54.721926249999932</v>
      </c>
      <c r="CL7" s="324">
        <f>'Debt (2)'!CL15</f>
        <v>54.721926249999932</v>
      </c>
      <c r="CM7" s="324">
        <f>'Debt (2)'!CM15</f>
        <v>41.500521249999935</v>
      </c>
      <c r="CN7" s="324">
        <f>'Debt (2)'!CN15</f>
        <v>41.500521249999935</v>
      </c>
      <c r="CO7" s="324">
        <f>'Debt (2)'!CO15</f>
        <v>41.500521249999935</v>
      </c>
      <c r="CP7" s="324">
        <f>'Debt (2)'!CP15</f>
        <v>28.279116249999937</v>
      </c>
      <c r="CQ7" s="324">
        <f>'Debt (2)'!CQ15</f>
        <v>28.279116249999937</v>
      </c>
      <c r="CR7" s="324">
        <f>'Debt (2)'!CR15</f>
        <v>28.279116249999937</v>
      </c>
      <c r="CS7" s="324">
        <f>'Debt (2)'!CS15</f>
        <v>14.32318874999994</v>
      </c>
      <c r="CT7" s="324">
        <f>'Debt (2)'!CT15</f>
        <v>14.32318874999994</v>
      </c>
      <c r="CU7" s="324">
        <f>'Debt (2)'!CU15</f>
        <v>14.32318874999994</v>
      </c>
      <c r="CV7" s="324">
        <f>'Debt (2)'!CV15</f>
        <v>-5.8619775700208265E-14</v>
      </c>
      <c r="CW7" s="324">
        <f>'Debt (2)'!CW15</f>
        <v>0</v>
      </c>
      <c r="CX7" s="324">
        <f>'Debt (2)'!CX15</f>
        <v>0</v>
      </c>
      <c r="CY7" s="324">
        <f>'Debt (2)'!CY15</f>
        <v>0</v>
      </c>
      <c r="CZ7" s="324">
        <f>'Debt (2)'!CZ15</f>
        <v>0</v>
      </c>
      <c r="DA7" s="324">
        <f>'Debt (2)'!DA15</f>
        <v>0</v>
      </c>
      <c r="DB7" s="324">
        <f>'Debt (2)'!DB15</f>
        <v>0</v>
      </c>
    </row>
    <row r="8" spans="1:106" ht="15">
      <c r="A8" s="319" t="s">
        <v>323</v>
      </c>
      <c r="B8" s="324">
        <v>32</v>
      </c>
      <c r="C8" s="323">
        <f t="shared" ref="C8:J8" si="7">B8</f>
        <v>32</v>
      </c>
      <c r="D8" s="323">
        <f t="shared" si="7"/>
        <v>32</v>
      </c>
      <c r="E8" s="323">
        <f t="shared" si="7"/>
        <v>32</v>
      </c>
      <c r="F8" s="323">
        <f t="shared" si="7"/>
        <v>32</v>
      </c>
      <c r="G8" s="323">
        <f t="shared" si="7"/>
        <v>32</v>
      </c>
      <c r="H8" s="323">
        <f t="shared" si="7"/>
        <v>32</v>
      </c>
      <c r="I8" s="323">
        <f t="shared" si="7"/>
        <v>32</v>
      </c>
      <c r="J8" s="323">
        <f t="shared" si="7"/>
        <v>32</v>
      </c>
      <c r="K8" s="323">
        <f>J8-'Monthly CF'!J28</f>
        <v>32</v>
      </c>
      <c r="L8" s="323">
        <f>K8-'Monthly CF'!K28</f>
        <v>32</v>
      </c>
      <c r="M8" s="323">
        <f>L8-'Monthly CF'!L28</f>
        <v>32</v>
      </c>
      <c r="N8" s="323">
        <f>M8-'Monthly CF'!M28</f>
        <v>32</v>
      </c>
      <c r="O8" s="323">
        <f>N8-'Monthly CF'!N28</f>
        <v>32</v>
      </c>
      <c r="P8" s="323">
        <f>O8-'Monthly CF'!O28</f>
        <v>32</v>
      </c>
      <c r="Q8" s="323">
        <f>P8-'Monthly CF'!P28</f>
        <v>32</v>
      </c>
      <c r="R8" s="323">
        <f>Q8-'Monthly CF'!Q28</f>
        <v>32</v>
      </c>
      <c r="S8" s="323">
        <f>R8-'Monthly CF'!R28</f>
        <v>32</v>
      </c>
      <c r="T8" s="323">
        <f>S8-'Monthly CF'!S28</f>
        <v>32</v>
      </c>
      <c r="U8" s="323">
        <f>T8-'Monthly CF'!T28</f>
        <v>32</v>
      </c>
      <c r="V8" s="323">
        <f>U8-'Monthly CF'!U28</f>
        <v>32</v>
      </c>
      <c r="W8" s="323">
        <f>V8-'Monthly CF'!V28</f>
        <v>32</v>
      </c>
      <c r="X8" s="323">
        <f>W8-'Monthly CF'!W28</f>
        <v>32</v>
      </c>
      <c r="Y8" s="323">
        <f>X8-'Monthly CF'!X28</f>
        <v>32</v>
      </c>
      <c r="Z8" s="323">
        <f>Y8-'Monthly CF'!Y28</f>
        <v>32</v>
      </c>
      <c r="AA8" s="323">
        <f>Z8-'Monthly CF'!Z28</f>
        <v>32</v>
      </c>
      <c r="AB8" s="323">
        <f>AA8-'Monthly CF'!AA28-19</f>
        <v>13</v>
      </c>
      <c r="AC8" s="323">
        <f>AB8-'Monthly CF'!AB28</f>
        <v>13</v>
      </c>
      <c r="AD8" s="323">
        <f>AC8-'Monthly CF'!AC28</f>
        <v>13</v>
      </c>
      <c r="AE8" s="323">
        <f>AD8-'Monthly CF'!AD28</f>
        <v>13</v>
      </c>
      <c r="AF8" s="323">
        <f>AE8-'Monthly CF'!AE28</f>
        <v>13</v>
      </c>
      <c r="AG8" s="323">
        <f>AF8-'Monthly CF'!AF28</f>
        <v>13</v>
      </c>
      <c r="AH8" s="323">
        <f>AG8-'Monthly CF'!AG28</f>
        <v>13</v>
      </c>
      <c r="AI8" s="323">
        <f>AH8-'Monthly CF'!AH28</f>
        <v>13</v>
      </c>
      <c r="AJ8" s="323">
        <f>AI8-'Monthly CF'!AI28</f>
        <v>13</v>
      </c>
      <c r="AK8" s="323">
        <f>AJ8-'Monthly CF'!AJ28</f>
        <v>13</v>
      </c>
      <c r="AL8" s="323">
        <f>AK8-'Monthly CF'!AK28</f>
        <v>13</v>
      </c>
      <c r="AM8" s="323">
        <f>AL8-'Monthly CF'!AL28</f>
        <v>13</v>
      </c>
      <c r="AN8" s="323">
        <f>AM8-'Monthly CF'!AM28</f>
        <v>13</v>
      </c>
      <c r="AO8" s="323">
        <f>AN8-'Monthly CF'!AN28</f>
        <v>13</v>
      </c>
      <c r="AP8" s="323">
        <f>AO8-'Monthly CF'!AO28</f>
        <v>13</v>
      </c>
      <c r="AQ8" s="323">
        <f>AP8-'Monthly CF'!AP28</f>
        <v>13</v>
      </c>
      <c r="AR8" s="323">
        <f>AQ8-'Monthly CF'!AQ28</f>
        <v>13</v>
      </c>
      <c r="AS8" s="323">
        <f>AR8-'Monthly CF'!AR28</f>
        <v>13</v>
      </c>
      <c r="AT8" s="323">
        <f>AS8-'Monthly CF'!AS28</f>
        <v>13</v>
      </c>
      <c r="AU8" s="323">
        <f>AT8-'Monthly CF'!AT28</f>
        <v>13</v>
      </c>
      <c r="AV8" s="323">
        <f>AU8-'Monthly CF'!AU28</f>
        <v>13</v>
      </c>
      <c r="AW8" s="323">
        <f>AV8-'Monthly CF'!AV28</f>
        <v>13</v>
      </c>
      <c r="AX8" s="323">
        <f>AW8-'Monthly CF'!AW28</f>
        <v>13</v>
      </c>
      <c r="AY8" s="323">
        <f>AX8-'Monthly CF'!AX28</f>
        <v>13</v>
      </c>
      <c r="AZ8" s="323">
        <f>AY8-'Monthly CF'!AY28</f>
        <v>13</v>
      </c>
      <c r="BA8" s="323">
        <f>AZ8-'Monthly CF'!AZ28</f>
        <v>13</v>
      </c>
      <c r="BB8" s="323">
        <f>BA8-'Monthly CF'!BA28</f>
        <v>13</v>
      </c>
      <c r="BC8" s="323">
        <f>BB8-'Monthly CF'!BB28</f>
        <v>13</v>
      </c>
      <c r="BD8" s="323">
        <f>BC8-'Monthly CF'!BC28</f>
        <v>13</v>
      </c>
      <c r="BE8" s="323">
        <f>BD8-'Monthly CF'!BD28</f>
        <v>13</v>
      </c>
      <c r="BF8" s="323">
        <f>BE8-'Monthly CF'!BE28</f>
        <v>13</v>
      </c>
      <c r="BG8" s="323">
        <f>BF8-'Monthly CF'!BF28</f>
        <v>13</v>
      </c>
      <c r="BH8" s="323">
        <f>BG8-'Monthly CF'!BG28</f>
        <v>13</v>
      </c>
      <c r="BI8" s="323">
        <f>BH8-'Monthly CF'!BH28</f>
        <v>13</v>
      </c>
      <c r="BJ8" s="323">
        <f>BI8-'Monthly CF'!BI28</f>
        <v>13</v>
      </c>
      <c r="BK8" s="323">
        <f>BJ8-'Monthly CF'!BJ28</f>
        <v>13</v>
      </c>
      <c r="BL8" s="323">
        <f>BK8-'Monthly CF'!BK28</f>
        <v>13</v>
      </c>
      <c r="BM8" s="323">
        <f>BL8-'Monthly CF'!BL28</f>
        <v>13</v>
      </c>
      <c r="BN8" s="323">
        <f>BM8-'Monthly CF'!BM28</f>
        <v>13</v>
      </c>
      <c r="BO8" s="323">
        <f>BN8-'Monthly CF'!BN28</f>
        <v>13</v>
      </c>
      <c r="BP8" s="323">
        <f>BO8-'Monthly CF'!BO28</f>
        <v>13</v>
      </c>
      <c r="BQ8" s="323">
        <f>BP8-'Monthly CF'!BP28</f>
        <v>13</v>
      </c>
      <c r="BR8" s="323">
        <f>BQ8-'Monthly CF'!BQ28</f>
        <v>13</v>
      </c>
      <c r="BS8" s="323">
        <f>BR8-'Monthly CF'!BR28</f>
        <v>13</v>
      </c>
      <c r="BT8" s="323">
        <f>BS8-'Monthly CF'!BS28</f>
        <v>13</v>
      </c>
      <c r="BU8" s="323">
        <f>BT8-'Monthly CF'!BT28</f>
        <v>13</v>
      </c>
      <c r="BV8" s="323">
        <f>BU8-'Monthly CF'!BU28</f>
        <v>13</v>
      </c>
      <c r="BW8" s="323">
        <f>BV8-'Monthly CF'!BV28</f>
        <v>13</v>
      </c>
      <c r="BX8" s="323">
        <f>BW8-'Monthly CF'!BW28</f>
        <v>13</v>
      </c>
      <c r="BY8" s="323">
        <f>BX8-'Monthly CF'!BX28</f>
        <v>13</v>
      </c>
      <c r="BZ8" s="323">
        <f>BY8-'Monthly CF'!BY28</f>
        <v>13</v>
      </c>
      <c r="CA8" s="323">
        <f>BZ8-'Monthly CF'!BZ28</f>
        <v>13</v>
      </c>
      <c r="CB8" s="323">
        <f>CA8-'Monthly CF'!CA28</f>
        <v>13</v>
      </c>
      <c r="CC8" s="323">
        <f>CB8-'Monthly CF'!CB28</f>
        <v>13</v>
      </c>
      <c r="CD8" s="323">
        <f>CC8-'Monthly CF'!CC28</f>
        <v>13</v>
      </c>
      <c r="CE8" s="323">
        <f>CD8-'Monthly CF'!CD28</f>
        <v>13</v>
      </c>
      <c r="CF8" s="323">
        <f>CE8-'Monthly CF'!CE28</f>
        <v>13</v>
      </c>
      <c r="CG8" s="323">
        <f>CF8-'Monthly CF'!CF28</f>
        <v>13</v>
      </c>
      <c r="CH8" s="323">
        <f>CG8-'Monthly CF'!CG28</f>
        <v>13</v>
      </c>
      <c r="CI8" s="323">
        <f>CH8-'Monthly CF'!CH28</f>
        <v>13</v>
      </c>
      <c r="CJ8" s="323">
        <f>CI8-'Monthly CF'!CI28</f>
        <v>13</v>
      </c>
      <c r="CK8" s="323">
        <f>CJ8-'Monthly CF'!CJ28</f>
        <v>13</v>
      </c>
      <c r="CL8" s="323">
        <f>CK8-'Monthly CF'!CK28</f>
        <v>13</v>
      </c>
      <c r="CM8" s="323">
        <f>CL8-'Monthly CF'!CL28</f>
        <v>13</v>
      </c>
      <c r="CN8" s="323">
        <f>CM8-'Monthly CF'!CM28</f>
        <v>13</v>
      </c>
      <c r="CO8" s="323">
        <f>CN8-'Monthly CF'!CN28</f>
        <v>13</v>
      </c>
      <c r="CP8" s="323">
        <f>CO8-'Monthly CF'!CO28</f>
        <v>13</v>
      </c>
      <c r="CQ8" s="323">
        <f>CP8-'Monthly CF'!CP28</f>
        <v>13</v>
      </c>
      <c r="CR8" s="323">
        <f>CQ8-'Monthly CF'!CQ28</f>
        <v>13</v>
      </c>
      <c r="CS8" s="323">
        <f>CR8-'Monthly CF'!CR28</f>
        <v>13</v>
      </c>
      <c r="CT8" s="323">
        <f>CS8-'Monthly CF'!CS28</f>
        <v>13</v>
      </c>
      <c r="CU8" s="323">
        <f>CT8-'Monthly CF'!CT28</f>
        <v>13</v>
      </c>
      <c r="CV8" s="323">
        <f>CU8-'Monthly CF'!CU28</f>
        <v>13</v>
      </c>
      <c r="CW8" s="323">
        <f>CV8-'Monthly CF'!CV28</f>
        <v>13</v>
      </c>
      <c r="CX8" s="323">
        <f>CW8-'Monthly CF'!CW28</f>
        <v>13</v>
      </c>
      <c r="CY8" s="323">
        <f>CX8-'Monthly CF'!CX28</f>
        <v>13</v>
      </c>
      <c r="CZ8" s="323">
        <f>CY8-'Monthly CF'!CY28</f>
        <v>13</v>
      </c>
      <c r="DA8" s="323">
        <f>CZ8-'Monthly CF'!CZ28</f>
        <v>13</v>
      </c>
      <c r="DB8" s="323">
        <f>DA8-'Monthly CF'!DA28</f>
        <v>13</v>
      </c>
    </row>
    <row r="9" spans="1:106" ht="15">
      <c r="A9" s="319" t="s">
        <v>340</v>
      </c>
      <c r="B9" s="324"/>
      <c r="C9" s="323"/>
      <c r="D9" s="323"/>
      <c r="E9" s="323"/>
      <c r="F9" s="323"/>
      <c r="G9" s="323"/>
      <c r="H9" s="323"/>
      <c r="I9" s="323"/>
      <c r="J9" s="323">
        <v>2</v>
      </c>
      <c r="K9" s="323">
        <v>3</v>
      </c>
      <c r="L9" s="323">
        <v>3</v>
      </c>
      <c r="M9" s="323">
        <v>3</v>
      </c>
      <c r="N9" s="323">
        <v>3</v>
      </c>
      <c r="O9" s="323">
        <v>3</v>
      </c>
      <c r="P9" s="323">
        <v>3</v>
      </c>
      <c r="Q9" s="323">
        <v>3</v>
      </c>
      <c r="R9" s="323">
        <v>3</v>
      </c>
      <c r="S9" s="323">
        <v>3</v>
      </c>
      <c r="T9" s="323">
        <f>S9-'Monthly CF'!S32</f>
        <v>3</v>
      </c>
      <c r="U9" s="323">
        <f>T9-'Monthly CF'!T32</f>
        <v>3</v>
      </c>
      <c r="V9" s="323">
        <f>U9-'Monthly CF'!U32</f>
        <v>3</v>
      </c>
      <c r="W9" s="323">
        <f>V9-'Monthly CF'!V32</f>
        <v>3</v>
      </c>
      <c r="X9" s="323">
        <f>W9-'Monthly CF'!W32</f>
        <v>3</v>
      </c>
      <c r="Y9" s="323">
        <f>X9-'Monthly CF'!X32</f>
        <v>3</v>
      </c>
      <c r="Z9" s="323">
        <f>Y9-'Monthly CF'!Y32</f>
        <v>3</v>
      </c>
      <c r="AA9" s="323">
        <f>Z9-'Monthly CF'!Z32</f>
        <v>3</v>
      </c>
      <c r="AB9" s="323">
        <f>AA9-'Monthly CF'!AA32</f>
        <v>3</v>
      </c>
      <c r="AC9" s="323">
        <f>AB9-'Monthly CF'!AB32</f>
        <v>3</v>
      </c>
      <c r="AD9" s="323">
        <f>AC9-'Monthly CF'!AC32</f>
        <v>3</v>
      </c>
      <c r="AE9" s="323">
        <f>AD9-'Monthly CF'!AD32</f>
        <v>3</v>
      </c>
      <c r="AF9" s="323">
        <f>AE9-'Monthly CF'!AE32</f>
        <v>3</v>
      </c>
      <c r="AG9" s="323">
        <f>AF9-'Monthly CF'!AF32</f>
        <v>3</v>
      </c>
      <c r="AH9" s="323">
        <f>AG9-'Monthly CF'!AG32</f>
        <v>0</v>
      </c>
      <c r="AI9" s="323">
        <f>AH9-'Monthly CF'!AH32</f>
        <v>0</v>
      </c>
      <c r="AJ9" s="323">
        <f>AI9-'Monthly CF'!AI32</f>
        <v>0</v>
      </c>
      <c r="AK9" s="323">
        <f>AJ9-'Monthly CF'!AJ32</f>
        <v>0</v>
      </c>
      <c r="AL9" s="323">
        <f>AK9-'Monthly CF'!AK32</f>
        <v>0</v>
      </c>
      <c r="AM9" s="323">
        <f>AL9-'Monthly CF'!AL32</f>
        <v>0</v>
      </c>
      <c r="AN9" s="323">
        <f>AM9-'Monthly CF'!AM32</f>
        <v>0</v>
      </c>
      <c r="AO9" s="323">
        <f>AN9-'Monthly CF'!AN32</f>
        <v>0</v>
      </c>
      <c r="AP9" s="323">
        <f>AO9-'Monthly CF'!AO32</f>
        <v>0</v>
      </c>
      <c r="AQ9" s="323">
        <f>AP9-'Monthly CF'!AP32</f>
        <v>0</v>
      </c>
      <c r="AR9" s="323">
        <f>AQ9-'Monthly CF'!AQ32</f>
        <v>0</v>
      </c>
      <c r="AS9" s="323">
        <f>AR9-'Monthly CF'!AR32</f>
        <v>0</v>
      </c>
      <c r="AT9" s="323">
        <f>AS9-'Monthly CF'!AS32</f>
        <v>0</v>
      </c>
      <c r="AU9" s="323">
        <f>AT9-'Monthly CF'!AT32</f>
        <v>0</v>
      </c>
      <c r="AV9" s="323">
        <f>AU9-'Monthly CF'!AU32</f>
        <v>0</v>
      </c>
      <c r="AW9" s="323">
        <f>AV9-'Monthly CF'!AV32</f>
        <v>0</v>
      </c>
      <c r="AX9" s="323">
        <f>AW9-'Monthly CF'!AW32</f>
        <v>0</v>
      </c>
      <c r="AY9" s="323">
        <f>AX9-'Monthly CF'!AX32</f>
        <v>0</v>
      </c>
      <c r="AZ9" s="323">
        <f>AY9-'Monthly CF'!AY32</f>
        <v>0</v>
      </c>
      <c r="BA9" s="323">
        <f>AZ9-'Monthly CF'!AZ32</f>
        <v>0</v>
      </c>
      <c r="BB9" s="323">
        <f>BA9-'Monthly CF'!BA32</f>
        <v>0</v>
      </c>
      <c r="BC9" s="323">
        <f>BB9-'Monthly CF'!BB32</f>
        <v>0</v>
      </c>
      <c r="BD9" s="323">
        <f>BC9-'Monthly CF'!BC32</f>
        <v>0</v>
      </c>
      <c r="BE9" s="323">
        <f>BD9-'Monthly CF'!BD32</f>
        <v>0</v>
      </c>
      <c r="BF9" s="323">
        <f>BE9-'Monthly CF'!BE32</f>
        <v>0</v>
      </c>
      <c r="BG9" s="323">
        <f>BF9-'Monthly CF'!BF32</f>
        <v>0</v>
      </c>
      <c r="BH9" s="323">
        <f>BG9-'Monthly CF'!BG32</f>
        <v>0</v>
      </c>
      <c r="BI9" s="323">
        <f>BH9-'Monthly CF'!BH32</f>
        <v>0</v>
      </c>
      <c r="BJ9" s="323">
        <f>BI9-'Monthly CF'!BI32</f>
        <v>0</v>
      </c>
      <c r="BK9" s="323">
        <f>BJ9-'Monthly CF'!BJ32</f>
        <v>0</v>
      </c>
      <c r="BL9" s="323">
        <f>BK9-'Monthly CF'!BK32</f>
        <v>0</v>
      </c>
      <c r="BM9" s="323">
        <f>BL9-'Monthly CF'!BL32</f>
        <v>0</v>
      </c>
      <c r="BN9" s="323">
        <f>BM9-'Monthly CF'!BM32</f>
        <v>0</v>
      </c>
      <c r="BO9" s="323">
        <f>BN9-'Monthly CF'!BN32</f>
        <v>0</v>
      </c>
      <c r="BP9" s="323">
        <f>BO9-'Monthly CF'!BO32</f>
        <v>0</v>
      </c>
      <c r="BQ9" s="323">
        <f>BP9-'Monthly CF'!BP32</f>
        <v>0</v>
      </c>
      <c r="BR9" s="323">
        <f>BQ9-'Monthly CF'!BQ32</f>
        <v>0</v>
      </c>
      <c r="BS9" s="323">
        <f>BR9-'Monthly CF'!BR32</f>
        <v>0</v>
      </c>
      <c r="BT9" s="323">
        <f>BS9-'Monthly CF'!BS32</f>
        <v>0</v>
      </c>
      <c r="BU9" s="323">
        <f>BT9-'Monthly CF'!BT32</f>
        <v>0</v>
      </c>
      <c r="BV9" s="323">
        <f>BU9-'Monthly CF'!BU32</f>
        <v>0</v>
      </c>
      <c r="BW9" s="323">
        <f>BV9-'Monthly CF'!BV32</f>
        <v>0</v>
      </c>
      <c r="BX9" s="323">
        <f>BW9-'Monthly CF'!BW32</f>
        <v>0</v>
      </c>
      <c r="BY9" s="323">
        <f>BX9-'Monthly CF'!BX32</f>
        <v>0</v>
      </c>
      <c r="BZ9" s="323">
        <f>BY9-'Monthly CF'!BY32</f>
        <v>0</v>
      </c>
      <c r="CA9" s="323">
        <f>BZ9-'Monthly CF'!BZ32</f>
        <v>0</v>
      </c>
      <c r="CB9" s="323">
        <f>CA9-'Monthly CF'!CA32</f>
        <v>0</v>
      </c>
      <c r="CC9" s="323">
        <f>CB9-'Monthly CF'!CB32</f>
        <v>0</v>
      </c>
      <c r="CD9" s="323">
        <f>CC9-'Monthly CF'!CC32</f>
        <v>0</v>
      </c>
      <c r="CE9" s="323">
        <f>CD9-'Monthly CF'!CD32</f>
        <v>0</v>
      </c>
      <c r="CF9" s="323">
        <f>CE9-'Monthly CF'!CE32</f>
        <v>0</v>
      </c>
      <c r="CG9" s="323">
        <f>CF9-'Monthly CF'!CF32</f>
        <v>0</v>
      </c>
      <c r="CH9" s="323">
        <f>CG9-'Monthly CF'!CG32</f>
        <v>0</v>
      </c>
      <c r="CI9" s="323">
        <f>CH9-'Monthly CF'!CH32</f>
        <v>0</v>
      </c>
      <c r="CJ9" s="323">
        <f>CI9-'Monthly CF'!CI32</f>
        <v>0</v>
      </c>
      <c r="CK9" s="323">
        <f>CJ9-'Monthly CF'!CJ32</f>
        <v>0</v>
      </c>
      <c r="CL9" s="323">
        <f>CK9-'Monthly CF'!CK32</f>
        <v>0</v>
      </c>
      <c r="CM9" s="323">
        <f>CL9-'Monthly CF'!CL32</f>
        <v>0</v>
      </c>
      <c r="CN9" s="323">
        <f>CM9-'Monthly CF'!CM32</f>
        <v>0</v>
      </c>
      <c r="CO9" s="323">
        <f>CN9-'Monthly CF'!CN32</f>
        <v>0</v>
      </c>
      <c r="CP9" s="323">
        <f>CO9-'Monthly CF'!CO32</f>
        <v>0</v>
      </c>
      <c r="CQ9" s="323">
        <f>CP9-'Monthly CF'!CP32</f>
        <v>0</v>
      </c>
      <c r="CR9" s="323">
        <f>CQ9-'Monthly CF'!CQ32</f>
        <v>0</v>
      </c>
      <c r="CS9" s="323">
        <f>CR9-'Monthly CF'!CR32</f>
        <v>0</v>
      </c>
      <c r="CT9" s="323">
        <f>CS9-'Monthly CF'!CS32</f>
        <v>0</v>
      </c>
      <c r="CU9" s="323">
        <f>CT9-'Monthly CF'!CT32</f>
        <v>0</v>
      </c>
      <c r="CV9" s="323">
        <f>CU9-'Monthly CF'!CU32</f>
        <v>0</v>
      </c>
      <c r="CW9" s="323">
        <f>CV9-'Monthly CF'!CV32</f>
        <v>0</v>
      </c>
      <c r="CX9" s="323">
        <f>CW9-'Monthly CF'!CW32</f>
        <v>0</v>
      </c>
      <c r="CY9" s="323">
        <f>CX9-'Monthly CF'!CX32</f>
        <v>0</v>
      </c>
      <c r="CZ9" s="323">
        <f>CY9-'Monthly CF'!CY32</f>
        <v>0</v>
      </c>
      <c r="DA9" s="323">
        <f>CZ9-'Monthly CF'!CZ32</f>
        <v>0</v>
      </c>
      <c r="DB9" s="323">
        <f>DA9-'Monthly CF'!DA32</f>
        <v>0</v>
      </c>
    </row>
    <row r="10" spans="1:106" ht="15">
      <c r="A10" s="319" t="s">
        <v>299</v>
      </c>
      <c r="B10" s="324">
        <v>30</v>
      </c>
      <c r="C10" s="323">
        <f t="shared" ref="C10:R10" si="8">B10</f>
        <v>30</v>
      </c>
      <c r="D10" s="323">
        <f t="shared" si="8"/>
        <v>30</v>
      </c>
      <c r="E10" s="323">
        <f t="shared" si="8"/>
        <v>30</v>
      </c>
      <c r="F10" s="323">
        <f t="shared" si="8"/>
        <v>30</v>
      </c>
      <c r="G10" s="323">
        <f t="shared" si="8"/>
        <v>30</v>
      </c>
      <c r="H10" s="323">
        <f t="shared" si="8"/>
        <v>30</v>
      </c>
      <c r="I10" s="323">
        <f t="shared" si="8"/>
        <v>30</v>
      </c>
      <c r="J10" s="323">
        <f t="shared" si="8"/>
        <v>30</v>
      </c>
      <c r="K10" s="323">
        <f t="shared" si="8"/>
        <v>30</v>
      </c>
      <c r="L10" s="323">
        <f t="shared" si="8"/>
        <v>30</v>
      </c>
      <c r="M10" s="323">
        <f t="shared" si="8"/>
        <v>30</v>
      </c>
      <c r="N10" s="323">
        <f t="shared" si="8"/>
        <v>30</v>
      </c>
      <c r="O10" s="323">
        <f t="shared" si="8"/>
        <v>30</v>
      </c>
      <c r="P10" s="323">
        <f t="shared" si="8"/>
        <v>30</v>
      </c>
      <c r="Q10" s="323">
        <f t="shared" si="8"/>
        <v>30</v>
      </c>
      <c r="R10" s="323">
        <f t="shared" si="8"/>
        <v>30</v>
      </c>
      <c r="S10" s="323">
        <v>0</v>
      </c>
      <c r="T10" s="323">
        <f>S10</f>
        <v>0</v>
      </c>
      <c r="U10" s="323">
        <f>T10</f>
        <v>0</v>
      </c>
      <c r="V10" s="323">
        <f>U10</f>
        <v>0</v>
      </c>
      <c r="W10" s="323">
        <f>V10</f>
        <v>0</v>
      </c>
      <c r="X10" s="323">
        <f>W10</f>
        <v>0</v>
      </c>
      <c r="Y10" s="323">
        <v>0</v>
      </c>
      <c r="Z10" s="323">
        <v>0</v>
      </c>
      <c r="AA10" s="323">
        <v>0</v>
      </c>
      <c r="AB10" s="323">
        <v>0</v>
      </c>
      <c r="AC10" s="323">
        <v>0</v>
      </c>
      <c r="AD10" s="323">
        <v>0</v>
      </c>
      <c r="AE10" s="323">
        <v>0</v>
      </c>
      <c r="AF10" s="323">
        <v>0</v>
      </c>
      <c r="AG10" s="323">
        <v>0</v>
      </c>
      <c r="AH10" s="323">
        <v>0</v>
      </c>
      <c r="AI10" s="323">
        <v>0</v>
      </c>
      <c r="AJ10" s="323">
        <v>0</v>
      </c>
      <c r="AK10" s="323">
        <v>0</v>
      </c>
      <c r="AL10" s="323">
        <v>0</v>
      </c>
      <c r="AM10" s="323">
        <v>0</v>
      </c>
      <c r="AN10" s="323">
        <v>0</v>
      </c>
      <c r="AO10" s="323">
        <v>0</v>
      </c>
      <c r="AP10" s="323">
        <v>0</v>
      </c>
      <c r="AQ10" s="323">
        <v>0</v>
      </c>
      <c r="AR10" s="323">
        <v>0</v>
      </c>
      <c r="AS10" s="323">
        <v>0</v>
      </c>
      <c r="AT10" s="323">
        <v>0</v>
      </c>
      <c r="AU10" s="323">
        <v>0</v>
      </c>
      <c r="AV10" s="323">
        <v>0</v>
      </c>
      <c r="AW10" s="323">
        <v>0</v>
      </c>
      <c r="AX10" s="323">
        <v>0</v>
      </c>
      <c r="AY10" s="323">
        <v>0</v>
      </c>
      <c r="AZ10" s="323">
        <v>0</v>
      </c>
      <c r="BA10" s="323">
        <v>0</v>
      </c>
      <c r="BB10" s="323">
        <v>0</v>
      </c>
      <c r="BC10" s="323">
        <v>0</v>
      </c>
      <c r="BD10" s="323">
        <v>0</v>
      </c>
      <c r="BE10" s="323">
        <v>0</v>
      </c>
      <c r="BF10" s="323">
        <v>0</v>
      </c>
      <c r="BG10" s="323">
        <v>0</v>
      </c>
      <c r="BH10" s="323">
        <v>0</v>
      </c>
      <c r="BI10" s="323">
        <v>0</v>
      </c>
      <c r="BJ10" s="323">
        <v>0</v>
      </c>
      <c r="BK10" s="323">
        <v>0</v>
      </c>
      <c r="BL10" s="323">
        <v>0</v>
      </c>
      <c r="BM10" s="323">
        <v>0</v>
      </c>
      <c r="BN10" s="323">
        <v>0</v>
      </c>
      <c r="BO10" s="323">
        <v>0</v>
      </c>
      <c r="BP10" s="323">
        <v>0</v>
      </c>
      <c r="BQ10" s="323">
        <v>0</v>
      </c>
      <c r="BR10" s="323">
        <v>0</v>
      </c>
      <c r="BS10" s="323">
        <v>0</v>
      </c>
      <c r="BT10" s="323">
        <v>0</v>
      </c>
      <c r="BU10" s="323">
        <v>0</v>
      </c>
      <c r="BV10" s="323">
        <v>0</v>
      </c>
      <c r="BW10" s="323">
        <v>0</v>
      </c>
      <c r="BX10" s="323">
        <v>0</v>
      </c>
      <c r="BY10" s="323">
        <v>0</v>
      </c>
      <c r="BZ10" s="323">
        <v>0</v>
      </c>
      <c r="CA10" s="323">
        <v>0</v>
      </c>
      <c r="CB10" s="323">
        <v>0</v>
      </c>
      <c r="CC10" s="323">
        <v>0</v>
      </c>
      <c r="CD10" s="323">
        <v>0</v>
      </c>
      <c r="CE10" s="323">
        <v>0</v>
      </c>
      <c r="CF10" s="323">
        <v>0</v>
      </c>
      <c r="CG10" s="323">
        <v>0</v>
      </c>
      <c r="CH10" s="323">
        <v>0</v>
      </c>
      <c r="CI10" s="323">
        <v>0</v>
      </c>
      <c r="CJ10" s="323">
        <v>0</v>
      </c>
      <c r="CK10" s="323">
        <v>0</v>
      </c>
      <c r="CL10" s="323">
        <v>0</v>
      </c>
      <c r="CM10" s="323">
        <v>0</v>
      </c>
      <c r="CN10" s="323">
        <v>0</v>
      </c>
      <c r="CO10" s="323">
        <v>0</v>
      </c>
      <c r="CP10" s="323">
        <v>0</v>
      </c>
      <c r="CQ10" s="323">
        <v>0</v>
      </c>
      <c r="CR10" s="323">
        <v>0</v>
      </c>
      <c r="CS10" s="323">
        <v>0</v>
      </c>
      <c r="CT10" s="323">
        <v>0</v>
      </c>
      <c r="CU10" s="323">
        <v>0</v>
      </c>
      <c r="CV10" s="323">
        <v>0</v>
      </c>
      <c r="CW10" s="323">
        <v>0</v>
      </c>
      <c r="CX10" s="323">
        <v>0</v>
      </c>
      <c r="CY10" s="323">
        <v>0</v>
      </c>
      <c r="CZ10" s="323">
        <v>0</v>
      </c>
      <c r="DA10" s="323">
        <v>0</v>
      </c>
      <c r="DB10" s="323">
        <v>0</v>
      </c>
    </row>
    <row r="11" spans="1:106">
      <c r="A11" s="319" t="s">
        <v>341</v>
      </c>
      <c r="B11" s="323">
        <f>-'CF Capex'!B23</f>
        <v>34.229999999999997</v>
      </c>
      <c r="C11" s="323">
        <f>B11-'Monthly CF'!B36</f>
        <v>34.229999999999997</v>
      </c>
      <c r="D11" s="323">
        <f>C11-'Monthly CF'!C36</f>
        <v>34.229999999999997</v>
      </c>
      <c r="E11" s="323">
        <f>D11-'Monthly CF'!D36</f>
        <v>34.229999999999997</v>
      </c>
      <c r="F11" s="323">
        <f>E11-'Monthly CF'!E36</f>
        <v>34.229999999999997</v>
      </c>
      <c r="G11" s="323">
        <f>F11-'Monthly CF'!F36</f>
        <v>34.229999999999997</v>
      </c>
      <c r="H11" s="323">
        <f>G11-'Monthly CF'!G36</f>
        <v>34.229999999999997</v>
      </c>
      <c r="I11" s="323">
        <f>H11-'Monthly CF'!H36</f>
        <v>34.229999999999997</v>
      </c>
      <c r="J11" s="323">
        <v>29.56</v>
      </c>
      <c r="K11" s="323">
        <f>J11-'Monthly CF'!J36</f>
        <v>29.56</v>
      </c>
      <c r="L11" s="323">
        <f>K11-'Monthly CF'!K36</f>
        <v>29.56</v>
      </c>
      <c r="M11" s="323">
        <f>L11-'Monthly CF'!L36</f>
        <v>29.56</v>
      </c>
      <c r="N11" s="323">
        <f>M11-'Monthly CF'!M36</f>
        <v>29.56</v>
      </c>
      <c r="O11" s="323">
        <f>N11-'Monthly CF'!N36</f>
        <v>29.56</v>
      </c>
      <c r="P11" s="323">
        <f>O11-'Monthly CF'!O36</f>
        <v>29.56</v>
      </c>
      <c r="Q11" s="323">
        <v>48.35</v>
      </c>
      <c r="R11" s="323">
        <f>Q11-'Monthly CF'!Q36+3.81</f>
        <v>52.160000000000004</v>
      </c>
      <c r="S11" s="323">
        <f>R11-'Monthly CF'!R36-6.53-1.17-3</f>
        <v>41.46</v>
      </c>
      <c r="T11" s="323">
        <f>S11-'Monthly CF'!S36-0.57</f>
        <v>40.89</v>
      </c>
      <c r="U11" s="323">
        <f>T11-'Monthly CF'!T36+10</f>
        <v>50.89</v>
      </c>
      <c r="V11" s="323">
        <v>49.98</v>
      </c>
      <c r="W11" s="323">
        <f>V11-'Monthly CF'!V36</f>
        <v>49.98</v>
      </c>
      <c r="X11" s="323">
        <f>W11-'Monthly CF'!W36</f>
        <v>49.98</v>
      </c>
      <c r="Y11" s="323">
        <f>X11-'Monthly CF'!X36</f>
        <v>49.98</v>
      </c>
      <c r="Z11" s="323">
        <f>Y11-'Monthly CF'!Y36-'CF Capex'!P23</f>
        <v>49.48</v>
      </c>
      <c r="AA11" s="323">
        <f>Z11-'Monthly CF'!Z36-'CF Capex'!Q23</f>
        <v>48.98</v>
      </c>
      <c r="AB11" s="323">
        <f>AA11-'Monthly CF'!AA36-'CF Capex'!R23</f>
        <v>48.48</v>
      </c>
      <c r="AC11" s="323">
        <f>AB11-'Monthly CF'!AB36-'CF Capex'!S23</f>
        <v>47.48</v>
      </c>
      <c r="AD11" s="323">
        <f>AC11-'Monthly CF'!AC36-'CF Capex'!T23</f>
        <v>46.48</v>
      </c>
      <c r="AE11" s="323">
        <f>AD11-'Monthly CF'!AD36-'CF Capex'!U23</f>
        <v>45.48</v>
      </c>
      <c r="AF11" s="323">
        <f>AE11-'Monthly CF'!AE36-'CF Capex'!V23</f>
        <v>44.48</v>
      </c>
      <c r="AG11" s="323">
        <f>AF11-'Monthly CF'!AF36-'CF Capex'!W23</f>
        <v>43.48</v>
      </c>
      <c r="AH11" s="323">
        <f>AG11-'Monthly CF'!AG36-'CF Capex'!X23</f>
        <v>42.48</v>
      </c>
      <c r="AI11" s="323">
        <f>AH11-'Monthly CF'!AH36-'CF Capex'!Y23</f>
        <v>39.229999999999997</v>
      </c>
      <c r="AJ11" s="323">
        <f>AI11-'Monthly CF'!AI36-'CF Capex'!Z23</f>
        <v>35.979999999999997</v>
      </c>
      <c r="AK11" s="323">
        <f>AJ11-'Monthly CF'!AJ36-'CF Capex'!AA23</f>
        <v>32.729999999999997</v>
      </c>
      <c r="AL11" s="323">
        <f>AK11-'Monthly CF'!AK36-'CF Capex'!AB23</f>
        <v>29.479999999999997</v>
      </c>
      <c r="AM11" s="323">
        <f>AL11-'Monthly CF'!AL36-'CF Capex'!AC23</f>
        <v>26.229999999999997</v>
      </c>
      <c r="AN11" s="323">
        <f>AM11-'Monthly CF'!AM36-'CF Capex'!AD23</f>
        <v>22.979999999999997</v>
      </c>
      <c r="AO11" s="323">
        <f>AN11-'Monthly CF'!AN36-'CF Capex'!AE23</f>
        <v>19.729999999999997</v>
      </c>
      <c r="AP11" s="323">
        <f>AO11-'Monthly CF'!AO36-'CF Capex'!AF23</f>
        <v>16.479999999999997</v>
      </c>
      <c r="AQ11" s="323">
        <f>AP11-'Monthly CF'!AP36-'CF Capex'!AG23</f>
        <v>13.499999999999996</v>
      </c>
      <c r="AR11" s="323">
        <f>AQ11-'Monthly CF'!AQ36-'CF Capex'!AH23</f>
        <v>13.249999999999996</v>
      </c>
      <c r="AS11" s="323">
        <f>AR11-'Monthly CF'!AR36-'CF Capex'!AI23</f>
        <v>12.999999999999996</v>
      </c>
      <c r="AT11" s="323">
        <f>AS11-'Monthly CF'!AS36-'CF Capex'!AJ23</f>
        <v>12.749999999999996</v>
      </c>
      <c r="AU11" s="323">
        <f>AT11-'Monthly CF'!AT36-'CF Capex'!AK23</f>
        <v>12.499999999999996</v>
      </c>
      <c r="AV11" s="323">
        <f>AU11-'Monthly CF'!AU36-'CF Capex'!AL23</f>
        <v>12.249999999999996</v>
      </c>
      <c r="AW11" s="323">
        <f>AV11-'Monthly CF'!AV36-'CF Capex'!AM23</f>
        <v>11.999999999999996</v>
      </c>
      <c r="AX11" s="323">
        <f>AW11-'Monthly CF'!AW36-'CF Capex'!AN23</f>
        <v>11.749999999999996</v>
      </c>
      <c r="AY11" s="323">
        <f>AX11-'Monthly CF'!AX36-'CF Capex'!AO23</f>
        <v>11.499999999999996</v>
      </c>
      <c r="AZ11" s="323">
        <f>AY11-'Monthly CF'!AY36-'CF Capex'!AP23</f>
        <v>11.249999999999996</v>
      </c>
      <c r="BA11" s="323">
        <f>AZ11-'Monthly CF'!AZ36-'CF Capex'!AQ23</f>
        <v>10.999999999999996</v>
      </c>
      <c r="BB11" s="323">
        <f>BA11-'Monthly CF'!BA36-'CF Capex'!AR23</f>
        <v>10.749999999999996</v>
      </c>
      <c r="BC11" s="323">
        <f>BB11-'Monthly CF'!BB36-'CF Capex'!AS23</f>
        <v>10.499999999999996</v>
      </c>
      <c r="BD11" s="323">
        <f>BC11-'Monthly CF'!BC36-'CF Capex'!AT23</f>
        <v>10.249999999999996</v>
      </c>
      <c r="BE11" s="323">
        <f>BD11-'Monthly CF'!BD36-'CF Capex'!AU23</f>
        <v>9.9999999999999964</v>
      </c>
      <c r="BF11" s="323">
        <f>BE11-'Monthly CF'!BE36-'CF Capex'!AV23</f>
        <v>9.7499999999999964</v>
      </c>
      <c r="BG11" s="323">
        <f>BF11-'Monthly CF'!BF36-'CF Capex'!AW23</f>
        <v>9.4999999999999964</v>
      </c>
      <c r="BH11" s="323">
        <f>BG11-'Monthly CF'!BG36-'CF Capex'!AX23</f>
        <v>9.2499999999999964</v>
      </c>
      <c r="BI11" s="323">
        <f>BH11-'Monthly CF'!BH36-'CF Capex'!AY23</f>
        <v>8.9999999999999964</v>
      </c>
      <c r="BJ11" s="323">
        <f>BI11-'Monthly CF'!BI36-'CF Capex'!AZ23</f>
        <v>8.7499999999999964</v>
      </c>
      <c r="BK11" s="323">
        <f>BJ11-'Monthly CF'!BJ36-'CF Capex'!BA23</f>
        <v>8.4999999999999964</v>
      </c>
      <c r="BL11" s="323">
        <f>BK11-'Monthly CF'!BK36-'CF Capex'!BB23</f>
        <v>8.2499999999999964</v>
      </c>
      <c r="BM11" s="323">
        <f>BL11-'Monthly CF'!BL36-'CF Capex'!BC23</f>
        <v>7.9999999999999964</v>
      </c>
      <c r="BN11" s="323">
        <f>BM11-'Monthly CF'!BM36-'CF Capex'!BD23</f>
        <v>7.7499999999999964</v>
      </c>
      <c r="BO11" s="323">
        <f>BN11-'Monthly CF'!BN36-'CF Capex'!BE23</f>
        <v>7.4999999999999964</v>
      </c>
      <c r="BP11" s="323">
        <f>BO11-'Monthly CF'!BO36-'CF Capex'!BF23</f>
        <v>7.2499999999999964</v>
      </c>
      <c r="BQ11" s="323">
        <f>BP11-'Monthly CF'!BP36-'CF Capex'!BG23</f>
        <v>6.9999999999999964</v>
      </c>
      <c r="BR11" s="323">
        <f>BQ11-'Monthly CF'!BQ36-'CF Capex'!BH23</f>
        <v>6.7499999999999964</v>
      </c>
      <c r="BS11" s="323">
        <f>BR11-'Monthly CF'!BR36-'CF Capex'!BI23</f>
        <v>6.4999999999999964</v>
      </c>
      <c r="BT11" s="323">
        <f>BS11-'Monthly CF'!BS36-'CF Capex'!BJ23</f>
        <v>6.2499999999999964</v>
      </c>
      <c r="BU11" s="323">
        <f>BT11-'Monthly CF'!BT36-'CF Capex'!BK23</f>
        <v>5.9999999999999964</v>
      </c>
      <c r="BV11" s="323">
        <f>BU11-'Monthly CF'!BU36-'CF Capex'!BL23</f>
        <v>5.7499999999999964</v>
      </c>
      <c r="BW11" s="323">
        <f>BV11-'Monthly CF'!BV36-'CF Capex'!BM23</f>
        <v>5.4999999999999964</v>
      </c>
      <c r="BX11" s="323">
        <f>BW11-'Monthly CF'!BW36-'CF Capex'!BN23</f>
        <v>5.2499999999999964</v>
      </c>
      <c r="BY11" s="323">
        <f>BX11-'Monthly CF'!BX36-'CF Capex'!BO23</f>
        <v>4.9999999999999964</v>
      </c>
      <c r="BZ11" s="323">
        <f>BY11-'Monthly CF'!BY36-'CF Capex'!BP23</f>
        <v>4.7499999999999964</v>
      </c>
      <c r="CA11" s="323">
        <f>BZ11-'Monthly CF'!BZ36-'CF Capex'!BQ23</f>
        <v>4.4999999999999964</v>
      </c>
      <c r="CB11" s="323">
        <f>CA11-'Monthly CF'!CA36-'CF Capex'!BR23</f>
        <v>4.2499999999999964</v>
      </c>
      <c r="CC11" s="323">
        <f>CB11-'Monthly CF'!CB36-'CF Capex'!BS23</f>
        <v>3.9999999999999964</v>
      </c>
      <c r="CD11" s="323">
        <f>CC11-'Monthly CF'!CC36-'CF Capex'!BT23</f>
        <v>3.7499999999999964</v>
      </c>
      <c r="CE11" s="323">
        <f>CD11-'Monthly CF'!CD36-'CF Capex'!BU23</f>
        <v>3.4999999999999964</v>
      </c>
      <c r="CF11" s="323">
        <f>CE11-'Monthly CF'!CE36-'CF Capex'!BV23</f>
        <v>3.2499999999999964</v>
      </c>
      <c r="CG11" s="323">
        <f>CF11-'Monthly CF'!CF36-'CF Capex'!BW23</f>
        <v>2.9999999999999964</v>
      </c>
      <c r="CH11" s="323">
        <f>CG11-'Monthly CF'!CG36-'CF Capex'!BX23</f>
        <v>2.7499999999999964</v>
      </c>
      <c r="CI11" s="323">
        <f>CH11-'Monthly CF'!CH36-'CF Capex'!BY23</f>
        <v>2.4999999999999964</v>
      </c>
      <c r="CJ11" s="323">
        <f>CI11-'Monthly CF'!CI36-'CF Capex'!BZ23</f>
        <v>2.2499999999999964</v>
      </c>
      <c r="CK11" s="323">
        <f>CJ11-'Monthly CF'!CJ36-'CF Capex'!CA23</f>
        <v>1.9999999999999964</v>
      </c>
      <c r="CL11" s="323">
        <f>CK11-'Monthly CF'!CK36-'CF Capex'!CB23</f>
        <v>1.7499999999999964</v>
      </c>
      <c r="CM11" s="323">
        <f>CL11-'Monthly CF'!CL36-'CF Capex'!CC23</f>
        <v>1.4999999999999964</v>
      </c>
      <c r="CN11" s="323">
        <f>CM11-'Monthly CF'!CM36-'CF Capex'!CD23</f>
        <v>1.2499999999999964</v>
      </c>
      <c r="CO11" s="323">
        <f>CN11-'Monthly CF'!CN36-'CF Capex'!CE23</f>
        <v>0.99999999999999645</v>
      </c>
      <c r="CP11" s="323">
        <f>CO11-'Monthly CF'!CO36-'CF Capex'!CF23</f>
        <v>0.74999999999999645</v>
      </c>
      <c r="CQ11" s="323">
        <f>CP11-'Monthly CF'!CP36-'CF Capex'!CG23</f>
        <v>0.49999999999999645</v>
      </c>
      <c r="CR11" s="323">
        <f>CQ11-'Monthly CF'!CQ36-'CF Capex'!CH23</f>
        <v>0.24999999999999645</v>
      </c>
      <c r="CS11" s="323">
        <f>CR11-'Monthly CF'!CR36-'CF Capex'!CI23</f>
        <v>-3.5527136788005009E-15</v>
      </c>
      <c r="CT11" s="323">
        <f>CS11-'Monthly CF'!CS36-'CF Capex'!CJ23</f>
        <v>-3.5527136788005009E-15</v>
      </c>
      <c r="CU11" s="323">
        <f>CT11-'Monthly CF'!CT36-'CF Capex'!CK23</f>
        <v>-3.5527136788005009E-15</v>
      </c>
      <c r="CV11" s="323">
        <f>CU11-'Monthly CF'!CU36-'CF Capex'!CL23</f>
        <v>-3.5527136788005009E-15</v>
      </c>
      <c r="CW11" s="323">
        <f>CV11-'Monthly CF'!CV36-'CF Capex'!CM23</f>
        <v>-3.5527136788005009E-15</v>
      </c>
      <c r="CX11" s="323">
        <f>CW11-'Monthly CF'!CW36-'CF Capex'!CN23</f>
        <v>-3.5527136788005009E-15</v>
      </c>
      <c r="CY11" s="323">
        <f>CX11-'Monthly CF'!CX36-'CF Capex'!CO23</f>
        <v>-3.5527136788005009E-15</v>
      </c>
      <c r="CZ11" s="323">
        <f>CY11-'Monthly CF'!CY36-'CF Capex'!CP23</f>
        <v>-3.5527136788005009E-15</v>
      </c>
      <c r="DA11" s="323">
        <f>CZ11-'Monthly CF'!CZ36-'CF Capex'!CQ23</f>
        <v>-3.5527136788005009E-15</v>
      </c>
      <c r="DB11" s="323">
        <f>DA11-'Monthly CF'!DA36-'CF Capex'!CR23</f>
        <v>-3.5527136788005009E-15</v>
      </c>
    </row>
    <row r="12" spans="1:106">
      <c r="A12" s="319" t="s">
        <v>342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>
        <v>82.35</v>
      </c>
      <c r="W12" s="323">
        <f>V12</f>
        <v>82.35</v>
      </c>
      <c r="X12" s="323">
        <f t="shared" ref="X12:CI13" si="9">W12</f>
        <v>82.35</v>
      </c>
      <c r="Y12" s="323">
        <f t="shared" si="9"/>
        <v>82.35</v>
      </c>
      <c r="Z12" s="323">
        <f t="shared" si="9"/>
        <v>82.35</v>
      </c>
      <c r="AA12" s="323">
        <f t="shared" si="9"/>
        <v>82.35</v>
      </c>
      <c r="AB12" s="323">
        <f t="shared" si="9"/>
        <v>82.35</v>
      </c>
      <c r="AC12" s="323">
        <f t="shared" si="9"/>
        <v>82.35</v>
      </c>
      <c r="AD12" s="323">
        <f t="shared" si="9"/>
        <v>82.35</v>
      </c>
      <c r="AE12" s="323">
        <f t="shared" si="9"/>
        <v>82.35</v>
      </c>
      <c r="AF12" s="323">
        <f t="shared" si="9"/>
        <v>82.35</v>
      </c>
      <c r="AG12" s="323">
        <f t="shared" si="9"/>
        <v>82.35</v>
      </c>
      <c r="AH12" s="323">
        <f t="shared" si="9"/>
        <v>82.35</v>
      </c>
      <c r="AI12" s="323">
        <f t="shared" si="9"/>
        <v>82.35</v>
      </c>
      <c r="AJ12" s="323">
        <f t="shared" si="9"/>
        <v>82.35</v>
      </c>
      <c r="AK12" s="323">
        <f t="shared" si="9"/>
        <v>82.35</v>
      </c>
      <c r="AL12" s="323">
        <f t="shared" si="9"/>
        <v>82.35</v>
      </c>
      <c r="AM12" s="323">
        <f t="shared" si="9"/>
        <v>82.35</v>
      </c>
      <c r="AN12" s="323">
        <f t="shared" si="9"/>
        <v>82.35</v>
      </c>
      <c r="AO12" s="323">
        <f t="shared" si="9"/>
        <v>82.35</v>
      </c>
      <c r="AP12" s="323">
        <f t="shared" si="9"/>
        <v>82.35</v>
      </c>
      <c r="AQ12" s="323">
        <f t="shared" si="9"/>
        <v>82.35</v>
      </c>
      <c r="AR12" s="323">
        <f t="shared" si="9"/>
        <v>82.35</v>
      </c>
      <c r="AS12" s="323">
        <f t="shared" si="9"/>
        <v>82.35</v>
      </c>
      <c r="AT12" s="323">
        <f t="shared" si="9"/>
        <v>82.35</v>
      </c>
      <c r="AU12" s="323">
        <f t="shared" si="9"/>
        <v>82.35</v>
      </c>
      <c r="AV12" s="323">
        <f t="shared" si="9"/>
        <v>82.35</v>
      </c>
      <c r="AW12" s="323">
        <f t="shared" si="9"/>
        <v>82.35</v>
      </c>
      <c r="AX12" s="323">
        <f t="shared" si="9"/>
        <v>82.35</v>
      </c>
      <c r="AY12" s="323">
        <f t="shared" si="9"/>
        <v>82.35</v>
      </c>
      <c r="AZ12" s="323">
        <f t="shared" si="9"/>
        <v>82.35</v>
      </c>
      <c r="BA12" s="323">
        <f t="shared" si="9"/>
        <v>82.35</v>
      </c>
      <c r="BB12" s="323">
        <f t="shared" si="9"/>
        <v>82.35</v>
      </c>
      <c r="BC12" s="323">
        <f t="shared" si="9"/>
        <v>82.35</v>
      </c>
      <c r="BD12" s="323">
        <f t="shared" si="9"/>
        <v>82.35</v>
      </c>
      <c r="BE12" s="323">
        <f t="shared" si="9"/>
        <v>82.35</v>
      </c>
      <c r="BF12" s="323">
        <f t="shared" si="9"/>
        <v>82.35</v>
      </c>
      <c r="BG12" s="323">
        <f t="shared" si="9"/>
        <v>82.35</v>
      </c>
      <c r="BH12" s="323">
        <f t="shared" si="9"/>
        <v>82.35</v>
      </c>
      <c r="BI12" s="323">
        <f t="shared" si="9"/>
        <v>82.35</v>
      </c>
      <c r="BJ12" s="323">
        <f t="shared" si="9"/>
        <v>82.35</v>
      </c>
      <c r="BK12" s="323">
        <f t="shared" si="9"/>
        <v>82.35</v>
      </c>
      <c r="BL12" s="323">
        <f t="shared" si="9"/>
        <v>82.35</v>
      </c>
      <c r="BM12" s="323">
        <f t="shared" si="9"/>
        <v>82.35</v>
      </c>
      <c r="BN12" s="323">
        <f t="shared" si="9"/>
        <v>82.35</v>
      </c>
      <c r="BO12" s="323">
        <f t="shared" si="9"/>
        <v>82.35</v>
      </c>
      <c r="BP12" s="323">
        <f t="shared" si="9"/>
        <v>82.35</v>
      </c>
      <c r="BQ12" s="323">
        <f t="shared" si="9"/>
        <v>82.35</v>
      </c>
      <c r="BR12" s="323">
        <f t="shared" si="9"/>
        <v>82.35</v>
      </c>
      <c r="BS12" s="323">
        <f t="shared" si="9"/>
        <v>82.35</v>
      </c>
      <c r="BT12" s="323">
        <f t="shared" si="9"/>
        <v>82.35</v>
      </c>
      <c r="BU12" s="323">
        <f t="shared" si="9"/>
        <v>82.35</v>
      </c>
      <c r="BV12" s="323">
        <f t="shared" si="9"/>
        <v>82.35</v>
      </c>
      <c r="BW12" s="323">
        <f t="shared" si="9"/>
        <v>82.35</v>
      </c>
      <c r="BX12" s="323">
        <f t="shared" si="9"/>
        <v>82.35</v>
      </c>
      <c r="BY12" s="323">
        <f t="shared" si="9"/>
        <v>82.35</v>
      </c>
      <c r="BZ12" s="323">
        <f t="shared" si="9"/>
        <v>82.35</v>
      </c>
      <c r="CA12" s="323">
        <f t="shared" si="9"/>
        <v>82.35</v>
      </c>
      <c r="CB12" s="323">
        <f t="shared" si="9"/>
        <v>82.35</v>
      </c>
      <c r="CC12" s="323">
        <f t="shared" si="9"/>
        <v>82.35</v>
      </c>
      <c r="CD12" s="323">
        <f t="shared" si="9"/>
        <v>82.35</v>
      </c>
      <c r="CE12" s="323">
        <f t="shared" si="9"/>
        <v>82.35</v>
      </c>
      <c r="CF12" s="323">
        <f t="shared" si="9"/>
        <v>82.35</v>
      </c>
      <c r="CG12" s="323">
        <f t="shared" si="9"/>
        <v>82.35</v>
      </c>
      <c r="CH12" s="323">
        <f t="shared" si="9"/>
        <v>82.35</v>
      </c>
      <c r="CI12" s="323">
        <f t="shared" si="9"/>
        <v>82.35</v>
      </c>
      <c r="CJ12" s="323">
        <f t="shared" ref="CJ12:DB13" si="10">CI12</f>
        <v>82.35</v>
      </c>
      <c r="CK12" s="323">
        <f t="shared" si="10"/>
        <v>82.35</v>
      </c>
      <c r="CL12" s="323">
        <f t="shared" si="10"/>
        <v>82.35</v>
      </c>
      <c r="CM12" s="323">
        <f t="shared" si="10"/>
        <v>82.35</v>
      </c>
      <c r="CN12" s="323">
        <f t="shared" si="10"/>
        <v>82.35</v>
      </c>
      <c r="CO12" s="323">
        <f t="shared" si="10"/>
        <v>82.35</v>
      </c>
      <c r="CP12" s="323">
        <f t="shared" si="10"/>
        <v>82.35</v>
      </c>
      <c r="CQ12" s="323">
        <f t="shared" si="10"/>
        <v>82.35</v>
      </c>
      <c r="CR12" s="323">
        <f t="shared" si="10"/>
        <v>82.35</v>
      </c>
      <c r="CS12" s="323">
        <f t="shared" si="10"/>
        <v>82.35</v>
      </c>
      <c r="CT12" s="323">
        <f t="shared" si="10"/>
        <v>82.35</v>
      </c>
      <c r="CU12" s="323">
        <f t="shared" si="10"/>
        <v>82.35</v>
      </c>
      <c r="CV12" s="323">
        <f t="shared" si="10"/>
        <v>82.35</v>
      </c>
      <c r="CW12" s="323">
        <f t="shared" si="10"/>
        <v>82.35</v>
      </c>
      <c r="CX12" s="323">
        <f t="shared" si="10"/>
        <v>82.35</v>
      </c>
      <c r="CY12" s="323">
        <f t="shared" si="10"/>
        <v>82.35</v>
      </c>
      <c r="CZ12" s="323">
        <f t="shared" si="10"/>
        <v>82.35</v>
      </c>
      <c r="DA12" s="323">
        <f t="shared" si="10"/>
        <v>82.35</v>
      </c>
      <c r="DB12" s="323">
        <f t="shared" si="10"/>
        <v>82.35</v>
      </c>
    </row>
    <row r="13" spans="1:106" ht="15">
      <c r="A13" s="319" t="s">
        <v>359</v>
      </c>
      <c r="B13" s="324">
        <v>1.44</v>
      </c>
      <c r="C13" s="324">
        <f t="shared" ref="C13:BN13" si="11">B13</f>
        <v>1.44</v>
      </c>
      <c r="D13" s="324">
        <f t="shared" si="11"/>
        <v>1.44</v>
      </c>
      <c r="E13" s="324">
        <f t="shared" si="11"/>
        <v>1.44</v>
      </c>
      <c r="F13" s="324">
        <f t="shared" si="11"/>
        <v>1.44</v>
      </c>
      <c r="G13" s="324">
        <f t="shared" si="11"/>
        <v>1.44</v>
      </c>
      <c r="H13" s="324">
        <f t="shared" si="11"/>
        <v>1.44</v>
      </c>
      <c r="I13" s="324">
        <f t="shared" si="11"/>
        <v>1.44</v>
      </c>
      <c r="J13" s="324">
        <v>1.92</v>
      </c>
      <c r="K13" s="324">
        <f t="shared" si="11"/>
        <v>1.92</v>
      </c>
      <c r="L13" s="324">
        <f t="shared" si="11"/>
        <v>1.92</v>
      </c>
      <c r="M13" s="324">
        <f t="shared" si="11"/>
        <v>1.92</v>
      </c>
      <c r="N13" s="324">
        <f t="shared" si="11"/>
        <v>1.92</v>
      </c>
      <c r="O13" s="324">
        <f t="shared" si="11"/>
        <v>1.92</v>
      </c>
      <c r="P13" s="324">
        <f t="shared" si="11"/>
        <v>1.92</v>
      </c>
      <c r="Q13" s="324">
        <f t="shared" si="11"/>
        <v>1.92</v>
      </c>
      <c r="R13" s="324">
        <f t="shared" si="11"/>
        <v>1.92</v>
      </c>
      <c r="S13" s="324">
        <f t="shared" si="11"/>
        <v>1.92</v>
      </c>
      <c r="T13" s="324">
        <f t="shared" si="11"/>
        <v>1.92</v>
      </c>
      <c r="U13" s="324">
        <f t="shared" si="11"/>
        <v>1.92</v>
      </c>
      <c r="V13" s="324">
        <f t="shared" si="11"/>
        <v>1.92</v>
      </c>
      <c r="W13" s="324">
        <f t="shared" si="11"/>
        <v>1.92</v>
      </c>
      <c r="X13" s="324">
        <f t="shared" si="11"/>
        <v>1.92</v>
      </c>
      <c r="Y13" s="324">
        <f t="shared" si="11"/>
        <v>1.92</v>
      </c>
      <c r="Z13" s="324">
        <f t="shared" si="11"/>
        <v>1.92</v>
      </c>
      <c r="AA13" s="324">
        <f t="shared" si="11"/>
        <v>1.92</v>
      </c>
      <c r="AB13" s="324">
        <f t="shared" si="11"/>
        <v>1.92</v>
      </c>
      <c r="AC13" s="324">
        <f t="shared" si="11"/>
        <v>1.92</v>
      </c>
      <c r="AD13" s="324">
        <f t="shared" si="11"/>
        <v>1.92</v>
      </c>
      <c r="AE13" s="324">
        <f t="shared" si="11"/>
        <v>1.92</v>
      </c>
      <c r="AF13" s="324">
        <f t="shared" si="11"/>
        <v>1.92</v>
      </c>
      <c r="AG13" s="324">
        <f t="shared" si="11"/>
        <v>1.92</v>
      </c>
      <c r="AH13" s="324">
        <f t="shared" si="11"/>
        <v>1.92</v>
      </c>
      <c r="AI13" s="324">
        <f t="shared" si="11"/>
        <v>1.92</v>
      </c>
      <c r="AJ13" s="324">
        <f t="shared" si="11"/>
        <v>1.92</v>
      </c>
      <c r="AK13" s="324">
        <f t="shared" si="11"/>
        <v>1.92</v>
      </c>
      <c r="AL13" s="324">
        <f t="shared" si="11"/>
        <v>1.92</v>
      </c>
      <c r="AM13" s="324">
        <f t="shared" si="11"/>
        <v>1.92</v>
      </c>
      <c r="AN13" s="324">
        <f t="shared" si="11"/>
        <v>1.92</v>
      </c>
      <c r="AO13" s="324">
        <f t="shared" si="11"/>
        <v>1.92</v>
      </c>
      <c r="AP13" s="324">
        <f t="shared" si="11"/>
        <v>1.92</v>
      </c>
      <c r="AQ13" s="324">
        <f t="shared" si="11"/>
        <v>1.92</v>
      </c>
      <c r="AR13" s="324">
        <f t="shared" si="11"/>
        <v>1.92</v>
      </c>
      <c r="AS13" s="324">
        <f t="shared" si="11"/>
        <v>1.92</v>
      </c>
      <c r="AT13" s="324">
        <f t="shared" si="11"/>
        <v>1.92</v>
      </c>
      <c r="AU13" s="324">
        <f t="shared" si="11"/>
        <v>1.92</v>
      </c>
      <c r="AV13" s="324">
        <f t="shared" si="11"/>
        <v>1.92</v>
      </c>
      <c r="AW13" s="324">
        <f t="shared" si="11"/>
        <v>1.92</v>
      </c>
      <c r="AX13" s="324">
        <f t="shared" si="11"/>
        <v>1.92</v>
      </c>
      <c r="AY13" s="324">
        <f t="shared" si="11"/>
        <v>1.92</v>
      </c>
      <c r="AZ13" s="324">
        <f t="shared" si="11"/>
        <v>1.92</v>
      </c>
      <c r="BA13" s="324">
        <f t="shared" si="11"/>
        <v>1.92</v>
      </c>
      <c r="BB13" s="324">
        <f t="shared" si="11"/>
        <v>1.92</v>
      </c>
      <c r="BC13" s="324">
        <f t="shared" si="11"/>
        <v>1.92</v>
      </c>
      <c r="BD13" s="324">
        <f t="shared" si="11"/>
        <v>1.92</v>
      </c>
      <c r="BE13" s="324">
        <f t="shared" si="11"/>
        <v>1.92</v>
      </c>
      <c r="BF13" s="324">
        <f t="shared" si="11"/>
        <v>1.92</v>
      </c>
      <c r="BG13" s="324">
        <f t="shared" si="11"/>
        <v>1.92</v>
      </c>
      <c r="BH13" s="324">
        <f t="shared" si="11"/>
        <v>1.92</v>
      </c>
      <c r="BI13" s="324">
        <f t="shared" si="11"/>
        <v>1.92</v>
      </c>
      <c r="BJ13" s="324">
        <f t="shared" si="11"/>
        <v>1.92</v>
      </c>
      <c r="BK13" s="324">
        <f t="shared" si="11"/>
        <v>1.92</v>
      </c>
      <c r="BL13" s="324">
        <f t="shared" si="11"/>
        <v>1.92</v>
      </c>
      <c r="BM13" s="324">
        <f t="shared" si="11"/>
        <v>1.92</v>
      </c>
      <c r="BN13" s="324">
        <f t="shared" si="11"/>
        <v>1.92</v>
      </c>
      <c r="BO13" s="324">
        <f t="shared" si="9"/>
        <v>1.92</v>
      </c>
      <c r="BP13" s="324">
        <f t="shared" si="9"/>
        <v>1.92</v>
      </c>
      <c r="BQ13" s="324">
        <f t="shared" si="9"/>
        <v>1.92</v>
      </c>
      <c r="BR13" s="324">
        <f t="shared" si="9"/>
        <v>1.92</v>
      </c>
      <c r="BS13" s="324">
        <f t="shared" si="9"/>
        <v>1.92</v>
      </c>
      <c r="BT13" s="324">
        <f t="shared" si="9"/>
        <v>1.92</v>
      </c>
      <c r="BU13" s="324">
        <f t="shared" si="9"/>
        <v>1.92</v>
      </c>
      <c r="BV13" s="324">
        <f t="shared" si="9"/>
        <v>1.92</v>
      </c>
      <c r="BW13" s="324">
        <f t="shared" si="9"/>
        <v>1.92</v>
      </c>
      <c r="BX13" s="324">
        <f t="shared" si="9"/>
        <v>1.92</v>
      </c>
      <c r="BY13" s="324">
        <f t="shared" si="9"/>
        <v>1.92</v>
      </c>
      <c r="BZ13" s="324">
        <f t="shared" si="9"/>
        <v>1.92</v>
      </c>
      <c r="CA13" s="324">
        <f t="shared" si="9"/>
        <v>1.92</v>
      </c>
      <c r="CB13" s="324">
        <f t="shared" si="9"/>
        <v>1.92</v>
      </c>
      <c r="CC13" s="324">
        <f t="shared" si="9"/>
        <v>1.92</v>
      </c>
      <c r="CD13" s="324">
        <f t="shared" si="9"/>
        <v>1.92</v>
      </c>
      <c r="CE13" s="324">
        <f t="shared" si="9"/>
        <v>1.92</v>
      </c>
      <c r="CF13" s="324">
        <f t="shared" si="9"/>
        <v>1.92</v>
      </c>
      <c r="CG13" s="324">
        <f t="shared" si="9"/>
        <v>1.92</v>
      </c>
      <c r="CH13" s="324">
        <f t="shared" si="9"/>
        <v>1.92</v>
      </c>
      <c r="CI13" s="324">
        <f t="shared" si="9"/>
        <v>1.92</v>
      </c>
      <c r="CJ13" s="324">
        <f t="shared" si="10"/>
        <v>1.92</v>
      </c>
      <c r="CK13" s="324">
        <f t="shared" si="10"/>
        <v>1.92</v>
      </c>
      <c r="CL13" s="324">
        <f t="shared" si="10"/>
        <v>1.92</v>
      </c>
      <c r="CM13" s="324">
        <f t="shared" si="10"/>
        <v>1.92</v>
      </c>
      <c r="CN13" s="324">
        <f t="shared" si="10"/>
        <v>1.92</v>
      </c>
      <c r="CO13" s="324">
        <f t="shared" si="10"/>
        <v>1.92</v>
      </c>
      <c r="CP13" s="324">
        <f t="shared" si="10"/>
        <v>1.92</v>
      </c>
      <c r="CQ13" s="324">
        <f t="shared" si="10"/>
        <v>1.92</v>
      </c>
      <c r="CR13" s="324">
        <f t="shared" si="10"/>
        <v>1.92</v>
      </c>
      <c r="CS13" s="324">
        <f t="shared" si="10"/>
        <v>1.92</v>
      </c>
      <c r="CT13" s="324">
        <f t="shared" si="10"/>
        <v>1.92</v>
      </c>
      <c r="CU13" s="324">
        <f t="shared" si="10"/>
        <v>1.92</v>
      </c>
      <c r="CV13" s="324">
        <f t="shared" si="10"/>
        <v>1.92</v>
      </c>
      <c r="CW13" s="324">
        <f t="shared" si="10"/>
        <v>1.92</v>
      </c>
      <c r="CX13" s="324">
        <f t="shared" si="10"/>
        <v>1.92</v>
      </c>
      <c r="CY13" s="324">
        <f t="shared" si="10"/>
        <v>1.92</v>
      </c>
      <c r="CZ13" s="324">
        <f t="shared" si="10"/>
        <v>1.92</v>
      </c>
      <c r="DA13" s="324">
        <f t="shared" si="10"/>
        <v>1.92</v>
      </c>
      <c r="DB13" s="324">
        <f t="shared" si="10"/>
        <v>1.92</v>
      </c>
    </row>
    <row r="14" spans="1:106" ht="15">
      <c r="A14" s="319" t="s">
        <v>343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>
        <v>0</v>
      </c>
      <c r="W14" s="324">
        <v>0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0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324">
        <v>0</v>
      </c>
      <c r="AJ14" s="324">
        <v>0</v>
      </c>
      <c r="AK14" s="324">
        <v>0</v>
      </c>
      <c r="AL14" s="324">
        <v>0</v>
      </c>
      <c r="AM14" s="324">
        <v>0</v>
      </c>
      <c r="AN14" s="324">
        <v>0</v>
      </c>
      <c r="AO14" s="324">
        <v>0</v>
      </c>
      <c r="AP14" s="325">
        <v>3.5915891423304744</v>
      </c>
      <c r="AQ14" s="325">
        <v>4.9010507664473186</v>
      </c>
      <c r="AR14" s="325">
        <v>6.9906156606318977</v>
      </c>
      <c r="AS14" s="325">
        <v>4.5351497310567543</v>
      </c>
      <c r="AT14" s="325">
        <v>9.7355523982324712</v>
      </c>
      <c r="AU14" s="325">
        <v>7.5226902624972709</v>
      </c>
      <c r="AV14" s="325">
        <v>9.5811449233268604</v>
      </c>
      <c r="AW14" s="325">
        <v>8.7433819856636354</v>
      </c>
      <c r="AX14" s="325">
        <v>10.324126965485899</v>
      </c>
      <c r="AY14" s="325">
        <v>6.2928135020380589</v>
      </c>
      <c r="AZ14" s="325">
        <v>12.205305130087918</v>
      </c>
      <c r="BA14" s="325">
        <v>8.531351034965585</v>
      </c>
      <c r="BB14" s="325">
        <v>9.8242347738354994</v>
      </c>
      <c r="BC14" s="325">
        <v>10.511039733565571</v>
      </c>
      <c r="BD14" s="325">
        <v>11.784362373262031</v>
      </c>
      <c r="BE14" s="325">
        <v>7.3720429899928215</v>
      </c>
      <c r="BF14" s="325">
        <v>13.446731276666423</v>
      </c>
      <c r="BG14" s="325">
        <v>9.4052948516138155</v>
      </c>
      <c r="BH14" s="325">
        <v>11.149027640715708</v>
      </c>
      <c r="BI14" s="325">
        <v>11.010778762114095</v>
      </c>
      <c r="BJ14" s="325">
        <v>12.013945244695641</v>
      </c>
      <c r="BK14" s="325">
        <v>6.9787087291925856</v>
      </c>
      <c r="BL14" s="325">
        <v>13.772929324142215</v>
      </c>
      <c r="BM14" s="325">
        <v>9.242577059612735</v>
      </c>
      <c r="BN14" s="325">
        <v>10.062047360415448</v>
      </c>
      <c r="BO14" s="325">
        <v>11.368720382581676</v>
      </c>
      <c r="BP14" s="325">
        <v>12.171450046127216</v>
      </c>
      <c r="BQ14" s="325">
        <v>9.0425019832673605</v>
      </c>
      <c r="BR14" s="325">
        <v>16.354680462310526</v>
      </c>
      <c r="BS14" s="325">
        <v>12.462466544995301</v>
      </c>
      <c r="BT14" s="325">
        <v>14.669355659630172</v>
      </c>
      <c r="BU14" s="325">
        <v>15.709877337179281</v>
      </c>
      <c r="BV14" s="325">
        <v>17.425790708225787</v>
      </c>
      <c r="BW14" s="325">
        <v>12.362128184930182</v>
      </c>
      <c r="BX14" s="325">
        <v>22.765340526519847</v>
      </c>
      <c r="BY14" s="325">
        <v>18.106260293731157</v>
      </c>
      <c r="BZ14" s="325">
        <v>19.483992197361097</v>
      </c>
      <c r="CA14" s="325">
        <v>23.556527553293513</v>
      </c>
      <c r="CB14" s="325">
        <v>24.850079933720625</v>
      </c>
      <c r="CC14" s="325">
        <v>19.343316842094861</v>
      </c>
      <c r="CD14" s="325">
        <v>29.906005255017796</v>
      </c>
      <c r="CE14" s="325">
        <v>24.845432279511268</v>
      </c>
      <c r="CF14" s="325">
        <v>26.61547817725652</v>
      </c>
      <c r="CG14" s="325">
        <v>28.882356531374469</v>
      </c>
      <c r="CH14" s="325">
        <v>29.293390927561557</v>
      </c>
      <c r="CI14" s="325">
        <v>22.508750114301176</v>
      </c>
      <c r="CJ14" s="325">
        <v>33.046936066282164</v>
      </c>
      <c r="CK14" s="325">
        <v>26.677849282047561</v>
      </c>
      <c r="CL14" s="325">
        <v>26.719483581681231</v>
      </c>
      <c r="CM14" s="325">
        <v>31.982336386450967</v>
      </c>
      <c r="CN14" s="325">
        <v>31.960451272955311</v>
      </c>
      <c r="CO14" s="325">
        <v>24.748799867364635</v>
      </c>
      <c r="CP14" s="325">
        <v>36.74362565821837</v>
      </c>
      <c r="CQ14" s="325">
        <v>29.853329813789902</v>
      </c>
      <c r="CR14" s="325">
        <v>30.076369752469173</v>
      </c>
      <c r="CS14" s="325">
        <v>33.927956156514945</v>
      </c>
      <c r="CT14" s="325">
        <v>33.252793657879522</v>
      </c>
      <c r="CU14" s="325">
        <v>24.94773728838214</v>
      </c>
      <c r="CV14" s="325">
        <v>22.247672359433746</v>
      </c>
      <c r="CW14" s="324"/>
      <c r="CX14" s="324"/>
      <c r="CY14" s="324"/>
      <c r="CZ14" s="324"/>
      <c r="DA14" s="324"/>
      <c r="DB14" s="324"/>
    </row>
    <row r="15" spans="1:106" ht="15">
      <c r="A15" s="319" t="s">
        <v>352</v>
      </c>
      <c r="B15" s="324">
        <f>1.52+1.38</f>
        <v>2.9</v>
      </c>
      <c r="C15" s="324">
        <f>B15</f>
        <v>2.9</v>
      </c>
      <c r="D15" s="324">
        <f t="shared" ref="D15:BO15" si="12">C15</f>
        <v>2.9</v>
      </c>
      <c r="E15" s="324">
        <f t="shared" si="12"/>
        <v>2.9</v>
      </c>
      <c r="F15" s="324">
        <f t="shared" si="12"/>
        <v>2.9</v>
      </c>
      <c r="G15" s="324">
        <f t="shared" si="12"/>
        <v>2.9</v>
      </c>
      <c r="H15" s="324">
        <f t="shared" si="12"/>
        <v>2.9</v>
      </c>
      <c r="I15" s="324">
        <f t="shared" si="12"/>
        <v>2.9</v>
      </c>
      <c r="J15" s="324">
        <v>2.9</v>
      </c>
      <c r="K15" s="324">
        <f t="shared" si="12"/>
        <v>2.9</v>
      </c>
      <c r="L15" s="324">
        <f t="shared" si="12"/>
        <v>2.9</v>
      </c>
      <c r="M15" s="324">
        <f t="shared" si="12"/>
        <v>2.9</v>
      </c>
      <c r="N15" s="324">
        <f t="shared" si="12"/>
        <v>2.9</v>
      </c>
      <c r="O15" s="324">
        <f t="shared" si="12"/>
        <v>2.9</v>
      </c>
      <c r="P15" s="324">
        <f t="shared" si="12"/>
        <v>2.9</v>
      </c>
      <c r="Q15" s="324">
        <f t="shared" si="12"/>
        <v>2.9</v>
      </c>
      <c r="R15" s="324">
        <f t="shared" si="12"/>
        <v>2.9</v>
      </c>
      <c r="S15" s="324">
        <v>0</v>
      </c>
      <c r="T15" s="324">
        <f t="shared" si="12"/>
        <v>0</v>
      </c>
      <c r="U15" s="324">
        <f t="shared" si="12"/>
        <v>0</v>
      </c>
      <c r="V15" s="324">
        <f t="shared" si="12"/>
        <v>0</v>
      </c>
      <c r="W15" s="324">
        <f t="shared" si="12"/>
        <v>0</v>
      </c>
      <c r="X15" s="324">
        <f t="shared" si="12"/>
        <v>0</v>
      </c>
      <c r="Y15" s="324">
        <f t="shared" si="12"/>
        <v>0</v>
      </c>
      <c r="Z15" s="324">
        <f t="shared" si="12"/>
        <v>0</v>
      </c>
      <c r="AA15" s="324">
        <f t="shared" si="12"/>
        <v>0</v>
      </c>
      <c r="AB15" s="324">
        <f t="shared" si="12"/>
        <v>0</v>
      </c>
      <c r="AC15" s="324">
        <f t="shared" si="12"/>
        <v>0</v>
      </c>
      <c r="AD15" s="324">
        <f t="shared" si="12"/>
        <v>0</v>
      </c>
      <c r="AE15" s="324">
        <f t="shared" si="12"/>
        <v>0</v>
      </c>
      <c r="AF15" s="324">
        <f t="shared" si="12"/>
        <v>0</v>
      </c>
      <c r="AG15" s="324">
        <f t="shared" si="12"/>
        <v>0</v>
      </c>
      <c r="AH15" s="324">
        <f t="shared" si="12"/>
        <v>0</v>
      </c>
      <c r="AI15" s="324">
        <f t="shared" si="12"/>
        <v>0</v>
      </c>
      <c r="AJ15" s="324">
        <f t="shared" si="12"/>
        <v>0</v>
      </c>
      <c r="AK15" s="324">
        <f t="shared" si="12"/>
        <v>0</v>
      </c>
      <c r="AL15" s="324">
        <f t="shared" si="12"/>
        <v>0</v>
      </c>
      <c r="AM15" s="324">
        <f t="shared" si="12"/>
        <v>0</v>
      </c>
      <c r="AN15" s="324">
        <f t="shared" si="12"/>
        <v>0</v>
      </c>
      <c r="AO15" s="324">
        <f t="shared" si="12"/>
        <v>0</v>
      </c>
      <c r="AP15" s="324">
        <f t="shared" si="12"/>
        <v>0</v>
      </c>
      <c r="AQ15" s="324">
        <f t="shared" si="12"/>
        <v>0</v>
      </c>
      <c r="AR15" s="324">
        <f t="shared" si="12"/>
        <v>0</v>
      </c>
      <c r="AS15" s="324">
        <f t="shared" si="12"/>
        <v>0</v>
      </c>
      <c r="AT15" s="324">
        <f t="shared" si="12"/>
        <v>0</v>
      </c>
      <c r="AU15" s="324">
        <f t="shared" si="12"/>
        <v>0</v>
      </c>
      <c r="AV15" s="324">
        <f t="shared" si="12"/>
        <v>0</v>
      </c>
      <c r="AW15" s="324">
        <f t="shared" si="12"/>
        <v>0</v>
      </c>
      <c r="AX15" s="324">
        <f t="shared" si="12"/>
        <v>0</v>
      </c>
      <c r="AY15" s="324">
        <f t="shared" si="12"/>
        <v>0</v>
      </c>
      <c r="AZ15" s="324">
        <f t="shared" si="12"/>
        <v>0</v>
      </c>
      <c r="BA15" s="324">
        <f t="shared" si="12"/>
        <v>0</v>
      </c>
      <c r="BB15" s="324">
        <f t="shared" si="12"/>
        <v>0</v>
      </c>
      <c r="BC15" s="324">
        <f t="shared" si="12"/>
        <v>0</v>
      </c>
      <c r="BD15" s="324">
        <f t="shared" si="12"/>
        <v>0</v>
      </c>
      <c r="BE15" s="324">
        <f t="shared" si="12"/>
        <v>0</v>
      </c>
      <c r="BF15" s="324">
        <f t="shared" si="12"/>
        <v>0</v>
      </c>
      <c r="BG15" s="324">
        <f t="shared" si="12"/>
        <v>0</v>
      </c>
      <c r="BH15" s="324">
        <f t="shared" si="12"/>
        <v>0</v>
      </c>
      <c r="BI15" s="324">
        <f t="shared" si="12"/>
        <v>0</v>
      </c>
      <c r="BJ15" s="324">
        <f t="shared" si="12"/>
        <v>0</v>
      </c>
      <c r="BK15" s="324">
        <f t="shared" si="12"/>
        <v>0</v>
      </c>
      <c r="BL15" s="324">
        <f t="shared" si="12"/>
        <v>0</v>
      </c>
      <c r="BM15" s="324">
        <f t="shared" si="12"/>
        <v>0</v>
      </c>
      <c r="BN15" s="324">
        <f t="shared" si="12"/>
        <v>0</v>
      </c>
      <c r="BO15" s="324">
        <f t="shared" si="12"/>
        <v>0</v>
      </c>
      <c r="BP15" s="324">
        <f t="shared" ref="BP15:DB15" si="13">BO15</f>
        <v>0</v>
      </c>
      <c r="BQ15" s="324">
        <f t="shared" si="13"/>
        <v>0</v>
      </c>
      <c r="BR15" s="324">
        <f t="shared" si="13"/>
        <v>0</v>
      </c>
      <c r="BS15" s="324">
        <f t="shared" si="13"/>
        <v>0</v>
      </c>
      <c r="BT15" s="324">
        <f t="shared" si="13"/>
        <v>0</v>
      </c>
      <c r="BU15" s="324">
        <f t="shared" si="13"/>
        <v>0</v>
      </c>
      <c r="BV15" s="324">
        <f t="shared" si="13"/>
        <v>0</v>
      </c>
      <c r="BW15" s="324">
        <f t="shared" si="13"/>
        <v>0</v>
      </c>
      <c r="BX15" s="324">
        <f t="shared" si="13"/>
        <v>0</v>
      </c>
      <c r="BY15" s="324">
        <f t="shared" si="13"/>
        <v>0</v>
      </c>
      <c r="BZ15" s="324">
        <f t="shared" si="13"/>
        <v>0</v>
      </c>
      <c r="CA15" s="324">
        <f t="shared" si="13"/>
        <v>0</v>
      </c>
      <c r="CB15" s="324">
        <f t="shared" si="13"/>
        <v>0</v>
      </c>
      <c r="CC15" s="324">
        <f t="shared" si="13"/>
        <v>0</v>
      </c>
      <c r="CD15" s="324">
        <f t="shared" si="13"/>
        <v>0</v>
      </c>
      <c r="CE15" s="324">
        <f t="shared" si="13"/>
        <v>0</v>
      </c>
      <c r="CF15" s="324">
        <f t="shared" si="13"/>
        <v>0</v>
      </c>
      <c r="CG15" s="324">
        <f t="shared" si="13"/>
        <v>0</v>
      </c>
      <c r="CH15" s="324">
        <f t="shared" si="13"/>
        <v>0</v>
      </c>
      <c r="CI15" s="324">
        <f t="shared" si="13"/>
        <v>0</v>
      </c>
      <c r="CJ15" s="324">
        <f t="shared" si="13"/>
        <v>0</v>
      </c>
      <c r="CK15" s="324">
        <f t="shared" si="13"/>
        <v>0</v>
      </c>
      <c r="CL15" s="324">
        <f t="shared" si="13"/>
        <v>0</v>
      </c>
      <c r="CM15" s="324">
        <f t="shared" si="13"/>
        <v>0</v>
      </c>
      <c r="CN15" s="324">
        <f t="shared" si="13"/>
        <v>0</v>
      </c>
      <c r="CO15" s="324">
        <f t="shared" si="13"/>
        <v>0</v>
      </c>
      <c r="CP15" s="324">
        <f t="shared" si="13"/>
        <v>0</v>
      </c>
      <c r="CQ15" s="324">
        <f t="shared" si="13"/>
        <v>0</v>
      </c>
      <c r="CR15" s="324">
        <f t="shared" si="13"/>
        <v>0</v>
      </c>
      <c r="CS15" s="324">
        <f t="shared" si="13"/>
        <v>0</v>
      </c>
      <c r="CT15" s="324">
        <f t="shared" si="13"/>
        <v>0</v>
      </c>
      <c r="CU15" s="324">
        <f t="shared" si="13"/>
        <v>0</v>
      </c>
      <c r="CV15" s="324">
        <f t="shared" si="13"/>
        <v>0</v>
      </c>
      <c r="CW15" s="324">
        <f t="shared" si="13"/>
        <v>0</v>
      </c>
      <c r="CX15" s="324">
        <f t="shared" si="13"/>
        <v>0</v>
      </c>
      <c r="CY15" s="324">
        <f t="shared" si="13"/>
        <v>0</v>
      </c>
      <c r="CZ15" s="324">
        <f t="shared" si="13"/>
        <v>0</v>
      </c>
      <c r="DA15" s="324">
        <f t="shared" si="13"/>
        <v>0</v>
      </c>
      <c r="DB15" s="324">
        <f t="shared" si="13"/>
        <v>0</v>
      </c>
    </row>
    <row r="16" spans="1:106" ht="12.75" thickBot="1">
      <c r="A16" s="321" t="s">
        <v>344</v>
      </c>
      <c r="B16" s="326">
        <f t="shared" ref="B16:AG16" si="14">SUM(B4:B15)</f>
        <v>313.41499999999996</v>
      </c>
      <c r="C16" s="326">
        <f t="shared" si="14"/>
        <v>331.5650057326003</v>
      </c>
      <c r="D16" s="326">
        <f t="shared" si="14"/>
        <v>334.16653847661058</v>
      </c>
      <c r="E16" s="326">
        <f t="shared" si="14"/>
        <v>334.092995751834</v>
      </c>
      <c r="F16" s="326">
        <f t="shared" si="14"/>
        <v>335.58793406919227</v>
      </c>
      <c r="G16" s="326">
        <f t="shared" si="14"/>
        <v>335.45483905662826</v>
      </c>
      <c r="H16" s="326">
        <f t="shared" si="14"/>
        <v>337.82274003644812</v>
      </c>
      <c r="I16" s="326">
        <f t="shared" si="14"/>
        <v>339.06588167191666</v>
      </c>
      <c r="J16" s="326">
        <f t="shared" si="14"/>
        <v>246.18709999999999</v>
      </c>
      <c r="K16" s="326">
        <f t="shared" si="14"/>
        <v>245.13524304667033</v>
      </c>
      <c r="L16" s="326">
        <f t="shared" si="14"/>
        <v>245.08742659013893</v>
      </c>
      <c r="M16" s="326">
        <f t="shared" si="14"/>
        <v>242.80852139880091</v>
      </c>
      <c r="N16" s="326">
        <f t="shared" si="14"/>
        <v>243.6714273432639</v>
      </c>
      <c r="O16" s="326">
        <f t="shared" si="14"/>
        <v>241.91641488322171</v>
      </c>
      <c r="P16" s="326">
        <f t="shared" si="14"/>
        <v>242.65517490466141</v>
      </c>
      <c r="Q16" s="326">
        <f t="shared" si="14"/>
        <v>258.75532912929009</v>
      </c>
      <c r="R16" s="326">
        <f t="shared" si="14"/>
        <v>262.91942644272217</v>
      </c>
      <c r="S16" s="326">
        <f t="shared" si="14"/>
        <v>257.10665622467451</v>
      </c>
      <c r="T16" s="326">
        <f t="shared" si="14"/>
        <v>256.45160031565558</v>
      </c>
      <c r="U16" s="326">
        <f t="shared" si="14"/>
        <v>263.0691209015568</v>
      </c>
      <c r="V16" s="326">
        <f t="shared" si="14"/>
        <v>281.305351993957</v>
      </c>
      <c r="W16" s="326">
        <f t="shared" si="14"/>
        <v>278.49754734429894</v>
      </c>
      <c r="X16" s="326">
        <f t="shared" si="14"/>
        <v>278.63300594537537</v>
      </c>
      <c r="Y16" s="326">
        <f t="shared" si="14"/>
        <v>274.52001509496688</v>
      </c>
      <c r="Z16" s="326">
        <f t="shared" si="14"/>
        <v>274.65751118832299</v>
      </c>
      <c r="AA16" s="326">
        <f>SUM(AA4:AA15)</f>
        <v>325.3616219999364</v>
      </c>
      <c r="AB16" s="326">
        <f t="shared" si="14"/>
        <v>326.01343339630893</v>
      </c>
      <c r="AC16" s="326">
        <f t="shared" si="14"/>
        <v>322.70504105485423</v>
      </c>
      <c r="AD16" s="326">
        <f t="shared" si="14"/>
        <v>322.86623554158598</v>
      </c>
      <c r="AE16" s="326">
        <f t="shared" si="14"/>
        <v>319.39976269591813</v>
      </c>
      <c r="AF16" s="326">
        <f t="shared" si="14"/>
        <v>320.06812812868367</v>
      </c>
      <c r="AG16" s="326">
        <f t="shared" si="14"/>
        <v>319.83914644079556</v>
      </c>
      <c r="AH16" s="326">
        <f t="shared" ref="AH16:CS16" si="15">SUM(AH4:AH15)</f>
        <v>271.6922812758292</v>
      </c>
      <c r="AI16" s="326">
        <f t="shared" si="15"/>
        <v>266.6576081485677</v>
      </c>
      <c r="AJ16" s="326">
        <f t="shared" si="15"/>
        <v>264.83761942545038</v>
      </c>
      <c r="AK16" s="326">
        <f t="shared" si="15"/>
        <v>259.74234901821859</v>
      </c>
      <c r="AL16" s="326">
        <f t="shared" si="15"/>
        <v>258.4776551764146</v>
      </c>
      <c r="AM16" s="326">
        <f t="shared" si="15"/>
        <v>253.75581507911454</v>
      </c>
      <c r="AN16" s="326">
        <f t="shared" si="15"/>
        <v>251.95895301570991</v>
      </c>
      <c r="AO16" s="326">
        <f t="shared" si="15"/>
        <v>247.06929434017027</v>
      </c>
      <c r="AP16" s="326">
        <f t="shared" si="15"/>
        <v>249.60048045568576</v>
      </c>
      <c r="AQ16" s="326">
        <f t="shared" si="15"/>
        <v>246.23190319932672</v>
      </c>
      <c r="AR16" s="326">
        <f t="shared" si="15"/>
        <v>250.54650153373288</v>
      </c>
      <c r="AS16" s="326">
        <f t="shared" si="15"/>
        <v>246.35227536974995</v>
      </c>
      <c r="AT16" s="326">
        <f t="shared" si="15"/>
        <v>206.81412106833446</v>
      </c>
      <c r="AU16" s="326">
        <f t="shared" si="15"/>
        <v>203.06783681959689</v>
      </c>
      <c r="AV16" s="326">
        <f t="shared" si="15"/>
        <v>207.31550279474382</v>
      </c>
      <c r="AW16" s="326">
        <f t="shared" si="15"/>
        <v>200.46341768925856</v>
      </c>
      <c r="AX16" s="326">
        <f t="shared" si="15"/>
        <v>204.7529886554222</v>
      </c>
      <c r="AY16" s="326">
        <f t="shared" si="15"/>
        <v>199.47989481222308</v>
      </c>
      <c r="AZ16" s="326">
        <f t="shared" si="15"/>
        <v>203.48779997109085</v>
      </c>
      <c r="BA16" s="326">
        <f t="shared" si="15"/>
        <v>198.33876977194888</v>
      </c>
      <c r="BB16" s="326">
        <f t="shared" si="15"/>
        <v>202.37346059817554</v>
      </c>
      <c r="BC16" s="326">
        <f t="shared" si="15"/>
        <v>197.18773405882226</v>
      </c>
      <c r="BD16" s="326">
        <f t="shared" si="15"/>
        <v>201.47623414064796</v>
      </c>
      <c r="BE16" s="326">
        <f t="shared" si="15"/>
        <v>195.55242963686575</v>
      </c>
      <c r="BF16" s="326">
        <f t="shared" si="15"/>
        <v>153.17867919736852</v>
      </c>
      <c r="BG16" s="326">
        <f t="shared" si="15"/>
        <v>148.59756267848533</v>
      </c>
      <c r="BH16" s="326">
        <f t="shared" si="15"/>
        <v>154.52365663332415</v>
      </c>
      <c r="BI16" s="326">
        <f t="shared" si="15"/>
        <v>147.89401230458103</v>
      </c>
      <c r="BJ16" s="326">
        <f t="shared" si="15"/>
        <v>153.85252290535828</v>
      </c>
      <c r="BK16" s="326">
        <f t="shared" si="15"/>
        <v>148.8552494026606</v>
      </c>
      <c r="BL16" s="326">
        <f t="shared" si="15"/>
        <v>154.47831029464913</v>
      </c>
      <c r="BM16" s="326">
        <f t="shared" si="15"/>
        <v>149.63709354636418</v>
      </c>
      <c r="BN16" s="326">
        <f t="shared" si="15"/>
        <v>155.27841311581031</v>
      </c>
      <c r="BO16" s="326">
        <f t="shared" si="15"/>
        <v>150.42033301513385</v>
      </c>
      <c r="BP16" s="326">
        <f t="shared" si="15"/>
        <v>156.35424182074988</v>
      </c>
      <c r="BQ16" s="326">
        <f t="shared" si="15"/>
        <v>150.66792860635101</v>
      </c>
      <c r="BR16" s="326">
        <f t="shared" si="15"/>
        <v>110.27864955271515</v>
      </c>
      <c r="BS16" s="326">
        <f t="shared" si="15"/>
        <v>105.82250324557796</v>
      </c>
      <c r="BT16" s="326">
        <f t="shared" si="15"/>
        <v>112.60793491202683</v>
      </c>
      <c r="BU16" s="326">
        <f t="shared" si="15"/>
        <v>105.77595453617285</v>
      </c>
      <c r="BV16" s="326">
        <f t="shared" si="15"/>
        <v>112.59287969185939</v>
      </c>
      <c r="BW16" s="326">
        <f t="shared" si="15"/>
        <v>107.0484432182724</v>
      </c>
      <c r="BX16" s="326">
        <f t="shared" si="15"/>
        <v>115.30680150101344</v>
      </c>
      <c r="BY16" s="326">
        <f t="shared" si="15"/>
        <v>109.92206141294814</v>
      </c>
      <c r="BZ16" s="326">
        <f t="shared" si="15"/>
        <v>116.36456465040467</v>
      </c>
      <c r="CA16" s="326">
        <f t="shared" si="15"/>
        <v>112.78152891490589</v>
      </c>
      <c r="CB16" s="326">
        <f t="shared" si="15"/>
        <v>119.6394334486635</v>
      </c>
      <c r="CC16" s="326">
        <f t="shared" si="15"/>
        <v>113.34572666236832</v>
      </c>
      <c r="CD16" s="326">
        <f t="shared" si="15"/>
        <v>76.853784371731251</v>
      </c>
      <c r="CE16" s="326">
        <f t="shared" si="15"/>
        <v>71.546963659894459</v>
      </c>
      <c r="CF16" s="326">
        <f t="shared" si="15"/>
        <v>78.955580514427069</v>
      </c>
      <c r="CG16" s="326">
        <f t="shared" si="15"/>
        <v>72.220471605360871</v>
      </c>
      <c r="CH16" s="326">
        <f t="shared" si="15"/>
        <v>79.659029072839473</v>
      </c>
      <c r="CI16" s="326">
        <f t="shared" si="15"/>
        <v>73.860383124328763</v>
      </c>
      <c r="CJ16" s="326">
        <f t="shared" si="15"/>
        <v>81.62158843855633</v>
      </c>
      <c r="CK16" s="326">
        <f t="shared" si="15"/>
        <v>76.003851136270754</v>
      </c>
      <c r="CL16" s="326">
        <f t="shared" si="15"/>
        <v>83.052608152138845</v>
      </c>
      <c r="CM16" s="326">
        <f t="shared" si="15"/>
        <v>75.960077329349019</v>
      </c>
      <c r="CN16" s="326">
        <f t="shared" si="15"/>
        <v>83.379595979368204</v>
      </c>
      <c r="CO16" s="326">
        <f t="shared" si="15"/>
        <v>76.977119281685987</v>
      </c>
      <c r="CP16" s="326">
        <f t="shared" si="15"/>
        <v>37.116121922408958</v>
      </c>
      <c r="CQ16" s="326">
        <f t="shared" si="15"/>
        <v>31.469123612221807</v>
      </c>
      <c r="CR16" s="326">
        <f t="shared" si="15"/>
        <v>39.471951386602903</v>
      </c>
      <c r="CS16" s="326">
        <f t="shared" si="15"/>
        <v>31.002944342727126</v>
      </c>
      <c r="CT16" s="326">
        <f t="shared" ref="CT16:DB16" si="16">SUM(CT4:CT15)</f>
        <v>39.050009745972801</v>
      </c>
      <c r="CU16" s="326">
        <f t="shared" si="16"/>
        <v>33.001241457075075</v>
      </c>
      <c r="CV16" s="326">
        <f t="shared" si="16"/>
        <v>24.555617626457611</v>
      </c>
      <c r="CW16" s="326">
        <f t="shared" si="16"/>
        <v>2.3079452670239231</v>
      </c>
      <c r="CX16" s="326">
        <f t="shared" si="16"/>
        <v>2.3079452670239231</v>
      </c>
      <c r="CY16" s="326">
        <f t="shared" si="16"/>
        <v>2.3079452670239231</v>
      </c>
      <c r="CZ16" s="326">
        <f t="shared" si="16"/>
        <v>2.3079452670239231</v>
      </c>
      <c r="DA16" s="326">
        <f t="shared" si="16"/>
        <v>2.3079452670239231</v>
      </c>
      <c r="DB16" s="326">
        <f t="shared" si="16"/>
        <v>2.3079452670239231</v>
      </c>
    </row>
    <row r="17" spans="1:106" ht="12.75" thickTop="1">
      <c r="H17" s="323"/>
      <c r="J17" s="323"/>
      <c r="N17" s="323"/>
      <c r="U17" s="323"/>
      <c r="AA17" s="323"/>
      <c r="AH17" s="323"/>
      <c r="AP17" s="319">
        <v>-1</v>
      </c>
    </row>
    <row r="18" spans="1:106">
      <c r="A18" s="321" t="s">
        <v>345</v>
      </c>
      <c r="B18" s="332">
        <v>44043</v>
      </c>
      <c r="C18" s="332">
        <f t="shared" ref="C18:BN18" si="17">C3</f>
        <v>44074</v>
      </c>
      <c r="D18" s="332">
        <f t="shared" si="17"/>
        <v>44104</v>
      </c>
      <c r="E18" s="332">
        <f t="shared" si="17"/>
        <v>44135</v>
      </c>
      <c r="F18" s="332">
        <f t="shared" si="17"/>
        <v>44165</v>
      </c>
      <c r="G18" s="332">
        <f t="shared" si="17"/>
        <v>44196</v>
      </c>
      <c r="H18" s="332">
        <f t="shared" si="17"/>
        <v>44227</v>
      </c>
      <c r="I18" s="332">
        <f t="shared" si="17"/>
        <v>44255</v>
      </c>
      <c r="J18" s="332">
        <f t="shared" si="17"/>
        <v>44286</v>
      </c>
      <c r="K18" s="332">
        <f t="shared" si="17"/>
        <v>44316</v>
      </c>
      <c r="L18" s="332">
        <f t="shared" si="17"/>
        <v>44347</v>
      </c>
      <c r="M18" s="332">
        <f t="shared" si="17"/>
        <v>44377</v>
      </c>
      <c r="N18" s="332">
        <f t="shared" si="17"/>
        <v>44408</v>
      </c>
      <c r="O18" s="332">
        <f t="shared" si="17"/>
        <v>44439</v>
      </c>
      <c r="P18" s="332">
        <f t="shared" si="17"/>
        <v>44469</v>
      </c>
      <c r="Q18" s="332">
        <f t="shared" si="17"/>
        <v>44500</v>
      </c>
      <c r="R18" s="332">
        <f t="shared" si="17"/>
        <v>44530</v>
      </c>
      <c r="S18" s="332">
        <f t="shared" si="17"/>
        <v>44561</v>
      </c>
      <c r="T18" s="332">
        <f t="shared" si="17"/>
        <v>44592</v>
      </c>
      <c r="U18" s="332">
        <f t="shared" si="17"/>
        <v>44620</v>
      </c>
      <c r="V18" s="332">
        <f t="shared" si="17"/>
        <v>44651</v>
      </c>
      <c r="W18" s="332">
        <f t="shared" si="17"/>
        <v>44681</v>
      </c>
      <c r="X18" s="332">
        <f t="shared" si="17"/>
        <v>44712</v>
      </c>
      <c r="Y18" s="332">
        <f t="shared" si="17"/>
        <v>44742</v>
      </c>
      <c r="Z18" s="332">
        <f t="shared" si="17"/>
        <v>44773</v>
      </c>
      <c r="AA18" s="332">
        <f t="shared" si="17"/>
        <v>44804</v>
      </c>
      <c r="AB18" s="332">
        <f t="shared" si="17"/>
        <v>44834</v>
      </c>
      <c r="AC18" s="332">
        <f t="shared" si="17"/>
        <v>44865</v>
      </c>
      <c r="AD18" s="332">
        <f t="shared" si="17"/>
        <v>44895</v>
      </c>
      <c r="AE18" s="332">
        <f t="shared" si="17"/>
        <v>44926</v>
      </c>
      <c r="AF18" s="332">
        <f t="shared" si="17"/>
        <v>44957</v>
      </c>
      <c r="AG18" s="332">
        <f t="shared" si="17"/>
        <v>44985</v>
      </c>
      <c r="AH18" s="332">
        <f t="shared" si="17"/>
        <v>45016</v>
      </c>
      <c r="AI18" s="332">
        <f t="shared" si="17"/>
        <v>45046</v>
      </c>
      <c r="AJ18" s="332">
        <f t="shared" si="17"/>
        <v>45077</v>
      </c>
      <c r="AK18" s="332">
        <f t="shared" si="17"/>
        <v>45107</v>
      </c>
      <c r="AL18" s="332">
        <f t="shared" si="17"/>
        <v>45138</v>
      </c>
      <c r="AM18" s="332">
        <f t="shared" si="17"/>
        <v>45169</v>
      </c>
      <c r="AN18" s="332">
        <f t="shared" si="17"/>
        <v>45199</v>
      </c>
      <c r="AO18" s="332">
        <f t="shared" si="17"/>
        <v>45230</v>
      </c>
      <c r="AP18" s="332">
        <f t="shared" si="17"/>
        <v>45260</v>
      </c>
      <c r="AQ18" s="332">
        <f t="shared" si="17"/>
        <v>45291</v>
      </c>
      <c r="AR18" s="332">
        <f t="shared" si="17"/>
        <v>45322</v>
      </c>
      <c r="AS18" s="332">
        <f t="shared" si="17"/>
        <v>45351</v>
      </c>
      <c r="AT18" s="332">
        <f t="shared" si="17"/>
        <v>45382</v>
      </c>
      <c r="AU18" s="332">
        <f t="shared" si="17"/>
        <v>45412</v>
      </c>
      <c r="AV18" s="332">
        <f t="shared" si="17"/>
        <v>45443</v>
      </c>
      <c r="AW18" s="332">
        <f t="shared" si="17"/>
        <v>45473</v>
      </c>
      <c r="AX18" s="332">
        <f t="shared" si="17"/>
        <v>45504</v>
      </c>
      <c r="AY18" s="332">
        <f t="shared" si="17"/>
        <v>45535</v>
      </c>
      <c r="AZ18" s="332">
        <f t="shared" si="17"/>
        <v>45565</v>
      </c>
      <c r="BA18" s="332">
        <f t="shared" si="17"/>
        <v>45596</v>
      </c>
      <c r="BB18" s="332">
        <f t="shared" si="17"/>
        <v>45626</v>
      </c>
      <c r="BC18" s="332">
        <f t="shared" si="17"/>
        <v>45657</v>
      </c>
      <c r="BD18" s="332">
        <f t="shared" si="17"/>
        <v>45688</v>
      </c>
      <c r="BE18" s="332">
        <f t="shared" si="17"/>
        <v>45716</v>
      </c>
      <c r="BF18" s="332">
        <f t="shared" si="17"/>
        <v>45747</v>
      </c>
      <c r="BG18" s="332">
        <f t="shared" si="17"/>
        <v>45777</v>
      </c>
      <c r="BH18" s="332">
        <f t="shared" si="17"/>
        <v>45808</v>
      </c>
      <c r="BI18" s="332">
        <f t="shared" si="17"/>
        <v>45838</v>
      </c>
      <c r="BJ18" s="332">
        <f t="shared" si="17"/>
        <v>45869</v>
      </c>
      <c r="BK18" s="332">
        <f t="shared" si="17"/>
        <v>45900</v>
      </c>
      <c r="BL18" s="332">
        <f t="shared" si="17"/>
        <v>45930</v>
      </c>
      <c r="BM18" s="332">
        <f t="shared" si="17"/>
        <v>45961</v>
      </c>
      <c r="BN18" s="332">
        <f t="shared" si="17"/>
        <v>45991</v>
      </c>
      <c r="BO18" s="332">
        <f t="shared" ref="BO18:DB18" si="18">BO3</f>
        <v>46022</v>
      </c>
      <c r="BP18" s="332">
        <f t="shared" si="18"/>
        <v>46053</v>
      </c>
      <c r="BQ18" s="332">
        <f t="shared" si="18"/>
        <v>46081</v>
      </c>
      <c r="BR18" s="332">
        <f t="shared" si="18"/>
        <v>46112</v>
      </c>
      <c r="BS18" s="332">
        <f t="shared" si="18"/>
        <v>46142</v>
      </c>
      <c r="BT18" s="332">
        <f t="shared" si="18"/>
        <v>46173</v>
      </c>
      <c r="BU18" s="332">
        <f t="shared" si="18"/>
        <v>46203</v>
      </c>
      <c r="BV18" s="332">
        <f t="shared" si="18"/>
        <v>46234</v>
      </c>
      <c r="BW18" s="332">
        <f t="shared" si="18"/>
        <v>46265</v>
      </c>
      <c r="BX18" s="332">
        <f t="shared" si="18"/>
        <v>46295</v>
      </c>
      <c r="BY18" s="332">
        <f t="shared" si="18"/>
        <v>46326</v>
      </c>
      <c r="BZ18" s="332">
        <f t="shared" si="18"/>
        <v>46356</v>
      </c>
      <c r="CA18" s="332">
        <f t="shared" si="18"/>
        <v>46387</v>
      </c>
      <c r="CB18" s="332">
        <f t="shared" si="18"/>
        <v>46418</v>
      </c>
      <c r="CC18" s="332">
        <f t="shared" si="18"/>
        <v>46446</v>
      </c>
      <c r="CD18" s="332">
        <f t="shared" si="18"/>
        <v>46477</v>
      </c>
      <c r="CE18" s="332">
        <f t="shared" si="18"/>
        <v>46507</v>
      </c>
      <c r="CF18" s="332">
        <f t="shared" si="18"/>
        <v>46538</v>
      </c>
      <c r="CG18" s="332">
        <f t="shared" si="18"/>
        <v>46568</v>
      </c>
      <c r="CH18" s="332">
        <f t="shared" si="18"/>
        <v>46599</v>
      </c>
      <c r="CI18" s="332">
        <f t="shared" si="18"/>
        <v>46630</v>
      </c>
      <c r="CJ18" s="332">
        <f t="shared" si="18"/>
        <v>46660</v>
      </c>
      <c r="CK18" s="332">
        <f t="shared" si="18"/>
        <v>46691</v>
      </c>
      <c r="CL18" s="332">
        <f t="shared" si="18"/>
        <v>46721</v>
      </c>
      <c r="CM18" s="332">
        <f t="shared" si="18"/>
        <v>46752</v>
      </c>
      <c r="CN18" s="332">
        <f t="shared" si="18"/>
        <v>46783</v>
      </c>
      <c r="CO18" s="332">
        <f t="shared" si="18"/>
        <v>46812</v>
      </c>
      <c r="CP18" s="332">
        <f t="shared" si="18"/>
        <v>46843</v>
      </c>
      <c r="CQ18" s="332">
        <f t="shared" si="18"/>
        <v>46873</v>
      </c>
      <c r="CR18" s="332">
        <f t="shared" si="18"/>
        <v>46904</v>
      </c>
      <c r="CS18" s="332">
        <f t="shared" si="18"/>
        <v>46934</v>
      </c>
      <c r="CT18" s="332">
        <f t="shared" si="18"/>
        <v>46965</v>
      </c>
      <c r="CU18" s="332">
        <f t="shared" si="18"/>
        <v>46996</v>
      </c>
      <c r="CV18" s="332">
        <f t="shared" si="18"/>
        <v>47026</v>
      </c>
      <c r="CW18" s="332">
        <f t="shared" si="18"/>
        <v>47056</v>
      </c>
      <c r="CX18" s="332">
        <f t="shared" si="18"/>
        <v>47087</v>
      </c>
      <c r="CY18" s="332">
        <f t="shared" si="18"/>
        <v>47117</v>
      </c>
      <c r="CZ18" s="332">
        <f t="shared" si="18"/>
        <v>47148</v>
      </c>
      <c r="DA18" s="332">
        <f t="shared" si="18"/>
        <v>47177</v>
      </c>
      <c r="DB18" s="332">
        <f t="shared" si="18"/>
        <v>47208</v>
      </c>
    </row>
    <row r="19" spans="1:106" ht="15">
      <c r="A19" s="319" t="s">
        <v>360</v>
      </c>
      <c r="B19" s="324">
        <f>'CF Capex'!B28</f>
        <v>338.55986376900012</v>
      </c>
      <c r="C19" s="324">
        <f>B19+'CF Capex'!C28+'Monthly CF'!B34</f>
        <v>338.55986376900012</v>
      </c>
      <c r="D19" s="324">
        <f>C19+'CF Capex'!D28+'Monthly CF'!C34</f>
        <v>338.55986376900012</v>
      </c>
      <c r="E19" s="324">
        <f>D19+'CF Capex'!E28+'Monthly CF'!D34</f>
        <v>338.55986376900012</v>
      </c>
      <c r="F19" s="324">
        <f>E19+'CF Capex'!F28+'Monthly CF'!E34</f>
        <v>338.55986376900012</v>
      </c>
      <c r="G19" s="324">
        <f>F19+'CF Capex'!G28+'Monthly CF'!F34</f>
        <v>338.55986376900012</v>
      </c>
      <c r="H19" s="324">
        <f>G19+'CF Capex'!H28+'Monthly CF'!G34</f>
        <v>338.55986376900012</v>
      </c>
      <c r="I19" s="324">
        <f>H19+'CF Capex'!I28+'Monthly CF'!H34</f>
        <v>338.55986376900012</v>
      </c>
      <c r="J19" s="324">
        <f>296.888004576863+2.8+2+14.16-47.44</f>
        <v>268.40800457686305</v>
      </c>
      <c r="K19" s="324">
        <f>J19+'CF Capex'!K28+'Monthly CF'!J34+1</f>
        <v>269.40800457686305</v>
      </c>
      <c r="L19" s="324">
        <f>K19+'CF Capex'!L28+'Monthly CF'!K34-0.48</f>
        <v>268.92800457686303</v>
      </c>
      <c r="M19" s="324">
        <f>L19+'CF Capex'!M28+'Monthly CF'!L34-2.71</f>
        <v>266.21800457686305</v>
      </c>
      <c r="N19" s="324">
        <f>M19+'CF Capex'!N28+'Monthly CF'!M34+0.03</f>
        <v>266.24800457686302</v>
      </c>
      <c r="O19" s="324">
        <f>N19+'CF Capex'!O28+'Monthly CF'!N34-1.55+0.02</f>
        <v>264.718004576863</v>
      </c>
      <c r="P19" s="324">
        <f>O19+'CF Capex'!P28+'Monthly CF'!O34-2.88-1.34+0.03</f>
        <v>262.85136369168441</v>
      </c>
      <c r="Q19" s="324">
        <v>314</v>
      </c>
      <c r="R19" s="324">
        <f>Q19+'CF Capex'!R28+'Monthly CF'!Q34</f>
        <v>322.41242012072968</v>
      </c>
      <c r="S19" s="324">
        <f>R19+'CF Capex'!S28+'Monthly CF'!R34-41.14</f>
        <v>293.73116629915779</v>
      </c>
      <c r="T19" s="324">
        <f>S19+'CF Capex'!T28+'Monthly CF'!S34+6.75-22.75+0.68</f>
        <v>277.89385903889354</v>
      </c>
      <c r="U19" s="324">
        <f>T19+'CF Capex'!U28+'Monthly CF'!T34</f>
        <v>293.68219215662731</v>
      </c>
      <c r="V19" s="324">
        <v>301.79370236311502</v>
      </c>
      <c r="W19" s="324">
        <f>V19-'CF Capex'!M26+V24-W24+'Monthly CF'!V34</f>
        <v>301.83370236311504</v>
      </c>
      <c r="X19" s="324">
        <f>W19-'CF Capex'!N26+W24-X24+'Monthly CF'!W34</f>
        <v>301.87370236311506</v>
      </c>
      <c r="Y19" s="324">
        <f>X19-'CF Capex'!O26+X24-Y24+'Monthly CF'!X34</f>
        <v>301.91370236311508</v>
      </c>
      <c r="Z19" s="324">
        <f>Y19-'CF Capex'!P26+Y24-Z24+'Monthly CF'!Y34-'CF Capex'!P23</f>
        <v>302.27706147793651</v>
      </c>
      <c r="AA19" s="324">
        <f>Z19-'CF Capex'!Q26+Z24-AA24+'Monthly CF'!Z34-'CF Capex'!Q23+'CF Capex'!Q11</f>
        <v>305.88797970875794</v>
      </c>
      <c r="AB19" s="324">
        <f>AA19-'CF Capex'!R26+AA24-AB24+'Monthly CF'!AA34-'CF Capex'!R23</f>
        <v>313.31823982948765</v>
      </c>
      <c r="AC19" s="324">
        <f>AB19-'CF Capex'!S26+AB24-AC24+'Monthly CF'!AB34-'CF Capex'!S23</f>
        <v>319.43153237426191</v>
      </c>
      <c r="AD19" s="324">
        <f>AC19-'CF Capex'!T26+AC24-AD24+'Monthly CF'!AC34-'CF Capex'!T23</f>
        <v>328.40454193564756</v>
      </c>
      <c r="AE19" s="324">
        <f>AD19-'CF Capex'!U26+AD24-AE24+'Monthly CF'!AD34-'CF Capex'!U23-0.32</f>
        <v>330.99000976448536</v>
      </c>
      <c r="AF19" s="324">
        <f>AE19-'CF Capex'!V26+AE24-AF24+'Monthly CF'!AE34-'CF Capex'!V23</f>
        <v>341.37278815754723</v>
      </c>
      <c r="AG19" s="324">
        <f>AF19-'CF Capex'!W26+AF24-AG24+'Monthly CF'!AF34-'CF Capex'!W23</f>
        <v>348.96035613611701</v>
      </c>
      <c r="AH19" s="324">
        <f>AG19-'CF Capex'!X26+AG24-AH24+'Monthly CF'!AG34-'CF Capex'!X23</f>
        <v>344.4076644232187</v>
      </c>
      <c r="AI19" s="324">
        <f>AH19-'CF Capex'!Y26+AH24-AI24+'Monthly CF'!AH34-'CF Capex'!Y23</f>
        <v>346.80860383823733</v>
      </c>
      <c r="AJ19" s="324">
        <f>AI19-'CF Capex'!Z26+AI24-AJ24+'Monthly CF'!AI34-'CF Capex'!Z23</f>
        <v>345.07156455303988</v>
      </c>
      <c r="AK19" s="324">
        <f>AJ19-'CF Capex'!AA26+AJ24-AK24+'Monthly CF'!AJ34-'CF Capex'!AA23</f>
        <v>347.15886367195628</v>
      </c>
      <c r="AL19" s="324">
        <f>AK19-'CF Capex'!AB26+AK24-AL24+'Monthly CF'!AK34-'CF Capex'!AB23</f>
        <v>347.18293123591741</v>
      </c>
      <c r="AM19" s="324">
        <f>AL19-'CF Capex'!AC26+AL24-AM24+'Monthly CF'!AL34-'CF Capex'!AC23</f>
        <v>348.29837116710837</v>
      </c>
      <c r="AN19" s="324">
        <f>AM19-'CF Capex'!AD26+AM24-AN24+'Monthly CF'!AM34-'CF Capex'!AD23+15</f>
        <v>346.39335531710839</v>
      </c>
      <c r="AO19" s="324">
        <f>AN19-'CF Capex'!AE26+AN24-AO24+'Monthly CF'!AN34-'CF Capex'!AE23</f>
        <v>345.73809441710841</v>
      </c>
      <c r="AP19" s="324">
        <f>AO19-'CF Capex'!AF26+AO24-AP24+'Monthly CF'!AO34-'CF Capex'!AF23</f>
        <v>345.0316285441084</v>
      </c>
      <c r="AQ19" s="324">
        <f>AP19-'CF Capex'!AG26+AP24-AQ24+'Monthly CF'!AP34-'CF Capex'!AG23</f>
        <v>343.07469027110841</v>
      </c>
      <c r="AR19" s="324">
        <f>AQ19-'CF Capex'!AH26+AQ24-AR24+'Monthly CF'!AQ34-'CF Capex'!AH23</f>
        <v>343.79128654410846</v>
      </c>
      <c r="AS19" s="324">
        <f>AR19-'CF Capex'!AI26+AR24-AS24+'Monthly CF'!AR34-'CF Capex'!AI23</f>
        <v>343.83052048549303</v>
      </c>
      <c r="AT19" s="324">
        <f>AS19-'CF Capex'!AJ26+AS24-AT24+'Monthly CF'!AS34-'CF Capex'!AJ23</f>
        <v>343.87052048549305</v>
      </c>
      <c r="AU19" s="324">
        <f>AT19-'CF Capex'!AK26+AT24-AU24+'Monthly CF'!AT34-'CF Capex'!AK23</f>
        <v>343.91052048549307</v>
      </c>
      <c r="AV19" s="324">
        <f>AU19-'CF Capex'!AL26+AU24-AV24+'Monthly CF'!AU34-'CF Capex'!AL23</f>
        <v>343.95052048549309</v>
      </c>
      <c r="AW19" s="324">
        <f>AV19-'CF Capex'!AM26+AV24-AW24+'Monthly CF'!AV34-'CF Capex'!AM23</f>
        <v>343.99052048549311</v>
      </c>
      <c r="AX19" s="324">
        <f>AW19-'CF Capex'!AN26+AW24-AX24+'Monthly CF'!AW34-'CF Capex'!AN23</f>
        <v>344.03052048549313</v>
      </c>
      <c r="AY19" s="324">
        <f>AX19-'CF Capex'!AO26+AX24-AY24+'Monthly CF'!AX34-'CF Capex'!AO23</f>
        <v>344.07052048549315</v>
      </c>
      <c r="AZ19" s="324">
        <f>AY19-'CF Capex'!AP26+AY24-AZ24+'Monthly CF'!AY34-'CF Capex'!AP23</f>
        <v>344.11052048549317</v>
      </c>
      <c r="BA19" s="324">
        <f>AZ19-'CF Capex'!AQ26+AZ24-BA24+'Monthly CF'!AZ34-'CF Capex'!AQ23</f>
        <v>344.15052048549319</v>
      </c>
      <c r="BB19" s="324">
        <f>BA19-'CF Capex'!AR26+BA24-BB24+'Monthly CF'!BA34-'CF Capex'!AR23</f>
        <v>344.19052048549321</v>
      </c>
      <c r="BC19" s="324">
        <f>BB19-'CF Capex'!AS26+BB24-BC24+'Monthly CF'!BB34-'CF Capex'!AS23</f>
        <v>344.23052048549323</v>
      </c>
      <c r="BD19" s="324">
        <f>BC19-'CF Capex'!AT26+BC24-BD24+'Monthly CF'!BC34-'CF Capex'!AT23</f>
        <v>344.27052048549325</v>
      </c>
      <c r="BE19" s="324">
        <f>BD19-'CF Capex'!AU26+BD24-BE24+'Monthly CF'!BD34-'CF Capex'!AU23</f>
        <v>344.31052048549327</v>
      </c>
      <c r="BF19" s="324">
        <f>BE19-'CF Capex'!AV26+BE24-BF24+'Monthly CF'!BE34-'CF Capex'!AV23</f>
        <v>344.35052048549329</v>
      </c>
      <c r="BG19" s="324">
        <f>BF19-'CF Capex'!AW26+BF24-BG24+'Monthly CF'!BF34-'CF Capex'!AW23</f>
        <v>344.39052048549331</v>
      </c>
      <c r="BH19" s="324">
        <f>BG19-'CF Capex'!AX26+BG24-BH24+'Monthly CF'!BG34-'CF Capex'!AX23</f>
        <v>344.43052048549333</v>
      </c>
      <c r="BI19" s="324">
        <f>BH19-'CF Capex'!AY26+BH24-BI24+'Monthly CF'!BH34-'CF Capex'!AY23</f>
        <v>344.47052048549335</v>
      </c>
      <c r="BJ19" s="324">
        <f>BI19-'CF Capex'!AZ26+BI24-BJ24+'Monthly CF'!BI34-'CF Capex'!AZ23</f>
        <v>344.51052048549337</v>
      </c>
      <c r="BK19" s="324">
        <f>BJ19-'CF Capex'!BA26+BJ24-BK24+'Monthly CF'!BJ34-'CF Capex'!BA23</f>
        <v>344.55052048549339</v>
      </c>
      <c r="BL19" s="324">
        <f>BK19-'CF Capex'!BB26+BK24-BL24+'Monthly CF'!BK34-'CF Capex'!BB23</f>
        <v>344.59052048549341</v>
      </c>
      <c r="BM19" s="324">
        <f>BL19-'CF Capex'!BC26+BL24-BM24+'Monthly CF'!BL34-'CF Capex'!BC23</f>
        <v>344.63052048549343</v>
      </c>
      <c r="BN19" s="324">
        <f>BM19-'CF Capex'!BD26+BM24-BN24+'Monthly CF'!BM34-'CF Capex'!BD23</f>
        <v>344.67052048549345</v>
      </c>
      <c r="BO19" s="324">
        <f>BN19-'CF Capex'!BE26+BN24-BO24+'Monthly CF'!BN34-'CF Capex'!BE23</f>
        <v>344.71052048549348</v>
      </c>
      <c r="BP19" s="324">
        <f>BO19-'CF Capex'!BF26+BO24-BP24+'Monthly CF'!BO34-'CF Capex'!BF23</f>
        <v>344.7505204854935</v>
      </c>
      <c r="BQ19" s="324">
        <f>BP19-'CF Capex'!BG26+BP24-BQ24+'Monthly CF'!BP34-'CF Capex'!BG23</f>
        <v>344.79052048549352</v>
      </c>
      <c r="BR19" s="324">
        <f>BQ19-'CF Capex'!BH26+BQ24-BR24+'Monthly CF'!BQ34-'CF Capex'!BH23</f>
        <v>344.83052048549354</v>
      </c>
      <c r="BS19" s="324">
        <f>BR19-'CF Capex'!BI26+BR24-BS24+'Monthly CF'!BR34-'CF Capex'!BI23</f>
        <v>344.87052048549356</v>
      </c>
      <c r="BT19" s="324">
        <f>BS19-'CF Capex'!BJ26+BS24-BT24+'Monthly CF'!BS34-'CF Capex'!BJ23</f>
        <v>344.91052048549358</v>
      </c>
      <c r="BU19" s="324">
        <f>BT19-'CF Capex'!BK26+BT24-BU24+'Monthly CF'!BT34-'CF Capex'!BK23</f>
        <v>344.9505204854936</v>
      </c>
      <c r="BV19" s="324">
        <f>BU19-'CF Capex'!BL26+BU24-BV24+'Monthly CF'!BU34-'CF Capex'!BL23</f>
        <v>344.99052048549362</v>
      </c>
      <c r="BW19" s="324">
        <f>BV19-'CF Capex'!BM26+BV24-BW24+'Monthly CF'!BV34-'CF Capex'!BM23</f>
        <v>345.03052048549364</v>
      </c>
      <c r="BX19" s="324">
        <f>BW19-'CF Capex'!BN26+BW24-BX24+'Monthly CF'!BW34-'CF Capex'!BN23</f>
        <v>345.07052048549366</v>
      </c>
      <c r="BY19" s="324">
        <f>BX19-'CF Capex'!BO26+BX24-BY24+'Monthly CF'!BX34-'CF Capex'!BO23</f>
        <v>345.11052048549368</v>
      </c>
      <c r="BZ19" s="324">
        <f>BY19-'CF Capex'!BP26+BY24-BZ24+'Monthly CF'!BY34-'CF Capex'!BP23</f>
        <v>345.1505204854937</v>
      </c>
      <c r="CA19" s="324">
        <f>BZ19-'CF Capex'!BQ26+BZ24-CA24+'Monthly CF'!BZ34-'CF Capex'!BQ23</f>
        <v>345.19052048549372</v>
      </c>
      <c r="CB19" s="324">
        <f>CA19-'CF Capex'!BR26+CA24-CB24+'Monthly CF'!CA34-'CF Capex'!BR23</f>
        <v>345.23052048549374</v>
      </c>
      <c r="CC19" s="324">
        <f>CB19-'CF Capex'!BS26+CB24-CC24+'Monthly CF'!CB34-'CF Capex'!BS23</f>
        <v>345.27052048549376</v>
      </c>
      <c r="CD19" s="324">
        <f>CC19-'CF Capex'!BT26+CC24-CD24+'Monthly CF'!CC34-'CF Capex'!BT23</f>
        <v>345.31052048549378</v>
      </c>
      <c r="CE19" s="324">
        <f>CD19-'CF Capex'!BU26+CD24-CE24+'Monthly CF'!CD34-'CF Capex'!BU23</f>
        <v>345.3505204854938</v>
      </c>
      <c r="CF19" s="324">
        <f>CE19-'CF Capex'!BV26+CE24-CF24+'Monthly CF'!CE34-'CF Capex'!BV23</f>
        <v>345.39052048549382</v>
      </c>
      <c r="CG19" s="324">
        <f>CF19-'CF Capex'!BW26+CF24-CG24+'Monthly CF'!CF34-'CF Capex'!BW23</f>
        <v>345.43052048549384</v>
      </c>
      <c r="CH19" s="324">
        <f>CG19-'CF Capex'!BX26+CG24-CH24+'Monthly CF'!CG34-'CF Capex'!BX23</f>
        <v>345.47052048549386</v>
      </c>
      <c r="CI19" s="324">
        <f>CH19-'CF Capex'!BY26+CH24-CI24+'Monthly CF'!CH34-'CF Capex'!BY23</f>
        <v>345.51052048549388</v>
      </c>
      <c r="CJ19" s="324">
        <f>CI19-'CF Capex'!BZ26+CI24-CJ24+'Monthly CF'!CI34-'CF Capex'!BZ23</f>
        <v>345.55052048549391</v>
      </c>
      <c r="CK19" s="324">
        <f>CJ19-'CF Capex'!CA26+CJ24-CK24+'Monthly CF'!CJ34-'CF Capex'!CA23</f>
        <v>345.59052048549393</v>
      </c>
      <c r="CL19" s="324">
        <f>CK19-'CF Capex'!CB26+CK24-CL24+'Monthly CF'!CK34-'CF Capex'!CB23</f>
        <v>345.63052048549395</v>
      </c>
      <c r="CM19" s="324">
        <f>CL19-'CF Capex'!CC26+CL24-CM24+'Monthly CF'!CL34-'CF Capex'!CC23</f>
        <v>345.67052048549397</v>
      </c>
      <c r="CN19" s="324">
        <f>CM19-'CF Capex'!CD26+CM24-CN24+'Monthly CF'!CM34-'CF Capex'!CD23</f>
        <v>345.71052048549399</v>
      </c>
      <c r="CO19" s="324">
        <f>CN19-'CF Capex'!CE26+CN24-CO24+'Monthly CF'!CN34-'CF Capex'!CE23</f>
        <v>345.75052048549401</v>
      </c>
      <c r="CP19" s="324">
        <f>CO19-'CF Capex'!CF26+CO24-CP24+'Monthly CF'!CO34-'CF Capex'!CF23</f>
        <v>345.79052048549403</v>
      </c>
      <c r="CQ19" s="324">
        <f>CP19-'CF Capex'!CG26+CP24-CQ24+'Monthly CF'!CP34-'CF Capex'!CG23</f>
        <v>345.83052048549405</v>
      </c>
      <c r="CR19" s="324">
        <f>CQ19-'CF Capex'!CH26+CQ24-CR24+'Monthly CF'!CQ34-'CF Capex'!CH23</f>
        <v>345.87052048549407</v>
      </c>
      <c r="CS19" s="324">
        <f>CR19-'CF Capex'!CI26+CR24-CS24+'Monthly CF'!CR34-'CF Capex'!CI23</f>
        <v>345.91052048549409</v>
      </c>
      <c r="CT19" s="324">
        <f>CS19-'CF Capex'!CJ26+CS24-CT24+'Monthly CF'!CS34-'CF Capex'!CJ23</f>
        <v>345.95052048549411</v>
      </c>
      <c r="CU19" s="324">
        <f>CT19-'CF Capex'!CK26+CT24-CU24+'Monthly CF'!CT34-'CF Capex'!CK23</f>
        <v>345.99052048549413</v>
      </c>
      <c r="CV19" s="324">
        <f>CU19-'CF Capex'!CL26+CU24-CV24+'Monthly CF'!CU34-'CF Capex'!CL23</f>
        <v>346.03052048549415</v>
      </c>
      <c r="CW19" s="324">
        <f>CV19-'CF Capex'!CM26+CV24-CW24+'Monthly CF'!CV34-'CF Capex'!CM23</f>
        <v>346.03052048549415</v>
      </c>
      <c r="CX19" s="324">
        <f>CW19-'CF Capex'!CN26+CW24-CX24+'Monthly CF'!CW34-'CF Capex'!CN23</f>
        <v>346.03052048549415</v>
      </c>
      <c r="CY19" s="324">
        <f>CX19-'CF Capex'!CO26+CX24-CY24+'Monthly CF'!CX34-'CF Capex'!CO23</f>
        <v>346.03052048549415</v>
      </c>
      <c r="CZ19" s="324">
        <f>CY19-'CF Capex'!CP26+CY24-CZ24+'Monthly CF'!CY34-'CF Capex'!CP23</f>
        <v>346.03052048549415</v>
      </c>
      <c r="DA19" s="324">
        <f>CZ19-'CF Capex'!CQ26+CZ24-DA24+'Monthly CF'!CZ34-'CF Capex'!CQ23</f>
        <v>346.03052048549415</v>
      </c>
      <c r="DB19" s="324">
        <f>DA19-'CF Capex'!CR26+DA24-DB24+'Monthly CF'!DA34-'CF Capex'!CR23</f>
        <v>346.03052048549415</v>
      </c>
    </row>
    <row r="20" spans="1:106" ht="15">
      <c r="A20" s="319" t="s">
        <v>361</v>
      </c>
      <c r="B20" s="324">
        <f>SUM(PL!B21:H21)+SUM('Monthly PL'!B23:C23)</f>
        <v>6.8208269652606086</v>
      </c>
      <c r="C20" s="324">
        <f>'Monthly PL'!D23+B20</f>
        <v>6.8608269652606086</v>
      </c>
      <c r="D20" s="324">
        <f>'Monthly PL'!E23+C20</f>
        <v>6.9008269652606087</v>
      </c>
      <c r="E20" s="324">
        <f>'Monthly PL'!F23+D20</f>
        <v>6.9408269652606087</v>
      </c>
      <c r="F20" s="324">
        <f>'Monthly PL'!G23+E20</f>
        <v>6.9808269652606088</v>
      </c>
      <c r="G20" s="324">
        <f>'Monthly PL'!H23+F20</f>
        <v>7.0208269652606088</v>
      </c>
      <c r="H20" s="324">
        <f>'Monthly PL'!I23+G20</f>
        <v>7.0608269652606088</v>
      </c>
      <c r="I20" s="324">
        <f>'Monthly PL'!J23+H20</f>
        <v>7.1008269652606089</v>
      </c>
      <c r="J20" s="324">
        <v>41.740826965260602</v>
      </c>
      <c r="K20" s="324">
        <f>'Monthly PL'!L23+J20</f>
        <v>41.740826965260602</v>
      </c>
      <c r="L20" s="324">
        <f>'Monthly PL'!M23+K20</f>
        <v>41.740826965260602</v>
      </c>
      <c r="M20" s="324">
        <f>'Monthly PL'!N23+L20</f>
        <v>41.740826965260602</v>
      </c>
      <c r="N20" s="324">
        <f>'Monthly PL'!O23+M20</f>
        <v>41.740826965260602</v>
      </c>
      <c r="O20" s="324">
        <f>'Monthly PL'!P23+N20</f>
        <v>41.740826965260602</v>
      </c>
      <c r="P20" s="324">
        <f>'Monthly PL'!Q23+O20</f>
        <v>41.740826965260602</v>
      </c>
      <c r="Q20" s="324">
        <f>'Monthly PL'!R23+P20</f>
        <v>41.740826965260602</v>
      </c>
      <c r="R20" s="324">
        <f>'Monthly PL'!S23+Q20</f>
        <v>41.740826965260602</v>
      </c>
      <c r="S20" s="324">
        <f>'Monthly PL'!T23+R20</f>
        <v>41.740826965260602</v>
      </c>
      <c r="T20" s="324">
        <f>'Monthly PL'!U23+S20</f>
        <v>41.740826965260602</v>
      </c>
      <c r="U20" s="324">
        <f>'Monthly PL'!V23+T20</f>
        <v>41.740826965260602</v>
      </c>
      <c r="V20" s="324">
        <f>'Monthly PL'!W23+U20</f>
        <v>72.490826965260595</v>
      </c>
      <c r="W20" s="324">
        <f>'Monthly PL'!X23+V20</f>
        <v>72.490826965260595</v>
      </c>
      <c r="X20" s="324">
        <f>'Monthly PL'!Y23+W20</f>
        <v>72.490826965260595</v>
      </c>
      <c r="Y20" s="324">
        <f>'Monthly PL'!Z23+X20</f>
        <v>72.490826965260595</v>
      </c>
      <c r="Z20" s="324">
        <f>'Monthly PL'!AA23+Y20</f>
        <v>72.490826965260595</v>
      </c>
      <c r="AA20" s="324">
        <f>'Monthly PL'!AB23+Z20</f>
        <v>72.490826965260595</v>
      </c>
      <c r="AB20" s="324">
        <f>'Monthly PL'!AC23+AA20</f>
        <v>72.490826965260595</v>
      </c>
      <c r="AC20" s="324">
        <f>'Monthly PL'!AD23+AB20</f>
        <v>72.490826965260595</v>
      </c>
      <c r="AD20" s="324">
        <f>'Monthly PL'!AE23+AC20</f>
        <v>72.490826965260595</v>
      </c>
      <c r="AE20" s="324">
        <f>'Monthly PL'!AF23+AD20</f>
        <v>72.490826965260595</v>
      </c>
      <c r="AF20" s="324">
        <f>'Monthly PL'!AG23+AE20</f>
        <v>72.490826965260595</v>
      </c>
      <c r="AG20" s="324">
        <f>'Monthly PL'!AH23+AF20</f>
        <v>72.490826965260595</v>
      </c>
      <c r="AH20" s="324">
        <f>'Monthly PL'!AI23+AG20</f>
        <v>117.9908269652606</v>
      </c>
      <c r="AI20" s="324">
        <f>'Monthly PL'!AJ23+AH20</f>
        <v>117.9908269652606</v>
      </c>
      <c r="AJ20" s="324">
        <f>'Monthly PL'!AK23+AI20</f>
        <v>117.9908269652606</v>
      </c>
      <c r="AK20" s="324">
        <f>'Monthly PL'!AL23+AJ20</f>
        <v>117.9908269652606</v>
      </c>
      <c r="AL20" s="324">
        <f>'Monthly PL'!AM23+AK20</f>
        <v>117.9908269652606</v>
      </c>
      <c r="AM20" s="324">
        <f>'Monthly PL'!AN23+AL20</f>
        <v>117.9908269652606</v>
      </c>
      <c r="AN20" s="324">
        <f>'Monthly PL'!AO23+AM20</f>
        <v>117.9908269652606</v>
      </c>
      <c r="AO20" s="324">
        <f>'Monthly PL'!AP23+AN20</f>
        <v>117.9908269652606</v>
      </c>
      <c r="AP20" s="324">
        <f>'Monthly PL'!AQ23+AO20</f>
        <v>117.9908269652606</v>
      </c>
      <c r="AQ20" s="324">
        <f>'Monthly PL'!AR23+AP20</f>
        <v>117.9908269652606</v>
      </c>
      <c r="AR20" s="324">
        <f>'Monthly PL'!AS23+AQ20</f>
        <v>117.9908269652606</v>
      </c>
      <c r="AS20" s="324">
        <f>'Monthly PL'!AT23+AR20</f>
        <v>117.9908269652606</v>
      </c>
      <c r="AT20" s="324">
        <f>'Monthly PL'!AU23+AS20</f>
        <v>163.4908269652606</v>
      </c>
      <c r="AU20" s="324">
        <f>'Monthly PL'!AV23+AT20</f>
        <v>163.4908269652606</v>
      </c>
      <c r="AV20" s="324">
        <f>'Monthly PL'!AW23+AU20</f>
        <v>163.4908269652606</v>
      </c>
      <c r="AW20" s="324">
        <f>'Monthly PL'!AX23+AV20</f>
        <v>163.4908269652606</v>
      </c>
      <c r="AX20" s="324">
        <f>'Monthly PL'!AY23+AW20</f>
        <v>163.4908269652606</v>
      </c>
      <c r="AY20" s="324">
        <f>'Monthly PL'!AZ23+AX20</f>
        <v>163.4908269652606</v>
      </c>
      <c r="AZ20" s="324">
        <f>'Monthly PL'!BA23+AY20</f>
        <v>163.4908269652606</v>
      </c>
      <c r="BA20" s="324">
        <f>'Monthly PL'!BB23+AZ20</f>
        <v>163.4908269652606</v>
      </c>
      <c r="BB20" s="324">
        <f>'Monthly PL'!BC23+BA20</f>
        <v>163.4908269652606</v>
      </c>
      <c r="BC20" s="324">
        <f>'Monthly PL'!BD23+BB20</f>
        <v>163.4908269652606</v>
      </c>
      <c r="BD20" s="324">
        <f>'Monthly PL'!BE23+BC20</f>
        <v>163.4908269652606</v>
      </c>
      <c r="BE20" s="324">
        <f>'Monthly PL'!BF23+BD20</f>
        <v>163.4908269652606</v>
      </c>
      <c r="BF20" s="324">
        <f>'Monthly PL'!BG23+BE20</f>
        <v>208.9908269652606</v>
      </c>
      <c r="BG20" s="324">
        <f>'Monthly PL'!BH23+BF20</f>
        <v>208.9908269652606</v>
      </c>
      <c r="BH20" s="324">
        <f>'Monthly PL'!BI23+BG20</f>
        <v>208.9908269652606</v>
      </c>
      <c r="BI20" s="324">
        <f>'Monthly PL'!BJ23+BH20</f>
        <v>208.9908269652606</v>
      </c>
      <c r="BJ20" s="324">
        <f>'Monthly PL'!BK23+BI20</f>
        <v>208.9908269652606</v>
      </c>
      <c r="BK20" s="324">
        <f>'Monthly PL'!BL23+BJ20</f>
        <v>208.9908269652606</v>
      </c>
      <c r="BL20" s="324">
        <f>'Monthly PL'!BM23+BK20</f>
        <v>208.9908269652606</v>
      </c>
      <c r="BM20" s="324">
        <f>'Monthly PL'!BN23+BL20</f>
        <v>208.9908269652606</v>
      </c>
      <c r="BN20" s="324">
        <f>'Monthly PL'!BO23+BM20</f>
        <v>208.9908269652606</v>
      </c>
      <c r="BO20" s="324">
        <f>'Monthly PL'!BP23+BN20</f>
        <v>208.9908269652606</v>
      </c>
      <c r="BP20" s="324">
        <f>'Monthly PL'!BQ23+BO20</f>
        <v>208.9908269652606</v>
      </c>
      <c r="BQ20" s="324">
        <f>'Monthly PL'!BR23+BP20</f>
        <v>208.9908269652606</v>
      </c>
      <c r="BR20" s="324">
        <f>'Monthly PL'!BS23+BQ20</f>
        <v>254.4908269652606</v>
      </c>
      <c r="BS20" s="324">
        <f>'Monthly PL'!BT23+BR20</f>
        <v>254.4908269652606</v>
      </c>
      <c r="BT20" s="324">
        <f>'Monthly PL'!BU23+BS20</f>
        <v>254.4908269652606</v>
      </c>
      <c r="BU20" s="324">
        <f>'Monthly PL'!BV23+BT20</f>
        <v>254.4908269652606</v>
      </c>
      <c r="BV20" s="324">
        <f>'Monthly PL'!BW23+BU20</f>
        <v>254.4908269652606</v>
      </c>
      <c r="BW20" s="324">
        <f>'Monthly PL'!BX23+BV20</f>
        <v>254.4908269652606</v>
      </c>
      <c r="BX20" s="324">
        <f>'Monthly PL'!BY23+BW20</f>
        <v>254.4908269652606</v>
      </c>
      <c r="BY20" s="324">
        <f>'Monthly PL'!BZ23+BX20</f>
        <v>254.4908269652606</v>
      </c>
      <c r="BZ20" s="324">
        <f>'Monthly PL'!CA23+BY20</f>
        <v>254.4908269652606</v>
      </c>
      <c r="CA20" s="324">
        <f>'Monthly PL'!CB23+BZ20</f>
        <v>254.4908269652606</v>
      </c>
      <c r="CB20" s="324">
        <f>'Monthly PL'!CC23+CA20</f>
        <v>254.4908269652606</v>
      </c>
      <c r="CC20" s="324">
        <f>'Monthly PL'!CD23+CB20</f>
        <v>254.4908269652606</v>
      </c>
      <c r="CD20" s="324">
        <f>'Monthly PL'!CE23+CC20</f>
        <v>299.99082696526057</v>
      </c>
      <c r="CE20" s="324">
        <f>'Monthly PL'!CF23+CD20</f>
        <v>299.99082696526057</v>
      </c>
      <c r="CF20" s="324">
        <f>'Monthly PL'!CG23+CE20</f>
        <v>299.99082696526057</v>
      </c>
      <c r="CG20" s="324">
        <f>'Monthly PL'!CH23+CF20</f>
        <v>299.99082696526057</v>
      </c>
      <c r="CH20" s="324">
        <f>'Monthly PL'!CI23+CG20</f>
        <v>299.99082696526057</v>
      </c>
      <c r="CI20" s="324">
        <f>'Monthly PL'!CJ23+CH20</f>
        <v>299.99082696526057</v>
      </c>
      <c r="CJ20" s="324">
        <f>'Monthly PL'!CK23+CI20</f>
        <v>299.99082696526057</v>
      </c>
      <c r="CK20" s="324">
        <f>'Monthly PL'!CL23+CJ20</f>
        <v>299.99082696526057</v>
      </c>
      <c r="CL20" s="324">
        <f>'Monthly PL'!CM23+CK20</f>
        <v>299.99082696526057</v>
      </c>
      <c r="CM20" s="324">
        <f>'Monthly PL'!CN23+CL20</f>
        <v>299.99082696526057</v>
      </c>
      <c r="CN20" s="324">
        <f>'Monthly PL'!CO23+CM20</f>
        <v>299.99082696526057</v>
      </c>
      <c r="CO20" s="324">
        <f>'Monthly PL'!CP23+CN20</f>
        <v>299.99082696526057</v>
      </c>
      <c r="CP20" s="324">
        <f>'Monthly PL'!CQ23+CO20</f>
        <v>346.03082696526059</v>
      </c>
      <c r="CQ20" s="324">
        <f>'Monthly PL'!CR23+CP20</f>
        <v>346.03082696526059</v>
      </c>
      <c r="CR20" s="324">
        <f>'Monthly PL'!CS23+CQ20</f>
        <v>346.03082696526059</v>
      </c>
      <c r="CS20" s="324">
        <f>'Monthly PL'!CT23+CR20</f>
        <v>346.03082696526059</v>
      </c>
      <c r="CT20" s="324">
        <f>'Monthly PL'!CU23+CS20</f>
        <v>346.03082696526059</v>
      </c>
      <c r="CU20" s="324">
        <f>'Monthly PL'!CV23+CT20</f>
        <v>346.03082696526059</v>
      </c>
      <c r="CV20" s="324">
        <f>'Monthly PL'!CW23+CU20</f>
        <v>346.03082696526059</v>
      </c>
      <c r="CW20" s="324">
        <f>'Monthly PL'!CX23+CV20</f>
        <v>346.03082696526059</v>
      </c>
      <c r="CX20" s="324">
        <f>'Monthly PL'!CY23+CW20</f>
        <v>346.03082696526059</v>
      </c>
      <c r="CY20" s="324">
        <f>'Monthly PL'!CZ23+CX20</f>
        <v>346.03082696526059</v>
      </c>
      <c r="CZ20" s="324">
        <f>'Monthly PL'!DA23+CY20</f>
        <v>346.03082696526059</v>
      </c>
      <c r="DA20" s="324">
        <f>'Monthly PL'!DB23+CZ20</f>
        <v>346.03082696526059</v>
      </c>
      <c r="DB20" s="324">
        <f>'Monthly PL'!DC23+DA20</f>
        <v>346.03082696526059</v>
      </c>
    </row>
    <row r="21" spans="1:106" ht="15">
      <c r="A21" s="321" t="s">
        <v>192</v>
      </c>
      <c r="B21" s="324">
        <f t="shared" ref="B21:BN21" si="19">B19-B20</f>
        <v>331.73903680373951</v>
      </c>
      <c r="C21" s="324">
        <f t="shared" si="19"/>
        <v>331.69903680373949</v>
      </c>
      <c r="D21" s="324">
        <f t="shared" si="19"/>
        <v>331.65903680373953</v>
      </c>
      <c r="E21" s="324">
        <f t="shared" si="19"/>
        <v>331.6190368037395</v>
      </c>
      <c r="F21" s="324">
        <f t="shared" si="19"/>
        <v>331.57903680373948</v>
      </c>
      <c r="G21" s="324">
        <f t="shared" si="19"/>
        <v>331.53903680373952</v>
      </c>
      <c r="H21" s="324">
        <f t="shared" si="19"/>
        <v>331.4990368037395</v>
      </c>
      <c r="I21" s="324">
        <f t="shared" si="19"/>
        <v>331.45903680373954</v>
      </c>
      <c r="J21" s="324">
        <f t="shared" si="19"/>
        <v>226.66717761160245</v>
      </c>
      <c r="K21" s="324">
        <f t="shared" si="19"/>
        <v>227.66717761160245</v>
      </c>
      <c r="L21" s="324">
        <f t="shared" si="19"/>
        <v>227.18717761160244</v>
      </c>
      <c r="M21" s="324">
        <f t="shared" si="19"/>
        <v>224.47717761160246</v>
      </c>
      <c r="N21" s="324">
        <f t="shared" si="19"/>
        <v>224.50717761160243</v>
      </c>
      <c r="O21" s="324">
        <f t="shared" si="19"/>
        <v>222.9771776116024</v>
      </c>
      <c r="P21" s="324">
        <f t="shared" si="19"/>
        <v>221.11053672642382</v>
      </c>
      <c r="Q21" s="324">
        <f t="shared" si="19"/>
        <v>272.25917303473938</v>
      </c>
      <c r="R21" s="324">
        <f t="shared" si="19"/>
        <v>280.67159315546905</v>
      </c>
      <c r="S21" s="324">
        <f t="shared" si="19"/>
        <v>251.9903393338972</v>
      </c>
      <c r="T21" s="324">
        <f t="shared" si="19"/>
        <v>236.15303207363294</v>
      </c>
      <c r="U21" s="324">
        <f t="shared" si="19"/>
        <v>251.94136519136671</v>
      </c>
      <c r="V21" s="324">
        <f t="shared" si="19"/>
        <v>229.30287539785442</v>
      </c>
      <c r="W21" s="324">
        <f t="shared" si="19"/>
        <v>229.34287539785444</v>
      </c>
      <c r="X21" s="324">
        <f t="shared" si="19"/>
        <v>229.38287539785446</v>
      </c>
      <c r="Y21" s="324">
        <f t="shared" si="19"/>
        <v>229.42287539785448</v>
      </c>
      <c r="Z21" s="324">
        <f t="shared" si="19"/>
        <v>229.78623451267592</v>
      </c>
      <c r="AA21" s="324">
        <f t="shared" si="19"/>
        <v>233.39715274349734</v>
      </c>
      <c r="AB21" s="324">
        <f t="shared" si="19"/>
        <v>240.82741286422706</v>
      </c>
      <c r="AC21" s="324">
        <f t="shared" si="19"/>
        <v>246.94070540900131</v>
      </c>
      <c r="AD21" s="324">
        <f t="shared" si="19"/>
        <v>255.91371497038696</v>
      </c>
      <c r="AE21" s="324">
        <f t="shared" si="19"/>
        <v>258.49918279922474</v>
      </c>
      <c r="AF21" s="324">
        <f t="shared" si="19"/>
        <v>268.88196119228667</v>
      </c>
      <c r="AG21" s="324">
        <f t="shared" si="19"/>
        <v>276.46952917085639</v>
      </c>
      <c r="AH21" s="324">
        <f t="shared" si="19"/>
        <v>226.41683745795811</v>
      </c>
      <c r="AI21" s="324">
        <f t="shared" si="19"/>
        <v>228.81777687297674</v>
      </c>
      <c r="AJ21" s="324">
        <f t="shared" si="19"/>
        <v>227.08073758777928</v>
      </c>
      <c r="AK21" s="324">
        <f t="shared" si="19"/>
        <v>229.16803670669569</v>
      </c>
      <c r="AL21" s="324">
        <f t="shared" si="19"/>
        <v>229.19210427065681</v>
      </c>
      <c r="AM21" s="324">
        <f t="shared" si="19"/>
        <v>230.30754420184778</v>
      </c>
      <c r="AN21" s="324">
        <f t="shared" si="19"/>
        <v>228.40252835184779</v>
      </c>
      <c r="AO21" s="324">
        <f t="shared" si="19"/>
        <v>227.74726745184782</v>
      </c>
      <c r="AP21" s="324">
        <f t="shared" si="19"/>
        <v>227.04080157884781</v>
      </c>
      <c r="AQ21" s="324">
        <f t="shared" si="19"/>
        <v>225.08386330584781</v>
      </c>
      <c r="AR21" s="324">
        <f t="shared" si="19"/>
        <v>225.80045957884786</v>
      </c>
      <c r="AS21" s="324">
        <f t="shared" si="19"/>
        <v>225.83969352023243</v>
      </c>
      <c r="AT21" s="324">
        <f t="shared" si="19"/>
        <v>180.37969352023245</v>
      </c>
      <c r="AU21" s="324">
        <f t="shared" si="19"/>
        <v>180.41969352023247</v>
      </c>
      <c r="AV21" s="324">
        <f t="shared" si="19"/>
        <v>180.45969352023249</v>
      </c>
      <c r="AW21" s="324">
        <f t="shared" si="19"/>
        <v>180.49969352023251</v>
      </c>
      <c r="AX21" s="324">
        <f t="shared" si="19"/>
        <v>180.53969352023253</v>
      </c>
      <c r="AY21" s="324">
        <f t="shared" si="19"/>
        <v>180.57969352023255</v>
      </c>
      <c r="AZ21" s="324">
        <f t="shared" si="19"/>
        <v>180.61969352023257</v>
      </c>
      <c r="BA21" s="324">
        <f t="shared" si="19"/>
        <v>180.65969352023259</v>
      </c>
      <c r="BB21" s="324">
        <f t="shared" si="19"/>
        <v>180.69969352023261</v>
      </c>
      <c r="BC21" s="324">
        <f t="shared" si="19"/>
        <v>180.73969352023263</v>
      </c>
      <c r="BD21" s="324">
        <f t="shared" si="19"/>
        <v>180.77969352023266</v>
      </c>
      <c r="BE21" s="324">
        <f t="shared" si="19"/>
        <v>180.81969352023268</v>
      </c>
      <c r="BF21" s="324">
        <f t="shared" si="19"/>
        <v>135.3596935202327</v>
      </c>
      <c r="BG21" s="324">
        <f t="shared" si="19"/>
        <v>135.39969352023272</v>
      </c>
      <c r="BH21" s="324">
        <f t="shared" si="19"/>
        <v>135.43969352023274</v>
      </c>
      <c r="BI21" s="324">
        <f t="shared" si="19"/>
        <v>135.47969352023276</v>
      </c>
      <c r="BJ21" s="324">
        <f t="shared" si="19"/>
        <v>135.51969352023278</v>
      </c>
      <c r="BK21" s="324">
        <f t="shared" si="19"/>
        <v>135.5596935202328</v>
      </c>
      <c r="BL21" s="324">
        <f t="shared" si="19"/>
        <v>135.59969352023282</v>
      </c>
      <c r="BM21" s="324">
        <f t="shared" si="19"/>
        <v>135.63969352023284</v>
      </c>
      <c r="BN21" s="324">
        <f t="shared" si="19"/>
        <v>135.67969352023286</v>
      </c>
      <c r="BO21" s="324">
        <f t="shared" ref="BO21:DB21" si="20">BO19-BO20</f>
        <v>135.71969352023288</v>
      </c>
      <c r="BP21" s="324">
        <f t="shared" si="20"/>
        <v>135.7596935202329</v>
      </c>
      <c r="BQ21" s="324">
        <f t="shared" si="20"/>
        <v>135.79969352023292</v>
      </c>
      <c r="BR21" s="324">
        <f t="shared" si="20"/>
        <v>90.339693520232942</v>
      </c>
      <c r="BS21" s="324">
        <f t="shared" si="20"/>
        <v>90.379693520232962</v>
      </c>
      <c r="BT21" s="324">
        <f t="shared" si="20"/>
        <v>90.419693520232983</v>
      </c>
      <c r="BU21" s="324">
        <f t="shared" si="20"/>
        <v>90.459693520233003</v>
      </c>
      <c r="BV21" s="324">
        <f t="shared" si="20"/>
        <v>90.499693520233023</v>
      </c>
      <c r="BW21" s="324">
        <f t="shared" si="20"/>
        <v>90.539693520233044</v>
      </c>
      <c r="BX21" s="324">
        <f t="shared" si="20"/>
        <v>90.579693520233064</v>
      </c>
      <c r="BY21" s="324">
        <f t="shared" si="20"/>
        <v>90.619693520233085</v>
      </c>
      <c r="BZ21" s="324">
        <f t="shared" si="20"/>
        <v>90.659693520233105</v>
      </c>
      <c r="CA21" s="324">
        <f t="shared" si="20"/>
        <v>90.699693520233126</v>
      </c>
      <c r="CB21" s="324">
        <f t="shared" si="20"/>
        <v>90.739693520233146</v>
      </c>
      <c r="CC21" s="324">
        <f t="shared" si="20"/>
        <v>90.779693520233167</v>
      </c>
      <c r="CD21" s="324">
        <f t="shared" si="20"/>
        <v>45.319693520233216</v>
      </c>
      <c r="CE21" s="324">
        <f t="shared" si="20"/>
        <v>45.359693520233236</v>
      </c>
      <c r="CF21" s="324">
        <f t="shared" si="20"/>
        <v>45.399693520233257</v>
      </c>
      <c r="CG21" s="324">
        <f t="shared" si="20"/>
        <v>45.439693520233277</v>
      </c>
      <c r="CH21" s="324">
        <f t="shared" si="20"/>
        <v>45.479693520233297</v>
      </c>
      <c r="CI21" s="324">
        <f t="shared" si="20"/>
        <v>45.519693520233318</v>
      </c>
      <c r="CJ21" s="324">
        <f t="shared" si="20"/>
        <v>45.559693520233338</v>
      </c>
      <c r="CK21" s="324">
        <f t="shared" si="20"/>
        <v>45.599693520233359</v>
      </c>
      <c r="CL21" s="324">
        <f t="shared" si="20"/>
        <v>45.639693520233379</v>
      </c>
      <c r="CM21" s="324">
        <f t="shared" si="20"/>
        <v>45.6796935202334</v>
      </c>
      <c r="CN21" s="324">
        <f t="shared" si="20"/>
        <v>45.71969352023342</v>
      </c>
      <c r="CO21" s="324">
        <f t="shared" si="20"/>
        <v>45.759693520233441</v>
      </c>
      <c r="CP21" s="324">
        <f t="shared" si="20"/>
        <v>-0.24030647976655928</v>
      </c>
      <c r="CQ21" s="324">
        <f t="shared" si="20"/>
        <v>-0.20030647976653881</v>
      </c>
      <c r="CR21" s="324">
        <f t="shared" si="20"/>
        <v>-0.16030647976651835</v>
      </c>
      <c r="CS21" s="324">
        <f t="shared" si="20"/>
        <v>-0.12030647976649789</v>
      </c>
      <c r="CT21" s="324">
        <f t="shared" si="20"/>
        <v>-8.0306479766477423E-2</v>
      </c>
      <c r="CU21" s="324">
        <f t="shared" si="20"/>
        <v>-4.030647976645696E-2</v>
      </c>
      <c r="CV21" s="324">
        <f t="shared" si="20"/>
        <v>-3.0647976643649599E-4</v>
      </c>
      <c r="CW21" s="324">
        <f t="shared" si="20"/>
        <v>-3.0647976643649599E-4</v>
      </c>
      <c r="CX21" s="324">
        <f t="shared" si="20"/>
        <v>-3.0647976643649599E-4</v>
      </c>
      <c r="CY21" s="324">
        <f t="shared" si="20"/>
        <v>-3.0647976643649599E-4</v>
      </c>
      <c r="CZ21" s="324">
        <f t="shared" si="20"/>
        <v>-3.0647976643649599E-4</v>
      </c>
      <c r="DA21" s="324">
        <f t="shared" si="20"/>
        <v>-3.0647976643649599E-4</v>
      </c>
      <c r="DB21" s="324">
        <f t="shared" si="20"/>
        <v>-3.0647976643649599E-4</v>
      </c>
    </row>
    <row r="22" spans="1:106">
      <c r="A22" s="319" t="s">
        <v>362</v>
      </c>
      <c r="B22" s="323">
        <v>3.3</v>
      </c>
      <c r="C22" s="323">
        <f>B22+'CF Capex'!C24</f>
        <v>3.3</v>
      </c>
      <c r="D22" s="323">
        <f>C22+'CF Capex'!D24</f>
        <v>3.3</v>
      </c>
      <c r="E22" s="323">
        <f>D22+'CF Capex'!E24</f>
        <v>3.3</v>
      </c>
      <c r="F22" s="323">
        <f>E22+'CF Capex'!F24</f>
        <v>3.3</v>
      </c>
      <c r="G22" s="323">
        <f>F22+'CF Capex'!G24</f>
        <v>3.3</v>
      </c>
      <c r="H22" s="323">
        <f>G22+'CF Capex'!H24</f>
        <v>3.3</v>
      </c>
      <c r="I22" s="323">
        <f>H22+'CF Capex'!I24</f>
        <v>3.3</v>
      </c>
      <c r="J22" s="323">
        <f>I22+'CF Capex'!J24</f>
        <v>3.3</v>
      </c>
      <c r="K22" s="323">
        <f>J22+'CF Capex'!K24</f>
        <v>3.3</v>
      </c>
      <c r="L22" s="323">
        <f>K22+'CF Capex'!L24</f>
        <v>3.3</v>
      </c>
      <c r="M22" s="323">
        <f>L22+'CF Capex'!M24</f>
        <v>3.3</v>
      </c>
      <c r="N22" s="323">
        <f>M22+'CF Capex'!N24</f>
        <v>3.3</v>
      </c>
      <c r="O22" s="323">
        <f>N22+'CF Capex'!O24</f>
        <v>3.3</v>
      </c>
      <c r="P22" s="323">
        <f>O22+'CF Capex'!P24</f>
        <v>3.3</v>
      </c>
      <c r="Q22" s="323">
        <f>P22+'CF Capex'!Q24</f>
        <v>3.3</v>
      </c>
      <c r="R22" s="323">
        <f>Q22+'CF Capex'!R24</f>
        <v>3.3</v>
      </c>
      <c r="S22" s="323">
        <f>R22+'CF Capex'!S24</f>
        <v>3.3</v>
      </c>
      <c r="T22" s="323">
        <f>S22+'CF Capex'!T24</f>
        <v>3.3</v>
      </c>
      <c r="U22" s="323">
        <f>T22+'CF Capex'!U24</f>
        <v>3.3</v>
      </c>
      <c r="V22" s="323">
        <f>U22+'CF Capex'!V24</f>
        <v>3.3</v>
      </c>
      <c r="W22" s="323">
        <f>V22+'CF Capex'!W24</f>
        <v>3.3</v>
      </c>
      <c r="X22" s="323">
        <f>W22+'CF Capex'!X24</f>
        <v>3.3</v>
      </c>
      <c r="Y22" s="323">
        <f>X22+'CF Capex'!Y24</f>
        <v>3.3</v>
      </c>
      <c r="Z22" s="323">
        <f>Y22+'CF Capex'!Z24</f>
        <v>3.3</v>
      </c>
      <c r="AA22" s="323">
        <f>Z22+'CF Capex'!AA24</f>
        <v>3.3</v>
      </c>
      <c r="AB22" s="323">
        <f>AA22+'CF Capex'!AB24</f>
        <v>3.3</v>
      </c>
      <c r="AC22" s="323">
        <f>AB22+'CF Capex'!AC24</f>
        <v>3.3</v>
      </c>
      <c r="AD22" s="323">
        <f>AC22+'CF Capex'!AD24</f>
        <v>3.3</v>
      </c>
      <c r="AE22" s="323">
        <f>AD22+'CF Capex'!AE24</f>
        <v>3.3</v>
      </c>
      <c r="AF22" s="323">
        <f>AE22+'CF Capex'!AF24</f>
        <v>3.3</v>
      </c>
      <c r="AG22" s="323">
        <f>AF22+'CF Capex'!AG24</f>
        <v>3.3</v>
      </c>
      <c r="AH22" s="323">
        <f>AG22+'CF Capex'!AH24</f>
        <v>3.3</v>
      </c>
      <c r="AI22" s="323">
        <f>AH22+'CF Capex'!AI24</f>
        <v>3.3</v>
      </c>
      <c r="AJ22" s="323">
        <f>AI22+'CF Capex'!AJ24</f>
        <v>3.3</v>
      </c>
      <c r="AK22" s="323">
        <f>AJ22+'CF Capex'!AK24</f>
        <v>3.3</v>
      </c>
      <c r="AL22" s="323">
        <f>AK22+'CF Capex'!AL24</f>
        <v>3.3</v>
      </c>
      <c r="AM22" s="323">
        <f>AL22+'CF Capex'!AM24</f>
        <v>3.3</v>
      </c>
      <c r="AN22" s="323">
        <f>AM22+'CF Capex'!AN24</f>
        <v>3.3</v>
      </c>
      <c r="AO22" s="323">
        <f>AN22+'CF Capex'!AO24</f>
        <v>3.3</v>
      </c>
      <c r="AP22" s="323">
        <f>AO22+'CF Capex'!AP24</f>
        <v>3.3</v>
      </c>
      <c r="AQ22" s="323">
        <f>AP22+'CF Capex'!AQ24</f>
        <v>3.3</v>
      </c>
      <c r="AR22" s="323">
        <f>AQ22+'CF Capex'!AR24</f>
        <v>3.3</v>
      </c>
      <c r="AS22" s="323">
        <f>AR22+'CF Capex'!AS24</f>
        <v>3.3</v>
      </c>
      <c r="AT22" s="323">
        <f>AS22+'CF Capex'!AT24</f>
        <v>3.3</v>
      </c>
      <c r="AU22" s="323">
        <f>AT22+'CF Capex'!AU24</f>
        <v>3.3</v>
      </c>
      <c r="AV22" s="323">
        <f>AU22+'CF Capex'!AV24</f>
        <v>3.3</v>
      </c>
      <c r="AW22" s="323">
        <f>AV22+'CF Capex'!AW24</f>
        <v>3.3</v>
      </c>
      <c r="AX22" s="323">
        <f>AW22+'CF Capex'!AX24</f>
        <v>3.3</v>
      </c>
      <c r="AY22" s="323">
        <f>AX22+'CF Capex'!AY24</f>
        <v>3.3</v>
      </c>
      <c r="AZ22" s="323">
        <f>AY22+'CF Capex'!AZ24</f>
        <v>3.3</v>
      </c>
      <c r="BA22" s="323">
        <f>AZ22+'CF Capex'!BA24</f>
        <v>3.3</v>
      </c>
      <c r="BB22" s="323">
        <f>BA22+'CF Capex'!BB24</f>
        <v>3.3</v>
      </c>
      <c r="BC22" s="323">
        <f>BB22+'CF Capex'!BC24</f>
        <v>3.3</v>
      </c>
      <c r="BD22" s="323">
        <f>BC22+'CF Capex'!BD24</f>
        <v>3.3</v>
      </c>
      <c r="BE22" s="323">
        <f>BD22+'CF Capex'!BE24</f>
        <v>3.3</v>
      </c>
      <c r="BF22" s="323">
        <f>BE22+'CF Capex'!BF24</f>
        <v>3.3</v>
      </c>
      <c r="BG22" s="323">
        <f>BF22+'CF Capex'!BG24</f>
        <v>3.3</v>
      </c>
      <c r="BH22" s="323">
        <f>BG22+'CF Capex'!BH24</f>
        <v>3.3</v>
      </c>
      <c r="BI22" s="323">
        <f>BH22+'CF Capex'!BI24</f>
        <v>3.3</v>
      </c>
      <c r="BJ22" s="323">
        <f>BI22+'CF Capex'!BJ24</f>
        <v>3.3</v>
      </c>
      <c r="BK22" s="323">
        <f>BJ22+'CF Capex'!BK24</f>
        <v>3.3</v>
      </c>
      <c r="BL22" s="323">
        <f>BK22+'CF Capex'!BL24</f>
        <v>3.3</v>
      </c>
      <c r="BM22" s="323">
        <f>BL22+'CF Capex'!BM24</f>
        <v>3.3</v>
      </c>
      <c r="BN22" s="323">
        <f>BM22+'CF Capex'!BN24</f>
        <v>3.3</v>
      </c>
      <c r="BO22" s="323">
        <f>BN22+'CF Capex'!BO24</f>
        <v>3.3</v>
      </c>
      <c r="BP22" s="323">
        <f>BO22+'CF Capex'!BP24</f>
        <v>3.3</v>
      </c>
      <c r="BQ22" s="323">
        <f>BP22+'CF Capex'!BQ24</f>
        <v>3.3</v>
      </c>
      <c r="BR22" s="323">
        <f>BQ22+'CF Capex'!BR24</f>
        <v>3.3</v>
      </c>
      <c r="BS22" s="323">
        <f>BR22+'CF Capex'!BS24</f>
        <v>3.3</v>
      </c>
      <c r="BT22" s="323">
        <f>BS22+'CF Capex'!BT24</f>
        <v>3.3</v>
      </c>
      <c r="BU22" s="323">
        <f>BT22+'CF Capex'!BU24</f>
        <v>3.3</v>
      </c>
      <c r="BV22" s="323">
        <f>BU22+'CF Capex'!BV24</f>
        <v>3.3</v>
      </c>
      <c r="BW22" s="323">
        <f>BV22+'CF Capex'!BW24</f>
        <v>3.3</v>
      </c>
      <c r="BX22" s="323">
        <f>BW22+'CF Capex'!BX24</f>
        <v>3.3</v>
      </c>
      <c r="BY22" s="323">
        <f>BX22+'CF Capex'!BY24</f>
        <v>3.3</v>
      </c>
      <c r="BZ22" s="323">
        <f>BY22+'CF Capex'!BZ24</f>
        <v>3.3</v>
      </c>
      <c r="CA22" s="323">
        <f>BZ22+'CF Capex'!CA24</f>
        <v>3.3</v>
      </c>
      <c r="CB22" s="323">
        <f>CA22+'CF Capex'!CB24</f>
        <v>3.3</v>
      </c>
      <c r="CC22" s="323">
        <f>CB22+'CF Capex'!CC24</f>
        <v>3.3</v>
      </c>
      <c r="CD22" s="323">
        <f>CC22+'CF Capex'!CD24</f>
        <v>3.3</v>
      </c>
      <c r="CE22" s="323">
        <f>CD22+'CF Capex'!CE24</f>
        <v>3.3</v>
      </c>
      <c r="CF22" s="323">
        <f>CE22+'CF Capex'!CF24</f>
        <v>3.3</v>
      </c>
      <c r="CG22" s="323">
        <f>CF22+'CF Capex'!CG24</f>
        <v>3.3</v>
      </c>
      <c r="CH22" s="323">
        <f>CG22+'CF Capex'!CH24</f>
        <v>3.3</v>
      </c>
      <c r="CI22" s="323">
        <f>CH22+'CF Capex'!CI24</f>
        <v>3.3</v>
      </c>
      <c r="CJ22" s="323">
        <f>CI22+'CF Capex'!CJ24</f>
        <v>3.3</v>
      </c>
      <c r="CK22" s="323">
        <f>CJ22+'CF Capex'!CK24</f>
        <v>3.3</v>
      </c>
      <c r="CL22" s="323">
        <f>CK22+'CF Capex'!CL24</f>
        <v>3.3</v>
      </c>
      <c r="CM22" s="323">
        <f>CL22+'CF Capex'!CM24</f>
        <v>3.3</v>
      </c>
      <c r="CN22" s="323">
        <f>CM22+'CF Capex'!CN24</f>
        <v>3.3</v>
      </c>
      <c r="CO22" s="323">
        <f>CN22+'CF Capex'!CO24</f>
        <v>3.3</v>
      </c>
      <c r="CP22" s="323">
        <f>CO22+'CF Capex'!CP24</f>
        <v>3.3</v>
      </c>
      <c r="CQ22" s="323">
        <f>CP22+'CF Capex'!CQ24</f>
        <v>3.3</v>
      </c>
      <c r="CR22" s="323">
        <f>CQ22+'CF Capex'!CR24</f>
        <v>3.3</v>
      </c>
      <c r="CS22" s="323">
        <f>CR22+'CF Capex'!CS24</f>
        <v>3.3</v>
      </c>
      <c r="CT22" s="323">
        <f>CS22+'CF Capex'!CT24</f>
        <v>3.3</v>
      </c>
      <c r="CU22" s="323">
        <f>CT22+'CF Capex'!CU24</f>
        <v>3.3</v>
      </c>
      <c r="CV22" s="323">
        <f>CU22+'CF Capex'!CV24</f>
        <v>3.3</v>
      </c>
      <c r="CW22" s="323">
        <f>CV22+'CF Capex'!CW24</f>
        <v>3.3</v>
      </c>
      <c r="CX22" s="323">
        <f>CW22+'CF Capex'!CX24</f>
        <v>3.3</v>
      </c>
      <c r="CY22" s="323">
        <f>CX22+'CF Capex'!CY24</f>
        <v>3.3</v>
      </c>
      <c r="CZ22" s="323">
        <f>CY22+'CF Capex'!CZ24</f>
        <v>3.3</v>
      </c>
      <c r="DA22" s="323">
        <f>CZ22+'CF Capex'!DA24</f>
        <v>3.3</v>
      </c>
      <c r="DB22" s="323">
        <f>DA22+'CF Capex'!DB24</f>
        <v>3.3</v>
      </c>
    </row>
    <row r="23" spans="1:106" ht="15">
      <c r="A23" s="319" t="s">
        <v>363</v>
      </c>
      <c r="B23" s="324">
        <f>0.68+1.38</f>
        <v>2.06</v>
      </c>
      <c r="C23" s="324">
        <f>'Monthly CF'!B40</f>
        <v>0</v>
      </c>
      <c r="D23" s="324">
        <f>'Monthly CF'!C40</f>
        <v>0</v>
      </c>
      <c r="E23" s="324">
        <f>'Monthly CF'!D40</f>
        <v>0</v>
      </c>
      <c r="F23" s="324">
        <f>'Monthly CF'!E40</f>
        <v>0</v>
      </c>
      <c r="G23" s="324">
        <f>'Monthly CF'!F40</f>
        <v>0</v>
      </c>
      <c r="H23" s="324">
        <f>'Monthly CF'!G40</f>
        <v>0</v>
      </c>
      <c r="I23" s="324">
        <f>'Monthly CF'!H40</f>
        <v>0</v>
      </c>
      <c r="J23" s="324">
        <v>2.44</v>
      </c>
      <c r="K23" s="324">
        <f>'Monthly CF'!J40</f>
        <v>0</v>
      </c>
      <c r="L23" s="324">
        <f>'Monthly CF'!K40</f>
        <v>0</v>
      </c>
      <c r="M23" s="324">
        <f>'Monthly CF'!L40</f>
        <v>0</v>
      </c>
      <c r="N23" s="324">
        <f>'Monthly CF'!M40</f>
        <v>0</v>
      </c>
      <c r="O23" s="324">
        <f>'Monthly CF'!N40</f>
        <v>0</v>
      </c>
      <c r="P23" s="324">
        <f>'Monthly CF'!O40</f>
        <v>0</v>
      </c>
      <c r="Q23" s="324">
        <f>'Monthly CF'!P40</f>
        <v>0</v>
      </c>
      <c r="R23" s="324">
        <f>'Monthly CF'!Q40</f>
        <v>0</v>
      </c>
      <c r="S23" s="324">
        <f>'Monthly CF'!R40</f>
        <v>0</v>
      </c>
      <c r="T23" s="324">
        <f>'Monthly CF'!S40</f>
        <v>0</v>
      </c>
      <c r="U23" s="324">
        <f>'Monthly CF'!T40</f>
        <v>0</v>
      </c>
      <c r="V23" s="324">
        <f>'Monthly CF'!U40</f>
        <v>0</v>
      </c>
      <c r="W23" s="324">
        <f>'Monthly CF'!V40</f>
        <v>0.56461202234191976</v>
      </c>
      <c r="X23" s="324">
        <f>'Monthly CF'!W40+X14</f>
        <v>-2.8706167365816326</v>
      </c>
      <c r="Y23" s="324">
        <f>'Monthly CF'!X40+Y14</f>
        <v>-3.5601842269901272</v>
      </c>
      <c r="Z23" s="324">
        <f>'Monthly CF'!Y40+Z14</f>
        <v>-7.3873618084554771</v>
      </c>
      <c r="AA23" s="324">
        <f>'Monthly CF'!Z40+AA14</f>
        <v>45.138536905669852</v>
      </c>
      <c r="AB23" s="324">
        <f>'Monthly CF'!AA40+AB14</f>
        <v>34.953390794646062</v>
      </c>
      <c r="AC23" s="324">
        <f>'Monthly CF'!AB40+AC14</f>
        <v>29.932760841750536</v>
      </c>
      <c r="AD23" s="324">
        <f>'Monthly CF'!AC40+AD14</f>
        <v>25.179769640750592</v>
      </c>
      <c r="AE23" s="324">
        <f>'Monthly CF'!AD40+AE14</f>
        <v>22.496731937438103</v>
      </c>
      <c r="AF23" s="324">
        <f>'Monthly CF'!AE40+AF14</f>
        <v>14.527310304708472</v>
      </c>
      <c r="AG23" s="324">
        <f>'Monthly CF'!AF40+AG14</f>
        <v>11.194700861942646</v>
      </c>
      <c r="AH23" s="324">
        <f>'Monthly CF'!AG40+AH14</f>
        <v>15.550334503489232</v>
      </c>
      <c r="AI23" s="324">
        <f>'Monthly CF'!AH40+AI14</f>
        <v>12.642830222278199</v>
      </c>
      <c r="AJ23" s="324">
        <f>'Monthly CF'!AI40+AJ14</f>
        <v>7.3094371020063988</v>
      </c>
      <c r="AK23" s="324">
        <f>'Monthly CF'!AJ40+AK14</f>
        <v>4.7842644484157102</v>
      </c>
      <c r="AL23" s="324">
        <f>'Monthly CF'!AK40+AL14</f>
        <v>-0.77129061203738125</v>
      </c>
      <c r="AM23" s="324">
        <f>'Monthly CF'!AL40+AM14</f>
        <v>-2.0064267387773977</v>
      </c>
      <c r="AN23" s="324">
        <f>'Monthly CF'!AM40+AN14</f>
        <v>8.93137334605799</v>
      </c>
      <c r="AO23" s="324">
        <f>'Monthly CF'!AN40+AO14</f>
        <v>8.275594330838322</v>
      </c>
      <c r="AP23" s="324">
        <f>'Monthly CF'!AO40+AP14</f>
        <v>6.8433388523138277</v>
      </c>
      <c r="AQ23" s="324">
        <f>'Monthly CF'!AP40+AQ14</f>
        <v>9.9795139809547777</v>
      </c>
      <c r="AR23" s="324">
        <f>'Monthly CF'!AQ40+AR14</f>
        <v>10.023793867861706</v>
      </c>
      <c r="AS23" s="324">
        <f>'Monthly CF'!AR40+AS14</f>
        <v>10.232796012782785</v>
      </c>
      <c r="AT23" s="324">
        <f>'Monthly CF'!AS40+AT14</f>
        <v>11.728539050605709</v>
      </c>
      <c r="AU23" s="324">
        <f>'Monthly CF'!AT40+AU14</f>
        <v>11.980672578637741</v>
      </c>
      <c r="AV23" s="324">
        <f>'Monthly CF'!AU40+AV14</f>
        <v>11.58860837350811</v>
      </c>
      <c r="AW23" s="324">
        <f>'Monthly CF'!AV40+AW14</f>
        <v>9.2659967558194243</v>
      </c>
      <c r="AX23" s="324">
        <f>'Monthly CF'!AW40+AX14</f>
        <v>8.8840680146025086</v>
      </c>
      <c r="AY23" s="324">
        <f>'Monthly CF'!AX40+AY14</f>
        <v>8.0249213038337128</v>
      </c>
      <c r="AZ23" s="324">
        <f>'Monthly CF'!AY40+AZ14</f>
        <v>7.6249054104694363</v>
      </c>
      <c r="BA23" s="324">
        <f>'Monthly CF'!AZ40+BA14</f>
        <v>6.7725310146635342</v>
      </c>
      <c r="BB23" s="324">
        <f>'Monthly CF'!BA40+BB14</f>
        <v>6.3695483743861159</v>
      </c>
      <c r="BC23" s="324">
        <f>'Monthly CF'!BB40+BC14</f>
        <v>5.5102300526409342</v>
      </c>
      <c r="BD23" s="324">
        <f>'Monthly CF'!BC40+BD14</f>
        <v>5.1065783434251948</v>
      </c>
      <c r="BE23" s="324">
        <f>'Monthly CF'!BD40+BE14</f>
        <v>4.2146250369431542</v>
      </c>
      <c r="BF23" s="324">
        <f>'Monthly CF'!BE40+BF14</f>
        <v>2.3919752299311376</v>
      </c>
      <c r="BG23" s="324">
        <f>'Monthly CF'!BF40+BG14</f>
        <v>1.4531414424940605</v>
      </c>
      <c r="BH23" s="324">
        <f>'Monthly CF'!BG40+BH14</f>
        <v>1.6177731907080997</v>
      </c>
      <c r="BI23" s="324">
        <f>'Monthly CF'!BH40+BI14</f>
        <v>0.65144769022021443</v>
      </c>
      <c r="BJ23" s="324">
        <f>'Monthly CF'!BI40+BJ14</f>
        <v>0.82944553708466628</v>
      </c>
      <c r="BK23" s="324">
        <f>'Monthly CF'!BJ40+BK14</f>
        <v>1.332144515232935</v>
      </c>
      <c r="BL23" s="324">
        <f>'Monthly CF'!BK40+BL14</f>
        <v>1.5208894798744375</v>
      </c>
      <c r="BM23" s="324">
        <f>'Monthly CF'!BL40+BM14</f>
        <v>2.0152405012879981</v>
      </c>
      <c r="BN23" s="324">
        <f>'Monthly CF'!BM40+BN14</f>
        <v>2.2044031546570189</v>
      </c>
      <c r="BO23" s="324">
        <f>'Monthly CF'!BN40+BO14</f>
        <v>2.6997318124091176</v>
      </c>
      <c r="BP23" s="324">
        <f>'Monthly CF'!BO40+BP14</f>
        <v>2.8877794488758823</v>
      </c>
      <c r="BQ23" s="324">
        <f>'Monthly CF'!BP40+BQ14</f>
        <v>3.4012129435804592</v>
      </c>
      <c r="BR23" s="324">
        <f>'Monthly CF'!BQ40+BR14</f>
        <v>2.4710077143454345</v>
      </c>
      <c r="BS23" s="324">
        <f>'Monthly CF'!BR40+BS14</f>
        <v>2.9695445232897484</v>
      </c>
      <c r="BT23" s="324">
        <f>'Monthly CF'!BS40+BT14</f>
        <v>3.2269780857579757</v>
      </c>
      <c r="BU23" s="324">
        <f>'Monthly CF'!BT40+BU14</f>
        <v>2.8228246461678754</v>
      </c>
      <c r="BV23" s="324">
        <f>'Monthly CF'!BU40+BV14</f>
        <v>3.0905719717712188</v>
      </c>
      <c r="BW23" s="324">
        <f>'Monthly CF'!BV40+BW14</f>
        <v>3.7883254970203737</v>
      </c>
      <c r="BX23" s="324">
        <f>'Monthly CF'!BW40+BX14</f>
        <v>5.8904638298292049</v>
      </c>
      <c r="BY23" s="324">
        <f>'Monthly CF'!BX40+BY14</f>
        <v>6.5611001517221599</v>
      </c>
      <c r="BZ23" s="324">
        <f>'Monthly CF'!BY40+BZ14</f>
        <v>6.8275484576583878</v>
      </c>
      <c r="CA23" s="324">
        <f>'Monthly CF'!BZ40+CA14</f>
        <v>9.3197241137059486</v>
      </c>
      <c r="CB23" s="324">
        <f>'Monthly CF'!CA40+CB14</f>
        <v>9.5562581788036134</v>
      </c>
      <c r="CC23" s="324">
        <f>'Monthly CF'!CB40+CC14</f>
        <v>10.341587268513738</v>
      </c>
      <c r="CD23" s="324">
        <f>'Monthly CF'!CC40+CD14</f>
        <v>12.427812945467299</v>
      </c>
      <c r="CE23" s="324">
        <f>'Monthly CF'!CD40+CE14</f>
        <v>13.201980983797053</v>
      </c>
      <c r="CF23" s="324">
        <f>'Monthly CF'!CE40+CF14</f>
        <v>13.54400208628955</v>
      </c>
      <c r="CG23" s="324">
        <f>'Monthly CF'!CF40+CG14</f>
        <v>13.774062927275981</v>
      </c>
      <c r="CH23" s="324">
        <f>'Monthly CF'!CG40+CH14</f>
        <v>14.123527340627597</v>
      </c>
      <c r="CI23" s="324">
        <f>'Monthly CF'!CH40+CI14</f>
        <v>15.088580659981034</v>
      </c>
      <c r="CJ23" s="324">
        <f>'Monthly CF'!CI40+CJ14</f>
        <v>16.186666836595144</v>
      </c>
      <c r="CK23" s="324">
        <f>'Monthly CF'!CJ40+CK14</f>
        <v>17.129908469869289</v>
      </c>
      <c r="CL23" s="324">
        <f>'Monthly CF'!CK40+CL14</f>
        <v>17.494477446169562</v>
      </c>
      <c r="CM23" s="324">
        <f>'Monthly CF'!CL40+CM14</f>
        <v>16.983994460893793</v>
      </c>
      <c r="CN23" s="324">
        <f>'Monthly CF'!CM40+CN14</f>
        <v>17.359626242729334</v>
      </c>
      <c r="CO23" s="324">
        <f>'Monthly CF'!CN40+CO14</f>
        <v>18.351116980125219</v>
      </c>
      <c r="CP23" s="324">
        <f>'Monthly CF'!CO40+CP14</f>
        <v>17.237982166136746</v>
      </c>
      <c r="CQ23" s="324">
        <f>'Monthly CF'!CP40+CQ14</f>
        <v>18.21534804738895</v>
      </c>
      <c r="CR23" s="324">
        <f>'Monthly CF'!CQ40+CR14</f>
        <v>18.658517278980703</v>
      </c>
      <c r="CS23" s="324">
        <f>'Monthly CF'!CR40+CS14</f>
        <v>17.646671475807402</v>
      </c>
      <c r="CT23" s="324">
        <f>'Monthly CF'!CS40+CT14</f>
        <v>18.110456169072545</v>
      </c>
      <c r="CU23" s="324">
        <f>'Monthly CF'!CT40+CU14</f>
        <v>19.302805654162011</v>
      </c>
      <c r="CV23" s="324">
        <f>'Monthly CF'!CU40+CV14</f>
        <v>18.510748549645722</v>
      </c>
      <c r="CW23" s="324">
        <f>'Monthly CF'!CV40</f>
        <v>-3.7369238097880242</v>
      </c>
      <c r="CX23" s="324">
        <f>'Monthly CF'!CW40</f>
        <v>-3.7369238097880242</v>
      </c>
      <c r="CY23" s="324">
        <f>'Monthly CF'!CX40</f>
        <v>-3.7369238097880242</v>
      </c>
      <c r="CZ23" s="324">
        <f>'Monthly CF'!CY40</f>
        <v>-3.7369238097880242</v>
      </c>
      <c r="DA23" s="324">
        <f>'Monthly CF'!CZ40</f>
        <v>-3.7369238097880242</v>
      </c>
      <c r="DB23" s="324">
        <f>'Monthly CF'!DA40</f>
        <v>-3.7369238097880242</v>
      </c>
    </row>
    <row r="24" spans="1:106" ht="15">
      <c r="A24" s="319" t="s">
        <v>364</v>
      </c>
      <c r="B24" s="324">
        <v>0.27</v>
      </c>
      <c r="C24" s="324">
        <f>'CF Capex'!C41</f>
        <v>0</v>
      </c>
      <c r="D24" s="324">
        <f>'CF Capex'!D41</f>
        <v>0</v>
      </c>
      <c r="E24" s="324">
        <f>'CF Capex'!E41</f>
        <v>0</v>
      </c>
      <c r="F24" s="324">
        <f>'CF Capex'!F41</f>
        <v>0</v>
      </c>
      <c r="G24" s="324">
        <f>'CF Capex'!G41</f>
        <v>0</v>
      </c>
      <c r="H24" s="324">
        <f>'CF Capex'!H41</f>
        <v>0</v>
      </c>
      <c r="I24" s="324">
        <f>'CF Capex'!I41</f>
        <v>0</v>
      </c>
      <c r="J24" s="324">
        <v>0</v>
      </c>
      <c r="K24" s="324">
        <f>'CF Capex'!K41</f>
        <v>0</v>
      </c>
      <c r="L24" s="324">
        <f>'CF Capex'!L41</f>
        <v>0</v>
      </c>
      <c r="M24" s="324">
        <f>'CF Capex'!M41</f>
        <v>0</v>
      </c>
      <c r="N24" s="324">
        <f>'CF Capex'!N41</f>
        <v>0</v>
      </c>
      <c r="O24" s="324">
        <f>'CF Capex'!O41</f>
        <v>0</v>
      </c>
      <c r="P24" s="324">
        <f>'CF Capex'!P41</f>
        <v>15.41</v>
      </c>
      <c r="Q24" s="324">
        <v>21.74</v>
      </c>
      <c r="R24" s="324">
        <f>'CF Capex'!R41</f>
        <v>14.387840000000001</v>
      </c>
      <c r="S24" s="324">
        <f>'CF Capex'!S41</f>
        <v>6.9802263663460469</v>
      </c>
      <c r="T24" s="324">
        <f>'CF Capex'!T41</f>
        <v>7.0229295543420438</v>
      </c>
      <c r="U24" s="324">
        <f>'CF Capex'!U41</f>
        <v>1.642767453442044</v>
      </c>
      <c r="V24" s="324">
        <v>17.41</v>
      </c>
      <c r="W24" s="324">
        <f>V24</f>
        <v>17.41</v>
      </c>
      <c r="X24" s="324">
        <f>W24</f>
        <v>17.41</v>
      </c>
      <c r="Y24" s="324">
        <f>X24</f>
        <v>17.41</v>
      </c>
      <c r="Z24" s="324">
        <f>Y24</f>
        <v>17.41</v>
      </c>
      <c r="AA24" s="324">
        <f>'CF Capex'!P41</f>
        <v>15.41</v>
      </c>
      <c r="AB24" s="324">
        <f>'CF Capex'!Q41</f>
        <v>15.41</v>
      </c>
      <c r="AC24" s="324">
        <f>'CF Capex'!R41</f>
        <v>14.387840000000001</v>
      </c>
      <c r="AD24" s="324">
        <f>'CF Capex'!S41</f>
        <v>6.9802263663460469</v>
      </c>
      <c r="AE24" s="324">
        <f>'CF Capex'!T41</f>
        <v>7.0229295543420438</v>
      </c>
      <c r="AF24" s="324">
        <f>'CF Capex'!U41</f>
        <v>1.642767453442044</v>
      </c>
      <c r="AG24" s="324">
        <f>'CF Capex'!V41</f>
        <v>-1.8813410902499612</v>
      </c>
      <c r="AH24" s="324">
        <f>'CF Capex'!W41</f>
        <v>1.0770696508020388</v>
      </c>
      <c r="AI24" s="324">
        <f>'CF Capex'!X41</f>
        <v>-4.0452386702760634E-4</v>
      </c>
      <c r="AJ24" s="324">
        <f>'CF Capex'!Y41</f>
        <v>1.1963627636049723</v>
      </c>
      <c r="AK24" s="324">
        <f>'CF Capex'!Z41</f>
        <v>0.5350104907274682</v>
      </c>
      <c r="AL24" s="324">
        <f>'CF Capex'!AA41</f>
        <v>0.68761436557546807</v>
      </c>
      <c r="AM24" s="324">
        <f>'CF Capex'!AB41</f>
        <v>1.0916114384556419E-2</v>
      </c>
      <c r="AN24" s="324">
        <f>'CF Capex'!AC41</f>
        <v>0.27023211438455652</v>
      </c>
      <c r="AO24" s="324">
        <f>'CF Capex'!AD41</f>
        <v>0.61328971438455637</v>
      </c>
      <c r="AP24" s="324">
        <f>'CF Capex'!AE41</f>
        <v>1.3154882143845565</v>
      </c>
      <c r="AQ24" s="324">
        <f>'CF Capex'!AF41</f>
        <v>0.67583021438455659</v>
      </c>
      <c r="AR24" s="324">
        <f>'CF Capex'!AG41</f>
        <v>-7.6605861544343234E-4</v>
      </c>
      <c r="AS24" s="324">
        <f>'CF Capex'!AH41</f>
        <v>0</v>
      </c>
      <c r="AT24" s="324">
        <f>'CF Capex'!AI41</f>
        <v>0</v>
      </c>
      <c r="AU24" s="324">
        <f>'CF Capex'!AJ41</f>
        <v>0</v>
      </c>
      <c r="AV24" s="324">
        <f>'CF Capex'!AK41</f>
        <v>0</v>
      </c>
      <c r="AW24" s="324">
        <f>'CF Capex'!AL41</f>
        <v>0</v>
      </c>
      <c r="AX24" s="324">
        <f>'CF Capex'!AM41</f>
        <v>0</v>
      </c>
      <c r="AY24" s="324">
        <f>'CF Capex'!AN41</f>
        <v>0</v>
      </c>
      <c r="AZ24" s="324">
        <f>'CF Capex'!AO41</f>
        <v>0</v>
      </c>
      <c r="BA24" s="324">
        <f>'CF Capex'!AP41</f>
        <v>0</v>
      </c>
      <c r="BB24" s="324">
        <f>'CF Capex'!AQ41</f>
        <v>0</v>
      </c>
      <c r="BC24" s="324">
        <f>'CF Capex'!AR41</f>
        <v>0</v>
      </c>
      <c r="BD24" s="324">
        <f>'CF Capex'!AS41</f>
        <v>0</v>
      </c>
      <c r="BE24" s="324">
        <f>'CF Capex'!AT41</f>
        <v>0</v>
      </c>
      <c r="BF24" s="324">
        <f>'CF Capex'!AU41</f>
        <v>0</v>
      </c>
      <c r="BG24" s="324">
        <f>'CF Capex'!AV41</f>
        <v>0</v>
      </c>
      <c r="BH24" s="324">
        <f>'CF Capex'!AW41</f>
        <v>0</v>
      </c>
      <c r="BI24" s="324">
        <f>'CF Capex'!AX41</f>
        <v>0</v>
      </c>
      <c r="BJ24" s="324">
        <f>'CF Capex'!AY41</f>
        <v>0</v>
      </c>
      <c r="BK24" s="324">
        <f>'CF Capex'!AZ41</f>
        <v>0</v>
      </c>
      <c r="BL24" s="324">
        <f>'CF Capex'!BA41</f>
        <v>0</v>
      </c>
      <c r="BM24" s="324">
        <f>'CF Capex'!BB41</f>
        <v>0</v>
      </c>
      <c r="BN24" s="324">
        <f>'CF Capex'!BC41</f>
        <v>0</v>
      </c>
      <c r="BO24" s="324">
        <f>'CF Capex'!BD41</f>
        <v>0</v>
      </c>
      <c r="BP24" s="324">
        <f>'CF Capex'!BE41</f>
        <v>0</v>
      </c>
      <c r="BQ24" s="324">
        <f>'CF Capex'!BF41</f>
        <v>0</v>
      </c>
      <c r="BR24" s="324">
        <f>'CF Capex'!BG41</f>
        <v>0</v>
      </c>
      <c r="BS24" s="324">
        <f>'CF Capex'!BH41</f>
        <v>0</v>
      </c>
      <c r="BT24" s="324">
        <f>'CF Capex'!BI41</f>
        <v>0</v>
      </c>
      <c r="BU24" s="324">
        <f>'CF Capex'!BJ41</f>
        <v>0</v>
      </c>
      <c r="BV24" s="324">
        <f>'CF Capex'!BK41</f>
        <v>0</v>
      </c>
      <c r="BW24" s="324">
        <f>'CF Capex'!BL41</f>
        <v>0</v>
      </c>
      <c r="BX24" s="324">
        <f>'CF Capex'!BM41</f>
        <v>0</v>
      </c>
      <c r="BY24" s="324">
        <f>'CF Capex'!BN41</f>
        <v>0</v>
      </c>
      <c r="BZ24" s="324">
        <f>'CF Capex'!BO41</f>
        <v>0</v>
      </c>
      <c r="CA24" s="324">
        <f>'CF Capex'!BP41</f>
        <v>0</v>
      </c>
      <c r="CB24" s="324">
        <f>'CF Capex'!BQ41</f>
        <v>0</v>
      </c>
      <c r="CC24" s="324">
        <f>'CF Capex'!BR41</f>
        <v>0</v>
      </c>
      <c r="CD24" s="324">
        <f>'CF Capex'!BS41</f>
        <v>0</v>
      </c>
      <c r="CE24" s="324">
        <f>'CF Capex'!BT41</f>
        <v>0</v>
      </c>
      <c r="CF24" s="324">
        <f>'CF Capex'!BU41</f>
        <v>0</v>
      </c>
      <c r="CG24" s="324">
        <f>'CF Capex'!BV41</f>
        <v>0</v>
      </c>
      <c r="CH24" s="324">
        <f>'CF Capex'!BW41</f>
        <v>0</v>
      </c>
      <c r="CI24" s="324">
        <f>'CF Capex'!BX41</f>
        <v>0</v>
      </c>
      <c r="CJ24" s="324">
        <f>'CF Capex'!BY41</f>
        <v>0</v>
      </c>
      <c r="CK24" s="324">
        <f>'CF Capex'!BZ41</f>
        <v>0</v>
      </c>
      <c r="CL24" s="324">
        <f>'CF Capex'!CA41</f>
        <v>0</v>
      </c>
      <c r="CM24" s="324">
        <f>'CF Capex'!CB41</f>
        <v>0</v>
      </c>
      <c r="CN24" s="324">
        <f>'CF Capex'!CC41</f>
        <v>0</v>
      </c>
      <c r="CO24" s="324">
        <f>'CF Capex'!CD41</f>
        <v>0</v>
      </c>
      <c r="CP24" s="324">
        <f>'CF Capex'!CE41</f>
        <v>0</v>
      </c>
      <c r="CQ24" s="324">
        <f>'CF Capex'!CF41</f>
        <v>0</v>
      </c>
      <c r="CR24" s="324">
        <f>'CF Capex'!CG41</f>
        <v>0</v>
      </c>
      <c r="CS24" s="324">
        <f>'CF Capex'!CH41</f>
        <v>0</v>
      </c>
      <c r="CT24" s="324">
        <f>'CF Capex'!CI41</f>
        <v>0</v>
      </c>
      <c r="CU24" s="324">
        <f>'CF Capex'!CJ41</f>
        <v>0</v>
      </c>
      <c r="CV24" s="324">
        <f>'CF Capex'!CK41</f>
        <v>0</v>
      </c>
      <c r="CW24" s="324">
        <f>'CF Capex'!CL41</f>
        <v>0</v>
      </c>
      <c r="CX24" s="324">
        <f>'CF Capex'!CM41</f>
        <v>0</v>
      </c>
      <c r="CY24" s="324">
        <f>'CF Capex'!CN41</f>
        <v>0</v>
      </c>
      <c r="CZ24" s="324">
        <f>'CF Capex'!CO41</f>
        <v>0</v>
      </c>
      <c r="DA24" s="324">
        <f>'CF Capex'!CP41</f>
        <v>0</v>
      </c>
      <c r="DB24" s="324">
        <f>'CF Capex'!CQ41</f>
        <v>0</v>
      </c>
    </row>
    <row r="25" spans="1:106" ht="15">
      <c r="A25" s="319" t="s">
        <v>246</v>
      </c>
      <c r="B25" s="324" t="e">
        <f>SUM('CF Capex'!#REF!)</f>
        <v>#REF!</v>
      </c>
      <c r="C25" s="323" t="e">
        <f>B25+'CF Capex'!#REF!-'CF Capex'!C8</f>
        <v>#REF!</v>
      </c>
      <c r="D25" s="323" t="e">
        <f>C25+'CF Capex'!#REF!-'CF Capex'!D8</f>
        <v>#REF!</v>
      </c>
      <c r="E25" s="323" t="e">
        <f>D25+'CF Capex'!#REF!-'CF Capex'!E8</f>
        <v>#REF!</v>
      </c>
      <c r="F25" s="323" t="e">
        <f>E25+'CF Capex'!#REF!-'CF Capex'!F8</f>
        <v>#REF!</v>
      </c>
      <c r="G25" s="323" t="e">
        <f>F25+'CF Capex'!#REF!-'CF Capex'!G8</f>
        <v>#REF!</v>
      </c>
      <c r="H25" s="323" t="e">
        <f>G25+'CF Capex'!#REF!-'CF Capex'!H8</f>
        <v>#REF!</v>
      </c>
      <c r="I25" s="323" t="e">
        <f>H25+'CF Capex'!#REF!-'CF Capex'!I8</f>
        <v>#REF!</v>
      </c>
      <c r="J25" s="323">
        <v>14.11</v>
      </c>
      <c r="K25" s="323" t="e">
        <f>J25+'CF Capex'!#REF!-'CF Capex'!K8</f>
        <v>#REF!</v>
      </c>
      <c r="L25" s="323" t="e">
        <f>K25+'CF Capex'!#REF!-'CF Capex'!L8</f>
        <v>#REF!</v>
      </c>
      <c r="M25" s="323" t="e">
        <f>L25+'CF Capex'!#REF!-'CF Capex'!M8</f>
        <v>#REF!</v>
      </c>
      <c r="N25" s="323" t="e">
        <f>M25+'CF Capex'!#REF!-'CF Capex'!N8</f>
        <v>#REF!</v>
      </c>
      <c r="O25" s="323" t="e">
        <f>N25+'CF Capex'!#REF!-'CF Capex'!O8</f>
        <v>#REF!</v>
      </c>
      <c r="P25" s="323" t="e">
        <f>O25+'CF Capex'!#REF!-'CF Capex'!P8</f>
        <v>#REF!</v>
      </c>
      <c r="Q25" s="323" t="e">
        <f>P25+'CF Capex'!#REF!-'CF Capex'!Q8</f>
        <v>#REF!</v>
      </c>
      <c r="R25" s="323" t="e">
        <f>Q25+'CF Capex'!#REF!-'CF Capex'!R8</f>
        <v>#REF!</v>
      </c>
      <c r="S25" s="323" t="e">
        <f>R25+'CF Capex'!#REF!-'CF Capex'!S8</f>
        <v>#REF!</v>
      </c>
      <c r="T25" s="323" t="e">
        <f>S25+'CF Capex'!#REF!-'CF Capex'!T8-'Monthly CF'!#REF!</f>
        <v>#REF!</v>
      </c>
      <c r="U25" s="323" t="e">
        <f>T25+'CF Capex'!#REF!-'CF Capex'!U8-'Monthly CF'!#REF!</f>
        <v>#REF!</v>
      </c>
      <c r="V25" s="323">
        <v>17.75</v>
      </c>
      <c r="W25" s="323">
        <f>V25</f>
        <v>17.75</v>
      </c>
      <c r="X25" s="323">
        <f t="shared" ref="X25:CI25" si="21">W25</f>
        <v>17.75</v>
      </c>
      <c r="Y25" s="323">
        <f t="shared" si="21"/>
        <v>17.75</v>
      </c>
      <c r="Z25" s="323">
        <f t="shared" si="21"/>
        <v>17.75</v>
      </c>
      <c r="AA25" s="323">
        <f t="shared" si="21"/>
        <v>17.75</v>
      </c>
      <c r="AB25" s="323">
        <f t="shared" si="21"/>
        <v>17.75</v>
      </c>
      <c r="AC25" s="323">
        <f t="shared" si="21"/>
        <v>17.75</v>
      </c>
      <c r="AD25" s="323">
        <f t="shared" si="21"/>
        <v>17.75</v>
      </c>
      <c r="AE25" s="323">
        <f t="shared" si="21"/>
        <v>17.75</v>
      </c>
      <c r="AF25" s="323">
        <f t="shared" si="21"/>
        <v>17.75</v>
      </c>
      <c r="AG25" s="323">
        <f t="shared" si="21"/>
        <v>17.75</v>
      </c>
      <c r="AH25" s="323">
        <f t="shared" si="21"/>
        <v>17.75</v>
      </c>
      <c r="AI25" s="323">
        <f t="shared" si="21"/>
        <v>17.75</v>
      </c>
      <c r="AJ25" s="323">
        <f t="shared" si="21"/>
        <v>17.75</v>
      </c>
      <c r="AK25" s="323">
        <f t="shared" si="21"/>
        <v>17.75</v>
      </c>
      <c r="AL25" s="323">
        <f t="shared" si="21"/>
        <v>17.75</v>
      </c>
      <c r="AM25" s="323">
        <f t="shared" si="21"/>
        <v>17.75</v>
      </c>
      <c r="AN25" s="323">
        <f>AM25-15</f>
        <v>2.75</v>
      </c>
      <c r="AO25" s="323">
        <f t="shared" si="21"/>
        <v>2.75</v>
      </c>
      <c r="AP25" s="323">
        <f t="shared" si="21"/>
        <v>2.75</v>
      </c>
      <c r="AQ25" s="323">
        <f t="shared" si="21"/>
        <v>2.75</v>
      </c>
      <c r="AR25" s="323">
        <f t="shared" si="21"/>
        <v>2.75</v>
      </c>
      <c r="AS25" s="323">
        <f t="shared" si="21"/>
        <v>2.75</v>
      </c>
      <c r="AT25" s="323">
        <f t="shared" si="21"/>
        <v>2.75</v>
      </c>
      <c r="AU25" s="323">
        <f t="shared" si="21"/>
        <v>2.75</v>
      </c>
      <c r="AV25" s="323">
        <f t="shared" si="21"/>
        <v>2.75</v>
      </c>
      <c r="AW25" s="323">
        <f t="shared" si="21"/>
        <v>2.75</v>
      </c>
      <c r="AX25" s="323">
        <f t="shared" si="21"/>
        <v>2.75</v>
      </c>
      <c r="AY25" s="323">
        <f t="shared" si="21"/>
        <v>2.75</v>
      </c>
      <c r="AZ25" s="323">
        <f t="shared" si="21"/>
        <v>2.75</v>
      </c>
      <c r="BA25" s="323">
        <f t="shared" si="21"/>
        <v>2.75</v>
      </c>
      <c r="BB25" s="323">
        <f t="shared" si="21"/>
        <v>2.75</v>
      </c>
      <c r="BC25" s="323">
        <f t="shared" si="21"/>
        <v>2.75</v>
      </c>
      <c r="BD25" s="323">
        <f t="shared" si="21"/>
        <v>2.75</v>
      </c>
      <c r="BE25" s="323">
        <f t="shared" si="21"/>
        <v>2.75</v>
      </c>
      <c r="BF25" s="323">
        <f t="shared" si="21"/>
        <v>2.75</v>
      </c>
      <c r="BG25" s="323">
        <f t="shared" si="21"/>
        <v>2.75</v>
      </c>
      <c r="BH25" s="323">
        <f t="shared" si="21"/>
        <v>2.75</v>
      </c>
      <c r="BI25" s="323">
        <f t="shared" si="21"/>
        <v>2.75</v>
      </c>
      <c r="BJ25" s="323">
        <f t="shared" si="21"/>
        <v>2.75</v>
      </c>
      <c r="BK25" s="323">
        <f t="shared" si="21"/>
        <v>2.75</v>
      </c>
      <c r="BL25" s="323">
        <f t="shared" si="21"/>
        <v>2.75</v>
      </c>
      <c r="BM25" s="323">
        <f t="shared" si="21"/>
        <v>2.75</v>
      </c>
      <c r="BN25" s="323">
        <f t="shared" si="21"/>
        <v>2.75</v>
      </c>
      <c r="BO25" s="323">
        <f t="shared" si="21"/>
        <v>2.75</v>
      </c>
      <c r="BP25" s="323">
        <f t="shared" si="21"/>
        <v>2.75</v>
      </c>
      <c r="BQ25" s="323">
        <f t="shared" si="21"/>
        <v>2.75</v>
      </c>
      <c r="BR25" s="323">
        <f t="shared" si="21"/>
        <v>2.75</v>
      </c>
      <c r="BS25" s="323">
        <f t="shared" si="21"/>
        <v>2.75</v>
      </c>
      <c r="BT25" s="323">
        <f t="shared" si="21"/>
        <v>2.75</v>
      </c>
      <c r="BU25" s="323">
        <f t="shared" si="21"/>
        <v>2.75</v>
      </c>
      <c r="BV25" s="323">
        <f t="shared" si="21"/>
        <v>2.75</v>
      </c>
      <c r="BW25" s="323">
        <f t="shared" si="21"/>
        <v>2.75</v>
      </c>
      <c r="BX25" s="323">
        <f t="shared" si="21"/>
        <v>2.75</v>
      </c>
      <c r="BY25" s="323">
        <f t="shared" si="21"/>
        <v>2.75</v>
      </c>
      <c r="BZ25" s="323">
        <f t="shared" si="21"/>
        <v>2.75</v>
      </c>
      <c r="CA25" s="323">
        <f t="shared" si="21"/>
        <v>2.75</v>
      </c>
      <c r="CB25" s="323">
        <f t="shared" si="21"/>
        <v>2.75</v>
      </c>
      <c r="CC25" s="323">
        <f t="shared" si="21"/>
        <v>2.75</v>
      </c>
      <c r="CD25" s="323">
        <f t="shared" si="21"/>
        <v>2.75</v>
      </c>
      <c r="CE25" s="323">
        <f t="shared" si="21"/>
        <v>2.75</v>
      </c>
      <c r="CF25" s="323">
        <f t="shared" si="21"/>
        <v>2.75</v>
      </c>
      <c r="CG25" s="323">
        <f t="shared" si="21"/>
        <v>2.75</v>
      </c>
      <c r="CH25" s="323">
        <f t="shared" si="21"/>
        <v>2.75</v>
      </c>
      <c r="CI25" s="323">
        <f t="shared" si="21"/>
        <v>2.75</v>
      </c>
      <c r="CJ25" s="323">
        <f t="shared" ref="CJ25:DB25" si="22">CI25</f>
        <v>2.75</v>
      </c>
      <c r="CK25" s="323">
        <f t="shared" si="22"/>
        <v>2.75</v>
      </c>
      <c r="CL25" s="323">
        <f t="shared" si="22"/>
        <v>2.75</v>
      </c>
      <c r="CM25" s="323">
        <f t="shared" si="22"/>
        <v>2.75</v>
      </c>
      <c r="CN25" s="323">
        <f t="shared" si="22"/>
        <v>2.75</v>
      </c>
      <c r="CO25" s="323">
        <f t="shared" si="22"/>
        <v>2.75</v>
      </c>
      <c r="CP25" s="323">
        <f t="shared" si="22"/>
        <v>2.75</v>
      </c>
      <c r="CQ25" s="323">
        <f t="shared" si="22"/>
        <v>2.75</v>
      </c>
      <c r="CR25" s="323">
        <f t="shared" si="22"/>
        <v>2.75</v>
      </c>
      <c r="CS25" s="323">
        <f t="shared" si="22"/>
        <v>2.75</v>
      </c>
      <c r="CT25" s="323">
        <f t="shared" si="22"/>
        <v>2.75</v>
      </c>
      <c r="CU25" s="323">
        <f t="shared" si="22"/>
        <v>2.75</v>
      </c>
      <c r="CV25" s="323">
        <f t="shared" si="22"/>
        <v>2.75</v>
      </c>
      <c r="CW25" s="323">
        <f t="shared" si="22"/>
        <v>2.75</v>
      </c>
      <c r="CX25" s="323">
        <f t="shared" si="22"/>
        <v>2.75</v>
      </c>
      <c r="CY25" s="323">
        <f t="shared" si="22"/>
        <v>2.75</v>
      </c>
      <c r="CZ25" s="323">
        <f t="shared" si="22"/>
        <v>2.75</v>
      </c>
      <c r="DA25" s="323">
        <f t="shared" si="22"/>
        <v>2.75</v>
      </c>
      <c r="DB25" s="323">
        <f t="shared" si="22"/>
        <v>2.75</v>
      </c>
    </row>
    <row r="26" spans="1:106" ht="15">
      <c r="A26" s="319" t="s">
        <v>347</v>
      </c>
      <c r="B26" s="324">
        <v>37.74</v>
      </c>
      <c r="C26" s="323">
        <f>B26+'Monthly PL'!D11-SUM('Monthly CF'!B4:B13)</f>
        <v>41.077439274666666</v>
      </c>
      <c r="D26" s="323">
        <f>C26+'Monthly PL'!E11-SUM('Monthly CF'!C4:C13)</f>
        <v>47.292758272</v>
      </c>
      <c r="E26" s="323">
        <f>D26+'Monthly PL'!F11-SUM('Monthly CF'!D4:D13)</f>
        <v>50.771762559999999</v>
      </c>
      <c r="F26" s="323">
        <f>E26+'Monthly PL'!G11-SUM('Monthly CF'!E4:E13)</f>
        <v>56.049281843199999</v>
      </c>
      <c r="G26" s="323">
        <f>F26+'Monthly PL'!H11-SUM('Monthly CF'!F4:F13)</f>
        <v>59.669851144533332</v>
      </c>
      <c r="H26" s="323">
        <f>G26+'Monthly PL'!I11-SUM('Monthly CF'!G4:G13)</f>
        <v>65.20918103466667</v>
      </c>
      <c r="I26" s="323">
        <f>H26+'Monthly PL'!J11-SUM('Monthly CF'!H4:H13)</f>
        <v>69.562199125333336</v>
      </c>
      <c r="J26" s="323">
        <v>30.8</v>
      </c>
      <c r="K26" s="323">
        <f>J26+'Monthly PL'!L11-SUM('Monthly CF'!J4:J13)</f>
        <v>33.795926399999999</v>
      </c>
      <c r="L26" s="323">
        <f>K26+'Monthly PL'!M11-SUM('Monthly CF'!K4:K13)</f>
        <v>39.608618911999997</v>
      </c>
      <c r="M26" s="323">
        <f>L26+'Monthly PL'!N11-SUM('Monthly CF'!L4:L13)</f>
        <v>42.652674591999997</v>
      </c>
      <c r="N26" s="323">
        <f>M26+'Monthly PL'!O11-SUM('Monthly CF'!M4:M13)</f>
        <v>49.007708095999995</v>
      </c>
      <c r="O26" s="323">
        <f>N26+'Monthly PL'!P11-SUM('Monthly CF'!N4:N13)</f>
        <v>52.503482399999996</v>
      </c>
      <c r="P26" s="323">
        <f>O26+'Monthly PL'!Q11-SUM('Monthly CF'!O4:O13)</f>
        <v>59.053787791999994</v>
      </c>
      <c r="Q26" s="323">
        <v>32.85</v>
      </c>
      <c r="R26" s="323">
        <f>Q26+'Monthly PL'!S11-SUM('Monthly CF'!Q4:Q13)</f>
        <v>39.439541840000004</v>
      </c>
      <c r="S26" s="323">
        <f>R26+'Monthly PL'!T11-SUM('Monthly CF'!R4:R13)</f>
        <v>42.897422256000006</v>
      </c>
      <c r="T26" s="323">
        <f>S26+'Monthly PL'!U11-SUM('Monthly CF'!S4:S13)</f>
        <v>49.729006880000007</v>
      </c>
      <c r="U26" s="323">
        <f>T26+'Monthly PL'!V11-SUM('Monthly CF'!T4:T13)</f>
        <v>52.965682592000007</v>
      </c>
      <c r="V26" s="323">
        <v>13.54</v>
      </c>
      <c r="W26" s="323">
        <f>V26+'Monthly PL'!X11-SUM('Monthly CF'!V4:V13)</f>
        <v>10.127583328</v>
      </c>
      <c r="X26" s="323">
        <f>W26+'Monthly PL'!Y11-SUM('Monthly CF'!W4:W13)</f>
        <v>13.658270688</v>
      </c>
      <c r="Y26" s="323">
        <f>X26+'Monthly PL'!Z11-+'Monthly PL'!Z10-SUM('Monthly CF'!X4:X13)</f>
        <v>10.194847328000002</v>
      </c>
      <c r="Z26" s="323">
        <f>Y26+'Monthly PL'!AA11-+'Monthly PL'!AA10-SUM('Monthly CF'!Y4:Y13)</f>
        <v>13.796161887999997</v>
      </c>
      <c r="AA26" s="323">
        <f>Z26+'Monthly PL'!AB11-+'Monthly PL'!AB10-SUM('Monthly CF'!Z4:Z13)</f>
        <v>10.363455754666662</v>
      </c>
      <c r="AB26" s="323">
        <f>AA26+'Monthly PL'!AC11-+'Monthly PL'!AC10-SUM('Monthly CF'!AA4:AA13)</f>
        <v>13.77015314133333</v>
      </c>
      <c r="AC26" s="323">
        <f>AB26+'Monthly PL'!AD11-+'Monthly PL'!AD10-SUM('Monthly CF'!AB4:AB13)</f>
        <v>10.391258207999995</v>
      </c>
      <c r="AD26" s="323">
        <f>AC26+'Monthly PL'!AE11-+'Monthly PL'!AE10-SUM('Monthly CF'!AC4:AC13)</f>
        <v>13.740047967999994</v>
      </c>
      <c r="AE26" s="323">
        <f>AD26+'Monthly PL'!AF11-+'Monthly PL'!AF10-SUM('Monthly CF'!AD4:AD13)</f>
        <v>10.334695861333326</v>
      </c>
      <c r="AF26" s="323">
        <f>AE26+'Monthly PL'!AG11-+'Monthly PL'!AG10-SUM('Monthly CF'!AE4:AE13)</f>
        <v>13.969866634666658</v>
      </c>
      <c r="AG26" s="323">
        <f>AF26+'Monthly PL'!AH11-+'Monthly PL'!AH10-SUM('Monthly CF'!AF4:AF13)</f>
        <v>13.010034954666658</v>
      </c>
      <c r="AH26" s="323">
        <f>AG26+'Monthly PL'!AI11-+'Monthly PL'!AI10-SUM('Monthly CF'!AG4:AG13)</f>
        <v>7.6018171199999927</v>
      </c>
      <c r="AI26" s="323">
        <f>AH26+'Monthly PL'!AJ11-+'Monthly PL'!AJ10-SUM('Monthly CF'!AH4:AH13)</f>
        <v>4.1511830335999917</v>
      </c>
      <c r="AJ26" s="323">
        <f>AI26+'Monthly PL'!AK11-+'Monthly PL'!AK10-SUM('Monthly CF'!AI4:AI13)</f>
        <v>8.2048594284799901</v>
      </c>
      <c r="AK26" s="323">
        <f>AJ26+'Monthly PL'!AL11-+'Monthly PL'!AL10-SUM('Monthly CF'!AJ4:AJ13)</f>
        <v>4.2088148287999907</v>
      </c>
      <c r="AL26" s="323">
        <f>AK26+'Monthly PL'!AM11-+'Monthly PL'!AM10-SUM('Monthly CF'!AK4:AK13)</f>
        <v>8.3230046086399909</v>
      </c>
      <c r="AM26" s="323">
        <f>AL26+'Monthly PL'!AN11-+'Monthly PL'!AN10-SUM('Monthly CF'!AL4:AL13)</f>
        <v>4.3975589580799923</v>
      </c>
      <c r="AN26" s="323">
        <f>AM26+'Monthly PL'!AO11-+'Monthly PL'!AO10-SUM('Monthly CF'!AM4:AM13)</f>
        <v>8.3085966598399921</v>
      </c>
      <c r="AO26" s="323">
        <f>AN26+'Monthly PL'!AP11-+'Monthly PL'!AP10-SUM('Monthly CF'!AN4:AN13)</f>
        <v>4.3869202995199927</v>
      </c>
      <c r="AP26" s="323">
        <f>AO26+'Monthly PL'!AQ11-+'Monthly PL'!AQ10-SUM('Monthly CF'!AO4:AO13)</f>
        <v>8.3546292665599911</v>
      </c>
      <c r="AQ26" s="323">
        <f>AP26+'Monthly PL'!AR11-+'Monthly PL'!AR10-SUM('Monthly CF'!AP4:AP13)</f>
        <v>4.4464731545599925</v>
      </c>
      <c r="AR26" s="323">
        <f>AQ26+'Monthly PL'!AS11-+'Monthly PL'!AS10-SUM('Monthly CF'!AQ4:AQ13)</f>
        <v>8.6767916020591933</v>
      </c>
      <c r="AS26" s="323">
        <f>AR26+'Monthly PL'!AT11-+'Monthly PL'!AT10-SUM('Monthly CF'!AR4:AR13)</f>
        <v>4.2335632931551928</v>
      </c>
      <c r="AT26" s="323">
        <f>AS26+'Monthly PL'!AU11-+'Monthly PL'!AU10-SUM('Monthly CF'!AS4:AS13)</f>
        <v>8.6596659539167913</v>
      </c>
      <c r="AU26" s="323">
        <f>AT26+'Monthly PL'!AV11-+'Monthly PL'!AV10-SUM('Monthly CF'!AT4:AT13)</f>
        <v>4.6212481771471907</v>
      </c>
      <c r="AV26" s="323">
        <f>AU26+'Monthly PL'!AW11-+'Monthly PL'!AW10-SUM('Monthly CF'!AU4:AU13)</f>
        <v>9.2209783574237498</v>
      </c>
      <c r="AW26" s="323">
        <f>AV26+'Monthly PL'!AX11-+'Monthly PL'!AX10-SUM('Monthly CF'!AV4:AV13)</f>
        <v>4.6515048696271908</v>
      </c>
      <c r="AX26" s="323">
        <f>AW26+'Monthly PL'!AY11-+'Monthly PL'!AY10-SUM('Monthly CF'!AW4:AW13)</f>
        <v>9.2830045770077483</v>
      </c>
      <c r="AY26" s="323">
        <f>AX26+'Monthly PL'!AZ11-+'Monthly PL'!AZ10-SUM('Monthly CF'!AX4:AX13)</f>
        <v>4.8290574445774297</v>
      </c>
      <c r="AZ26" s="323">
        <f>AY26+'Monthly PL'!BA11-+'Monthly PL'!BA10-SUM('Monthly CF'!AY4:AY13)</f>
        <v>9.1969784968095105</v>
      </c>
      <c r="BA26" s="323">
        <f>AZ26+'Monthly PL'!BB11-+'Monthly PL'!BB10-SUM('Monthly CF'!AZ4:AZ13)</f>
        <v>4.8603226934734316</v>
      </c>
      <c r="BB26" s="323">
        <f>BA26+'Monthly PL'!BC11-+'Monthly PL'!BC10-SUM('Monthly CF'!BA4:BA13)</f>
        <v>9.2579961599775089</v>
      </c>
      <c r="BC26" s="323">
        <f>BB26+'Monthly PL'!BD11-+'Monthly PL'!BD10-SUM('Monthly CF'!BB4:BB13)</f>
        <v>4.89158794236943</v>
      </c>
      <c r="BD26" s="323">
        <f>BC26+'Monthly PL'!BE11-+'Monthly PL'!BE10-SUM('Monthly CF'!BC4:BC13)</f>
        <v>9.5437397334108702</v>
      </c>
      <c r="BE26" s="323">
        <f>BD26+'Monthly PL'!BF11-+'Monthly PL'!BF10-SUM('Monthly CF'!BD4:BD13)</f>
        <v>4.4718885361107112</v>
      </c>
      <c r="BF26" s="323">
        <f>BE26+'Monthly PL'!BG11-+'Monthly PL'!BG10-SUM('Monthly CF'!BE4:BE13)</f>
        <v>9.3807879036255102</v>
      </c>
      <c r="BG26" s="323">
        <f>BF26+'Monthly PL'!BH11-+'Monthly PL'!BH10-SUM('Monthly CF'!BF4:BF13)</f>
        <v>5.6985051721793987</v>
      </c>
      <c r="BH26" s="323">
        <f>BG26+'Monthly PL'!BI11-+'Monthly PL'!BI10-SUM('Monthly CF'!BG4:BG13)</f>
        <v>11.419967378804184</v>
      </c>
      <c r="BI26" s="323">
        <f>BH26+'Monthly PL'!BJ11-+'Monthly PL'!BJ10-SUM('Monthly CF'!BH4:BH13)</f>
        <v>5.7166485505489497</v>
      </c>
      <c r="BJ26" s="323">
        <f>BI26+'Monthly PL'!BK11-+'Monthly PL'!BK10-SUM('Monthly CF'!BI4:BI13)</f>
        <v>11.457161304461756</v>
      </c>
      <c r="BK26" s="323">
        <f>BJ26+'Monthly PL'!BL11-+'Monthly PL'!BL10-SUM('Monthly CF'!BJ4:BJ13)</f>
        <v>5.9171888236157812</v>
      </c>
      <c r="BL26" s="323">
        <f>BK26+'Monthly PL'!BM11-+'Monthly PL'!BM10-SUM('Monthly CF'!BK4:BK13)</f>
        <v>11.311504750962809</v>
      </c>
      <c r="BM26" s="323">
        <f>BL26+'Monthly PL'!BN11-+'Monthly PL'!BN10-SUM('Monthly CF'!BL4:BL13)</f>
        <v>5.9359369812643177</v>
      </c>
      <c r="BN26" s="323">
        <f>BM26+'Monthly PL'!BO11-+'Monthly PL'!BO10-SUM('Monthly CF'!BM4:BM13)</f>
        <v>11.348093897341407</v>
      </c>
      <c r="BO26" s="323">
        <f>BN26+'Monthly PL'!BP11-+'Monthly PL'!BP10-SUM('Monthly CF'!BN4:BN13)</f>
        <v>5.9546851389128523</v>
      </c>
      <c r="BP26" s="323">
        <f>BO26+'Monthly PL'!BQ11-+'Monthly PL'!BQ10-SUM('Monthly CF'!BO4:BO13)</f>
        <v>11.660546308062116</v>
      </c>
      <c r="BQ26" s="323">
        <f>BP26+'Monthly PL'!BR11-+'Monthly PL'!BR10-SUM('Monthly CF'!BP4:BP13)</f>
        <v>5.4207995989586717</v>
      </c>
      <c r="BR26" s="323">
        <f>BQ26+'Monthly PL'!BS11-+'Monthly PL'!BS10-SUM('Monthly CF'!BQ4:BQ13)</f>
        <v>11.421725774557828</v>
      </c>
      <c r="BS26" s="323">
        <f>BR26+'Monthly PL'!BT11-+'Monthly PL'!BT10-SUM('Monthly CF'!BR4:BR13)</f>
        <v>6.4270426584763296</v>
      </c>
      <c r="BT26" s="323">
        <f>BS26+'Monthly PL'!BU11-+'Monthly PL'!BU10-SUM('Monthly CF'!BS4:BS13)</f>
        <v>12.915040762456961</v>
      </c>
      <c r="BU26" s="323">
        <f>BT26+'Monthly PL'!BV11-+'Monthly PL'!BV10-SUM('Monthly CF'!BT4:BT13)</f>
        <v>6.4472138261930638</v>
      </c>
      <c r="BV26" s="323">
        <f>BU26+'Monthly PL'!BW11-+'Monthly PL'!BW10-SUM('Monthly CF'!BU4:BU13)</f>
        <v>12.956391656276264</v>
      </c>
      <c r="BW26" s="323">
        <f>BV26+'Monthly PL'!BX11-+'Monthly PL'!BX10-SUM('Monthly CF'!BV4:BV13)</f>
        <v>6.6742016574401237</v>
      </c>
      <c r="BX26" s="323">
        <f>BW26+'Monthly PL'!BY11-+'Monthly PL'!BY10-SUM('Monthly CF'!BW4:BW13)</f>
        <v>12.790421607372323</v>
      </c>
      <c r="BY26" s="323">
        <f>BX26+'Monthly PL'!BZ11-+'Monthly PL'!BZ10-SUM('Monthly CF'!BX4:BX13)</f>
        <v>6.6950451974140819</v>
      </c>
      <c r="BZ26" s="323">
        <f>BY26+'Monthly PL'!CA11-+'Monthly PL'!CA10-SUM('Monthly CF'!BY4:BY13)</f>
        <v>12.8311001289344</v>
      </c>
      <c r="CA26" s="323">
        <f>BZ26+'Monthly PL'!CB11-+'Monthly PL'!CB10-SUM('Monthly CF'!BZ4:BZ13)</f>
        <v>6.7158887373880418</v>
      </c>
      <c r="CB26" s="323">
        <f>CA26+'Monthly PL'!CC11-+'Monthly PL'!CC10-SUM('Monthly CF'!CA4:CA13)</f>
        <v>13.297259206047993</v>
      </c>
      <c r="CC26" s="323">
        <f>CB26+'Monthly PL'!CD11-+'Monthly PL'!CD10-SUM('Monthly CF'!CB4:CB13)</f>
        <v>6.1782233300426981</v>
      </c>
      <c r="CD26" s="323">
        <f>CC26+'Monthly PL'!CE11-+'Monthly PL'!CE10-SUM('Monthly CF'!CC4:CC13)</f>
        <v>13.060055362452083</v>
      </c>
      <c r="CE26" s="323">
        <f>CD26+'Monthly PL'!CF11-+'Monthly PL'!CF10-SUM('Monthly CF'!CD4:CD13)</f>
        <v>6.9390666122855205</v>
      </c>
      <c r="CF26" s="323">
        <f>CE26+'Monthly PL'!CG11-+'Monthly PL'!CG10-SUM('Monthly CF'!CE4:CE13)</f>
        <v>13.965662364325635</v>
      </c>
      <c r="CG26" s="323">
        <f>CF26+'Monthly PL'!CH11-+'Monthly PL'!CH10-SUM('Monthly CF'!CF4:CF13)</f>
        <v>6.9604926142730061</v>
      </c>
      <c r="CH26" s="323">
        <f>CG26+'Monthly PL'!CI11-+'Monthly PL'!CI10-SUM('Monthly CF'!CG4:CG13)</f>
        <v>14.009585668399986</v>
      </c>
      <c r="CI26" s="323">
        <f>CH26+'Monthly PL'!CJ11-+'Monthly PL'!CJ10-SUM('Monthly CF'!CH4:CH13)</f>
        <v>7.2058864005358423</v>
      </c>
      <c r="CJ26" s="323">
        <f>CI26+'Monthly PL'!CK11-+'Monthly PL'!CK10-SUM('Monthly CF'!CI4:CI13)</f>
        <v>13.829005538149289</v>
      </c>
      <c r="CK26" s="323">
        <f>CJ26+'Monthly PL'!CL11-+'Monthly PL'!CL10-SUM('Monthly CF'!CJ4:CJ13)</f>
        <v>7.2280266025895763</v>
      </c>
      <c r="CL26" s="323">
        <f>CK26+'Monthly PL'!CM11-+'Monthly PL'!CM10-SUM('Monthly CF'!CK4:CK13)</f>
        <v>13.872214642157385</v>
      </c>
      <c r="CM26" s="323">
        <f>CL26+'Monthly PL'!CN11-+'Monthly PL'!CN10-SUM('Monthly CF'!CL4:CL13)</f>
        <v>7.2501668046433103</v>
      </c>
      <c r="CN26" s="323">
        <f>CM26+'Monthly PL'!CO11-+'Monthly PL'!CO10-SUM('Monthly CF'!CM4:CM13)</f>
        <v>14.254053672826943</v>
      </c>
      <c r="CO26" s="323">
        <f>CN26+'Monthly PL'!CP11-+'Monthly PL'!CP10-SUM('Monthly CF'!CN4:CN13)</f>
        <v>6.8200862377488516</v>
      </c>
      <c r="CP26" s="323">
        <f>CO26+'Monthly PL'!CQ11-+'Monthly PL'!CQ10-SUM('Monthly CF'!CO4:CO13)</f>
        <v>14.072223692460314</v>
      </c>
      <c r="CQ26" s="323">
        <f>CP26+'Monthly PL'!CR11-+'Monthly PL'!CR10-SUM('Monthly CF'!CP4:CP13)</f>
        <v>7.4078595010209565</v>
      </c>
      <c r="CR26" s="323">
        <f>CQ26+'Monthly PL'!CS11-+'Monthly PL'!CS10-SUM('Monthly CF'!CQ4:CQ13)</f>
        <v>14.927518043810297</v>
      </c>
      <c r="CS26" s="323">
        <f>CR26+'Monthly PL'!CT11-+'Monthly PL'!CT10-SUM('Monthly CF'!CR4:CR13)</f>
        <v>7.43035680310782</v>
      </c>
      <c r="CT26" s="323">
        <f>CS26+'Monthly PL'!CU11-+'Monthly PL'!CU10-SUM('Monthly CF'!CS4:CS13)</f>
        <v>14.973637513088358</v>
      </c>
      <c r="CU26" s="323">
        <f>CT26+'Monthly PL'!CV11-+'Monthly PL'!CV10-SUM('Monthly CF'!CT4:CT13)</f>
        <v>7.6925197391011704</v>
      </c>
      <c r="CV26" s="323">
        <f>CU26+'Monthly PL'!CW11-+'Monthly PL'!CW10-SUM('Monthly CF'!CU4:CU13)</f>
        <v>-1.0469870000129333E-3</v>
      </c>
      <c r="CW26" s="323">
        <f>CV26+'Monthly PL'!CX11-+'Monthly PL'!CX10-SUM('Monthly CF'!CV4:CV13)</f>
        <v>-1.0469870000129333E-3</v>
      </c>
      <c r="CX26" s="323">
        <f>CW26+'Monthly PL'!CY11-+'Monthly PL'!CY10-SUM('Monthly CF'!CW4:CW13)</f>
        <v>-1.0469870000129333E-3</v>
      </c>
      <c r="CY26" s="323">
        <f>CX26+'Monthly PL'!CZ11-+'Monthly PL'!CZ10-SUM('Monthly CF'!CX4:CX13)</f>
        <v>-1.0469870000129333E-3</v>
      </c>
      <c r="CZ26" s="323">
        <f>CY26+'Monthly PL'!DA11-+'Monthly PL'!DA10-SUM('Monthly CF'!CY4:CY13)</f>
        <v>-1.0469870000129333E-3</v>
      </c>
      <c r="DA26" s="323">
        <f>CZ26+'Monthly PL'!DB11-+'Monthly PL'!DB10-SUM('Monthly CF'!CZ4:CZ13)</f>
        <v>-1.0469870000129333E-3</v>
      </c>
      <c r="DB26" s="323">
        <f>DA26+'Monthly PL'!DC11-+'Monthly PL'!DC10-SUM('Monthly CF'!DA4:DA13)</f>
        <v>-1.0469870000129333E-3</v>
      </c>
    </row>
    <row r="27" spans="1:106" ht="12.75" thickBot="1">
      <c r="A27" s="321" t="s">
        <v>29</v>
      </c>
      <c r="B27" s="326" t="e">
        <f t="shared" ref="B27:AG27" si="23">SUM(B21:B26)</f>
        <v>#REF!</v>
      </c>
      <c r="C27" s="326" t="e">
        <f t="shared" si="23"/>
        <v>#REF!</v>
      </c>
      <c r="D27" s="326" t="e">
        <f t="shared" si="23"/>
        <v>#REF!</v>
      </c>
      <c r="E27" s="326" t="e">
        <f t="shared" si="23"/>
        <v>#REF!</v>
      </c>
      <c r="F27" s="326" t="e">
        <f t="shared" si="23"/>
        <v>#REF!</v>
      </c>
      <c r="G27" s="326" t="e">
        <f t="shared" si="23"/>
        <v>#REF!</v>
      </c>
      <c r="H27" s="326" t="e">
        <f t="shared" si="23"/>
        <v>#REF!</v>
      </c>
      <c r="I27" s="326" t="e">
        <f t="shared" si="23"/>
        <v>#REF!</v>
      </c>
      <c r="J27" s="326">
        <f t="shared" si="23"/>
        <v>277.31717761160246</v>
      </c>
      <c r="K27" s="326" t="e">
        <f t="shared" si="23"/>
        <v>#REF!</v>
      </c>
      <c r="L27" s="326" t="e">
        <f t="shared" si="23"/>
        <v>#REF!</v>
      </c>
      <c r="M27" s="326" t="e">
        <f t="shared" si="23"/>
        <v>#REF!</v>
      </c>
      <c r="N27" s="326" t="e">
        <f t="shared" si="23"/>
        <v>#REF!</v>
      </c>
      <c r="O27" s="326" t="e">
        <f t="shared" si="23"/>
        <v>#REF!</v>
      </c>
      <c r="P27" s="326" t="e">
        <f t="shared" si="23"/>
        <v>#REF!</v>
      </c>
      <c r="Q27" s="326" t="e">
        <f t="shared" si="23"/>
        <v>#REF!</v>
      </c>
      <c r="R27" s="326" t="e">
        <f t="shared" si="23"/>
        <v>#REF!</v>
      </c>
      <c r="S27" s="326" t="e">
        <f t="shared" si="23"/>
        <v>#REF!</v>
      </c>
      <c r="T27" s="326" t="e">
        <f t="shared" si="23"/>
        <v>#REF!</v>
      </c>
      <c r="U27" s="326" t="e">
        <f t="shared" si="23"/>
        <v>#REF!</v>
      </c>
      <c r="V27" s="326">
        <f t="shared" si="23"/>
        <v>281.30287539785445</v>
      </c>
      <c r="W27" s="326">
        <f t="shared" si="23"/>
        <v>278.49507074819638</v>
      </c>
      <c r="X27" s="326">
        <f t="shared" si="23"/>
        <v>278.63052934927282</v>
      </c>
      <c r="Y27" s="326">
        <f t="shared" si="23"/>
        <v>274.51753849886433</v>
      </c>
      <c r="Z27" s="326">
        <f t="shared" si="23"/>
        <v>274.65503459222043</v>
      </c>
      <c r="AA27" s="326">
        <f t="shared" si="23"/>
        <v>325.35914540383391</v>
      </c>
      <c r="AB27" s="326">
        <f t="shared" si="23"/>
        <v>326.01095680020649</v>
      </c>
      <c r="AC27" s="326">
        <f t="shared" si="23"/>
        <v>322.70256445875185</v>
      </c>
      <c r="AD27" s="326">
        <f t="shared" si="23"/>
        <v>322.8637589454836</v>
      </c>
      <c r="AE27" s="326">
        <f t="shared" si="23"/>
        <v>319.40354015233822</v>
      </c>
      <c r="AF27" s="326">
        <f t="shared" si="23"/>
        <v>320.07190558510388</v>
      </c>
      <c r="AG27" s="326">
        <f t="shared" si="23"/>
        <v>319.84292389721571</v>
      </c>
      <c r="AH27" s="326">
        <f t="shared" ref="AH27:CS27" si="24">SUM(AH21:AH26)</f>
        <v>271.69605873224941</v>
      </c>
      <c r="AI27" s="326">
        <f t="shared" si="24"/>
        <v>266.66138560498791</v>
      </c>
      <c r="AJ27" s="326">
        <f t="shared" si="24"/>
        <v>264.84139688187071</v>
      </c>
      <c r="AK27" s="326">
        <f t="shared" si="24"/>
        <v>259.74612647463886</v>
      </c>
      <c r="AL27" s="326">
        <f t="shared" si="24"/>
        <v>258.48143263283487</v>
      </c>
      <c r="AM27" s="326">
        <f t="shared" si="24"/>
        <v>253.75959253553492</v>
      </c>
      <c r="AN27" s="326">
        <f t="shared" si="24"/>
        <v>251.96273047213035</v>
      </c>
      <c r="AO27" s="326">
        <f t="shared" si="24"/>
        <v>247.07307179659071</v>
      </c>
      <c r="AP27" s="326">
        <f t="shared" si="24"/>
        <v>249.60425791210616</v>
      </c>
      <c r="AQ27" s="326">
        <f t="shared" si="24"/>
        <v>246.23568065574713</v>
      </c>
      <c r="AR27" s="326">
        <f t="shared" si="24"/>
        <v>250.55027899015332</v>
      </c>
      <c r="AS27" s="326">
        <f t="shared" si="24"/>
        <v>246.35605282617041</v>
      </c>
      <c r="AT27" s="326">
        <f t="shared" si="24"/>
        <v>206.81789852475498</v>
      </c>
      <c r="AU27" s="326">
        <f t="shared" si="24"/>
        <v>203.07161427601741</v>
      </c>
      <c r="AV27" s="326">
        <f t="shared" si="24"/>
        <v>207.31928025116437</v>
      </c>
      <c r="AW27" s="326">
        <f t="shared" si="24"/>
        <v>200.46719514567914</v>
      </c>
      <c r="AX27" s="326">
        <f t="shared" si="24"/>
        <v>204.75676611184281</v>
      </c>
      <c r="AY27" s="326">
        <f t="shared" si="24"/>
        <v>199.48367226864372</v>
      </c>
      <c r="AZ27" s="326">
        <f t="shared" si="24"/>
        <v>203.49157742751154</v>
      </c>
      <c r="BA27" s="326">
        <f t="shared" si="24"/>
        <v>198.34254722836957</v>
      </c>
      <c r="BB27" s="326">
        <f t="shared" si="24"/>
        <v>202.37723805459626</v>
      </c>
      <c r="BC27" s="326">
        <f t="shared" si="24"/>
        <v>197.19151151524301</v>
      </c>
      <c r="BD27" s="326">
        <f t="shared" si="24"/>
        <v>201.48001159706871</v>
      </c>
      <c r="BE27" s="326">
        <f t="shared" si="24"/>
        <v>195.55620709328656</v>
      </c>
      <c r="BF27" s="326">
        <f t="shared" si="24"/>
        <v>153.18245665378936</v>
      </c>
      <c r="BG27" s="326">
        <f t="shared" si="24"/>
        <v>148.6013401349062</v>
      </c>
      <c r="BH27" s="326">
        <f t="shared" si="24"/>
        <v>154.52743408974504</v>
      </c>
      <c r="BI27" s="326">
        <f t="shared" si="24"/>
        <v>147.89778976100192</v>
      </c>
      <c r="BJ27" s="326">
        <f t="shared" si="24"/>
        <v>153.8563003617792</v>
      </c>
      <c r="BK27" s="326">
        <f t="shared" si="24"/>
        <v>148.85902685908152</v>
      </c>
      <c r="BL27" s="326">
        <f t="shared" si="24"/>
        <v>154.48208775107005</v>
      </c>
      <c r="BM27" s="326">
        <f t="shared" si="24"/>
        <v>149.64087100278516</v>
      </c>
      <c r="BN27" s="326">
        <f t="shared" si="24"/>
        <v>155.28219057223131</v>
      </c>
      <c r="BO27" s="326">
        <f t="shared" si="24"/>
        <v>150.42411047155485</v>
      </c>
      <c r="BP27" s="326">
        <f t="shared" si="24"/>
        <v>156.35801927717091</v>
      </c>
      <c r="BQ27" s="326">
        <f t="shared" si="24"/>
        <v>150.67170606277205</v>
      </c>
      <c r="BR27" s="326">
        <f t="shared" si="24"/>
        <v>110.2824270091362</v>
      </c>
      <c r="BS27" s="326">
        <f t="shared" si="24"/>
        <v>105.82628070199902</v>
      </c>
      <c r="BT27" s="326">
        <f t="shared" si="24"/>
        <v>112.61171236844791</v>
      </c>
      <c r="BU27" s="326">
        <f t="shared" si="24"/>
        <v>105.77973199259394</v>
      </c>
      <c r="BV27" s="326">
        <f t="shared" si="24"/>
        <v>112.5966571482805</v>
      </c>
      <c r="BW27" s="326">
        <f t="shared" si="24"/>
        <v>107.05222067469354</v>
      </c>
      <c r="BX27" s="326">
        <f t="shared" si="24"/>
        <v>115.31057895743459</v>
      </c>
      <c r="BY27" s="326">
        <f t="shared" si="24"/>
        <v>109.92583886936933</v>
      </c>
      <c r="BZ27" s="326">
        <f t="shared" si="24"/>
        <v>116.36834210682588</v>
      </c>
      <c r="CA27" s="326">
        <f t="shared" si="24"/>
        <v>112.78530637132711</v>
      </c>
      <c r="CB27" s="326">
        <f t="shared" si="24"/>
        <v>119.64321090508476</v>
      </c>
      <c r="CC27" s="326">
        <f t="shared" si="24"/>
        <v>113.3495041187896</v>
      </c>
      <c r="CD27" s="326">
        <f t="shared" si="24"/>
        <v>76.857561828152598</v>
      </c>
      <c r="CE27" s="326">
        <f t="shared" si="24"/>
        <v>71.550741116315805</v>
      </c>
      <c r="CF27" s="326">
        <f t="shared" si="24"/>
        <v>78.959357970848444</v>
      </c>
      <c r="CG27" s="326">
        <f t="shared" si="24"/>
        <v>72.22424906178226</v>
      </c>
      <c r="CH27" s="326">
        <f t="shared" si="24"/>
        <v>79.662806529260877</v>
      </c>
      <c r="CI27" s="326">
        <f t="shared" si="24"/>
        <v>73.864160580750195</v>
      </c>
      <c r="CJ27" s="326">
        <f t="shared" si="24"/>
        <v>81.625365894977762</v>
      </c>
      <c r="CK27" s="326">
        <f t="shared" si="24"/>
        <v>76.007628592692228</v>
      </c>
      <c r="CL27" s="326">
        <f t="shared" si="24"/>
        <v>83.056385608560333</v>
      </c>
      <c r="CM27" s="326">
        <f t="shared" si="24"/>
        <v>75.963854785770508</v>
      </c>
      <c r="CN27" s="326">
        <f t="shared" si="24"/>
        <v>83.383373435789693</v>
      </c>
      <c r="CO27" s="326">
        <f t="shared" si="24"/>
        <v>76.980896738107504</v>
      </c>
      <c r="CP27" s="326">
        <f t="shared" si="24"/>
        <v>37.119899378830503</v>
      </c>
      <c r="CQ27" s="326">
        <f t="shared" si="24"/>
        <v>31.472901068643367</v>
      </c>
      <c r="CR27" s="326">
        <f t="shared" si="24"/>
        <v>39.475728843024484</v>
      </c>
      <c r="CS27" s="326">
        <f t="shared" si="24"/>
        <v>31.006721799148725</v>
      </c>
      <c r="CT27" s="326">
        <f t="shared" ref="CT27:DB27" si="25">SUM(CT21:CT26)</f>
        <v>39.053787202394425</v>
      </c>
      <c r="CU27" s="326">
        <f t="shared" si="25"/>
        <v>33.005018913496727</v>
      </c>
      <c r="CV27" s="326">
        <f t="shared" si="25"/>
        <v>24.559395082879274</v>
      </c>
      <c r="CW27" s="326">
        <f t="shared" si="25"/>
        <v>2.3117227234455262</v>
      </c>
      <c r="CX27" s="326">
        <f t="shared" si="25"/>
        <v>2.3117227234455262</v>
      </c>
      <c r="CY27" s="326">
        <f t="shared" si="25"/>
        <v>2.3117227234455262</v>
      </c>
      <c r="CZ27" s="326">
        <f t="shared" si="25"/>
        <v>2.3117227234455262</v>
      </c>
      <c r="DA27" s="326">
        <f t="shared" si="25"/>
        <v>2.3117227234455262</v>
      </c>
      <c r="DB27" s="326">
        <f t="shared" si="25"/>
        <v>2.3117227234455262</v>
      </c>
    </row>
    <row r="28" spans="1:106" ht="12.75" thickTop="1">
      <c r="N28" s="323"/>
    </row>
    <row r="29" spans="1:106">
      <c r="A29" s="321" t="s">
        <v>348</v>
      </c>
      <c r="B29" s="323" t="e">
        <f t="shared" ref="B29:BM29" si="26">B16-B27</f>
        <v>#REF!</v>
      </c>
      <c r="C29" s="323" t="e">
        <f t="shared" si="26"/>
        <v>#REF!</v>
      </c>
      <c r="D29" s="323" t="e">
        <f t="shared" si="26"/>
        <v>#REF!</v>
      </c>
      <c r="E29" s="323" t="e">
        <f t="shared" si="26"/>
        <v>#REF!</v>
      </c>
      <c r="F29" s="323" t="e">
        <f t="shared" si="26"/>
        <v>#REF!</v>
      </c>
      <c r="G29" s="323" t="e">
        <f t="shared" si="26"/>
        <v>#REF!</v>
      </c>
      <c r="H29" s="323" t="e">
        <f t="shared" si="26"/>
        <v>#REF!</v>
      </c>
      <c r="I29" s="323" t="e">
        <f t="shared" si="26"/>
        <v>#REF!</v>
      </c>
      <c r="J29" s="323">
        <f t="shared" si="26"/>
        <v>-31.130077611602474</v>
      </c>
      <c r="K29" s="323" t="e">
        <f t="shared" si="26"/>
        <v>#REF!</v>
      </c>
      <c r="L29" s="323" t="e">
        <f t="shared" si="26"/>
        <v>#REF!</v>
      </c>
      <c r="M29" s="323" t="e">
        <f t="shared" si="26"/>
        <v>#REF!</v>
      </c>
      <c r="N29" s="323" t="e">
        <f t="shared" si="26"/>
        <v>#REF!</v>
      </c>
      <c r="O29" s="323" t="e">
        <f t="shared" si="26"/>
        <v>#REF!</v>
      </c>
      <c r="P29" s="323" t="e">
        <f t="shared" si="26"/>
        <v>#REF!</v>
      </c>
      <c r="Q29" s="323" t="e">
        <f t="shared" si="26"/>
        <v>#REF!</v>
      </c>
      <c r="R29" s="323" t="e">
        <f t="shared" si="26"/>
        <v>#REF!</v>
      </c>
      <c r="S29" s="323" t="e">
        <f t="shared" si="26"/>
        <v>#REF!</v>
      </c>
      <c r="T29" s="323" t="e">
        <f t="shared" si="26"/>
        <v>#REF!</v>
      </c>
      <c r="U29" s="323" t="e">
        <f t="shared" si="26"/>
        <v>#REF!</v>
      </c>
      <c r="V29" s="323">
        <f t="shared" si="26"/>
        <v>2.4765961025536853E-3</v>
      </c>
      <c r="W29" s="323">
        <f t="shared" si="26"/>
        <v>2.4765961025536853E-3</v>
      </c>
      <c r="X29" s="323">
        <f t="shared" si="26"/>
        <v>2.4765961025536853E-3</v>
      </c>
      <c r="Y29" s="323">
        <f t="shared" si="26"/>
        <v>2.4765961025536853E-3</v>
      </c>
      <c r="Z29" s="323">
        <f t="shared" si="26"/>
        <v>2.4765961025536853E-3</v>
      </c>
      <c r="AA29" s="323">
        <f t="shared" si="26"/>
        <v>2.4765961024968419E-3</v>
      </c>
      <c r="AB29" s="323">
        <f t="shared" si="26"/>
        <v>2.4765961024399985E-3</v>
      </c>
      <c r="AC29" s="323">
        <f t="shared" si="26"/>
        <v>2.4765961023831551E-3</v>
      </c>
      <c r="AD29" s="323">
        <f t="shared" si="26"/>
        <v>2.4765961023831551E-3</v>
      </c>
      <c r="AE29" s="323">
        <f t="shared" si="26"/>
        <v>-3.7774564200958594E-3</v>
      </c>
      <c r="AF29" s="323">
        <f t="shared" si="26"/>
        <v>-3.7774564202095462E-3</v>
      </c>
      <c r="AG29" s="323">
        <f t="shared" si="26"/>
        <v>-3.7774564201527028E-3</v>
      </c>
      <c r="AH29" s="323">
        <f t="shared" si="26"/>
        <v>-3.7774564202095462E-3</v>
      </c>
      <c r="AI29" s="323">
        <f t="shared" si="26"/>
        <v>-3.7774564202095462E-3</v>
      </c>
      <c r="AJ29" s="323">
        <f t="shared" si="26"/>
        <v>-3.777456420323233E-3</v>
      </c>
      <c r="AK29" s="323">
        <f t="shared" si="26"/>
        <v>-3.7774564202663896E-3</v>
      </c>
      <c r="AL29" s="323">
        <f t="shared" si="26"/>
        <v>-3.7774564202663896E-3</v>
      </c>
      <c r="AM29" s="323">
        <f t="shared" si="26"/>
        <v>-3.7774564203800765E-3</v>
      </c>
      <c r="AN29" s="323">
        <f t="shared" si="26"/>
        <v>-3.7774564204369199E-3</v>
      </c>
      <c r="AO29" s="323">
        <f t="shared" si="26"/>
        <v>-3.7774564204369199E-3</v>
      </c>
      <c r="AP29" s="323">
        <f t="shared" si="26"/>
        <v>-3.7774564204084982E-3</v>
      </c>
      <c r="AQ29" s="323">
        <f t="shared" si="26"/>
        <v>-3.7774564204084982E-3</v>
      </c>
      <c r="AR29" s="323">
        <f t="shared" si="26"/>
        <v>-3.7774564204369199E-3</v>
      </c>
      <c r="AS29" s="323">
        <f t="shared" si="26"/>
        <v>-3.7774564204653416E-3</v>
      </c>
      <c r="AT29" s="323">
        <f t="shared" si="26"/>
        <v>-3.777456420522185E-3</v>
      </c>
      <c r="AU29" s="323">
        <f t="shared" si="26"/>
        <v>-3.777456420522185E-3</v>
      </c>
      <c r="AV29" s="323">
        <f t="shared" si="26"/>
        <v>-3.7774564205506067E-3</v>
      </c>
      <c r="AW29" s="323">
        <f t="shared" si="26"/>
        <v>-3.7774564205790284E-3</v>
      </c>
      <c r="AX29" s="323">
        <f t="shared" si="26"/>
        <v>-3.7774564206074501E-3</v>
      </c>
      <c r="AY29" s="323">
        <f t="shared" si="26"/>
        <v>-3.7774564206358718E-3</v>
      </c>
      <c r="AZ29" s="323">
        <f t="shared" si="26"/>
        <v>-3.7774564206927153E-3</v>
      </c>
      <c r="BA29" s="323">
        <f t="shared" si="26"/>
        <v>-3.7774564206927153E-3</v>
      </c>
      <c r="BB29" s="323">
        <f t="shared" si="26"/>
        <v>-3.777456420721137E-3</v>
      </c>
      <c r="BC29" s="323">
        <f t="shared" si="26"/>
        <v>-3.7774564207495587E-3</v>
      </c>
      <c r="BD29" s="323">
        <f t="shared" si="26"/>
        <v>-3.7774564207495587E-3</v>
      </c>
      <c r="BE29" s="323">
        <f t="shared" si="26"/>
        <v>-3.7774564208064021E-3</v>
      </c>
      <c r="BF29" s="323">
        <f t="shared" si="26"/>
        <v>-3.7774564208348238E-3</v>
      </c>
      <c r="BG29" s="323">
        <f t="shared" si="26"/>
        <v>-3.7774564208632455E-3</v>
      </c>
      <c r="BH29" s="323">
        <f t="shared" si="26"/>
        <v>-3.7774564208916672E-3</v>
      </c>
      <c r="BI29" s="323">
        <f t="shared" si="26"/>
        <v>-3.7774564208916672E-3</v>
      </c>
      <c r="BJ29" s="323">
        <f t="shared" si="26"/>
        <v>-3.7774564209200889E-3</v>
      </c>
      <c r="BK29" s="323">
        <f t="shared" si="26"/>
        <v>-3.7774564209200889E-3</v>
      </c>
      <c r="BL29" s="323">
        <f t="shared" si="26"/>
        <v>-3.7774564209200889E-3</v>
      </c>
      <c r="BM29" s="323">
        <f t="shared" si="26"/>
        <v>-3.7774564209769323E-3</v>
      </c>
      <c r="BN29" s="323">
        <f t="shared" ref="BN29:DB29" si="27">BN16-BN27</f>
        <v>-3.7774564210053541E-3</v>
      </c>
      <c r="BO29" s="323">
        <f t="shared" si="27"/>
        <v>-3.7774564210053541E-3</v>
      </c>
      <c r="BP29" s="323">
        <f t="shared" si="27"/>
        <v>-3.7774564210337758E-3</v>
      </c>
      <c r="BQ29" s="323">
        <f t="shared" si="27"/>
        <v>-3.7774564210337758E-3</v>
      </c>
      <c r="BR29" s="323">
        <f t="shared" si="27"/>
        <v>-3.7774564210479866E-3</v>
      </c>
      <c r="BS29" s="323">
        <f t="shared" si="27"/>
        <v>-3.7774564210621975E-3</v>
      </c>
      <c r="BT29" s="323">
        <f t="shared" si="27"/>
        <v>-3.7774564210764083E-3</v>
      </c>
      <c r="BU29" s="323">
        <f t="shared" si="27"/>
        <v>-3.7774564210906192E-3</v>
      </c>
      <c r="BV29" s="323">
        <f t="shared" si="27"/>
        <v>-3.77745642110483E-3</v>
      </c>
      <c r="BW29" s="323">
        <f t="shared" si="27"/>
        <v>-3.7774564211474626E-3</v>
      </c>
      <c r="BX29" s="323">
        <f t="shared" si="27"/>
        <v>-3.7774564211474626E-3</v>
      </c>
      <c r="BY29" s="323">
        <f t="shared" si="27"/>
        <v>-3.7774564211900952E-3</v>
      </c>
      <c r="BZ29" s="323">
        <f t="shared" si="27"/>
        <v>-3.777456421204306E-3</v>
      </c>
      <c r="CA29" s="323">
        <f t="shared" si="27"/>
        <v>-3.7774564212185169E-3</v>
      </c>
      <c r="CB29" s="323">
        <f t="shared" si="27"/>
        <v>-3.7774564212611494E-3</v>
      </c>
      <c r="CC29" s="323">
        <f t="shared" si="27"/>
        <v>-3.7774564212753603E-3</v>
      </c>
      <c r="CD29" s="323">
        <f t="shared" si="27"/>
        <v>-3.7774564213464146E-3</v>
      </c>
      <c r="CE29" s="323">
        <f t="shared" si="27"/>
        <v>-3.7774564213464146E-3</v>
      </c>
      <c r="CF29" s="323">
        <f t="shared" si="27"/>
        <v>-3.7774564213748363E-3</v>
      </c>
      <c r="CG29" s="323">
        <f t="shared" si="27"/>
        <v>-3.7774564213890471E-3</v>
      </c>
      <c r="CH29" s="323">
        <f t="shared" si="27"/>
        <v>-3.777456421403258E-3</v>
      </c>
      <c r="CI29" s="323">
        <f t="shared" si="27"/>
        <v>-3.7774564214316797E-3</v>
      </c>
      <c r="CJ29" s="323">
        <f t="shared" si="27"/>
        <v>-3.7774564214316797E-3</v>
      </c>
      <c r="CK29" s="323">
        <f t="shared" si="27"/>
        <v>-3.7774564214743123E-3</v>
      </c>
      <c r="CL29" s="323">
        <f t="shared" si="27"/>
        <v>-3.7774564214885231E-3</v>
      </c>
      <c r="CM29" s="323">
        <f t="shared" si="27"/>
        <v>-3.7774564214885231E-3</v>
      </c>
      <c r="CN29" s="323">
        <f t="shared" si="27"/>
        <v>-3.7774564214885231E-3</v>
      </c>
      <c r="CO29" s="323">
        <f t="shared" si="27"/>
        <v>-3.7774564215169448E-3</v>
      </c>
      <c r="CP29" s="323">
        <f t="shared" si="27"/>
        <v>-3.7774564215453665E-3</v>
      </c>
      <c r="CQ29" s="323">
        <f t="shared" si="27"/>
        <v>-3.7774564215595774E-3</v>
      </c>
      <c r="CR29" s="323">
        <f t="shared" si="27"/>
        <v>-3.7774564215808937E-3</v>
      </c>
      <c r="CS29" s="323">
        <f t="shared" si="27"/>
        <v>-3.7774564215986572E-3</v>
      </c>
      <c r="CT29" s="323">
        <f t="shared" si="27"/>
        <v>-3.7774564216235262E-3</v>
      </c>
      <c r="CU29" s="323">
        <f t="shared" si="27"/>
        <v>-3.7774564216519479E-3</v>
      </c>
      <c r="CV29" s="323">
        <f t="shared" si="27"/>
        <v>-3.7774564216626061E-3</v>
      </c>
      <c r="CW29" s="323">
        <f t="shared" si="27"/>
        <v>-3.7774564216030981E-3</v>
      </c>
      <c r="CX29" s="323">
        <f t="shared" si="27"/>
        <v>-3.7774564216030981E-3</v>
      </c>
      <c r="CY29" s="323">
        <f t="shared" si="27"/>
        <v>-3.7774564216030981E-3</v>
      </c>
      <c r="CZ29" s="323">
        <f t="shared" si="27"/>
        <v>-3.7774564216030981E-3</v>
      </c>
      <c r="DA29" s="323">
        <f t="shared" si="27"/>
        <v>-3.7774564216030981E-3</v>
      </c>
      <c r="DB29" s="323">
        <f t="shared" si="27"/>
        <v>-3.7774564216030981E-3</v>
      </c>
    </row>
    <row r="30" spans="1:106" ht="15">
      <c r="A30" s="321" t="s">
        <v>349</v>
      </c>
      <c r="B30" s="324">
        <f t="shared" ref="B30:AG30" si="28">B7/SUM(B4:B5)</f>
        <v>2.4900813008130078</v>
      </c>
      <c r="C30" s="324">
        <f t="shared" si="28"/>
        <v>2.7847154471544715</v>
      </c>
      <c r="D30" s="324">
        <f t="shared" si="28"/>
        <v>2.7847154471544715</v>
      </c>
      <c r="E30" s="324">
        <f t="shared" si="28"/>
        <v>2.7847154471544715</v>
      </c>
      <c r="F30" s="324">
        <f t="shared" si="28"/>
        <v>2.7847154471544715</v>
      </c>
      <c r="G30" s="324">
        <f t="shared" si="28"/>
        <v>2.7847154471544715</v>
      </c>
      <c r="H30" s="324">
        <f t="shared" si="28"/>
        <v>2.7847154471544715</v>
      </c>
      <c r="I30" s="324">
        <f t="shared" si="28"/>
        <v>2.7847154471544715</v>
      </c>
      <c r="J30" s="324">
        <f t="shared" si="28"/>
        <v>2.7847154471544715</v>
      </c>
      <c r="K30" s="324">
        <f t="shared" si="28"/>
        <v>2.7847154471544715</v>
      </c>
      <c r="L30" s="324">
        <f t="shared" si="28"/>
        <v>2.7847154471544715</v>
      </c>
      <c r="M30" s="324">
        <f t="shared" si="28"/>
        <v>2.7847154471544715</v>
      </c>
      <c r="N30" s="324">
        <f t="shared" si="28"/>
        <v>2.7847154471544715</v>
      </c>
      <c r="O30" s="324">
        <f t="shared" si="28"/>
        <v>2.7847154471544715</v>
      </c>
      <c r="P30" s="324">
        <f t="shared" si="28"/>
        <v>2.7847154471544715</v>
      </c>
      <c r="Q30" s="324">
        <f t="shared" si="28"/>
        <v>2.7847154471544715</v>
      </c>
      <c r="R30" s="324">
        <f t="shared" si="28"/>
        <v>2.7847154471544715</v>
      </c>
      <c r="S30" s="324">
        <f t="shared" si="28"/>
        <v>3.426991869918699</v>
      </c>
      <c r="T30" s="324">
        <f t="shared" si="28"/>
        <v>3.426991869918699</v>
      </c>
      <c r="U30" s="324">
        <f t="shared" si="28"/>
        <v>3.426991869918699</v>
      </c>
      <c r="V30" s="324">
        <f t="shared" si="28"/>
        <v>3.386341463414634</v>
      </c>
      <c r="W30" s="324">
        <f t="shared" si="28"/>
        <v>3.386341463414634</v>
      </c>
      <c r="X30" s="324">
        <f t="shared" si="28"/>
        <v>3.386341463414634</v>
      </c>
      <c r="Y30" s="324">
        <f t="shared" si="28"/>
        <v>3.3660162601626014</v>
      </c>
      <c r="Z30" s="324">
        <f t="shared" si="28"/>
        <v>1.5147073170731704</v>
      </c>
      <c r="AA30" s="324">
        <f t="shared" si="28"/>
        <v>2.3886910569105688</v>
      </c>
      <c r="AB30" s="324">
        <f t="shared" si="28"/>
        <v>1.8249006211180123</v>
      </c>
      <c r="AC30" s="324">
        <f t="shared" si="28"/>
        <v>1.8249006211180123</v>
      </c>
      <c r="AD30" s="324">
        <f t="shared" si="28"/>
        <v>1.8249006211180123</v>
      </c>
      <c r="AE30" s="324">
        <f t="shared" si="28"/>
        <v>1.8249006211180123</v>
      </c>
      <c r="AF30" s="324">
        <f t="shared" si="28"/>
        <v>1.8249006211180123</v>
      </c>
      <c r="AG30" s="324">
        <f t="shared" si="28"/>
        <v>1.8249006211180123</v>
      </c>
      <c r="AH30" s="324">
        <f t="shared" ref="AH30:BM30" si="29">AH7/SUM(AH4:AH5)</f>
        <v>1.8249006211180123</v>
      </c>
      <c r="AI30" s="324">
        <f t="shared" si="29"/>
        <v>1.8249006211180123</v>
      </c>
      <c r="AJ30" s="324">
        <f t="shared" si="29"/>
        <v>1.8249006211180123</v>
      </c>
      <c r="AK30" s="324">
        <f t="shared" si="29"/>
        <v>1.8249006211180123</v>
      </c>
      <c r="AL30" s="324">
        <f t="shared" si="29"/>
        <v>1.8249006211180123</v>
      </c>
      <c r="AM30" s="324">
        <f t="shared" si="29"/>
        <v>1.8249006211180123</v>
      </c>
      <c r="AN30" s="324">
        <f t="shared" si="29"/>
        <v>1.8249006211180123</v>
      </c>
      <c r="AO30" s="324">
        <f t="shared" si="29"/>
        <v>1.8249006211180123</v>
      </c>
      <c r="AP30" s="324">
        <f t="shared" si="29"/>
        <v>1.8249006211180123</v>
      </c>
      <c r="AQ30" s="324">
        <f t="shared" si="29"/>
        <v>1.8249006211180123</v>
      </c>
      <c r="AR30" s="324">
        <f t="shared" si="29"/>
        <v>1.8249006211180123</v>
      </c>
      <c r="AS30" s="324">
        <f t="shared" si="29"/>
        <v>1.8249006211180123</v>
      </c>
      <c r="AT30" s="324">
        <f t="shared" si="29"/>
        <v>1.8066516149068321</v>
      </c>
      <c r="AU30" s="324">
        <f t="shared" si="29"/>
        <v>1.8066516149068321</v>
      </c>
      <c r="AV30" s="324">
        <f t="shared" si="29"/>
        <v>1.8066516149068321</v>
      </c>
      <c r="AW30" s="324">
        <f t="shared" si="29"/>
        <v>1.7519045962732918</v>
      </c>
      <c r="AX30" s="324">
        <f t="shared" si="29"/>
        <v>1.7519045962732918</v>
      </c>
      <c r="AY30" s="324">
        <f t="shared" si="29"/>
        <v>1.7519045962732918</v>
      </c>
      <c r="AZ30" s="324">
        <f t="shared" si="29"/>
        <v>1.6971575776397512</v>
      </c>
      <c r="BA30" s="324">
        <f t="shared" si="29"/>
        <v>1.6971575776397512</v>
      </c>
      <c r="BB30" s="324">
        <f t="shared" si="29"/>
        <v>1.6971575776397512</v>
      </c>
      <c r="BC30" s="324">
        <f t="shared" si="29"/>
        <v>1.6424105590062106</v>
      </c>
      <c r="BD30" s="324">
        <f t="shared" si="29"/>
        <v>1.6424105590062106</v>
      </c>
      <c r="BE30" s="324">
        <f t="shared" si="29"/>
        <v>1.6424105590062106</v>
      </c>
      <c r="BF30" s="324">
        <f t="shared" si="29"/>
        <v>1.56941453416149</v>
      </c>
      <c r="BG30" s="324">
        <f t="shared" si="29"/>
        <v>1.56941453416149</v>
      </c>
      <c r="BH30" s="324">
        <f t="shared" si="29"/>
        <v>1.56941453416149</v>
      </c>
      <c r="BI30" s="324">
        <f t="shared" si="29"/>
        <v>1.4964185093167695</v>
      </c>
      <c r="BJ30" s="324">
        <f t="shared" si="29"/>
        <v>1.4964185093167695</v>
      </c>
      <c r="BK30" s="324">
        <f t="shared" si="29"/>
        <v>1.4964185093167695</v>
      </c>
      <c r="BL30" s="324">
        <f t="shared" si="29"/>
        <v>1.4234224844720489</v>
      </c>
      <c r="BM30" s="324">
        <f t="shared" si="29"/>
        <v>1.4234224844720489</v>
      </c>
      <c r="BN30" s="324">
        <f t="shared" ref="BN30:DB30" si="30">BN7/SUM(BN4:BN5)</f>
        <v>1.4234224844720489</v>
      </c>
      <c r="BO30" s="324">
        <f t="shared" si="30"/>
        <v>1.3504264596273283</v>
      </c>
      <c r="BP30" s="324">
        <f t="shared" si="30"/>
        <v>1.3504264596273283</v>
      </c>
      <c r="BQ30" s="324">
        <f t="shared" si="30"/>
        <v>1.3504264596273283</v>
      </c>
      <c r="BR30" s="324">
        <f t="shared" si="30"/>
        <v>1.2637436801242228</v>
      </c>
      <c r="BS30" s="324">
        <f t="shared" si="30"/>
        <v>1.2637436801242228</v>
      </c>
      <c r="BT30" s="324">
        <f t="shared" si="30"/>
        <v>1.2637436801242228</v>
      </c>
      <c r="BU30" s="324">
        <f t="shared" si="30"/>
        <v>1.1770609006211172</v>
      </c>
      <c r="BV30" s="324">
        <f t="shared" si="30"/>
        <v>1.1770609006211172</v>
      </c>
      <c r="BW30" s="324">
        <f t="shared" si="30"/>
        <v>1.1770609006211172</v>
      </c>
      <c r="BX30" s="324">
        <f t="shared" si="30"/>
        <v>1.0903781211180117</v>
      </c>
      <c r="BY30" s="324">
        <f t="shared" si="30"/>
        <v>1.0903781211180117</v>
      </c>
      <c r="BZ30" s="324">
        <f t="shared" si="30"/>
        <v>1.0903781211180117</v>
      </c>
      <c r="CA30" s="324">
        <f t="shared" si="30"/>
        <v>1.0036953416149059</v>
      </c>
      <c r="CB30" s="324">
        <f t="shared" si="30"/>
        <v>1.0036953416149059</v>
      </c>
      <c r="CC30" s="324">
        <f t="shared" si="30"/>
        <v>1.0036953416149059</v>
      </c>
      <c r="CD30" s="324">
        <f t="shared" si="30"/>
        <v>0.91701256211180038</v>
      </c>
      <c r="CE30" s="324">
        <f t="shared" si="30"/>
        <v>0.91701256211180038</v>
      </c>
      <c r="CF30" s="324">
        <f t="shared" si="30"/>
        <v>0.91701256211180038</v>
      </c>
      <c r="CG30" s="324">
        <f t="shared" si="30"/>
        <v>0.79839402173912954</v>
      </c>
      <c r="CH30" s="324">
        <f t="shared" si="30"/>
        <v>0.79839402173912954</v>
      </c>
      <c r="CI30" s="324">
        <f t="shared" si="30"/>
        <v>0.79839402173912954</v>
      </c>
      <c r="CJ30" s="324">
        <f t="shared" si="30"/>
        <v>0.67977548136645882</v>
      </c>
      <c r="CK30" s="324">
        <f t="shared" si="30"/>
        <v>0.67977548136645882</v>
      </c>
      <c r="CL30" s="324">
        <f t="shared" si="30"/>
        <v>0.67977548136645882</v>
      </c>
      <c r="CM30" s="324">
        <f t="shared" si="30"/>
        <v>0.51553442546583772</v>
      </c>
      <c r="CN30" s="324">
        <f t="shared" si="30"/>
        <v>0.51553442546583772</v>
      </c>
      <c r="CO30" s="324">
        <f t="shared" si="30"/>
        <v>0.51553442546583772</v>
      </c>
      <c r="CP30" s="324">
        <f t="shared" si="30"/>
        <v>0.35129336956521662</v>
      </c>
      <c r="CQ30" s="324">
        <f t="shared" si="30"/>
        <v>0.35129336956521662</v>
      </c>
      <c r="CR30" s="324">
        <f t="shared" si="30"/>
        <v>0.35129336956521662</v>
      </c>
      <c r="CS30" s="324">
        <f t="shared" si="30"/>
        <v>0.17792781055900547</v>
      </c>
      <c r="CT30" s="324">
        <f t="shared" si="30"/>
        <v>0.17792781055900547</v>
      </c>
      <c r="CU30" s="324">
        <f t="shared" si="30"/>
        <v>0.17792781055900547</v>
      </c>
      <c r="CV30" s="324">
        <f t="shared" si="30"/>
        <v>-7.2819597143115857E-16</v>
      </c>
      <c r="CW30" s="324">
        <f t="shared" si="30"/>
        <v>0</v>
      </c>
      <c r="CX30" s="324">
        <f t="shared" si="30"/>
        <v>0</v>
      </c>
      <c r="CY30" s="324">
        <f t="shared" si="30"/>
        <v>0</v>
      </c>
      <c r="CZ30" s="324">
        <f t="shared" si="30"/>
        <v>0</v>
      </c>
      <c r="DA30" s="324">
        <f t="shared" si="30"/>
        <v>0</v>
      </c>
      <c r="DB30" s="324">
        <f t="shared" si="30"/>
        <v>0</v>
      </c>
    </row>
    <row r="31" spans="1:106">
      <c r="C31" s="323"/>
    </row>
    <row r="32" spans="1:106">
      <c r="B32" s="323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C62"/>
  <sheetViews>
    <sheetView zoomScaleNormal="100" workbookViewId="0">
      <pane xSplit="11" ySplit="3" topLeftCell="AS4" activePane="bottomRight" state="frozen"/>
      <selection activeCell="U8" sqref="U8"/>
      <selection pane="topRight" activeCell="U8" sqref="U8"/>
      <selection pane="bottomLeft" activeCell="U8" sqref="U8"/>
      <selection pane="bottomRight" activeCell="AW18" sqref="AW18"/>
    </sheetView>
  </sheetViews>
  <sheetFormatPr defaultColWidth="11.42578125" defaultRowHeight="12" outlineLevelRow="1"/>
  <cols>
    <col min="1" max="1" width="32" style="346" customWidth="1"/>
    <col min="2" max="12" width="6" style="342" hidden="1" customWidth="1"/>
    <col min="13" max="13" width="7.140625" style="342" hidden="1" customWidth="1"/>
    <col min="14" max="22" width="6" style="342" hidden="1" customWidth="1"/>
    <col min="23" max="23" width="6.5703125" style="342" hidden="1" customWidth="1"/>
    <col min="24" max="24" width="6" style="342" hidden="1" customWidth="1"/>
    <col min="25" max="25" width="6.28515625" style="342" hidden="1" customWidth="1"/>
    <col min="26" max="26" width="6" style="342" hidden="1" customWidth="1"/>
    <col min="27" max="27" width="6.85546875" style="342" hidden="1" customWidth="1"/>
    <col min="28" max="34" width="6" style="342" hidden="1" customWidth="1"/>
    <col min="35" max="35" width="6.5703125" style="342" hidden="1" customWidth="1"/>
    <col min="36" max="36" width="6" style="342" hidden="1" customWidth="1"/>
    <col min="37" max="37" width="6.28515625" style="342" hidden="1" customWidth="1"/>
    <col min="38" max="44" width="6" style="342" hidden="1" customWidth="1"/>
    <col min="45" max="46" width="6" style="342" customWidth="1"/>
    <col min="47" max="47" width="6.5703125" style="342" bestFit="1" customWidth="1"/>
    <col min="48" max="48" width="6.85546875" style="342" bestFit="1" customWidth="1"/>
    <col min="49" max="49" width="6.28515625" style="342" customWidth="1"/>
    <col min="50" max="58" width="6" style="342" customWidth="1"/>
    <col min="59" max="59" width="6.5703125" style="342" bestFit="1" customWidth="1"/>
    <col min="60" max="60" width="6" style="342" customWidth="1"/>
    <col min="61" max="61" width="6.28515625" style="342" customWidth="1"/>
    <col min="62" max="70" width="6" style="342" customWidth="1"/>
    <col min="71" max="71" width="6.5703125" style="342" bestFit="1" customWidth="1"/>
    <col min="72" max="72" width="6" style="342" customWidth="1"/>
    <col min="73" max="73" width="6.28515625" style="342" customWidth="1"/>
    <col min="74" max="82" width="6" style="342" customWidth="1"/>
    <col min="83" max="83" width="6.5703125" style="342" customWidth="1"/>
    <col min="84" max="84" width="6" style="342" customWidth="1"/>
    <col min="85" max="85" width="6.28515625" style="342" customWidth="1"/>
    <col min="86" max="94" width="6" style="342" customWidth="1"/>
    <col min="95" max="95" width="6.5703125" style="342" customWidth="1"/>
    <col min="96" max="96" width="6" style="342" customWidth="1"/>
    <col min="97" max="97" width="6.28515625" style="342" customWidth="1"/>
    <col min="98" max="106" width="6" style="342" customWidth="1"/>
    <col min="107" max="107" width="6.5703125" style="342" customWidth="1"/>
    <col min="108" max="16384" width="11.42578125" style="342"/>
  </cols>
  <sheetData>
    <row r="1" spans="1:107" s="319" customFormat="1">
      <c r="B1" s="337" t="s">
        <v>365</v>
      </c>
      <c r="H1" s="337"/>
      <c r="X1" s="338"/>
      <c r="DC1" s="320" t="s">
        <v>303</v>
      </c>
    </row>
    <row r="2" spans="1:107" s="319" customFormat="1">
      <c r="A2" s="321" t="s">
        <v>366</v>
      </c>
      <c r="B2" s="322" t="s">
        <v>312</v>
      </c>
      <c r="C2" s="322" t="str">
        <f>'Monthly BS'!B2</f>
        <v>2020-21</v>
      </c>
      <c r="D2" s="322" t="str">
        <f>'Monthly BS'!C2</f>
        <v>2020-21</v>
      </c>
      <c r="E2" s="322" t="str">
        <f>'Monthly BS'!D2</f>
        <v>2020-21</v>
      </c>
      <c r="F2" s="322" t="str">
        <f>'Monthly BS'!E2</f>
        <v>2020-21</v>
      </c>
      <c r="G2" s="322" t="str">
        <f>'Monthly BS'!F2</f>
        <v>2020-21</v>
      </c>
      <c r="H2" s="322" t="str">
        <f>'Monthly BS'!G2</f>
        <v>2020-21</v>
      </c>
      <c r="I2" s="322" t="str">
        <f>'Monthly BS'!H2</f>
        <v>2020-21</v>
      </c>
      <c r="J2" s="322" t="str">
        <f>'Monthly BS'!I2</f>
        <v>2020-21</v>
      </c>
      <c r="K2" s="322" t="str">
        <f>'Monthly BS'!J2</f>
        <v>2020-21</v>
      </c>
      <c r="L2" s="322" t="str">
        <f>'Monthly BS'!K2</f>
        <v>2021-22</v>
      </c>
      <c r="M2" s="322" t="str">
        <f>'Monthly BS'!L2</f>
        <v>2021-22</v>
      </c>
      <c r="N2" s="322" t="str">
        <f>'Monthly BS'!M2</f>
        <v>2021-22</v>
      </c>
      <c r="O2" s="322" t="str">
        <f>'Monthly BS'!N2</f>
        <v>2021-22</v>
      </c>
      <c r="P2" s="322" t="str">
        <f>'Monthly BS'!O2</f>
        <v>2021-22</v>
      </c>
      <c r="Q2" s="322" t="str">
        <f>'Monthly BS'!P2</f>
        <v>2021-22</v>
      </c>
      <c r="R2" s="322" t="str">
        <f>'Monthly BS'!Q2</f>
        <v>2021-22</v>
      </c>
      <c r="S2" s="322" t="str">
        <f>'Monthly BS'!R2</f>
        <v>2021-22</v>
      </c>
      <c r="T2" s="322" t="str">
        <f>'Monthly BS'!S2</f>
        <v>2021-22</v>
      </c>
      <c r="U2" s="322" t="str">
        <f>'Monthly BS'!T2</f>
        <v>2021-22</v>
      </c>
      <c r="V2" s="322" t="str">
        <f>'Monthly BS'!U2</f>
        <v>2021-22</v>
      </c>
      <c r="W2" s="322" t="str">
        <f>'Monthly BS'!V2</f>
        <v>2021-22</v>
      </c>
      <c r="X2" s="322" t="str">
        <f>'Monthly BS'!W2</f>
        <v>2022-23</v>
      </c>
      <c r="Y2" s="322" t="str">
        <f>'Monthly BS'!X2</f>
        <v>2022-23</v>
      </c>
      <c r="Z2" s="322" t="str">
        <f>'Monthly BS'!Y2</f>
        <v>2022-23</v>
      </c>
      <c r="AA2" s="322" t="str">
        <f>'Monthly BS'!Z2</f>
        <v>2022-23</v>
      </c>
      <c r="AB2" s="322" t="str">
        <f>'Monthly BS'!AA2</f>
        <v>2022-23</v>
      </c>
      <c r="AC2" s="322" t="str">
        <f>'Monthly BS'!AB2</f>
        <v>2022-23</v>
      </c>
      <c r="AD2" s="322" t="str">
        <f>'Monthly BS'!AC2</f>
        <v>2022-23</v>
      </c>
      <c r="AE2" s="322" t="str">
        <f>'Monthly BS'!AD2</f>
        <v>2022-23</v>
      </c>
      <c r="AF2" s="322" t="str">
        <f>'Monthly BS'!AE2</f>
        <v>2022-23</v>
      </c>
      <c r="AG2" s="322" t="str">
        <f>'Monthly BS'!AF2</f>
        <v>2022-23</v>
      </c>
      <c r="AH2" s="322" t="str">
        <f>'Monthly BS'!AG2</f>
        <v>2022-23</v>
      </c>
      <c r="AI2" s="322" t="str">
        <f>'Monthly BS'!AH2</f>
        <v>2022-23</v>
      </c>
      <c r="AJ2" s="322" t="str">
        <f>'Monthly BS'!AI2</f>
        <v>2023-24</v>
      </c>
      <c r="AK2" s="322" t="str">
        <f>'Monthly BS'!AJ2</f>
        <v>2023-24</v>
      </c>
      <c r="AL2" s="322" t="str">
        <f>'Monthly BS'!AK2</f>
        <v>2023-24</v>
      </c>
      <c r="AM2" s="322" t="str">
        <f>'Monthly BS'!AL2</f>
        <v>2023-24</v>
      </c>
      <c r="AN2" s="322" t="str">
        <f>'Monthly BS'!AM2</f>
        <v>2023-24</v>
      </c>
      <c r="AO2" s="322" t="str">
        <f>'Monthly BS'!AN2</f>
        <v>2023-24</v>
      </c>
      <c r="AP2" s="322" t="str">
        <f>'Monthly BS'!AO2</f>
        <v>2023-24</v>
      </c>
      <c r="AQ2" s="322" t="str">
        <f>'Monthly BS'!AP2</f>
        <v>2023-24</v>
      </c>
      <c r="AR2" s="322" t="str">
        <f>'Monthly BS'!AQ2</f>
        <v>2023-24</v>
      </c>
      <c r="AS2" s="322" t="str">
        <f>'Monthly BS'!AR2</f>
        <v>2023-24</v>
      </c>
      <c r="AT2" s="322" t="str">
        <f>'Monthly BS'!AS2</f>
        <v>2023-24</v>
      </c>
      <c r="AU2" s="322" t="str">
        <f>'Monthly BS'!AT2</f>
        <v>2023-24</v>
      </c>
      <c r="AV2" s="322" t="str">
        <f>'Monthly BS'!AU2</f>
        <v>2024-25</v>
      </c>
      <c r="AW2" s="322" t="str">
        <f>'Monthly BS'!AV2</f>
        <v>2024-25</v>
      </c>
      <c r="AX2" s="322" t="str">
        <f>'Monthly BS'!AW2</f>
        <v>2024-25</v>
      </c>
      <c r="AY2" s="322" t="str">
        <f>'Monthly BS'!AX2</f>
        <v>2024-25</v>
      </c>
      <c r="AZ2" s="322" t="str">
        <f>'Monthly BS'!AY2</f>
        <v>2024-25</v>
      </c>
      <c r="BA2" s="322" t="str">
        <f>'Monthly BS'!AZ2</f>
        <v>2024-25</v>
      </c>
      <c r="BB2" s="322" t="str">
        <f>'Monthly BS'!BA2</f>
        <v>2024-25</v>
      </c>
      <c r="BC2" s="322" t="str">
        <f>'Monthly BS'!BB2</f>
        <v>2024-25</v>
      </c>
      <c r="BD2" s="322" t="str">
        <f>'Monthly BS'!BC2</f>
        <v>2024-25</v>
      </c>
      <c r="BE2" s="322" t="str">
        <f>'Monthly BS'!BD2</f>
        <v>2024-25</v>
      </c>
      <c r="BF2" s="322" t="str">
        <f>'Monthly BS'!BE2</f>
        <v>2024-25</v>
      </c>
      <c r="BG2" s="322" t="str">
        <f>'Monthly BS'!BF2</f>
        <v>2024-25</v>
      </c>
      <c r="BH2" s="322" t="str">
        <f>'Monthly BS'!BG2</f>
        <v>2025-26</v>
      </c>
      <c r="BI2" s="322" t="str">
        <f>'Monthly BS'!BH2</f>
        <v>2025-26</v>
      </c>
      <c r="BJ2" s="322" t="str">
        <f>'Monthly BS'!BI2</f>
        <v>2025-26</v>
      </c>
      <c r="BK2" s="322" t="str">
        <f>'Monthly BS'!BJ2</f>
        <v>2025-26</v>
      </c>
      <c r="BL2" s="322" t="str">
        <f>'Monthly BS'!BK2</f>
        <v>2025-26</v>
      </c>
      <c r="BM2" s="322" t="str">
        <f>'Monthly BS'!BL2</f>
        <v>2025-26</v>
      </c>
      <c r="BN2" s="322" t="str">
        <f>'Monthly BS'!BM2</f>
        <v>2025-26</v>
      </c>
      <c r="BO2" s="322" t="str">
        <f>'Monthly BS'!BN2</f>
        <v>2025-26</v>
      </c>
      <c r="BP2" s="322" t="str">
        <f>'Monthly BS'!BO2</f>
        <v>2025-26</v>
      </c>
      <c r="BQ2" s="322" t="str">
        <f>'Monthly BS'!BP2</f>
        <v>2025-26</v>
      </c>
      <c r="BR2" s="322" t="str">
        <f>'Monthly BS'!BQ2</f>
        <v>2025-26</v>
      </c>
      <c r="BS2" s="322" t="str">
        <f>'Monthly BS'!BR2</f>
        <v>2025-26</v>
      </c>
      <c r="BT2" s="322" t="str">
        <f>'Monthly BS'!BS2</f>
        <v>2026-27</v>
      </c>
      <c r="BU2" s="322" t="str">
        <f>'Monthly BS'!BT2</f>
        <v>2026-27</v>
      </c>
      <c r="BV2" s="322" t="str">
        <f>'Monthly BS'!BU2</f>
        <v>2026-27</v>
      </c>
      <c r="BW2" s="322" t="str">
        <f>'Monthly BS'!BV2</f>
        <v>2026-27</v>
      </c>
      <c r="BX2" s="322" t="str">
        <f>'Monthly BS'!BW2</f>
        <v>2026-27</v>
      </c>
      <c r="BY2" s="322" t="str">
        <f>'Monthly BS'!BX2</f>
        <v>2026-27</v>
      </c>
      <c r="BZ2" s="322" t="str">
        <f>'Monthly BS'!BY2</f>
        <v>2026-27</v>
      </c>
      <c r="CA2" s="322" t="str">
        <f>'Monthly BS'!BZ2</f>
        <v>2026-27</v>
      </c>
      <c r="CB2" s="322" t="str">
        <f>'Monthly BS'!CA2</f>
        <v>2026-27</v>
      </c>
      <c r="CC2" s="322" t="str">
        <f>'Monthly BS'!CB2</f>
        <v>2026-27</v>
      </c>
      <c r="CD2" s="322" t="str">
        <f>'Monthly BS'!CC2</f>
        <v>2026-27</v>
      </c>
      <c r="CE2" s="322" t="str">
        <f>'Monthly BS'!CD2</f>
        <v>2026-27</v>
      </c>
      <c r="CF2" s="322" t="str">
        <f>'Monthly BS'!CE2</f>
        <v>2027-28</v>
      </c>
      <c r="CG2" s="322" t="str">
        <f>'Monthly BS'!CF2</f>
        <v>2027-28</v>
      </c>
      <c r="CH2" s="322" t="str">
        <f>'Monthly BS'!CG2</f>
        <v>2027-28</v>
      </c>
      <c r="CI2" s="322" t="str">
        <f>'Monthly BS'!CH2</f>
        <v>2027-28</v>
      </c>
      <c r="CJ2" s="322" t="str">
        <f>'Monthly BS'!CI2</f>
        <v>2027-28</v>
      </c>
      <c r="CK2" s="322" t="str">
        <f>'Monthly BS'!CJ2</f>
        <v>2027-28</v>
      </c>
      <c r="CL2" s="322" t="str">
        <f>'Monthly BS'!CK2</f>
        <v>2027-28</v>
      </c>
      <c r="CM2" s="322" t="str">
        <f>'Monthly BS'!CL2</f>
        <v>2027-28</v>
      </c>
      <c r="CN2" s="322" t="str">
        <f>'Monthly BS'!CM2</f>
        <v>2027-28</v>
      </c>
      <c r="CO2" s="322" t="str">
        <f>'Monthly BS'!CN2</f>
        <v>2027-28</v>
      </c>
      <c r="CP2" s="322" t="str">
        <f>'Monthly BS'!CO2</f>
        <v>2027-28</v>
      </c>
      <c r="CQ2" s="322" t="str">
        <f>'Monthly BS'!CP2</f>
        <v>2027-28</v>
      </c>
      <c r="CR2" s="322" t="str">
        <f>'Monthly BS'!CQ2</f>
        <v>2028-29</v>
      </c>
      <c r="CS2" s="322" t="str">
        <f>'Monthly BS'!CR2</f>
        <v>2028-29</v>
      </c>
      <c r="CT2" s="322" t="str">
        <f>'Monthly BS'!CS2</f>
        <v>2028-29</v>
      </c>
      <c r="CU2" s="322" t="str">
        <f>'Monthly BS'!CT2</f>
        <v>2028-29</v>
      </c>
      <c r="CV2" s="322" t="str">
        <f>'Monthly BS'!CU2</f>
        <v>2028-29</v>
      </c>
      <c r="CW2" s="322" t="str">
        <f>'Monthly BS'!CV2</f>
        <v>2028-29</v>
      </c>
      <c r="CX2" s="322" t="str">
        <f>'Monthly BS'!CW2</f>
        <v>2028-29</v>
      </c>
      <c r="CY2" s="322" t="str">
        <f>'Monthly BS'!CX2</f>
        <v>2028-29</v>
      </c>
      <c r="CZ2" s="322" t="str">
        <f>'Monthly BS'!CY2</f>
        <v>2028-29</v>
      </c>
      <c r="DA2" s="322" t="str">
        <f>'Monthly BS'!CZ2</f>
        <v>2028-29</v>
      </c>
      <c r="DB2" s="322" t="str">
        <f>'Monthly BS'!DA2</f>
        <v>2028-29</v>
      </c>
      <c r="DC2" s="322" t="str">
        <f>'Monthly BS'!DB2</f>
        <v>2028-29</v>
      </c>
    </row>
    <row r="3" spans="1:107" s="339" customFormat="1">
      <c r="A3" s="321" t="s">
        <v>2</v>
      </c>
      <c r="B3" s="332">
        <v>44012</v>
      </c>
      <c r="C3" s="332">
        <v>44043</v>
      </c>
      <c r="D3" s="332">
        <v>44074</v>
      </c>
      <c r="E3" s="332">
        <v>44104</v>
      </c>
      <c r="F3" s="332">
        <v>44135</v>
      </c>
      <c r="G3" s="332">
        <v>44165</v>
      </c>
      <c r="H3" s="332">
        <v>44196</v>
      </c>
      <c r="I3" s="332">
        <v>44227</v>
      </c>
      <c r="J3" s="332">
        <v>44255</v>
      </c>
      <c r="K3" s="332">
        <v>44286</v>
      </c>
      <c r="L3" s="332">
        <v>44316</v>
      </c>
      <c r="M3" s="332">
        <v>44347</v>
      </c>
      <c r="N3" s="332">
        <v>44377</v>
      </c>
      <c r="O3" s="332">
        <v>44408</v>
      </c>
      <c r="P3" s="332">
        <v>44439</v>
      </c>
      <c r="Q3" s="332">
        <v>44469</v>
      </c>
      <c r="R3" s="332">
        <v>44500</v>
      </c>
      <c r="S3" s="332">
        <v>44530</v>
      </c>
      <c r="T3" s="332">
        <v>44561</v>
      </c>
      <c r="U3" s="332">
        <v>44592</v>
      </c>
      <c r="V3" s="332">
        <v>44620</v>
      </c>
      <c r="W3" s="332">
        <v>44651</v>
      </c>
      <c r="X3" s="332">
        <v>44681</v>
      </c>
      <c r="Y3" s="332">
        <v>44712</v>
      </c>
      <c r="Z3" s="332">
        <v>44742</v>
      </c>
      <c r="AA3" s="332">
        <v>44773</v>
      </c>
      <c r="AB3" s="332">
        <v>44804</v>
      </c>
      <c r="AC3" s="332">
        <v>44834</v>
      </c>
      <c r="AD3" s="332">
        <v>44865</v>
      </c>
      <c r="AE3" s="332">
        <v>44895</v>
      </c>
      <c r="AF3" s="332">
        <v>44926</v>
      </c>
      <c r="AG3" s="332">
        <v>44957</v>
      </c>
      <c r="AH3" s="332">
        <v>44985</v>
      </c>
      <c r="AI3" s="332">
        <v>45016</v>
      </c>
      <c r="AJ3" s="332">
        <v>45046</v>
      </c>
      <c r="AK3" s="332">
        <v>45077</v>
      </c>
      <c r="AL3" s="332">
        <v>45107</v>
      </c>
      <c r="AM3" s="332">
        <v>45138</v>
      </c>
      <c r="AN3" s="332">
        <v>45169</v>
      </c>
      <c r="AO3" s="332">
        <v>45199</v>
      </c>
      <c r="AP3" s="332">
        <v>45230</v>
      </c>
      <c r="AQ3" s="332">
        <v>45260</v>
      </c>
      <c r="AR3" s="332">
        <v>45291</v>
      </c>
      <c r="AS3" s="332">
        <v>45322</v>
      </c>
      <c r="AT3" s="332">
        <v>45351</v>
      </c>
      <c r="AU3" s="332">
        <v>45382</v>
      </c>
      <c r="AV3" s="332">
        <v>45412</v>
      </c>
      <c r="AW3" s="332">
        <v>45443</v>
      </c>
      <c r="AX3" s="332">
        <v>45473</v>
      </c>
      <c r="AY3" s="332">
        <v>45504</v>
      </c>
      <c r="AZ3" s="332">
        <v>45535</v>
      </c>
      <c r="BA3" s="332">
        <v>45565</v>
      </c>
      <c r="BB3" s="332">
        <v>45596</v>
      </c>
      <c r="BC3" s="332">
        <v>45626</v>
      </c>
      <c r="BD3" s="332">
        <v>45657</v>
      </c>
      <c r="BE3" s="332">
        <v>45688</v>
      </c>
      <c r="BF3" s="332">
        <v>45716</v>
      </c>
      <c r="BG3" s="332">
        <v>45747</v>
      </c>
      <c r="BH3" s="332">
        <v>45777</v>
      </c>
      <c r="BI3" s="332">
        <v>45808</v>
      </c>
      <c r="BJ3" s="332">
        <v>45838</v>
      </c>
      <c r="BK3" s="332">
        <v>45869</v>
      </c>
      <c r="BL3" s="332">
        <v>45900</v>
      </c>
      <c r="BM3" s="332">
        <v>45930</v>
      </c>
      <c r="BN3" s="332">
        <v>45961</v>
      </c>
      <c r="BO3" s="332">
        <v>45991</v>
      </c>
      <c r="BP3" s="332">
        <v>46022</v>
      </c>
      <c r="BQ3" s="332">
        <v>46053</v>
      </c>
      <c r="BR3" s="332">
        <v>46081</v>
      </c>
      <c r="BS3" s="332">
        <v>46112</v>
      </c>
      <c r="BT3" s="332">
        <v>46142</v>
      </c>
      <c r="BU3" s="332">
        <v>46173</v>
      </c>
      <c r="BV3" s="332">
        <v>46203</v>
      </c>
      <c r="BW3" s="332">
        <v>46234</v>
      </c>
      <c r="BX3" s="332">
        <v>46265</v>
      </c>
      <c r="BY3" s="332">
        <v>46295</v>
      </c>
      <c r="BZ3" s="332">
        <v>46326</v>
      </c>
      <c r="CA3" s="332">
        <v>46356</v>
      </c>
      <c r="CB3" s="332">
        <v>46387</v>
      </c>
      <c r="CC3" s="332">
        <v>46418</v>
      </c>
      <c r="CD3" s="332">
        <v>46446</v>
      </c>
      <c r="CE3" s="332">
        <v>46477</v>
      </c>
      <c r="CF3" s="332">
        <v>46507</v>
      </c>
      <c r="CG3" s="332">
        <v>46538</v>
      </c>
      <c r="CH3" s="332">
        <v>46568</v>
      </c>
      <c r="CI3" s="332">
        <v>46599</v>
      </c>
      <c r="CJ3" s="332">
        <v>46630</v>
      </c>
      <c r="CK3" s="332">
        <v>46660</v>
      </c>
      <c r="CL3" s="332">
        <v>46691</v>
      </c>
      <c r="CM3" s="332">
        <v>46721</v>
      </c>
      <c r="CN3" s="332">
        <v>46752</v>
      </c>
      <c r="CO3" s="332">
        <v>46783</v>
      </c>
      <c r="CP3" s="332">
        <v>46812</v>
      </c>
      <c r="CQ3" s="332">
        <v>46843</v>
      </c>
      <c r="CR3" s="332">
        <v>46873</v>
      </c>
      <c r="CS3" s="332">
        <v>46904</v>
      </c>
      <c r="CT3" s="332">
        <v>46934</v>
      </c>
      <c r="CU3" s="332">
        <v>46965</v>
      </c>
      <c r="CV3" s="332">
        <v>46996</v>
      </c>
      <c r="CW3" s="332">
        <v>47026</v>
      </c>
      <c r="CX3" s="332">
        <v>47056</v>
      </c>
      <c r="CY3" s="332">
        <v>47087</v>
      </c>
      <c r="CZ3" s="332">
        <v>47117</v>
      </c>
      <c r="DA3" s="332">
        <v>47148</v>
      </c>
      <c r="DB3" s="332">
        <v>47177</v>
      </c>
      <c r="DC3" s="332">
        <v>47207</v>
      </c>
    </row>
    <row r="4" spans="1:107" ht="15">
      <c r="A4" s="310" t="s">
        <v>367</v>
      </c>
      <c r="B4" s="340">
        <f>13.17-3.32</f>
        <v>9.85</v>
      </c>
      <c r="C4" s="341">
        <v>3.7759007361720429</v>
      </c>
      <c r="D4" s="341">
        <f>'NOR Revenue'!G22/10000000</f>
        <v>2.9162392746666668</v>
      </c>
      <c r="E4" s="341">
        <f>'NOR Revenue'!H22/10000000</f>
        <v>5.7941189973333325</v>
      </c>
      <c r="F4" s="341">
        <f>'NOR Revenue'!I22/10000000</f>
        <v>3.0578042879999998</v>
      </c>
      <c r="G4" s="341">
        <f>'NOR Revenue'!J22/10000000*80%</f>
        <v>4.8563192832000013</v>
      </c>
      <c r="H4" s="341">
        <f>'NOR Revenue'!K22/10000000</f>
        <v>3.1993693013333337</v>
      </c>
      <c r="I4" s="341">
        <f>'NOR Revenue'!L22/10000000*80%</f>
        <v>5.2039298901333346</v>
      </c>
      <c r="J4" s="341">
        <f>'NOR Revenue'!M22/10000000</f>
        <v>3.0176180906666668</v>
      </c>
      <c r="K4" s="341">
        <f>'NOR Revenue'!N22/10000000*80%</f>
        <v>5.3011074218666678</v>
      </c>
      <c r="L4" s="341">
        <f>'NOR Revenue'!O22/10000000</f>
        <v>2.6471103999999999</v>
      </c>
      <c r="M4" s="341">
        <f>'NOR Revenue'!P22/10000000</f>
        <v>5.4638765120000006</v>
      </c>
      <c r="N4" s="341">
        <f>'NOR Revenue'!Q22/10000000</f>
        <v>2.6952396799999998</v>
      </c>
      <c r="O4" s="341">
        <f>'NOR Revenue'!R22/10000000</f>
        <v>6.0062175040000003</v>
      </c>
      <c r="P4" s="341">
        <f>'NOR Revenue'!S22/10000000</f>
        <v>3.1469583039999995</v>
      </c>
      <c r="Q4" s="341">
        <f>'NOR Revenue'!T22/10000000</f>
        <v>6.201489392</v>
      </c>
      <c r="R4" s="341">
        <f>'NOR Revenue'!U22/10000000</f>
        <v>3.2294113599999998</v>
      </c>
      <c r="S4" s="341">
        <f>'NOR Revenue'!V22/10000000</f>
        <v>6.362405840000001</v>
      </c>
      <c r="T4" s="341">
        <f>'NOR Revenue'!W22/10000000</f>
        <v>3.3118644159999997</v>
      </c>
      <c r="U4" s="341">
        <f>'NOR Revenue'!X22/10000000</f>
        <v>6.6855686239999992</v>
      </c>
      <c r="V4" s="341">
        <f>'NOR Revenue'!Y22/10000000</f>
        <v>3.0906597119999999</v>
      </c>
      <c r="W4" s="341">
        <f>'NOR Revenue'!Z22/10000000</f>
        <v>6.7810989119999991</v>
      </c>
      <c r="X4" s="341">
        <f>'NOR Revenue'!AA22/10000000</f>
        <v>3.3228415999999998</v>
      </c>
      <c r="Y4" s="341">
        <f>'NOR Revenue'!AB22/10000000</f>
        <v>6.8535289599999993</v>
      </c>
      <c r="Z4" s="341">
        <f>'NOR Revenue'!AC22/10000000</f>
        <v>3.3901056000000001</v>
      </c>
      <c r="AA4" s="341">
        <f>'NOR Revenue'!AD22/10000000</f>
        <v>6.9914201599999997</v>
      </c>
      <c r="AB4" s="341">
        <f>'NOR Revenue'!AE22/10000000</f>
        <v>3.5587140266666664</v>
      </c>
      <c r="AC4" s="341">
        <f>'NOR Revenue'!AF22/10000000</f>
        <v>6.9654114133333342</v>
      </c>
      <c r="AD4" s="341">
        <f>'NOR Revenue'!AG22/10000000</f>
        <v>3.5865164799999998</v>
      </c>
      <c r="AE4" s="341">
        <f>'NOR Revenue'!AH22/10000000</f>
        <v>7.0196710399999995</v>
      </c>
      <c r="AF4" s="341">
        <f>'NOR Revenue'!AI22/10000000</f>
        <v>3.6143189333333336</v>
      </c>
      <c r="AG4" s="341">
        <f>'NOR Revenue'!AJ22/10000000</f>
        <v>7.2494897066666661</v>
      </c>
      <c r="AH4" s="341">
        <f>'NOR Revenue'!AK22/10000000</f>
        <v>3.2896580266666664</v>
      </c>
      <c r="AI4" s="341">
        <f>'NOR Revenue'!AL22/10000000</f>
        <v>7.1288629333333331</v>
      </c>
      <c r="AJ4" s="341">
        <f>'NOR Revenue'!AM22/10000000</f>
        <v>3.7432416000000006</v>
      </c>
      <c r="AK4" s="341">
        <f>'NOR Revenue'!AN22/10000000</f>
        <v>7.7174341439999994</v>
      </c>
      <c r="AL4" s="341">
        <f>'NOR Revenue'!AO22/10000000</f>
        <v>3.7997433600000003</v>
      </c>
      <c r="AM4" s="341">
        <f>'NOR Revenue'!AP22/10000000</f>
        <v>7.8332627520000013</v>
      </c>
      <c r="AN4" s="341">
        <f>'NOR Revenue'!AQ22/10000000</f>
        <v>3.9847866240000003</v>
      </c>
      <c r="AO4" s="341">
        <f>'NOR Revenue'!AR22/10000000</f>
        <v>7.8191373120000005</v>
      </c>
      <c r="AP4" s="341">
        <f>'NOR Revenue'!AS22/10000000</f>
        <v>4.0431717759999994</v>
      </c>
      <c r="AQ4" s="341">
        <f>'NOR Revenue'!AT22/10000000</f>
        <v>7.9330825279999999</v>
      </c>
      <c r="AR4" s="341">
        <f>'NOR Revenue'!AU22/10000000</f>
        <v>4.1015569279999999</v>
      </c>
      <c r="AS4" s="341">
        <f>'NOR Revenue'!AV22/10000000</f>
        <v>8.248927954960001</v>
      </c>
      <c r="AT4" s="341">
        <f>'NOR Revenue'!AW22/10000000</f>
        <v>3.8928217697599998</v>
      </c>
      <c r="AU4" s="341">
        <f>'NOR Revenue'!AX22/10000000</f>
        <v>8.2321381038399988</v>
      </c>
      <c r="AV4" s="341">
        <f>'NOR Revenue'!AY22/10000000</f>
        <v>4.2729049893599997</v>
      </c>
      <c r="AW4" s="341">
        <f>'NOR Revenue'!AZ22/10000000</f>
        <v>8.7824443817880002</v>
      </c>
      <c r="AX4" s="341">
        <f>'NOR Revenue'!BA22/10000000</f>
        <v>4.3025684133600004</v>
      </c>
      <c r="AY4" s="341">
        <f>'NOR Revenue'!BB22/10000000</f>
        <v>8.8432544009880001</v>
      </c>
      <c r="AZ4" s="341">
        <f>'NOR Revenue'!BC22/10000000</f>
        <v>4.4766395652720004</v>
      </c>
      <c r="BA4" s="341">
        <f>'NOR Revenue'!BD22/10000000</f>
        <v>8.7589151066759996</v>
      </c>
      <c r="BB4" s="341">
        <f>'NOR Revenue'!BE22/10000000</f>
        <v>4.5072917700720003</v>
      </c>
      <c r="BC4" s="341">
        <f>'NOR Revenue'!BF22/10000000</f>
        <v>8.818736345076001</v>
      </c>
      <c r="BD4" s="341">
        <f>'NOR Revenue'!BG22/10000000</f>
        <v>4.5379439748719994</v>
      </c>
      <c r="BE4" s="341">
        <f>'NOR Revenue'!BH22/10000000</f>
        <v>9.0988771033439999</v>
      </c>
      <c r="BF4" s="341">
        <f>'NOR Revenue'!BI22/10000000</f>
        <v>4.1264739687360006</v>
      </c>
      <c r="BG4" s="341">
        <f>'NOR Revenue'!BJ22/10000000</f>
        <v>8.9391204074760005</v>
      </c>
      <c r="BH4" s="341">
        <f>'NOR Revenue'!BK22/10000000</f>
        <v>5.3290392982151067</v>
      </c>
      <c r="BI4" s="341">
        <f>'NOR Revenue'!BL22/10000000</f>
        <v>10.93831597137666</v>
      </c>
      <c r="BJ4" s="341">
        <f>'NOR Revenue'!BM22/10000000</f>
        <v>5.3468269240676065</v>
      </c>
      <c r="BK4" s="341">
        <f>'NOR Revenue'!BN22/10000000</f>
        <v>10.974780604374281</v>
      </c>
      <c r="BL4" s="341">
        <f>'NOR Revenue'!BO22/10000000</f>
        <v>5.5434350349174437</v>
      </c>
      <c r="BM4" s="341">
        <f>'NOR Revenue'!BP22/10000000</f>
        <v>10.831980061728258</v>
      </c>
      <c r="BN4" s="341">
        <f>'NOR Revenue'!BQ22/10000000</f>
        <v>5.5618155816316941</v>
      </c>
      <c r="BO4" s="341">
        <f>'NOR Revenue'!BR22/10000000</f>
        <v>10.867851773864135</v>
      </c>
      <c r="BP4" s="341">
        <f>'NOR Revenue'!BS22/10000000</f>
        <v>5.5801961283459445</v>
      </c>
      <c r="BQ4" s="341">
        <f>'NOR Revenue'!BT22/10000000</f>
        <v>11.174177666727577</v>
      </c>
      <c r="BR4" s="341">
        <f>'NOR Revenue'!BU22/10000000</f>
        <v>5.0567789323124339</v>
      </c>
      <c r="BS4" s="341">
        <f>'NOR Revenue'!BV22/10000000</f>
        <v>10.940039888782195</v>
      </c>
      <c r="BT4" s="341">
        <f>'NOR Revenue'!BW22/10000000</f>
        <v>6.0432917357611187</v>
      </c>
      <c r="BU4" s="341">
        <f>'NOR Revenue'!BX22/10000000</f>
        <v>12.404074190644092</v>
      </c>
      <c r="BV4" s="341">
        <f>'NOR Revenue'!BY22/10000000</f>
        <v>6.0630673903853696</v>
      </c>
      <c r="BW4" s="341">
        <f>'NOR Revenue'!BZ22/10000000</f>
        <v>12.444614282623803</v>
      </c>
      <c r="BX4" s="341">
        <f>'NOR Revenue'!CA22/10000000</f>
        <v>6.2856044798432738</v>
      </c>
      <c r="BY4" s="341">
        <f>'NOR Revenue'!CB22/10000000</f>
        <v>12.281898548404255</v>
      </c>
      <c r="BZ4" s="341">
        <f>'NOR Revenue'!CC22/10000000</f>
        <v>6.3060393229549998</v>
      </c>
      <c r="CA4" s="341">
        <f>'NOR Revenue'!CD22/10000000</f>
        <v>12.321779451896489</v>
      </c>
      <c r="CB4" s="341">
        <f>'NOR Revenue'!CE22/10000000</f>
        <v>6.3264741660667241</v>
      </c>
      <c r="CC4" s="341">
        <f>'NOR Revenue'!CF22/10000000</f>
        <v>12.77879815494903</v>
      </c>
      <c r="CD4" s="341">
        <f>'NOR Revenue'!CG22/10000000</f>
        <v>5.799351217688935</v>
      </c>
      <c r="CE4" s="341">
        <f>'NOR Revenue'!CH22/10000000</f>
        <v>12.546245367109904</v>
      </c>
      <c r="CF4" s="341">
        <f>'NOR Revenue'!CI22/10000000</f>
        <v>6.5452760042015079</v>
      </c>
      <c r="CG4" s="341">
        <f>'NOR Revenue'!CJ22/10000000</f>
        <v>13.43409536894672</v>
      </c>
      <c r="CH4" s="341">
        <f>'NOR Revenue'!CK22/10000000</f>
        <v>6.5662818885029646</v>
      </c>
      <c r="CI4" s="341">
        <f>'NOR Revenue'!CL22/10000000</f>
        <v>13.477157431764708</v>
      </c>
      <c r="CJ4" s="341">
        <f>'NOR Revenue'!CM22/10000000</f>
        <v>6.8068640318979012</v>
      </c>
      <c r="CK4" s="341">
        <f>'NOR Revenue'!CN22/10000000</f>
        <v>13.300118088381673</v>
      </c>
      <c r="CL4" s="341">
        <f>'NOR Revenue'!CO22/10000000</f>
        <v>6.8285701123427387</v>
      </c>
      <c r="CM4" s="341">
        <f>'NOR Revenue'!CP22/10000000</f>
        <v>13.342479955056277</v>
      </c>
      <c r="CN4" s="341">
        <f>'NOR Revenue'!CQ22/10000000</f>
        <v>6.850276192787577</v>
      </c>
      <c r="CO4" s="341">
        <f>'NOR Revenue'!CR22/10000000</f>
        <v>13.716831945908785</v>
      </c>
      <c r="CP4" s="341">
        <f>'NOR Revenue'!CS22/10000000</f>
        <v>6.4286285781851644</v>
      </c>
      <c r="CQ4" s="341">
        <f>'NOR Revenue'!CT22/10000000</f>
        <v>13.538567259274835</v>
      </c>
      <c r="CR4" s="341">
        <f>'NOR Revenue'!CU22/10000000</f>
        <v>7.0048768755107584</v>
      </c>
      <c r="CS4" s="341">
        <f>'NOR Revenue'!CV22/10000000</f>
        <v>14.377091133147365</v>
      </c>
      <c r="CT4" s="341">
        <f>'NOR Revenue'!CW22/10000000</f>
        <v>7.0269330540272881</v>
      </c>
      <c r="CU4" s="341">
        <f>'NOR Revenue'!CX22/10000000</f>
        <v>14.422306299106246</v>
      </c>
      <c r="CV4" s="341">
        <f>'NOR Revenue'!CY22/10000000</f>
        <v>7.2839555402952776</v>
      </c>
      <c r="CW4" s="341">
        <f>'NOR Revenue'!CZ22/10000000</f>
        <v>14.232003752850758</v>
      </c>
      <c r="CX4" s="341">
        <v>0</v>
      </c>
      <c r="CY4" s="341">
        <v>0</v>
      </c>
      <c r="CZ4" s="341">
        <v>0</v>
      </c>
      <c r="DA4" s="341">
        <v>0</v>
      </c>
      <c r="DB4" s="341">
        <v>0</v>
      </c>
      <c r="DC4" s="341">
        <v>0</v>
      </c>
    </row>
    <row r="5" spans="1:107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1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v>0</v>
      </c>
      <c r="W5" s="341">
        <v>0</v>
      </c>
      <c r="X5" s="341">
        <v>0</v>
      </c>
      <c r="Y5" s="341">
        <v>0</v>
      </c>
      <c r="Z5" s="341">
        <v>0</v>
      </c>
      <c r="AA5" s="341">
        <v>0</v>
      </c>
      <c r="AB5" s="341">
        <v>0</v>
      </c>
      <c r="AC5" s="341">
        <v>0</v>
      </c>
      <c r="AD5" s="341">
        <v>0</v>
      </c>
      <c r="AE5" s="341">
        <v>0</v>
      </c>
      <c r="AF5" s="341">
        <v>0</v>
      </c>
      <c r="AG5" s="341">
        <v>0</v>
      </c>
      <c r="AH5" s="341">
        <v>3</v>
      </c>
      <c r="AI5" s="341">
        <f t="shared" ref="AI5:CT5" si="0">AI4*2%</f>
        <v>0.14257725866666668</v>
      </c>
      <c r="AJ5" s="341">
        <f t="shared" si="0"/>
        <v>7.486483200000002E-2</v>
      </c>
      <c r="AK5" s="341">
        <f t="shared" si="0"/>
        <v>0.15434868288</v>
      </c>
      <c r="AL5" s="341">
        <f t="shared" si="0"/>
        <v>7.599486720000001E-2</v>
      </c>
      <c r="AM5" s="341">
        <f t="shared" si="0"/>
        <v>0.15666525504000003</v>
      </c>
      <c r="AN5" s="341">
        <f t="shared" si="0"/>
        <v>7.9695732480000003E-2</v>
      </c>
      <c r="AO5" s="341">
        <f t="shared" si="0"/>
        <v>0.15638274624000001</v>
      </c>
      <c r="AP5" s="341">
        <f t="shared" si="0"/>
        <v>8.0863435519999985E-2</v>
      </c>
      <c r="AQ5" s="341">
        <f t="shared" si="0"/>
        <v>0.15866165056000001</v>
      </c>
      <c r="AR5" s="341">
        <f t="shared" si="0"/>
        <v>8.2031138559999994E-2</v>
      </c>
      <c r="AS5" s="341">
        <f t="shared" si="0"/>
        <v>0.16497855909920003</v>
      </c>
      <c r="AT5" s="341">
        <f t="shared" si="0"/>
        <v>7.7856435395199999E-2</v>
      </c>
      <c r="AU5" s="341">
        <f t="shared" si="0"/>
        <v>0.16464276207679998</v>
      </c>
      <c r="AV5" s="341">
        <f t="shared" si="0"/>
        <v>8.5458099787199995E-2</v>
      </c>
      <c r="AW5" s="341">
        <f t="shared" si="0"/>
        <v>0.17564888763576</v>
      </c>
      <c r="AX5" s="341">
        <f t="shared" si="0"/>
        <v>8.6051368267200015E-2</v>
      </c>
      <c r="AY5" s="341">
        <f t="shared" si="0"/>
        <v>0.17686508801976</v>
      </c>
      <c r="AZ5" s="341">
        <f t="shared" si="0"/>
        <v>8.9532791305440007E-2</v>
      </c>
      <c r="BA5" s="341">
        <f t="shared" si="0"/>
        <v>0.17517830213352001</v>
      </c>
      <c r="BB5" s="341">
        <f t="shared" si="0"/>
        <v>9.0145835401440014E-2</v>
      </c>
      <c r="BC5" s="341">
        <f t="shared" si="0"/>
        <v>0.17637472690152003</v>
      </c>
      <c r="BD5" s="341">
        <f t="shared" si="0"/>
        <v>9.0758879497439993E-2</v>
      </c>
      <c r="BE5" s="341">
        <f t="shared" si="0"/>
        <v>0.18197754206687999</v>
      </c>
      <c r="BF5" s="341">
        <f t="shared" si="0"/>
        <v>8.2529479374720008E-2</v>
      </c>
      <c r="BG5" s="341">
        <f t="shared" si="0"/>
        <v>0.17878240814952001</v>
      </c>
      <c r="BH5" s="341">
        <f t="shared" si="0"/>
        <v>0.10658078596430214</v>
      </c>
      <c r="BI5" s="341">
        <f t="shared" si="0"/>
        <v>0.21876631942753322</v>
      </c>
      <c r="BJ5" s="341">
        <f t="shared" si="0"/>
        <v>0.10693653848135214</v>
      </c>
      <c r="BK5" s="341">
        <f t="shared" si="0"/>
        <v>0.21949561208748564</v>
      </c>
      <c r="BL5" s="341">
        <f t="shared" si="0"/>
        <v>0.11086870069834888</v>
      </c>
      <c r="BM5" s="341">
        <f t="shared" si="0"/>
        <v>0.21663960123456516</v>
      </c>
      <c r="BN5" s="341">
        <f t="shared" si="0"/>
        <v>0.11123631163263388</v>
      </c>
      <c r="BO5" s="341">
        <f t="shared" si="0"/>
        <v>0.21735703547728272</v>
      </c>
      <c r="BP5" s="341">
        <f t="shared" si="0"/>
        <v>0.1116039225669189</v>
      </c>
      <c r="BQ5" s="341">
        <f t="shared" si="0"/>
        <v>0.22348355333455153</v>
      </c>
      <c r="BR5" s="341">
        <f t="shared" si="0"/>
        <v>0.10113557864624868</v>
      </c>
      <c r="BS5" s="341">
        <f t="shared" si="0"/>
        <v>0.2188007977756439</v>
      </c>
      <c r="BT5" s="341">
        <f t="shared" si="0"/>
        <v>0.12086583471522237</v>
      </c>
      <c r="BU5" s="341">
        <f t="shared" si="0"/>
        <v>0.24808148381288184</v>
      </c>
      <c r="BV5" s="341">
        <f t="shared" si="0"/>
        <v>0.12126134780770739</v>
      </c>
      <c r="BW5" s="341">
        <f t="shared" si="0"/>
        <v>0.24889228565247606</v>
      </c>
      <c r="BX5" s="341">
        <f t="shared" si="0"/>
        <v>0.12571208959686547</v>
      </c>
      <c r="BY5" s="341">
        <f t="shared" si="0"/>
        <v>0.24563797096808512</v>
      </c>
      <c r="BZ5" s="341">
        <f t="shared" si="0"/>
        <v>0.12612078645909999</v>
      </c>
      <c r="CA5" s="341">
        <f t="shared" si="0"/>
        <v>0.24643558903792978</v>
      </c>
      <c r="CB5" s="341">
        <f t="shared" si="0"/>
        <v>0.12652948332133448</v>
      </c>
      <c r="CC5" s="341">
        <f t="shared" si="0"/>
        <v>0.25557596309898062</v>
      </c>
      <c r="CD5" s="341">
        <f t="shared" si="0"/>
        <v>0.11598702435377871</v>
      </c>
      <c r="CE5" s="341">
        <f t="shared" si="0"/>
        <v>0.25092490734219808</v>
      </c>
      <c r="CF5" s="341">
        <f t="shared" si="0"/>
        <v>0.13090552008403017</v>
      </c>
      <c r="CG5" s="341">
        <f t="shared" si="0"/>
        <v>0.26868190737893438</v>
      </c>
      <c r="CH5" s="341">
        <f t="shared" si="0"/>
        <v>0.13132563777005929</v>
      </c>
      <c r="CI5" s="341">
        <f t="shared" si="0"/>
        <v>0.26954314863529416</v>
      </c>
      <c r="CJ5" s="341">
        <f t="shared" si="0"/>
        <v>0.13613728063795802</v>
      </c>
      <c r="CK5" s="341">
        <f t="shared" si="0"/>
        <v>0.26600236176763348</v>
      </c>
      <c r="CL5" s="341">
        <f t="shared" si="0"/>
        <v>0.13657140224685477</v>
      </c>
      <c r="CM5" s="341">
        <f t="shared" si="0"/>
        <v>0.26684959910112555</v>
      </c>
      <c r="CN5" s="341">
        <f t="shared" si="0"/>
        <v>0.13700552385575154</v>
      </c>
      <c r="CO5" s="341">
        <f t="shared" si="0"/>
        <v>0.27433663891817572</v>
      </c>
      <c r="CP5" s="341">
        <f t="shared" si="0"/>
        <v>0.1285725715637033</v>
      </c>
      <c r="CQ5" s="341">
        <f t="shared" si="0"/>
        <v>0.27077134518549673</v>
      </c>
      <c r="CR5" s="341">
        <f t="shared" si="0"/>
        <v>0.14009753751021517</v>
      </c>
      <c r="CS5" s="341">
        <f t="shared" si="0"/>
        <v>0.28754182266294731</v>
      </c>
      <c r="CT5" s="341">
        <f t="shared" si="0"/>
        <v>0.14053866108054577</v>
      </c>
      <c r="CU5" s="341">
        <f>CU4*2%</f>
        <v>0.28844612598212493</v>
      </c>
      <c r="CV5" s="341">
        <f>CV4*2%</f>
        <v>0.14567911080590557</v>
      </c>
      <c r="CW5" s="341">
        <f>CW4*2%</f>
        <v>0.28464007505701516</v>
      </c>
      <c r="CX5" s="341">
        <v>0</v>
      </c>
      <c r="CY5" s="341">
        <v>0</v>
      </c>
      <c r="CZ5" s="341">
        <v>0</v>
      </c>
      <c r="DA5" s="341">
        <v>0</v>
      </c>
      <c r="DB5" s="341">
        <v>0</v>
      </c>
      <c r="DC5" s="341">
        <v>0</v>
      </c>
    </row>
    <row r="6" spans="1:107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v>0</v>
      </c>
      <c r="W6" s="341">
        <v>0</v>
      </c>
      <c r="X6" s="341">
        <v>0.04</v>
      </c>
      <c r="Y6" s="341">
        <v>0.04</v>
      </c>
      <c r="Z6" s="341">
        <v>0.04</v>
      </c>
      <c r="AA6" s="341">
        <v>0.04</v>
      </c>
      <c r="AB6" s="341">
        <v>0.04</v>
      </c>
      <c r="AC6" s="341">
        <v>0.04</v>
      </c>
      <c r="AD6" s="341">
        <v>0.04</v>
      </c>
      <c r="AE6" s="341">
        <v>0.04</v>
      </c>
      <c r="AF6" s="341">
        <v>0.04</v>
      </c>
      <c r="AG6" s="341">
        <v>0.04</v>
      </c>
      <c r="AH6" s="341">
        <v>0.04</v>
      </c>
      <c r="AI6" s="341">
        <v>0.04</v>
      </c>
      <c r="AJ6" s="341">
        <v>0.04</v>
      </c>
      <c r="AK6" s="341">
        <v>0.04</v>
      </c>
      <c r="AL6" s="341">
        <v>0.04</v>
      </c>
      <c r="AM6" s="341">
        <v>0.04</v>
      </c>
      <c r="AN6" s="341">
        <v>0.04</v>
      </c>
      <c r="AO6" s="341">
        <v>0.04</v>
      </c>
      <c r="AP6" s="341">
        <v>0.04</v>
      </c>
      <c r="AQ6" s="341">
        <v>0.04</v>
      </c>
      <c r="AR6" s="341">
        <v>0.04</v>
      </c>
      <c r="AS6" s="341">
        <v>0.04</v>
      </c>
      <c r="AT6" s="341">
        <v>0.04</v>
      </c>
      <c r="AU6" s="341">
        <v>0.04</v>
      </c>
      <c r="AV6" s="341">
        <v>0.04</v>
      </c>
      <c r="AW6" s="341">
        <v>0.04</v>
      </c>
      <c r="AX6" s="341">
        <v>0.04</v>
      </c>
      <c r="AY6" s="341">
        <v>0.04</v>
      </c>
      <c r="AZ6" s="341">
        <v>0.04</v>
      </c>
      <c r="BA6" s="341">
        <v>0.04</v>
      </c>
      <c r="BB6" s="341">
        <v>0.04</v>
      </c>
      <c r="BC6" s="341">
        <v>0.04</v>
      </c>
      <c r="BD6" s="341">
        <v>0.04</v>
      </c>
      <c r="BE6" s="341">
        <v>0.04</v>
      </c>
      <c r="BF6" s="341">
        <v>0.04</v>
      </c>
      <c r="BG6" s="341">
        <v>0.04</v>
      </c>
      <c r="BH6" s="341">
        <v>0.04</v>
      </c>
      <c r="BI6" s="341">
        <v>0.04</v>
      </c>
      <c r="BJ6" s="341">
        <v>0.04</v>
      </c>
      <c r="BK6" s="341">
        <v>0.04</v>
      </c>
      <c r="BL6" s="341">
        <v>0.04</v>
      </c>
      <c r="BM6" s="341">
        <v>0.04</v>
      </c>
      <c r="BN6" s="341">
        <v>0.04</v>
      </c>
      <c r="BO6" s="341">
        <v>0.04</v>
      </c>
      <c r="BP6" s="341">
        <v>0.04</v>
      </c>
      <c r="BQ6" s="341">
        <v>0.04</v>
      </c>
      <c r="BR6" s="341">
        <v>0.04</v>
      </c>
      <c r="BS6" s="341">
        <v>0.04</v>
      </c>
      <c r="BT6" s="341">
        <v>0.04</v>
      </c>
      <c r="BU6" s="341">
        <v>0.04</v>
      </c>
      <c r="BV6" s="341">
        <v>0.04</v>
      </c>
      <c r="BW6" s="341">
        <v>0.04</v>
      </c>
      <c r="BX6" s="341">
        <v>0.04</v>
      </c>
      <c r="BY6" s="341">
        <v>0.04</v>
      </c>
      <c r="BZ6" s="341">
        <v>0.04</v>
      </c>
      <c r="CA6" s="341">
        <v>0.04</v>
      </c>
      <c r="CB6" s="341">
        <v>0.04</v>
      </c>
      <c r="CC6" s="341">
        <v>0.04</v>
      </c>
      <c r="CD6" s="341">
        <v>0.04</v>
      </c>
      <c r="CE6" s="341">
        <v>0.04</v>
      </c>
      <c r="CF6" s="341">
        <v>0.04</v>
      </c>
      <c r="CG6" s="341">
        <v>0.04</v>
      </c>
      <c r="CH6" s="341">
        <v>0.04</v>
      </c>
      <c r="CI6" s="341">
        <v>0.04</v>
      </c>
      <c r="CJ6" s="341">
        <v>0.04</v>
      </c>
      <c r="CK6" s="341">
        <v>0.04</v>
      </c>
      <c r="CL6" s="341">
        <v>0.04</v>
      </c>
      <c r="CM6" s="341">
        <v>0.04</v>
      </c>
      <c r="CN6" s="341">
        <v>0.04</v>
      </c>
      <c r="CO6" s="341">
        <v>0.04</v>
      </c>
      <c r="CP6" s="341">
        <v>0.04</v>
      </c>
      <c r="CQ6" s="341">
        <v>0.04</v>
      </c>
      <c r="CR6" s="341">
        <v>0.04</v>
      </c>
      <c r="CS6" s="341">
        <v>0.04</v>
      </c>
      <c r="CT6" s="341">
        <v>0.04</v>
      </c>
      <c r="CU6" s="341">
        <v>0.04</v>
      </c>
      <c r="CV6" s="341">
        <v>0.04</v>
      </c>
      <c r="CW6" s="341">
        <v>0.04</v>
      </c>
      <c r="CX6" s="341">
        <v>0</v>
      </c>
      <c r="CY6" s="341">
        <v>0</v>
      </c>
      <c r="CZ6" s="341">
        <v>0</v>
      </c>
      <c r="DA6" s="341">
        <v>0</v>
      </c>
      <c r="DB6" s="341">
        <v>0</v>
      </c>
      <c r="DC6" s="341">
        <v>0</v>
      </c>
    </row>
    <row r="7" spans="1:107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0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0</v>
      </c>
      <c r="AH7" s="341">
        <v>0</v>
      </c>
      <c r="AI7" s="341">
        <v>0</v>
      </c>
      <c r="AJ7" s="341">
        <f>('Water Revenue'!AM11-'Water Revenue'!AL11)*$W$57/10000000</f>
        <v>0.89572830000000003</v>
      </c>
      <c r="AK7" s="341">
        <f>('Water Revenue'!AN11-'Water Revenue'!AM11)*$W$57/10000000</f>
        <v>0.89572830000000003</v>
      </c>
      <c r="AL7" s="341">
        <f>('Water Revenue'!AO11-'Water Revenue'!AN11)*$W$57/10000000</f>
        <v>0.89572830000000003</v>
      </c>
      <c r="AM7" s="341">
        <f>('Water Revenue'!AP11-'Water Revenue'!AO11)*$W$57/10000000</f>
        <v>0.89572830000000003</v>
      </c>
      <c r="AN7" s="341">
        <f>('Water Revenue'!AQ11-'Water Revenue'!AP11)*$W$57/10000000</f>
        <v>0.89572830000000003</v>
      </c>
      <c r="AO7" s="341">
        <f>('Water Revenue'!AR11-'Water Revenue'!AQ11)*$W$57/10000000</f>
        <v>0.89572830000000003</v>
      </c>
      <c r="AP7" s="341">
        <f>('Water Revenue'!AS11-'Water Revenue'!AR11)*$W$57/10000000</f>
        <v>0.89572830000000003</v>
      </c>
      <c r="AQ7" s="341">
        <f>('Water Revenue'!AT11-'Water Revenue'!AS11)*$W$57/10000000</f>
        <v>0.89572830000000003</v>
      </c>
      <c r="AR7" s="341">
        <f>('Water Revenue'!AU11-'Water Revenue'!AT11)*$W$57/10000000</f>
        <v>0.89572830000000003</v>
      </c>
      <c r="AS7" s="341">
        <f>('Water Revenue'!AV11-'Water Revenue'!AU11)*$W$57/10000000</f>
        <v>0.93715573387499995</v>
      </c>
      <c r="AT7" s="341">
        <f>('Water Revenue'!AW11-'Water Revenue'!AV11)*$W$57/10000000</f>
        <v>0.89572830000000003</v>
      </c>
      <c r="AU7" s="341">
        <f>('Water Revenue'!AX11-'Water Revenue'!AW11)*$W$57/10000000</f>
        <v>0.89572830000000003</v>
      </c>
      <c r="AV7" s="341">
        <f>('Water Revenue'!AY11-'Water Revenue'!AX11)*$W$57/10000000</f>
        <v>0.44786415000000002</v>
      </c>
      <c r="AW7" s="341">
        <f>('Water Revenue'!AZ11-'Water Revenue'!AY11)*$W$57/10000000</f>
        <v>0.44786415000000002</v>
      </c>
      <c r="AX7" s="341">
        <f>('Water Revenue'!BA11-'Water Revenue'!AZ11)*$W$57/10000000</f>
        <v>0.44786415000000002</v>
      </c>
      <c r="AY7" s="341">
        <f>('Water Revenue'!BB11-'Water Revenue'!BA11)*$W$57/10000000</f>
        <v>0.44786415000000002</v>
      </c>
      <c r="AZ7" s="341">
        <f>('Water Revenue'!BC11-'Water Revenue'!BB11)*$W$57/10000000</f>
        <v>0.44786415000000002</v>
      </c>
      <c r="BA7" s="341">
        <f>('Water Revenue'!BD11-'Water Revenue'!BC11)*$W$57/10000000</f>
        <v>0.44786415000000002</v>
      </c>
      <c r="BB7" s="341">
        <f>('Water Revenue'!BE11-'Water Revenue'!BD11)*$W$57/10000000</f>
        <v>0.44786415000000002</v>
      </c>
      <c r="BC7" s="341">
        <f>('Water Revenue'!BF11-'Water Revenue'!BE11)*$W$57/10000000</f>
        <v>0.44786415000000002</v>
      </c>
      <c r="BD7" s="341">
        <f>('Water Revenue'!BG11-'Water Revenue'!BF11)*$W$57/10000000</f>
        <v>0.44786415000000002</v>
      </c>
      <c r="BE7" s="341">
        <f>('Water Revenue'!BH11-'Water Revenue'!BG11)*$W$57/10000000</f>
        <v>0.44786415000000002</v>
      </c>
      <c r="BF7" s="341">
        <f>('Water Revenue'!BI11-'Water Revenue'!BH11)*$W$57/10000000</f>
        <v>0.44786415000000002</v>
      </c>
      <c r="BG7" s="341">
        <f>('Water Revenue'!BJ11-'Water Revenue'!BI11)*$W$57/10000000</f>
        <v>0.44786415000000002</v>
      </c>
      <c r="BH7" s="341">
        <f>('Water Revenue'!BK11-'Water Revenue'!BJ11)*$W$57/10000000</f>
        <v>0.22393207500000001</v>
      </c>
      <c r="BI7" s="341">
        <f>('Water Revenue'!BL11-'Water Revenue'!BK11)*$W$57/10000000</f>
        <v>0.22393207500000001</v>
      </c>
      <c r="BJ7" s="341">
        <f>('Water Revenue'!BM11-'Water Revenue'!BL11)*$W$57/10000000</f>
        <v>0.22393207500000001</v>
      </c>
      <c r="BK7" s="341">
        <f>('Water Revenue'!BN11-'Water Revenue'!BM11)*$W$57/10000000</f>
        <v>0.22393207500000001</v>
      </c>
      <c r="BL7" s="341">
        <f>('Water Revenue'!BO11-'Water Revenue'!BN11)*$W$57/10000000</f>
        <v>0.22393207500000001</v>
      </c>
      <c r="BM7" s="341">
        <f>('Water Revenue'!BP11-'Water Revenue'!BO11)*$W$57/10000000</f>
        <v>0.22393207500000001</v>
      </c>
      <c r="BN7" s="341">
        <f>('Water Revenue'!BQ11-'Water Revenue'!BP11)*$W$57/10000000</f>
        <v>0.22393207500000001</v>
      </c>
      <c r="BO7" s="341">
        <f>('Water Revenue'!BR11-'Water Revenue'!BQ11)*$W$57/10000000</f>
        <v>0.22393207500000001</v>
      </c>
      <c r="BP7" s="341">
        <f>('Water Revenue'!BS11-'Water Revenue'!BR11)*$W$57/10000000</f>
        <v>0.22393207500000001</v>
      </c>
      <c r="BQ7" s="341">
        <f>('Water Revenue'!BT11-'Water Revenue'!BS11)*$W$57/10000000</f>
        <v>0.22393207500000001</v>
      </c>
      <c r="BR7" s="341">
        <f>('Water Revenue'!BU11-'Water Revenue'!BT11)*$W$57/10000000</f>
        <v>0.22393207500000001</v>
      </c>
      <c r="BS7" s="341">
        <f>('Water Revenue'!BV11-'Water Revenue'!BU11)*$W$57/10000000</f>
        <v>0.22393207500000001</v>
      </c>
      <c r="BT7" s="341">
        <f>('Water Revenue'!BW11-'Water Revenue'!BV11)*$W$57/10000000</f>
        <v>0.22393207500000001</v>
      </c>
      <c r="BU7" s="341">
        <f>('Water Revenue'!BX11-'Water Revenue'!BW11)*$W$57/10000000</f>
        <v>0.22393207500000001</v>
      </c>
      <c r="BV7" s="341">
        <f>('Water Revenue'!BY11-'Water Revenue'!BX11)*$W$57/10000000</f>
        <v>0.22393207500000001</v>
      </c>
      <c r="BW7" s="341">
        <f>('Water Revenue'!BZ11-'Water Revenue'!BY11)*$W$57/10000000</f>
        <v>0.22393207500000001</v>
      </c>
      <c r="BX7" s="341">
        <f>('Water Revenue'!CA11-'Water Revenue'!BZ11)*$W$57/10000000</f>
        <v>0.22393207500000001</v>
      </c>
      <c r="BY7" s="341">
        <f>('Water Revenue'!CB11-'Water Revenue'!CA11)*$W$57/10000000</f>
        <v>0.22393207500000001</v>
      </c>
      <c r="BZ7" s="341">
        <f>('Water Revenue'!CC11-'Water Revenue'!CB11)*$W$57/10000000</f>
        <v>0.22393207500000001</v>
      </c>
      <c r="CA7" s="341">
        <f>('Water Revenue'!CD11-'Water Revenue'!CC11)*$W$57/10000000</f>
        <v>0.22393207500000001</v>
      </c>
      <c r="CB7" s="341">
        <f>('Water Revenue'!CE11-'Water Revenue'!CD11)*$W$57/10000000</f>
        <v>0.22393207500000001</v>
      </c>
      <c r="CC7" s="341">
        <f>('Water Revenue'!CF11-'Water Revenue'!CE11)*$W$57/10000000</f>
        <v>0.22393207500000001</v>
      </c>
      <c r="CD7" s="341">
        <f>('Water Revenue'!CG11-'Water Revenue'!CF11)*$W$57/10000000</f>
        <v>0.22393207500000001</v>
      </c>
      <c r="CE7" s="341">
        <f>('Water Revenue'!CH11-'Water Revenue'!CG11)*$W$57/10000000</f>
        <v>0.22393207500000001</v>
      </c>
      <c r="CF7" s="341">
        <f>('Water Revenue'!CI11-'Water Revenue'!CH11)*$W$57/10000000</f>
        <v>0.22393207500000001</v>
      </c>
      <c r="CG7" s="341">
        <f>('Water Revenue'!CJ11-'Water Revenue'!CI11)*$W$57/10000000</f>
        <v>0.22393207500000001</v>
      </c>
      <c r="CH7" s="341">
        <f>('Water Revenue'!CK11-'Water Revenue'!CJ11)*$W$57/10000000</f>
        <v>0.22393207500000001</v>
      </c>
      <c r="CI7" s="341">
        <f>('Water Revenue'!CL11-'Water Revenue'!CK11)*$W$57/10000000</f>
        <v>0.22393207500000001</v>
      </c>
      <c r="CJ7" s="341">
        <f>('Water Revenue'!CM11-'Water Revenue'!CL11)*$W$57/10000000</f>
        <v>0.22393207500000001</v>
      </c>
      <c r="CK7" s="341">
        <f>('Water Revenue'!CN11-'Water Revenue'!CM11)*$W$57/10000000</f>
        <v>0.22393207500000001</v>
      </c>
      <c r="CL7" s="341">
        <f>('Water Revenue'!CO11-'Water Revenue'!CN11)*$W$57/10000000</f>
        <v>0.22393207500000001</v>
      </c>
      <c r="CM7" s="341">
        <f>('Water Revenue'!CP11-'Water Revenue'!CO11)*$W$57/10000000</f>
        <v>0.22393207500000001</v>
      </c>
      <c r="CN7" s="341">
        <f>('Water Revenue'!CQ11-'Water Revenue'!CP11)*$W$57/10000000</f>
        <v>0.22393207500000001</v>
      </c>
      <c r="CO7" s="341">
        <f>('Water Revenue'!CR11-'Water Revenue'!CQ11)*$W$57/10000000</f>
        <v>0.22393207500000001</v>
      </c>
      <c r="CP7" s="341">
        <f>('Water Revenue'!CS11-'Water Revenue'!CR11)*$W$57/10000000</f>
        <v>0.22393207500000001</v>
      </c>
      <c r="CQ7" s="341">
        <f>('Water Revenue'!CT11-'Water Revenue'!CS11)*$W$57/10000000</f>
        <v>0.22393207500000001</v>
      </c>
      <c r="CR7" s="341">
        <f>('Water Revenue'!CU11-'Water Revenue'!CT11)*$W$57/10000000</f>
        <v>0.22393207500000001</v>
      </c>
      <c r="CS7" s="341">
        <f>('Water Revenue'!CV11-'Water Revenue'!CU11)*$W$57/10000000</f>
        <v>0.22393207500000001</v>
      </c>
      <c r="CT7" s="341">
        <f>('Water Revenue'!CW11-'Water Revenue'!CV11)*$W$57/10000000</f>
        <v>0.22393207500000001</v>
      </c>
      <c r="CU7" s="341">
        <f>('Water Revenue'!CX11-'Water Revenue'!CW11)*$W$57/10000000</f>
        <v>0.22393207500000001</v>
      </c>
      <c r="CV7" s="341">
        <f>('Water Revenue'!CY11-'Water Revenue'!CX11)*$W$57/10000000</f>
        <v>0.22393207500000001</v>
      </c>
      <c r="CW7" s="341">
        <f>('Water Revenue'!CZ11-'Water Revenue'!CY11)*$W$57/10000000</f>
        <v>0.22393207500000001</v>
      </c>
      <c r="CX7" s="341">
        <v>0</v>
      </c>
      <c r="CY7" s="341">
        <v>0</v>
      </c>
      <c r="CZ7" s="341">
        <v>0</v>
      </c>
      <c r="DA7" s="341">
        <v>0</v>
      </c>
      <c r="DB7" s="341">
        <v>0</v>
      </c>
      <c r="DC7" s="341">
        <v>0</v>
      </c>
    </row>
    <row r="8" spans="1:107">
      <c r="A8" s="310" t="s">
        <v>371</v>
      </c>
      <c r="B8" s="341">
        <f>2.14-0.52</f>
        <v>1.62</v>
      </c>
      <c r="C8" s="341">
        <v>0.52</v>
      </c>
      <c r="D8" s="341">
        <v>0.42120000000000002</v>
      </c>
      <c r="E8" s="341">
        <v>0.42120000000000002</v>
      </c>
      <c r="F8" s="341">
        <v>0.42120000000000002</v>
      </c>
      <c r="G8" s="341">
        <v>0.42120000000000002</v>
      </c>
      <c r="H8" s="341">
        <v>0.42120000000000002</v>
      </c>
      <c r="I8" s="341">
        <v>0.33539999999999998</v>
      </c>
      <c r="J8" s="341">
        <v>0.33539999999999998</v>
      </c>
      <c r="K8" s="341">
        <v>0.33539999999999998</v>
      </c>
      <c r="L8" s="341">
        <f>'O&amp;M'!N25/10000000</f>
        <v>0.34881600000000001</v>
      </c>
      <c r="M8" s="341">
        <f>'O&amp;M'!O25/10000000</f>
        <v>0.34881600000000001</v>
      </c>
      <c r="N8" s="341">
        <f>'O&amp;M'!P25/10000000</f>
        <v>0.34881600000000001</v>
      </c>
      <c r="O8" s="341">
        <f>'O&amp;M'!Q25/10000000</f>
        <v>0.34881600000000001</v>
      </c>
      <c r="P8" s="341">
        <f>'O&amp;M'!R25/10000000</f>
        <v>0.34881600000000001</v>
      </c>
      <c r="Q8" s="341">
        <f>'O&amp;M'!S25/10000000</f>
        <v>0.34881600000000001</v>
      </c>
      <c r="R8" s="341">
        <f>'O&amp;M'!T25/10000000</f>
        <v>0.227136</v>
      </c>
      <c r="S8" s="341">
        <f>'O&amp;M'!U25/10000000</f>
        <v>0.227136</v>
      </c>
      <c r="T8" s="341">
        <f>'O&amp;M'!V25/10000000</f>
        <v>0.14601600000000001</v>
      </c>
      <c r="U8" s="341">
        <f>'O&amp;M'!W25/10000000</f>
        <v>0.14601600000000001</v>
      </c>
      <c r="V8" s="341">
        <f>'O&amp;M'!X25/10000000</f>
        <v>0.14601600000000001</v>
      </c>
      <c r="W8" s="341">
        <f>'O&amp;M'!Y25/10000000</f>
        <v>0.14601600000000001</v>
      </c>
      <c r="X8" s="341">
        <f>'O&amp;M'!Z25/10000000</f>
        <v>0.15185664000000001</v>
      </c>
      <c r="Y8" s="341">
        <f>'O&amp;M'!AA25/10000000</f>
        <v>0.15185664000000001</v>
      </c>
      <c r="Z8" s="341">
        <f>'O&amp;M'!AB25/10000000</f>
        <v>0.15185664000000001</v>
      </c>
      <c r="AA8" s="341">
        <f>'O&amp;M'!AC25/10000000</f>
        <v>0.15185664000000001</v>
      </c>
      <c r="AB8" s="341">
        <f>'O&amp;M'!AD25/10000000</f>
        <v>0.15185664000000001</v>
      </c>
      <c r="AC8" s="341">
        <f>'O&amp;M'!AE25/10000000</f>
        <v>0.15185664000000001</v>
      </c>
      <c r="AD8" s="341">
        <f>'O&amp;M'!AF25/10000000</f>
        <v>0.15185664000000001</v>
      </c>
      <c r="AE8" s="341">
        <f>'O&amp;M'!AG25/10000000</f>
        <v>6.7491839999999997E-2</v>
      </c>
      <c r="AF8" s="341">
        <f>'O&amp;M'!AH25/10000000</f>
        <v>6.7491839999999997E-2</v>
      </c>
      <c r="AG8" s="341">
        <f>'O&amp;M'!AI25/10000000</f>
        <v>6.7491839999999997E-2</v>
      </c>
      <c r="AH8" s="341">
        <f>'O&amp;M'!AJ25/10000000</f>
        <v>6.7491839999999997E-2</v>
      </c>
      <c r="AI8" s="341">
        <f>'O&amp;M'!AK25/10000000</f>
        <v>6.7491839999999997E-2</v>
      </c>
      <c r="AJ8" s="341">
        <f>'O&amp;M'!AL25/10000000</f>
        <v>7.0191513600000005E-2</v>
      </c>
      <c r="AK8" s="341">
        <f>'O&amp;M'!AM25/10000000</f>
        <v>7.0191513600000005E-2</v>
      </c>
      <c r="AL8" s="341">
        <f>'O&amp;M'!AN25/10000000</f>
        <v>7.0191513600000005E-2</v>
      </c>
      <c r="AM8" s="341">
        <f>'O&amp;M'!AO25/10000000</f>
        <v>7.0191513600000005E-2</v>
      </c>
      <c r="AN8" s="341">
        <f>'O&amp;M'!AP25/10000000</f>
        <v>7.0191513600000005E-2</v>
      </c>
      <c r="AO8" s="341">
        <f>'O&amp;M'!AQ25/10000000</f>
        <v>7.0191513600000005E-2</v>
      </c>
      <c r="AP8" s="341">
        <f>'O&amp;M'!AR25/10000000</f>
        <v>0</v>
      </c>
      <c r="AQ8" s="341">
        <f>'O&amp;M'!AS25/10000000</f>
        <v>0</v>
      </c>
      <c r="AR8" s="341">
        <f>'O&amp;M'!AT25/10000000</f>
        <v>0</v>
      </c>
      <c r="AS8" s="341">
        <f>'O&amp;M'!AU25/10000000</f>
        <v>0</v>
      </c>
      <c r="AT8" s="341">
        <f>'O&amp;M'!AV25/10000000</f>
        <v>0</v>
      </c>
      <c r="AU8" s="341">
        <f>'O&amp;M'!AW25/10000000</f>
        <v>0</v>
      </c>
      <c r="AV8" s="341">
        <f>'O&amp;M'!AX25/10000000</f>
        <v>0</v>
      </c>
      <c r="AW8" s="341">
        <f>'O&amp;M'!AY25/10000000</f>
        <v>0</v>
      </c>
      <c r="AX8" s="341">
        <f>'O&amp;M'!AZ25/10000000</f>
        <v>0</v>
      </c>
      <c r="AY8" s="341">
        <f>'O&amp;M'!BA25/10000000</f>
        <v>0</v>
      </c>
      <c r="AZ8" s="341">
        <f>'O&amp;M'!BB25/10000000</f>
        <v>0</v>
      </c>
      <c r="BA8" s="341">
        <f>'O&amp;M'!BC25/10000000</f>
        <v>0</v>
      </c>
      <c r="BB8" s="341">
        <f>'O&amp;M'!BD25/10000000</f>
        <v>0</v>
      </c>
      <c r="BC8" s="341">
        <f>'O&amp;M'!BE25/10000000</f>
        <v>0</v>
      </c>
      <c r="BD8" s="341">
        <f>'O&amp;M'!BF25/10000000</f>
        <v>0</v>
      </c>
      <c r="BE8" s="341">
        <f>'O&amp;M'!BG25/10000000</f>
        <v>0</v>
      </c>
      <c r="BF8" s="341">
        <f>'O&amp;M'!BH25/10000000</f>
        <v>0</v>
      </c>
      <c r="BG8" s="341">
        <f>'O&amp;M'!BI25/10000000</f>
        <v>0</v>
      </c>
      <c r="BH8" s="341">
        <f>'O&amp;M'!BJ25/10000000</f>
        <v>0</v>
      </c>
      <c r="BI8" s="341">
        <f>'O&amp;M'!BK25/10000000</f>
        <v>0</v>
      </c>
      <c r="BJ8" s="341">
        <f>'O&amp;M'!BL25/10000000</f>
        <v>0</v>
      </c>
      <c r="BK8" s="341">
        <f>'O&amp;M'!BM25/10000000</f>
        <v>0</v>
      </c>
      <c r="BL8" s="341">
        <f>'O&amp;M'!BN25/10000000</f>
        <v>0</v>
      </c>
      <c r="BM8" s="341">
        <f>'O&amp;M'!BO25/10000000</f>
        <v>0</v>
      </c>
      <c r="BN8" s="341">
        <f>'O&amp;M'!BP25/10000000</f>
        <v>0</v>
      </c>
      <c r="BO8" s="341">
        <f>'O&amp;M'!BQ25/10000000</f>
        <v>0</v>
      </c>
      <c r="BP8" s="341">
        <f>'O&amp;M'!BR25/10000000</f>
        <v>0</v>
      </c>
      <c r="BQ8" s="341">
        <f>'O&amp;M'!BS25/10000000</f>
        <v>0</v>
      </c>
      <c r="BR8" s="341">
        <f>'O&amp;M'!BT25/10000000</f>
        <v>0</v>
      </c>
      <c r="BS8" s="341">
        <f>'O&amp;M'!BU25/10000000</f>
        <v>0</v>
      </c>
      <c r="BT8" s="341">
        <f>'O&amp;M'!BV25/10000000</f>
        <v>0</v>
      </c>
      <c r="BU8" s="341">
        <f>'O&amp;M'!BW25/10000000</f>
        <v>0</v>
      </c>
      <c r="BV8" s="341">
        <f>'O&amp;M'!BX25/10000000</f>
        <v>0</v>
      </c>
      <c r="BW8" s="341">
        <f>'O&amp;M'!BY25/10000000</f>
        <v>0</v>
      </c>
      <c r="BX8" s="341">
        <f>'O&amp;M'!BZ25/10000000</f>
        <v>0</v>
      </c>
      <c r="BY8" s="341">
        <f>'O&amp;M'!CA25/10000000</f>
        <v>0</v>
      </c>
      <c r="BZ8" s="341">
        <f>'O&amp;M'!CB25/10000000</f>
        <v>0</v>
      </c>
      <c r="CA8" s="341">
        <f>'O&amp;M'!CC25/10000000</f>
        <v>0</v>
      </c>
      <c r="CB8" s="341">
        <f>'O&amp;M'!CD25/10000000</f>
        <v>0</v>
      </c>
      <c r="CC8" s="341">
        <f>'O&amp;M'!CE25/10000000</f>
        <v>0</v>
      </c>
      <c r="CD8" s="341">
        <f>'O&amp;M'!CF25/10000000</f>
        <v>0</v>
      </c>
      <c r="CE8" s="341">
        <f>'O&amp;M'!CG25/10000000</f>
        <v>0</v>
      </c>
      <c r="CF8" s="341">
        <f>'O&amp;M'!CH25/10000000</f>
        <v>0</v>
      </c>
      <c r="CG8" s="341">
        <f>'O&amp;M'!CI25/10000000</f>
        <v>0</v>
      </c>
      <c r="CH8" s="341">
        <f>'O&amp;M'!CJ25/10000000</f>
        <v>0</v>
      </c>
      <c r="CI8" s="341">
        <f>'O&amp;M'!CK25/10000000</f>
        <v>0</v>
      </c>
      <c r="CJ8" s="341">
        <f>'O&amp;M'!CL25/10000000</f>
        <v>0</v>
      </c>
      <c r="CK8" s="341">
        <f>'O&amp;M'!CM25/10000000</f>
        <v>0</v>
      </c>
      <c r="CL8" s="341">
        <f>'O&amp;M'!CN25/10000000</f>
        <v>0</v>
      </c>
      <c r="CM8" s="341">
        <f>'O&amp;M'!CO25/10000000</f>
        <v>0</v>
      </c>
      <c r="CN8" s="341">
        <f>'O&amp;M'!CP25/10000000</f>
        <v>0</v>
      </c>
      <c r="CO8" s="341">
        <f>'O&amp;M'!CQ25/10000000</f>
        <v>0</v>
      </c>
      <c r="CP8" s="341">
        <f>'O&amp;M'!CR25/10000000</f>
        <v>0</v>
      </c>
      <c r="CQ8" s="341">
        <f>'O&amp;M'!CS25/10000000</f>
        <v>0</v>
      </c>
      <c r="CR8" s="341">
        <f>'O&amp;M'!CT25/10000000</f>
        <v>0</v>
      </c>
      <c r="CS8" s="341">
        <f>'O&amp;M'!CU25/10000000</f>
        <v>0</v>
      </c>
      <c r="CT8" s="341">
        <f>'O&amp;M'!CV25/10000000</f>
        <v>0</v>
      </c>
      <c r="CU8" s="341">
        <f>'O&amp;M'!CW25/10000000</f>
        <v>0</v>
      </c>
      <c r="CV8" s="341">
        <f>'O&amp;M'!CX25/10000000</f>
        <v>0</v>
      </c>
      <c r="CW8" s="341">
        <f>'O&amp;M'!CY25/10000000</f>
        <v>0</v>
      </c>
      <c r="CX8" s="341">
        <v>0</v>
      </c>
      <c r="CY8" s="341">
        <v>0</v>
      </c>
      <c r="CZ8" s="341">
        <v>0</v>
      </c>
      <c r="DA8" s="341">
        <v>0</v>
      </c>
      <c r="DB8" s="341">
        <v>0</v>
      </c>
      <c r="DC8" s="341">
        <v>0</v>
      </c>
    </row>
    <row r="9" spans="1:107" hidden="1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v>0</v>
      </c>
      <c r="W9" s="341">
        <v>0</v>
      </c>
      <c r="X9" s="341">
        <v>0</v>
      </c>
      <c r="Y9" s="341">
        <v>0</v>
      </c>
      <c r="Z9" s="341">
        <v>0</v>
      </c>
      <c r="AA9" s="341">
        <v>0</v>
      </c>
      <c r="AB9" s="341">
        <v>0</v>
      </c>
      <c r="AC9" s="341">
        <v>0</v>
      </c>
      <c r="AD9" s="341">
        <v>0</v>
      </c>
      <c r="AE9" s="341">
        <v>0</v>
      </c>
      <c r="AF9" s="341">
        <v>0</v>
      </c>
      <c r="AG9" s="341">
        <v>0</v>
      </c>
      <c r="AH9" s="341">
        <v>0</v>
      </c>
      <c r="AI9" s="341">
        <v>0</v>
      </c>
      <c r="AJ9" s="341">
        <v>0</v>
      </c>
      <c r="AK9" s="341">
        <v>0</v>
      </c>
      <c r="AL9" s="341">
        <v>0</v>
      </c>
      <c r="AM9" s="341">
        <v>0</v>
      </c>
      <c r="AN9" s="341">
        <v>0</v>
      </c>
      <c r="AO9" s="341">
        <v>0</v>
      </c>
      <c r="AP9" s="341">
        <v>0</v>
      </c>
      <c r="AQ9" s="341">
        <v>0</v>
      </c>
      <c r="AR9" s="341">
        <v>0</v>
      </c>
      <c r="AS9" s="341">
        <v>0</v>
      </c>
      <c r="AT9" s="341">
        <v>0</v>
      </c>
      <c r="AU9" s="341">
        <v>0</v>
      </c>
      <c r="AV9" s="341">
        <v>0</v>
      </c>
      <c r="AW9" s="341">
        <v>0</v>
      </c>
      <c r="AX9" s="341">
        <v>0</v>
      </c>
      <c r="AY9" s="341">
        <v>0</v>
      </c>
      <c r="AZ9" s="341">
        <v>0</v>
      </c>
      <c r="BA9" s="341">
        <v>0</v>
      </c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>
        <v>0</v>
      </c>
      <c r="BM9" s="341">
        <v>0</v>
      </c>
      <c r="BN9" s="341">
        <v>0</v>
      </c>
      <c r="BO9" s="341">
        <v>0</v>
      </c>
      <c r="BP9" s="341">
        <v>0</v>
      </c>
      <c r="BQ9" s="341">
        <v>0</v>
      </c>
      <c r="BR9" s="341">
        <v>0</v>
      </c>
      <c r="BS9" s="341">
        <v>0</v>
      </c>
      <c r="BT9" s="341">
        <v>0</v>
      </c>
      <c r="BU9" s="341">
        <v>0</v>
      </c>
      <c r="BV9" s="341">
        <v>0</v>
      </c>
      <c r="BW9" s="341">
        <v>0</v>
      </c>
      <c r="BX9" s="341">
        <v>0</v>
      </c>
      <c r="BY9" s="341">
        <v>0</v>
      </c>
      <c r="BZ9" s="341">
        <v>0</v>
      </c>
      <c r="CA9" s="341">
        <v>0</v>
      </c>
      <c r="CB9" s="341">
        <v>0</v>
      </c>
      <c r="CC9" s="341">
        <v>0</v>
      </c>
      <c r="CD9" s="341">
        <v>0</v>
      </c>
      <c r="CE9" s="341">
        <v>0</v>
      </c>
      <c r="CF9" s="341">
        <v>0</v>
      </c>
      <c r="CG9" s="341">
        <v>0</v>
      </c>
      <c r="CH9" s="341">
        <v>0</v>
      </c>
      <c r="CI9" s="341">
        <v>0</v>
      </c>
      <c r="CJ9" s="341">
        <v>0</v>
      </c>
      <c r="CK9" s="341">
        <v>0</v>
      </c>
      <c r="CL9" s="341">
        <v>0</v>
      </c>
      <c r="CM9" s="341">
        <v>0</v>
      </c>
      <c r="CN9" s="341">
        <v>0</v>
      </c>
      <c r="CO9" s="341">
        <v>0</v>
      </c>
      <c r="CP9" s="341">
        <v>0</v>
      </c>
      <c r="CQ9" s="341">
        <v>0</v>
      </c>
      <c r="CR9" s="341">
        <v>0</v>
      </c>
      <c r="CS9" s="341">
        <v>0</v>
      </c>
      <c r="CT9" s="341">
        <v>0</v>
      </c>
      <c r="CU9" s="341">
        <v>0</v>
      </c>
      <c r="CV9" s="341">
        <v>0</v>
      </c>
      <c r="CW9" s="341">
        <v>0</v>
      </c>
      <c r="CX9" s="341">
        <v>0</v>
      </c>
      <c r="CY9" s="341">
        <v>0</v>
      </c>
      <c r="CZ9" s="341">
        <v>0</v>
      </c>
      <c r="DA9" s="341">
        <v>0</v>
      </c>
      <c r="DB9" s="341">
        <v>0</v>
      </c>
      <c r="DC9" s="341">
        <v>0</v>
      </c>
    </row>
    <row r="10" spans="1:107">
      <c r="A10" s="310" t="s">
        <v>373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>
        <f>-'Debt (2)'!Z11</f>
        <v>113.85550000000001</v>
      </c>
      <c r="AB10" s="341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426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</row>
    <row r="11" spans="1:107" ht="12.75" thickBot="1">
      <c r="A11" s="321" t="s">
        <v>4</v>
      </c>
      <c r="B11" s="343">
        <f t="shared" ref="B11:W11" si="1">SUM(B4:B9)</f>
        <v>11.469999999999999</v>
      </c>
      <c r="C11" s="343">
        <f t="shared" si="1"/>
        <v>4.2959007361720429</v>
      </c>
      <c r="D11" s="343">
        <f t="shared" si="1"/>
        <v>3.337439274666667</v>
      </c>
      <c r="E11" s="343">
        <f t="shared" si="1"/>
        <v>6.2153189973333323</v>
      </c>
      <c r="F11" s="343">
        <f t="shared" si="1"/>
        <v>3.4790042879999996</v>
      </c>
      <c r="G11" s="343">
        <f t="shared" si="1"/>
        <v>5.2775192832000011</v>
      </c>
      <c r="H11" s="343">
        <f t="shared" si="1"/>
        <v>3.620569301333334</v>
      </c>
      <c r="I11" s="343">
        <f t="shared" si="1"/>
        <v>5.5393298901333345</v>
      </c>
      <c r="J11" s="343">
        <f t="shared" si="1"/>
        <v>4.3530180906666667</v>
      </c>
      <c r="K11" s="343">
        <f t="shared" si="1"/>
        <v>5.6365074218666678</v>
      </c>
      <c r="L11" s="343">
        <f t="shared" si="1"/>
        <v>2.9959264000000001</v>
      </c>
      <c r="M11" s="343">
        <f t="shared" si="1"/>
        <v>5.8126925120000008</v>
      </c>
      <c r="N11" s="343">
        <f t="shared" si="1"/>
        <v>3.0440556799999996</v>
      </c>
      <c r="O11" s="343">
        <f t="shared" si="1"/>
        <v>6.3550335040000006</v>
      </c>
      <c r="P11" s="343">
        <f t="shared" si="1"/>
        <v>3.4957743039999993</v>
      </c>
      <c r="Q11" s="343">
        <f t="shared" si="1"/>
        <v>6.5503053920000003</v>
      </c>
      <c r="R11" s="343">
        <f t="shared" si="1"/>
        <v>3.4565473600000001</v>
      </c>
      <c r="S11" s="343">
        <f t="shared" si="1"/>
        <v>6.5895418400000008</v>
      </c>
      <c r="T11" s="343">
        <f t="shared" si="1"/>
        <v>3.4578804159999996</v>
      </c>
      <c r="U11" s="343">
        <f t="shared" si="1"/>
        <v>6.8315846239999996</v>
      </c>
      <c r="V11" s="343">
        <f t="shared" si="1"/>
        <v>3.2366757119999998</v>
      </c>
      <c r="W11" s="343">
        <f t="shared" si="1"/>
        <v>6.9271149119999995</v>
      </c>
      <c r="X11" s="343">
        <f>SUM(X4:X10)</f>
        <v>3.51469824</v>
      </c>
      <c r="Y11" s="343">
        <f t="shared" ref="Y11:CJ11" si="2">SUM(Y4:Y10)</f>
        <v>7.0453855999999995</v>
      </c>
      <c r="Z11" s="343">
        <f t="shared" si="2"/>
        <v>3.5819622400000002</v>
      </c>
      <c r="AA11" s="343">
        <f t="shared" si="2"/>
        <v>121.03877680000001</v>
      </c>
      <c r="AB11" s="343">
        <f t="shared" si="2"/>
        <v>3.7505706666666665</v>
      </c>
      <c r="AC11" s="343">
        <f t="shared" si="2"/>
        <v>7.1572680533333344</v>
      </c>
      <c r="AD11" s="343">
        <f t="shared" si="2"/>
        <v>3.7783731199999999</v>
      </c>
      <c r="AE11" s="343">
        <f t="shared" si="2"/>
        <v>7.1271628799999993</v>
      </c>
      <c r="AF11" s="343">
        <f t="shared" si="2"/>
        <v>3.7218107733333339</v>
      </c>
      <c r="AG11" s="343">
        <f t="shared" si="2"/>
        <v>7.3569815466666659</v>
      </c>
      <c r="AH11" s="343">
        <f t="shared" si="2"/>
        <v>6.3971498666666662</v>
      </c>
      <c r="AI11" s="343">
        <f t="shared" si="2"/>
        <v>7.3789320319999998</v>
      </c>
      <c r="AJ11" s="343">
        <f t="shared" si="2"/>
        <v>4.8240262456000007</v>
      </c>
      <c r="AK11" s="343">
        <f t="shared" si="2"/>
        <v>8.877702640479999</v>
      </c>
      <c r="AL11" s="343">
        <f t="shared" si="2"/>
        <v>4.8816580408000005</v>
      </c>
      <c r="AM11" s="343">
        <f t="shared" si="2"/>
        <v>8.9958478206399999</v>
      </c>
      <c r="AN11" s="343">
        <f t="shared" si="2"/>
        <v>5.0704021700800004</v>
      </c>
      <c r="AO11" s="343">
        <f t="shared" si="2"/>
        <v>8.9814398718399993</v>
      </c>
      <c r="AP11" s="343">
        <f t="shared" si="2"/>
        <v>5.0597635115199999</v>
      </c>
      <c r="AQ11" s="343">
        <f t="shared" si="2"/>
        <v>9.0274724785599982</v>
      </c>
      <c r="AR11" s="343">
        <f t="shared" si="2"/>
        <v>5.1193163665599997</v>
      </c>
      <c r="AS11" s="343">
        <f t="shared" si="2"/>
        <v>9.391062247934201</v>
      </c>
      <c r="AT11" s="343">
        <f t="shared" si="2"/>
        <v>4.9064065051551999</v>
      </c>
      <c r="AU11" s="343">
        <f t="shared" si="2"/>
        <v>9.3325091659167985</v>
      </c>
      <c r="AV11" s="343">
        <f t="shared" si="2"/>
        <v>4.8462272391471997</v>
      </c>
      <c r="AW11" s="343">
        <f t="shared" si="2"/>
        <v>9.4459574194237597</v>
      </c>
      <c r="AX11" s="343">
        <f t="shared" si="2"/>
        <v>4.8764839316272006</v>
      </c>
      <c r="AY11" s="343">
        <f t="shared" si="2"/>
        <v>9.5079836390077581</v>
      </c>
      <c r="AZ11" s="343">
        <f t="shared" si="2"/>
        <v>5.0540365065774404</v>
      </c>
      <c r="BA11" s="343">
        <f t="shared" si="2"/>
        <v>9.4219575588095203</v>
      </c>
      <c r="BB11" s="343">
        <f t="shared" si="2"/>
        <v>5.0853017554734405</v>
      </c>
      <c r="BC11" s="343">
        <f t="shared" si="2"/>
        <v>9.4829752219775187</v>
      </c>
      <c r="BD11" s="343">
        <f t="shared" si="2"/>
        <v>5.1165670043694398</v>
      </c>
      <c r="BE11" s="343">
        <f t="shared" si="2"/>
        <v>9.7687187954108801</v>
      </c>
      <c r="BF11" s="343">
        <f t="shared" si="2"/>
        <v>4.6968675981107211</v>
      </c>
      <c r="BG11" s="343">
        <f t="shared" si="2"/>
        <v>9.60576696562552</v>
      </c>
      <c r="BH11" s="343">
        <f t="shared" si="2"/>
        <v>5.6995521591794081</v>
      </c>
      <c r="BI11" s="343">
        <f t="shared" si="2"/>
        <v>11.421014365804194</v>
      </c>
      <c r="BJ11" s="343">
        <f t="shared" si="2"/>
        <v>5.7176955375489591</v>
      </c>
      <c r="BK11" s="343">
        <f t="shared" si="2"/>
        <v>11.458208291461766</v>
      </c>
      <c r="BL11" s="343">
        <f t="shared" si="2"/>
        <v>5.9182358106157924</v>
      </c>
      <c r="BM11" s="343">
        <f t="shared" si="2"/>
        <v>11.312551737962822</v>
      </c>
      <c r="BN11" s="343">
        <f t="shared" si="2"/>
        <v>5.9369839682643288</v>
      </c>
      <c r="BO11" s="343">
        <f t="shared" si="2"/>
        <v>11.349140884341418</v>
      </c>
      <c r="BP11" s="343">
        <f t="shared" si="2"/>
        <v>5.9557321259128635</v>
      </c>
      <c r="BQ11" s="343">
        <f t="shared" si="2"/>
        <v>11.661593295062127</v>
      </c>
      <c r="BR11" s="343">
        <f t="shared" si="2"/>
        <v>5.4218465859586829</v>
      </c>
      <c r="BS11" s="343">
        <f t="shared" si="2"/>
        <v>11.422772761557839</v>
      </c>
      <c r="BT11" s="343">
        <f t="shared" si="2"/>
        <v>6.4280896454763408</v>
      </c>
      <c r="BU11" s="343">
        <f t="shared" si="2"/>
        <v>12.916087749456974</v>
      </c>
      <c r="BV11" s="343">
        <f t="shared" si="2"/>
        <v>6.4482608131930768</v>
      </c>
      <c r="BW11" s="343">
        <f t="shared" si="2"/>
        <v>12.957438643276278</v>
      </c>
      <c r="BX11" s="343">
        <f t="shared" si="2"/>
        <v>6.6752486444401384</v>
      </c>
      <c r="BY11" s="343">
        <f t="shared" si="2"/>
        <v>12.79146859437234</v>
      </c>
      <c r="BZ11" s="343">
        <f t="shared" si="2"/>
        <v>6.6960921844141001</v>
      </c>
      <c r="CA11" s="343">
        <f t="shared" si="2"/>
        <v>12.832147115934418</v>
      </c>
      <c r="CB11" s="343">
        <f t="shared" si="2"/>
        <v>6.7169357243880583</v>
      </c>
      <c r="CC11" s="343">
        <f t="shared" si="2"/>
        <v>13.29830619304801</v>
      </c>
      <c r="CD11" s="343">
        <f t="shared" si="2"/>
        <v>6.1792703170427146</v>
      </c>
      <c r="CE11" s="343">
        <f t="shared" si="2"/>
        <v>13.061102349452101</v>
      </c>
      <c r="CF11" s="343">
        <f t="shared" si="2"/>
        <v>6.9401135992855387</v>
      </c>
      <c r="CG11" s="343">
        <f t="shared" si="2"/>
        <v>13.966709351325653</v>
      </c>
      <c r="CH11" s="343">
        <f t="shared" si="2"/>
        <v>6.9615396012730244</v>
      </c>
      <c r="CI11" s="343">
        <f t="shared" si="2"/>
        <v>14.010632655400002</v>
      </c>
      <c r="CJ11" s="343">
        <f t="shared" si="2"/>
        <v>7.2069333875358588</v>
      </c>
      <c r="CK11" s="343">
        <f t="shared" ref="CK11:DC11" si="3">SUM(CK4:CK10)</f>
        <v>13.830052525149306</v>
      </c>
      <c r="CL11" s="343">
        <f t="shared" si="3"/>
        <v>7.2290735895895928</v>
      </c>
      <c r="CM11" s="343">
        <f t="shared" si="3"/>
        <v>13.873261629157401</v>
      </c>
      <c r="CN11" s="343">
        <f t="shared" si="3"/>
        <v>7.2512137916433286</v>
      </c>
      <c r="CO11" s="343">
        <f t="shared" si="3"/>
        <v>14.25510065982696</v>
      </c>
      <c r="CP11" s="343">
        <f t="shared" si="3"/>
        <v>6.8211332247488681</v>
      </c>
      <c r="CQ11" s="343">
        <f t="shared" si="3"/>
        <v>14.073270679460331</v>
      </c>
      <c r="CR11" s="343">
        <f t="shared" si="3"/>
        <v>7.408906488020973</v>
      </c>
      <c r="CS11" s="343">
        <f t="shared" si="3"/>
        <v>14.928565030810311</v>
      </c>
      <c r="CT11" s="343">
        <f t="shared" si="3"/>
        <v>7.4314037901078347</v>
      </c>
      <c r="CU11" s="343">
        <f t="shared" si="3"/>
        <v>14.974684500088371</v>
      </c>
      <c r="CV11" s="343">
        <f t="shared" si="3"/>
        <v>7.6935667261011833</v>
      </c>
      <c r="CW11" s="343">
        <f t="shared" si="3"/>
        <v>14.780575902907772</v>
      </c>
      <c r="CX11" s="343">
        <f t="shared" si="3"/>
        <v>0</v>
      </c>
      <c r="CY11" s="343">
        <f t="shared" si="3"/>
        <v>0</v>
      </c>
      <c r="CZ11" s="343">
        <f t="shared" si="3"/>
        <v>0</v>
      </c>
      <c r="DA11" s="343">
        <f t="shared" si="3"/>
        <v>0</v>
      </c>
      <c r="DB11" s="343">
        <f t="shared" si="3"/>
        <v>0</v>
      </c>
      <c r="DC11" s="343">
        <f t="shared" si="3"/>
        <v>0</v>
      </c>
    </row>
    <row r="12" spans="1:107" ht="12.75" thickTop="1">
      <c r="A12" s="344"/>
      <c r="AT12" s="598">
        <f>AT14/AS14-1</f>
        <v>4.3644392621933203E-3</v>
      </c>
      <c r="AU12" s="598">
        <f t="shared" ref="AU12:AY12" si="4">AU14/AT14-1</f>
        <v>-7.427743139175047E-3</v>
      </c>
      <c r="AV12" s="598">
        <f t="shared" si="4"/>
        <v>5.485640723548868E-2</v>
      </c>
      <c r="AW12" s="598">
        <f t="shared" si="4"/>
        <v>0.20950197302589735</v>
      </c>
      <c r="AX12" s="597">
        <f t="shared" si="4"/>
        <v>-0.10883616439749311</v>
      </c>
      <c r="AY12" s="598">
        <f t="shared" si="4"/>
        <v>-9.8029177108477139E-2</v>
      </c>
    </row>
    <row r="13" spans="1:107" s="339" customFormat="1">
      <c r="A13" s="345" t="s">
        <v>2</v>
      </c>
      <c r="B13" s="332">
        <f t="shared" ref="B13:BM13" si="5">B3</f>
        <v>44012</v>
      </c>
      <c r="C13" s="332">
        <f t="shared" si="5"/>
        <v>44043</v>
      </c>
      <c r="D13" s="332">
        <f t="shared" si="5"/>
        <v>44074</v>
      </c>
      <c r="E13" s="332">
        <f t="shared" si="5"/>
        <v>44104</v>
      </c>
      <c r="F13" s="332">
        <f t="shared" si="5"/>
        <v>44135</v>
      </c>
      <c r="G13" s="332">
        <f t="shared" si="5"/>
        <v>44165</v>
      </c>
      <c r="H13" s="332">
        <f t="shared" si="5"/>
        <v>44196</v>
      </c>
      <c r="I13" s="332">
        <f t="shared" si="5"/>
        <v>44227</v>
      </c>
      <c r="J13" s="332">
        <f t="shared" si="5"/>
        <v>44255</v>
      </c>
      <c r="K13" s="332">
        <f t="shared" si="5"/>
        <v>44286</v>
      </c>
      <c r="L13" s="332">
        <f t="shared" si="5"/>
        <v>44316</v>
      </c>
      <c r="M13" s="332">
        <f t="shared" si="5"/>
        <v>44347</v>
      </c>
      <c r="N13" s="332">
        <f t="shared" si="5"/>
        <v>44377</v>
      </c>
      <c r="O13" s="332">
        <f t="shared" si="5"/>
        <v>44408</v>
      </c>
      <c r="P13" s="332">
        <f t="shared" si="5"/>
        <v>44439</v>
      </c>
      <c r="Q13" s="332">
        <f t="shared" si="5"/>
        <v>44469</v>
      </c>
      <c r="R13" s="332">
        <f t="shared" si="5"/>
        <v>44500</v>
      </c>
      <c r="S13" s="332">
        <f t="shared" si="5"/>
        <v>44530</v>
      </c>
      <c r="T13" s="332">
        <f t="shared" si="5"/>
        <v>44561</v>
      </c>
      <c r="U13" s="332">
        <f t="shared" si="5"/>
        <v>44592</v>
      </c>
      <c r="V13" s="332">
        <f t="shared" si="5"/>
        <v>44620</v>
      </c>
      <c r="W13" s="332">
        <f t="shared" si="5"/>
        <v>44651</v>
      </c>
      <c r="X13" s="332">
        <f t="shared" si="5"/>
        <v>44681</v>
      </c>
      <c r="Y13" s="332">
        <f t="shared" si="5"/>
        <v>44712</v>
      </c>
      <c r="Z13" s="332">
        <f t="shared" si="5"/>
        <v>44742</v>
      </c>
      <c r="AA13" s="332">
        <f t="shared" si="5"/>
        <v>44773</v>
      </c>
      <c r="AB13" s="332">
        <f t="shared" si="5"/>
        <v>44804</v>
      </c>
      <c r="AC13" s="332">
        <f t="shared" si="5"/>
        <v>44834</v>
      </c>
      <c r="AD13" s="332">
        <f t="shared" si="5"/>
        <v>44865</v>
      </c>
      <c r="AE13" s="332">
        <f t="shared" si="5"/>
        <v>44895</v>
      </c>
      <c r="AF13" s="332">
        <f t="shared" si="5"/>
        <v>44926</v>
      </c>
      <c r="AG13" s="332">
        <f t="shared" si="5"/>
        <v>44957</v>
      </c>
      <c r="AH13" s="332">
        <f t="shared" si="5"/>
        <v>44985</v>
      </c>
      <c r="AI13" s="332">
        <f t="shared" si="5"/>
        <v>45016</v>
      </c>
      <c r="AJ13" s="332">
        <f t="shared" si="5"/>
        <v>45046</v>
      </c>
      <c r="AK13" s="332">
        <f t="shared" si="5"/>
        <v>45077</v>
      </c>
      <c r="AL13" s="332">
        <f t="shared" si="5"/>
        <v>45107</v>
      </c>
      <c r="AM13" s="332">
        <f t="shared" si="5"/>
        <v>45138</v>
      </c>
      <c r="AN13" s="332">
        <f t="shared" si="5"/>
        <v>45169</v>
      </c>
      <c r="AO13" s="332">
        <f t="shared" si="5"/>
        <v>45199</v>
      </c>
      <c r="AP13" s="332">
        <f t="shared" si="5"/>
        <v>45230</v>
      </c>
      <c r="AQ13" s="332">
        <f t="shared" si="5"/>
        <v>45260</v>
      </c>
      <c r="AR13" s="332">
        <f t="shared" si="5"/>
        <v>45291</v>
      </c>
      <c r="AS13" s="332">
        <f t="shared" si="5"/>
        <v>45322</v>
      </c>
      <c r="AT13" s="332">
        <f t="shared" si="5"/>
        <v>45351</v>
      </c>
      <c r="AU13" s="332">
        <f t="shared" si="5"/>
        <v>45382</v>
      </c>
      <c r="AV13" s="332">
        <f t="shared" si="5"/>
        <v>45412</v>
      </c>
      <c r="AW13" s="332">
        <f t="shared" si="5"/>
        <v>45443</v>
      </c>
      <c r="AX13" s="332">
        <f t="shared" si="5"/>
        <v>45473</v>
      </c>
      <c r="AY13" s="332">
        <f t="shared" si="5"/>
        <v>45504</v>
      </c>
      <c r="AZ13" s="332">
        <f t="shared" si="5"/>
        <v>45535</v>
      </c>
      <c r="BA13" s="332">
        <f t="shared" si="5"/>
        <v>45565</v>
      </c>
      <c r="BB13" s="332">
        <f t="shared" si="5"/>
        <v>45596</v>
      </c>
      <c r="BC13" s="332">
        <f t="shared" si="5"/>
        <v>45626</v>
      </c>
      <c r="BD13" s="332">
        <f t="shared" si="5"/>
        <v>45657</v>
      </c>
      <c r="BE13" s="332">
        <f t="shared" si="5"/>
        <v>45688</v>
      </c>
      <c r="BF13" s="332">
        <f t="shared" si="5"/>
        <v>45716</v>
      </c>
      <c r="BG13" s="332">
        <f t="shared" si="5"/>
        <v>45747</v>
      </c>
      <c r="BH13" s="332">
        <f t="shared" si="5"/>
        <v>45777</v>
      </c>
      <c r="BI13" s="332">
        <f t="shared" si="5"/>
        <v>45808</v>
      </c>
      <c r="BJ13" s="332">
        <f t="shared" si="5"/>
        <v>45838</v>
      </c>
      <c r="BK13" s="332">
        <f t="shared" si="5"/>
        <v>45869</v>
      </c>
      <c r="BL13" s="332">
        <f t="shared" si="5"/>
        <v>45900</v>
      </c>
      <c r="BM13" s="332">
        <f t="shared" si="5"/>
        <v>45930</v>
      </c>
      <c r="BN13" s="332">
        <f t="shared" ref="BN13:DC13" si="6">BN3</f>
        <v>45961</v>
      </c>
      <c r="BO13" s="332">
        <f t="shared" si="6"/>
        <v>45991</v>
      </c>
      <c r="BP13" s="332">
        <f t="shared" si="6"/>
        <v>46022</v>
      </c>
      <c r="BQ13" s="332">
        <f t="shared" si="6"/>
        <v>46053</v>
      </c>
      <c r="BR13" s="332">
        <f t="shared" si="6"/>
        <v>46081</v>
      </c>
      <c r="BS13" s="332">
        <f t="shared" si="6"/>
        <v>46112</v>
      </c>
      <c r="BT13" s="332">
        <f t="shared" si="6"/>
        <v>46142</v>
      </c>
      <c r="BU13" s="332">
        <f t="shared" si="6"/>
        <v>46173</v>
      </c>
      <c r="BV13" s="332">
        <f t="shared" si="6"/>
        <v>46203</v>
      </c>
      <c r="BW13" s="332">
        <f t="shared" si="6"/>
        <v>46234</v>
      </c>
      <c r="BX13" s="332">
        <f t="shared" si="6"/>
        <v>46265</v>
      </c>
      <c r="BY13" s="332">
        <f t="shared" si="6"/>
        <v>46295</v>
      </c>
      <c r="BZ13" s="332">
        <f t="shared" si="6"/>
        <v>46326</v>
      </c>
      <c r="CA13" s="332">
        <f t="shared" si="6"/>
        <v>46356</v>
      </c>
      <c r="CB13" s="332">
        <f t="shared" si="6"/>
        <v>46387</v>
      </c>
      <c r="CC13" s="332">
        <f t="shared" si="6"/>
        <v>46418</v>
      </c>
      <c r="CD13" s="332">
        <f t="shared" si="6"/>
        <v>46446</v>
      </c>
      <c r="CE13" s="332">
        <f t="shared" si="6"/>
        <v>46477</v>
      </c>
      <c r="CF13" s="332">
        <f t="shared" si="6"/>
        <v>46507</v>
      </c>
      <c r="CG13" s="332">
        <f t="shared" si="6"/>
        <v>46538</v>
      </c>
      <c r="CH13" s="332">
        <f t="shared" si="6"/>
        <v>46568</v>
      </c>
      <c r="CI13" s="332">
        <f t="shared" si="6"/>
        <v>46599</v>
      </c>
      <c r="CJ13" s="332">
        <f t="shared" si="6"/>
        <v>46630</v>
      </c>
      <c r="CK13" s="332">
        <f t="shared" si="6"/>
        <v>46660</v>
      </c>
      <c r="CL13" s="332">
        <f t="shared" si="6"/>
        <v>46691</v>
      </c>
      <c r="CM13" s="332">
        <f t="shared" si="6"/>
        <v>46721</v>
      </c>
      <c r="CN13" s="332">
        <f t="shared" si="6"/>
        <v>46752</v>
      </c>
      <c r="CO13" s="332">
        <f t="shared" si="6"/>
        <v>46783</v>
      </c>
      <c r="CP13" s="332">
        <f t="shared" si="6"/>
        <v>46812</v>
      </c>
      <c r="CQ13" s="332">
        <f t="shared" si="6"/>
        <v>46843</v>
      </c>
      <c r="CR13" s="332">
        <f t="shared" si="6"/>
        <v>46873</v>
      </c>
      <c r="CS13" s="332">
        <f t="shared" si="6"/>
        <v>46904</v>
      </c>
      <c r="CT13" s="332">
        <f t="shared" si="6"/>
        <v>46934</v>
      </c>
      <c r="CU13" s="332">
        <f t="shared" si="6"/>
        <v>46965</v>
      </c>
      <c r="CV13" s="332">
        <f t="shared" si="6"/>
        <v>46996</v>
      </c>
      <c r="CW13" s="332">
        <f t="shared" si="6"/>
        <v>47026</v>
      </c>
      <c r="CX13" s="332">
        <f t="shared" si="6"/>
        <v>47056</v>
      </c>
      <c r="CY13" s="332">
        <f t="shared" si="6"/>
        <v>47087</v>
      </c>
      <c r="CZ13" s="332">
        <f t="shared" si="6"/>
        <v>47117</v>
      </c>
      <c r="DA13" s="332">
        <f t="shared" si="6"/>
        <v>47148</v>
      </c>
      <c r="DB13" s="332">
        <f t="shared" si="6"/>
        <v>47177</v>
      </c>
      <c r="DC13" s="332">
        <f t="shared" si="6"/>
        <v>47207</v>
      </c>
    </row>
    <row r="14" spans="1:107">
      <c r="A14" s="310" t="s">
        <v>374</v>
      </c>
      <c r="B14" s="341">
        <v>4.12</v>
      </c>
      <c r="C14" s="341">
        <v>1.5</v>
      </c>
      <c r="D14" s="341">
        <v>1.3950143193151643</v>
      </c>
      <c r="E14" s="341">
        <v>1.5643367433668245</v>
      </c>
      <c r="F14" s="341">
        <v>1.653585711833631</v>
      </c>
      <c r="G14" s="341">
        <v>1.7846921401627989</v>
      </c>
      <c r="H14" s="341">
        <v>1.8468984372211161</v>
      </c>
      <c r="I14" s="341">
        <v>1.3191598037116206</v>
      </c>
      <c r="J14" s="341">
        <v>1.3228454975669468</v>
      </c>
      <c r="K14" s="341">
        <v>2.31270670504267</v>
      </c>
      <c r="L14" s="341">
        <f>Expenses!N7</f>
        <v>1.582192939699987</v>
      </c>
      <c r="M14" s="341">
        <f>Expenses!O7</f>
        <v>1.9577516264750594</v>
      </c>
      <c r="N14" s="341">
        <f>Expenses!P7</f>
        <v>1.7109017966416942</v>
      </c>
      <c r="O14" s="341">
        <f>Expenses!Q7</f>
        <v>1.5324065133206901</v>
      </c>
      <c r="P14" s="341">
        <f>Expenses!R7</f>
        <v>1.5170146524358483</v>
      </c>
      <c r="Q14" s="341">
        <f>Expenses!S7</f>
        <v>1.6902882947139868</v>
      </c>
      <c r="R14" s="341">
        <f>Expenses!T7+0.75</f>
        <v>2.4063875528849508</v>
      </c>
      <c r="S14" s="341">
        <f>Expenses!U7+0.75</f>
        <v>2.1409113236816268</v>
      </c>
      <c r="T14" s="341">
        <f>Expenses!V7+0.75</f>
        <v>2.4123402398399558</v>
      </c>
      <c r="U14" s="341">
        <f>Expenses!W7+0.75</f>
        <v>2.0777121900989446</v>
      </c>
      <c r="V14" s="341">
        <f>Expenses!X7+0.75</f>
        <v>2.0846115867164121</v>
      </c>
      <c r="W14" s="341">
        <f>Expenses!Y7+0.75</f>
        <v>2.0736256154060708</v>
      </c>
      <c r="X14" s="341">
        <f>Expenses!Z7</f>
        <v>1.8805417646439362</v>
      </c>
      <c r="Y14" s="341">
        <f>Expenses!AA7</f>
        <v>2.2561153323094092</v>
      </c>
      <c r="Z14" s="341">
        <f>Expenses!AB7</f>
        <v>2.0127280446330214</v>
      </c>
      <c r="AA14" s="341">
        <f>Expenses!AC7</f>
        <v>1.8307174872684493</v>
      </c>
      <c r="AB14" s="341">
        <f>Expenses!AD7</f>
        <v>1.8145528911845246</v>
      </c>
      <c r="AC14" s="341">
        <f>Expenses!AE7</f>
        <v>1.9919760803452502</v>
      </c>
      <c r="AD14" s="341">
        <f>Expenses!AF7</f>
        <v>2.0913729399978118</v>
      </c>
      <c r="AE14" s="341">
        <f>Expenses!AG7</f>
        <v>1.7308974067525926</v>
      </c>
      <c r="AF14" s="341">
        <f>Expenses!AH7</f>
        <v>2.0844528266631852</v>
      </c>
      <c r="AG14" s="341">
        <f>Expenses!AI7</f>
        <v>1.7495042040264051</v>
      </c>
      <c r="AH14" s="341">
        <f>Expenses!AJ7</f>
        <v>1.7566641275986679</v>
      </c>
      <c r="AI14" s="341">
        <f>Expenses!AK7</f>
        <v>1.7448232705305506</v>
      </c>
      <c r="AJ14" s="341">
        <f>Expenses!AL7</f>
        <v>1.8391451426450365</v>
      </c>
      <c r="AK14" s="341">
        <f>Expenses!AM7</f>
        <v>2.2147446334792757</v>
      </c>
      <c r="AL14" s="341">
        <f>Expenses!AN7</f>
        <v>1.9749688367876832</v>
      </c>
      <c r="AM14" s="341">
        <f>Expenses!AO7</f>
        <v>1.7893128416585393</v>
      </c>
      <c r="AN14" s="341">
        <f>Expenses!AP7</f>
        <v>1.7723550483079213</v>
      </c>
      <c r="AO14" s="341">
        <f>Expenses!AQ7</f>
        <v>1.9541194596669205</v>
      </c>
      <c r="AP14" s="341">
        <f>Expenses!AR7</f>
        <v>1.9728077924011729</v>
      </c>
      <c r="AQ14" s="341">
        <f>Expenses!AS7</f>
        <v>1.6856476225940762</v>
      </c>
      <c r="AR14" s="341">
        <f>Expenses!AT7</f>
        <v>2.0402602541500006</v>
      </c>
      <c r="AS14" s="341">
        <f>Expenses!AU7</f>
        <v>1.7049886835463064</v>
      </c>
      <c r="AT14" s="341">
        <f>Expenses!AV7</f>
        <v>1.7124300030983712</v>
      </c>
      <c r="AU14" s="341">
        <f>Expenses!AW7</f>
        <v>1.6997105128915397</v>
      </c>
      <c r="AV14" s="341">
        <f>Expenses!AX7</f>
        <v>1.7929505249691595</v>
      </c>
      <c r="AW14" s="341">
        <f>Expenses!AY7</f>
        <v>2.168577197488017</v>
      </c>
      <c r="AX14" s="341">
        <f>Expenses!AZ7</f>
        <v>1.9325575731135562</v>
      </c>
      <c r="AY14" s="341">
        <f>Expenses!BA7</f>
        <v>1.7431105445064787</v>
      </c>
      <c r="AZ14" s="341">
        <f>Expenses!BB7</f>
        <v>1.7253280479004318</v>
      </c>
      <c r="BA14" s="341">
        <f>Expenses!BC7</f>
        <v>1.9116243229527137</v>
      </c>
      <c r="BB14" s="341">
        <f>Expenses!BD7</f>
        <v>2.025364369484588</v>
      </c>
      <c r="BC14" s="341">
        <f>Expenses!BE7</f>
        <v>1.7267130078718274</v>
      </c>
      <c r="BD14" s="341">
        <f>Expenses!BF7</f>
        <v>2.0824253618640527</v>
      </c>
      <c r="BE14" s="341">
        <f>Expenses!BG7</f>
        <v>1.746818147806833</v>
      </c>
      <c r="BF14" s="341">
        <f>Expenses!BH7</f>
        <v>1.7545523417173139</v>
      </c>
      <c r="BG14" s="341">
        <f>Expenses!BI7</f>
        <v>1.7409192956934438</v>
      </c>
      <c r="BH14" s="341">
        <f>Expenses!BJ7</f>
        <v>1.836574852518067</v>
      </c>
      <c r="BI14" s="341">
        <f>Expenses!BK7</f>
        <v>2.212234933519774</v>
      </c>
      <c r="BJ14" s="341">
        <f>Expenses!BL7</f>
        <v>1.9801268679951338</v>
      </c>
      <c r="BK14" s="341">
        <f>Expenses!BM7</f>
        <v>1.5242423043206192</v>
      </c>
      <c r="BL14" s="341">
        <f>Expenses!BN7</f>
        <v>1.5056072561886085</v>
      </c>
      <c r="BM14" s="341">
        <f>Expenses!BO7</f>
        <v>1.6966402571121137</v>
      </c>
      <c r="BN14" s="341">
        <f>Expenses!BP7</f>
        <v>1.9229902583947105</v>
      </c>
      <c r="BO14" s="341">
        <f>Expenses!BQ7</f>
        <v>1.6123931974967038</v>
      </c>
      <c r="BP14" s="341">
        <f>Expenses!BR7</f>
        <v>1.9692544031272412</v>
      </c>
      <c r="BQ14" s="341">
        <f>Expenses!BS7</f>
        <v>1.6333032602952942</v>
      </c>
      <c r="BR14" s="341">
        <f>Expenses!BT7</f>
        <v>3.7623471840683154</v>
      </c>
      <c r="BS14" s="341">
        <f>Expenses!BU7</f>
        <v>1.8367691806378308</v>
      </c>
      <c r="BT14" s="341">
        <f>Expenses!BV7</f>
        <v>2.6174654919144205</v>
      </c>
      <c r="BU14" s="341">
        <f>Expenses!BW7</f>
        <v>3.2556603452761195</v>
      </c>
      <c r="BV14" s="341">
        <f>Expenses!BX7</f>
        <v>3.0276203286078616</v>
      </c>
      <c r="BW14" s="341">
        <f>Expenses!BY7</f>
        <v>2.8316107562310013</v>
      </c>
      <c r="BX14" s="341">
        <f>Expenses!BZ7</f>
        <v>2.8160790823954756</v>
      </c>
      <c r="BY14" s="341">
        <f>Expenses!CA7</f>
        <v>3.0132135986507209</v>
      </c>
      <c r="BZ14" s="341">
        <f>Expenses!CB7</f>
        <v>3.1411129809904033</v>
      </c>
      <c r="CA14" s="341">
        <f>Expenses!CC7</f>
        <v>2.8177774210692261</v>
      </c>
      <c r="CB14" s="341">
        <f>Expenses!CD7</f>
        <v>3.1732084607547328</v>
      </c>
      <c r="CC14" s="341">
        <f>Expenses!CE7</f>
        <v>2.7951117070892484</v>
      </c>
      <c r="CD14" s="341">
        <f>Expenses!CF7</f>
        <v>2.8034777785071867</v>
      </c>
      <c r="CE14" s="341">
        <f>Expenses!CG7</f>
        <v>2.7863642485813185</v>
      </c>
      <c r="CF14" s="341">
        <f>Expenses!CH7</f>
        <v>2.8872080712196446</v>
      </c>
      <c r="CG14" s="341">
        <f>Expenses!CI7</f>
        <v>3.262939116782452</v>
      </c>
      <c r="CH14" s="341">
        <f>Expenses!CJ7</f>
        <v>2.1975149885126806</v>
      </c>
      <c r="CI14" s="341">
        <f>Expenses!CK7</f>
        <v>1.9973915477532995</v>
      </c>
      <c r="CJ14" s="341">
        <f>Expenses!CL7</f>
        <v>1.9769478124961768</v>
      </c>
      <c r="CK14" s="341">
        <f>Expenses!CM7</f>
        <v>2.1764791443177391</v>
      </c>
      <c r="CL14" s="341">
        <f>Expenses!CN7</f>
        <v>2.3155894239910877</v>
      </c>
      <c r="CM14" s="341">
        <f>Expenses!CO7</f>
        <v>1.9796484547637769</v>
      </c>
      <c r="CN14" s="341">
        <f>Expenses!CP7</f>
        <v>2.3373322401885948</v>
      </c>
      <c r="CO14" s="341">
        <f>Expenses!CQ7</f>
        <v>2.002266417550739</v>
      </c>
      <c r="CP14" s="341">
        <f>Expenses!CR7</f>
        <v>2.0109675525698787</v>
      </c>
      <c r="CQ14" s="341">
        <f>Expenses!CS7</f>
        <v>1.9927699047640051</v>
      </c>
      <c r="CR14" s="341">
        <f>Expenses!CT7</f>
        <v>2.0964280463502916</v>
      </c>
      <c r="CS14" s="341">
        <f>Expenses!CU7</f>
        <v>2.2597967622299349</v>
      </c>
      <c r="CT14" s="341">
        <f>Expenses!CV7</f>
        <v>1.847608099928534</v>
      </c>
      <c r="CU14" s="341">
        <f>Expenses!CW7</f>
        <v>1.7316201552536308</v>
      </c>
      <c r="CV14" s="341">
        <f>Expenses!CX7</f>
        <v>1.7102175069276653</v>
      </c>
      <c r="CW14" s="341">
        <f>Expenses!CY7</f>
        <v>1.8296850189458369</v>
      </c>
      <c r="CX14" s="341">
        <v>0</v>
      </c>
      <c r="CY14" s="341">
        <v>0</v>
      </c>
      <c r="CZ14" s="341">
        <v>0</v>
      </c>
      <c r="DA14" s="341">
        <v>0</v>
      </c>
      <c r="DB14" s="341">
        <v>0</v>
      </c>
      <c r="DC14" s="341">
        <v>0</v>
      </c>
    </row>
    <row r="15" spans="1:107">
      <c r="A15" s="310" t="s">
        <v>375</v>
      </c>
      <c r="B15" s="341">
        <v>4.5999999999999996</v>
      </c>
      <c r="C15" s="341">
        <v>1.52</v>
      </c>
      <c r="D15" s="341">
        <v>1.4814600626445054</v>
      </c>
      <c r="E15" s="341">
        <v>1.4814692626445054</v>
      </c>
      <c r="F15" s="341">
        <v>1.4814783626445054</v>
      </c>
      <c r="G15" s="341">
        <v>1.4814875626445052</v>
      </c>
      <c r="H15" s="341">
        <v>1.4814968626445053</v>
      </c>
      <c r="I15" s="341">
        <v>1.4815059626445053</v>
      </c>
      <c r="J15" s="341">
        <v>1.4815149626445052</v>
      </c>
      <c r="K15" s="341">
        <v>1.4815240626445054</v>
      </c>
      <c r="L15" s="341">
        <v>1.7081552949629999</v>
      </c>
      <c r="M15" s="341">
        <v>1.7081645949629998</v>
      </c>
      <c r="N15" s="341">
        <v>1.7081731949629999</v>
      </c>
      <c r="O15" s="341">
        <v>1.7081824949629998</v>
      </c>
      <c r="P15" s="341">
        <v>1.782455776353</v>
      </c>
      <c r="Q15" s="341">
        <v>1.7824649763529998</v>
      </c>
      <c r="R15" s="341">
        <v>1.782474076353</v>
      </c>
      <c r="S15" s="341">
        <v>1.7824832763530001</v>
      </c>
      <c r="T15" s="341">
        <v>1.782492576353</v>
      </c>
      <c r="U15" s="341">
        <v>1.7825016763530002</v>
      </c>
      <c r="V15" s="341">
        <v>1.7825106763530001</v>
      </c>
      <c r="W15" s="341">
        <v>1.7825197763530003</v>
      </c>
      <c r="X15" s="341">
        <v>1.9063933836977101</v>
      </c>
      <c r="Y15" s="341">
        <v>1.9064026836977097</v>
      </c>
      <c r="Z15" s="341">
        <v>1.9064116836977099</v>
      </c>
      <c r="AA15" s="341">
        <v>1.9064209836977097</v>
      </c>
      <c r="AB15" s="341">
        <v>1.9064302836977098</v>
      </c>
      <c r="AC15" s="341">
        <v>1.9064392836977098</v>
      </c>
      <c r="AD15" s="341">
        <v>1.9064485836977099</v>
      </c>
      <c r="AE15" s="341">
        <v>1.9064575836977098</v>
      </c>
      <c r="AF15" s="341">
        <v>1.9064668836977099</v>
      </c>
      <c r="AG15" s="341">
        <v>1.90647618369771</v>
      </c>
      <c r="AH15" s="341">
        <v>1.90648458369771</v>
      </c>
      <c r="AI15" s="341">
        <v>1.9064938836977097</v>
      </c>
      <c r="AJ15" s="341">
        <v>2.0011523378825959</v>
      </c>
      <c r="AK15" s="341">
        <v>2.0011616378825958</v>
      </c>
      <c r="AL15" s="341">
        <v>2.0011706378825957</v>
      </c>
      <c r="AM15" s="341">
        <v>2.0011799378825961</v>
      </c>
      <c r="AN15" s="341">
        <v>2.001189237882596</v>
      </c>
      <c r="AO15" s="341">
        <v>2.0011982378825959</v>
      </c>
      <c r="AP15" s="341">
        <v>2.0012075378825958</v>
      </c>
      <c r="AQ15" s="341">
        <v>2.0012165378825957</v>
      </c>
      <c r="AR15" s="341">
        <v>2.001225837882596</v>
      </c>
      <c r="AS15" s="341">
        <v>2.0012351378825959</v>
      </c>
      <c r="AT15" s="341">
        <v>2.0012438378825959</v>
      </c>
      <c r="AU15" s="341">
        <v>2.0012531378825957</v>
      </c>
      <c r="AV15" s="341">
        <v>2.1006440647767257</v>
      </c>
      <c r="AW15" s="341">
        <v>2.1006533647767256</v>
      </c>
      <c r="AX15" s="341">
        <v>2.1006623647767255</v>
      </c>
      <c r="AY15" s="341">
        <v>2.1006716647767258</v>
      </c>
      <c r="AZ15" s="341">
        <v>2.1006809647767257</v>
      </c>
      <c r="BA15" s="341">
        <v>2.1006899647767256</v>
      </c>
      <c r="BB15" s="341">
        <v>2.100699264776726</v>
      </c>
      <c r="BC15" s="341">
        <v>2.1007082647767259</v>
      </c>
      <c r="BD15" s="341">
        <v>2.1007175647767258</v>
      </c>
      <c r="BE15" s="341">
        <v>2.1007268647767257</v>
      </c>
      <c r="BF15" s="341">
        <v>2.1007352647767261</v>
      </c>
      <c r="BG15" s="341">
        <v>2.1007445647767256</v>
      </c>
      <c r="BH15" s="341">
        <v>2.205104588015562</v>
      </c>
      <c r="BI15" s="341">
        <v>2.2051138880155619</v>
      </c>
      <c r="BJ15" s="341">
        <v>2.2051228880155618</v>
      </c>
      <c r="BK15" s="341">
        <v>2.2051321880155621</v>
      </c>
      <c r="BL15" s="341">
        <v>2.2051414880155615</v>
      </c>
      <c r="BM15" s="341">
        <v>2.2051504880155619</v>
      </c>
      <c r="BN15" s="341">
        <v>2.2051597880155618</v>
      </c>
      <c r="BO15" s="341">
        <v>2.2051687880155617</v>
      </c>
      <c r="BP15" s="341">
        <v>2.205178088015562</v>
      </c>
      <c r="BQ15" s="341">
        <v>2.2051873880155619</v>
      </c>
      <c r="BR15" s="341">
        <v>2.2051957880155619</v>
      </c>
      <c r="BS15" s="341">
        <v>2.2052050880155618</v>
      </c>
      <c r="BT15" s="341">
        <v>2.3147826624163406</v>
      </c>
      <c r="BU15" s="341">
        <v>2.3147919624163404</v>
      </c>
      <c r="BV15" s="341">
        <v>2.3148009624163404</v>
      </c>
      <c r="BW15" s="341">
        <v>2.3148102624163407</v>
      </c>
      <c r="BX15" s="341">
        <v>2.3148195624163406</v>
      </c>
      <c r="BY15" s="341">
        <v>2.3148285624163405</v>
      </c>
      <c r="BZ15" s="341">
        <v>2.3148378624163408</v>
      </c>
      <c r="CA15" s="341">
        <v>2.3148468624163403</v>
      </c>
      <c r="CB15" s="341">
        <v>2.3148561624163406</v>
      </c>
      <c r="CC15" s="341">
        <v>2.3148654624163405</v>
      </c>
      <c r="CD15" s="341">
        <v>2.3148738624163405</v>
      </c>
      <c r="CE15" s="341">
        <v>2.3148831624163404</v>
      </c>
      <c r="CF15" s="341">
        <v>2.4299391655371565</v>
      </c>
      <c r="CG15" s="341">
        <v>2.4299484655371568</v>
      </c>
      <c r="CH15" s="341">
        <v>2.4299574655371567</v>
      </c>
      <c r="CI15" s="341">
        <v>2.4299667655371566</v>
      </c>
      <c r="CJ15" s="341">
        <v>2.4299760655371565</v>
      </c>
      <c r="CK15" s="341">
        <v>2.4299850655371564</v>
      </c>
      <c r="CL15" s="341">
        <v>2.4299943655371568</v>
      </c>
      <c r="CM15" s="341">
        <v>2.4300033655371567</v>
      </c>
      <c r="CN15" s="341">
        <v>2.4300126655371566</v>
      </c>
      <c r="CO15" s="341">
        <v>2.4300219655371569</v>
      </c>
      <c r="CP15" s="341">
        <v>2.4300306655371564</v>
      </c>
      <c r="CQ15" s="341">
        <v>2.4300399655371567</v>
      </c>
      <c r="CR15" s="341">
        <v>2.5508483188140136</v>
      </c>
      <c r="CS15" s="341">
        <v>2.550857618814014</v>
      </c>
      <c r="CT15" s="341">
        <v>2.5508666188140139</v>
      </c>
      <c r="CU15" s="341">
        <v>2.5508759188140138</v>
      </c>
      <c r="CV15" s="341">
        <v>2.5508852188140141</v>
      </c>
      <c r="CW15" s="341">
        <v>2.550894218814014</v>
      </c>
      <c r="CX15" s="341">
        <v>0</v>
      </c>
      <c r="CY15" s="341">
        <v>0</v>
      </c>
      <c r="CZ15" s="341">
        <v>0</v>
      </c>
      <c r="DA15" s="341">
        <v>0</v>
      </c>
      <c r="DB15" s="341">
        <v>0</v>
      </c>
      <c r="DC15" s="341">
        <v>0</v>
      </c>
    </row>
    <row r="16" spans="1:107">
      <c r="A16" s="310" t="s">
        <v>376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f>AJ7</f>
        <v>0.89572830000000003</v>
      </c>
      <c r="AK16" s="341">
        <f t="shared" ref="AK16:CV16" si="7">AK7</f>
        <v>0.89572830000000003</v>
      </c>
      <c r="AL16" s="341">
        <f t="shared" si="7"/>
        <v>0.89572830000000003</v>
      </c>
      <c r="AM16" s="341">
        <f t="shared" si="7"/>
        <v>0.89572830000000003</v>
      </c>
      <c r="AN16" s="341">
        <f t="shared" si="7"/>
        <v>0.89572830000000003</v>
      </c>
      <c r="AO16" s="341">
        <f t="shared" si="7"/>
        <v>0.89572830000000003</v>
      </c>
      <c r="AP16" s="341">
        <f t="shared" si="7"/>
        <v>0.89572830000000003</v>
      </c>
      <c r="AQ16" s="341">
        <f t="shared" si="7"/>
        <v>0.89572830000000003</v>
      </c>
      <c r="AR16" s="341">
        <f t="shared" si="7"/>
        <v>0.89572830000000003</v>
      </c>
      <c r="AS16" s="341">
        <f t="shared" si="7"/>
        <v>0.93715573387499995</v>
      </c>
      <c r="AT16" s="341">
        <f t="shared" si="7"/>
        <v>0.89572830000000003</v>
      </c>
      <c r="AU16" s="341">
        <f t="shared" si="7"/>
        <v>0.89572830000000003</v>
      </c>
      <c r="AV16" s="341">
        <f t="shared" si="7"/>
        <v>0.44786415000000002</v>
      </c>
      <c r="AW16" s="341">
        <f t="shared" si="7"/>
        <v>0.44786415000000002</v>
      </c>
      <c r="AX16" s="341">
        <f t="shared" si="7"/>
        <v>0.44786415000000002</v>
      </c>
      <c r="AY16" s="341">
        <f t="shared" si="7"/>
        <v>0.44786415000000002</v>
      </c>
      <c r="AZ16" s="341">
        <f t="shared" si="7"/>
        <v>0.44786415000000002</v>
      </c>
      <c r="BA16" s="341">
        <f t="shared" si="7"/>
        <v>0.44786415000000002</v>
      </c>
      <c r="BB16" s="341">
        <f t="shared" si="7"/>
        <v>0.44786415000000002</v>
      </c>
      <c r="BC16" s="341">
        <f t="shared" si="7"/>
        <v>0.44786415000000002</v>
      </c>
      <c r="BD16" s="341">
        <f t="shared" si="7"/>
        <v>0.44786415000000002</v>
      </c>
      <c r="BE16" s="341">
        <f t="shared" si="7"/>
        <v>0.44786415000000002</v>
      </c>
      <c r="BF16" s="341">
        <f t="shared" si="7"/>
        <v>0.44786415000000002</v>
      </c>
      <c r="BG16" s="341">
        <f t="shared" si="7"/>
        <v>0.44786415000000002</v>
      </c>
      <c r="BH16" s="341">
        <f t="shared" si="7"/>
        <v>0.22393207500000001</v>
      </c>
      <c r="BI16" s="341">
        <f t="shared" si="7"/>
        <v>0.22393207500000001</v>
      </c>
      <c r="BJ16" s="341">
        <f t="shared" si="7"/>
        <v>0.22393207500000001</v>
      </c>
      <c r="BK16" s="341">
        <f t="shared" si="7"/>
        <v>0.22393207500000001</v>
      </c>
      <c r="BL16" s="341">
        <f t="shared" si="7"/>
        <v>0.22393207500000001</v>
      </c>
      <c r="BM16" s="341">
        <f t="shared" si="7"/>
        <v>0.22393207500000001</v>
      </c>
      <c r="BN16" s="341">
        <f t="shared" si="7"/>
        <v>0.22393207500000001</v>
      </c>
      <c r="BO16" s="341">
        <f t="shared" si="7"/>
        <v>0.22393207500000001</v>
      </c>
      <c r="BP16" s="341">
        <f t="shared" si="7"/>
        <v>0.22393207500000001</v>
      </c>
      <c r="BQ16" s="341">
        <f t="shared" si="7"/>
        <v>0.22393207500000001</v>
      </c>
      <c r="BR16" s="341">
        <f t="shared" si="7"/>
        <v>0.22393207500000001</v>
      </c>
      <c r="BS16" s="341">
        <f t="shared" si="7"/>
        <v>0.22393207500000001</v>
      </c>
      <c r="BT16" s="341">
        <f t="shared" si="7"/>
        <v>0.22393207500000001</v>
      </c>
      <c r="BU16" s="341">
        <f t="shared" si="7"/>
        <v>0.22393207500000001</v>
      </c>
      <c r="BV16" s="341">
        <f t="shared" si="7"/>
        <v>0.22393207500000001</v>
      </c>
      <c r="BW16" s="341">
        <f t="shared" si="7"/>
        <v>0.22393207500000001</v>
      </c>
      <c r="BX16" s="341">
        <f t="shared" si="7"/>
        <v>0.22393207500000001</v>
      </c>
      <c r="BY16" s="341">
        <f t="shared" si="7"/>
        <v>0.22393207500000001</v>
      </c>
      <c r="BZ16" s="341">
        <f t="shared" si="7"/>
        <v>0.22393207500000001</v>
      </c>
      <c r="CA16" s="341">
        <f t="shared" si="7"/>
        <v>0.22393207500000001</v>
      </c>
      <c r="CB16" s="341">
        <f t="shared" si="7"/>
        <v>0.22393207500000001</v>
      </c>
      <c r="CC16" s="341">
        <f t="shared" si="7"/>
        <v>0.22393207500000001</v>
      </c>
      <c r="CD16" s="341">
        <f t="shared" si="7"/>
        <v>0.22393207500000001</v>
      </c>
      <c r="CE16" s="341">
        <f t="shared" si="7"/>
        <v>0.22393207500000001</v>
      </c>
      <c r="CF16" s="341">
        <f t="shared" si="7"/>
        <v>0.22393207500000001</v>
      </c>
      <c r="CG16" s="341">
        <f t="shared" si="7"/>
        <v>0.22393207500000001</v>
      </c>
      <c r="CH16" s="341">
        <f t="shared" si="7"/>
        <v>0.22393207500000001</v>
      </c>
      <c r="CI16" s="341">
        <f t="shared" si="7"/>
        <v>0.22393207500000001</v>
      </c>
      <c r="CJ16" s="341">
        <f t="shared" si="7"/>
        <v>0.22393207500000001</v>
      </c>
      <c r="CK16" s="341">
        <f t="shared" si="7"/>
        <v>0.22393207500000001</v>
      </c>
      <c r="CL16" s="341">
        <f t="shared" si="7"/>
        <v>0.22393207500000001</v>
      </c>
      <c r="CM16" s="341">
        <f t="shared" si="7"/>
        <v>0.22393207500000001</v>
      </c>
      <c r="CN16" s="341">
        <f t="shared" si="7"/>
        <v>0.22393207500000001</v>
      </c>
      <c r="CO16" s="341">
        <f t="shared" si="7"/>
        <v>0.22393207500000001</v>
      </c>
      <c r="CP16" s="341">
        <f t="shared" si="7"/>
        <v>0.22393207500000001</v>
      </c>
      <c r="CQ16" s="341">
        <f t="shared" si="7"/>
        <v>0.22393207500000001</v>
      </c>
      <c r="CR16" s="341">
        <f t="shared" si="7"/>
        <v>0.22393207500000001</v>
      </c>
      <c r="CS16" s="341">
        <f t="shared" si="7"/>
        <v>0.22393207500000001</v>
      </c>
      <c r="CT16" s="341">
        <f t="shared" si="7"/>
        <v>0.22393207500000001</v>
      </c>
      <c r="CU16" s="341">
        <f t="shared" si="7"/>
        <v>0.22393207500000001</v>
      </c>
      <c r="CV16" s="341">
        <f t="shared" si="7"/>
        <v>0.22393207500000001</v>
      </c>
      <c r="CW16" s="341">
        <f>CW7</f>
        <v>0.22393207500000001</v>
      </c>
      <c r="CX16" s="341">
        <v>0</v>
      </c>
      <c r="CY16" s="341">
        <v>0</v>
      </c>
      <c r="CZ16" s="341">
        <v>0</v>
      </c>
      <c r="DA16" s="341">
        <v>0</v>
      </c>
      <c r="DB16" s="341">
        <v>0</v>
      </c>
      <c r="DC16" s="341">
        <v>0</v>
      </c>
    </row>
    <row r="17" spans="1:107" s="319" customFormat="1">
      <c r="A17" s="293" t="s">
        <v>377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>
        <f>5%*M4</f>
        <v>0.27319382560000005</v>
      </c>
      <c r="N17" s="341">
        <f t="shared" ref="N17:W17" si="8">5%*N4</f>
        <v>0.134761984</v>
      </c>
      <c r="O17" s="341">
        <f t="shared" si="8"/>
        <v>0.30031087520000005</v>
      </c>
      <c r="P17" s="341">
        <f t="shared" si="8"/>
        <v>0.15734791519999999</v>
      </c>
      <c r="Q17" s="341">
        <f t="shared" si="8"/>
        <v>0.31007446960000001</v>
      </c>
      <c r="R17" s="341">
        <f t="shared" si="8"/>
        <v>0.16147056800000001</v>
      </c>
      <c r="S17" s="341">
        <f t="shared" si="8"/>
        <v>0.31812029200000008</v>
      </c>
      <c r="T17" s="341">
        <f t="shared" si="8"/>
        <v>0.1655932208</v>
      </c>
      <c r="U17" s="341">
        <f t="shared" si="8"/>
        <v>0.3342784312</v>
      </c>
      <c r="V17" s="341">
        <f t="shared" si="8"/>
        <v>0.15453298560000001</v>
      </c>
      <c r="W17" s="341">
        <f t="shared" si="8"/>
        <v>0.33905494559999999</v>
      </c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>
        <f>AI4*5%</f>
        <v>0.35644314666666665</v>
      </c>
      <c r="AJ17" s="341">
        <f>AJ4*5%</f>
        <v>0.18716208000000004</v>
      </c>
      <c r="AK17" s="341">
        <f>AK4*5%</f>
        <v>0.38587170719999997</v>
      </c>
      <c r="AL17" s="341">
        <f t="shared" ref="AL17:CW17" si="9">AL4*5%</f>
        <v>0.18998716800000004</v>
      </c>
      <c r="AM17" s="341">
        <f t="shared" si="9"/>
        <v>0.3916631376000001</v>
      </c>
      <c r="AN17" s="341">
        <f t="shared" si="9"/>
        <v>0.19923933120000004</v>
      </c>
      <c r="AO17" s="341">
        <f t="shared" si="9"/>
        <v>0.39095686560000004</v>
      </c>
      <c r="AP17" s="341">
        <f t="shared" si="9"/>
        <v>0.20215858879999998</v>
      </c>
      <c r="AQ17" s="341">
        <f t="shared" si="9"/>
        <v>0.39665412640000003</v>
      </c>
      <c r="AR17" s="341">
        <f t="shared" si="9"/>
        <v>0.20507784640000001</v>
      </c>
      <c r="AS17" s="341">
        <f t="shared" si="9"/>
        <v>0.41244639774800007</v>
      </c>
      <c r="AT17" s="341">
        <f t="shared" si="9"/>
        <v>0.19464108848799999</v>
      </c>
      <c r="AU17" s="341">
        <f t="shared" si="9"/>
        <v>0.41160690519199994</v>
      </c>
      <c r="AV17" s="341">
        <f t="shared" si="9"/>
        <v>0.21364524946800001</v>
      </c>
      <c r="AW17" s="341">
        <f t="shared" si="9"/>
        <v>0.43912221908940002</v>
      </c>
      <c r="AX17" s="341">
        <f t="shared" si="9"/>
        <v>0.21512842066800003</v>
      </c>
      <c r="AY17" s="341">
        <f t="shared" si="9"/>
        <v>0.44216272004940005</v>
      </c>
      <c r="AZ17" s="341">
        <f t="shared" si="9"/>
        <v>0.22383197826360002</v>
      </c>
      <c r="BA17" s="341">
        <f t="shared" si="9"/>
        <v>0.43794575533379998</v>
      </c>
      <c r="BB17" s="341">
        <f t="shared" si="9"/>
        <v>0.22536458850360003</v>
      </c>
      <c r="BC17" s="341">
        <f t="shared" si="9"/>
        <v>0.44093681725380007</v>
      </c>
      <c r="BD17" s="341">
        <f t="shared" si="9"/>
        <v>0.22689719874359998</v>
      </c>
      <c r="BE17" s="341">
        <f t="shared" si="9"/>
        <v>0.45494385516720004</v>
      </c>
      <c r="BF17" s="341">
        <f t="shared" si="9"/>
        <v>0.20632369843680004</v>
      </c>
      <c r="BG17" s="341">
        <f t="shared" si="9"/>
        <v>0.44695602037380006</v>
      </c>
      <c r="BH17" s="341">
        <f t="shared" si="9"/>
        <v>0.26645196491075535</v>
      </c>
      <c r="BI17" s="341">
        <f t="shared" si="9"/>
        <v>0.54691579856883299</v>
      </c>
      <c r="BJ17" s="341">
        <f t="shared" si="9"/>
        <v>0.26734134620338035</v>
      </c>
      <c r="BK17" s="341">
        <f t="shared" si="9"/>
        <v>0.54873903021871406</v>
      </c>
      <c r="BL17" s="341">
        <f t="shared" si="9"/>
        <v>0.27717175174587222</v>
      </c>
      <c r="BM17" s="341">
        <f t="shared" si="9"/>
        <v>0.54159900308641296</v>
      </c>
      <c r="BN17" s="341">
        <f t="shared" si="9"/>
        <v>0.27809077908158469</v>
      </c>
      <c r="BO17" s="341">
        <f t="shared" si="9"/>
        <v>0.54339258869320683</v>
      </c>
      <c r="BP17" s="341">
        <f t="shared" si="9"/>
        <v>0.27900980641729722</v>
      </c>
      <c r="BQ17" s="341">
        <f t="shared" si="9"/>
        <v>0.5587088833363788</v>
      </c>
      <c r="BR17" s="341">
        <f t="shared" si="9"/>
        <v>0.25283894661562173</v>
      </c>
      <c r="BS17" s="341">
        <f t="shared" si="9"/>
        <v>0.5470019944391098</v>
      </c>
      <c r="BT17" s="341">
        <f t="shared" si="9"/>
        <v>0.30216458678805597</v>
      </c>
      <c r="BU17" s="341">
        <f t="shared" si="9"/>
        <v>0.62020370953220461</v>
      </c>
      <c r="BV17" s="341">
        <f t="shared" si="9"/>
        <v>0.30315336951926852</v>
      </c>
      <c r="BW17" s="341">
        <f t="shared" si="9"/>
        <v>0.62223071413119024</v>
      </c>
      <c r="BX17" s="341">
        <f t="shared" si="9"/>
        <v>0.31428022399216371</v>
      </c>
      <c r="BY17" s="341">
        <f t="shared" si="9"/>
        <v>0.61409492742021277</v>
      </c>
      <c r="BZ17" s="341">
        <f t="shared" si="9"/>
        <v>0.31530196614775002</v>
      </c>
      <c r="CA17" s="341">
        <f t="shared" si="9"/>
        <v>0.61608897259482454</v>
      </c>
      <c r="CB17" s="341">
        <f t="shared" si="9"/>
        <v>0.31632370830333623</v>
      </c>
      <c r="CC17" s="341">
        <f t="shared" si="9"/>
        <v>0.63893990774745157</v>
      </c>
      <c r="CD17" s="341">
        <f t="shared" si="9"/>
        <v>0.28996756088444675</v>
      </c>
      <c r="CE17" s="341">
        <f t="shared" si="9"/>
        <v>0.62731226835549525</v>
      </c>
      <c r="CF17" s="341">
        <f t="shared" si="9"/>
        <v>0.3272638002100754</v>
      </c>
      <c r="CG17" s="341">
        <f t="shared" si="9"/>
        <v>0.67170476844733606</v>
      </c>
      <c r="CH17" s="341">
        <f t="shared" si="9"/>
        <v>0.32831409442514825</v>
      </c>
      <c r="CI17" s="341">
        <f t="shared" si="9"/>
        <v>0.6738578715882354</v>
      </c>
      <c r="CJ17" s="341">
        <f t="shared" si="9"/>
        <v>0.34034320159489506</v>
      </c>
      <c r="CK17" s="341">
        <f t="shared" si="9"/>
        <v>0.66500590441908369</v>
      </c>
      <c r="CL17" s="341">
        <f t="shared" si="9"/>
        <v>0.34142850561713695</v>
      </c>
      <c r="CM17" s="341">
        <f t="shared" si="9"/>
        <v>0.66712399775281384</v>
      </c>
      <c r="CN17" s="341">
        <f t="shared" si="9"/>
        <v>0.34251380963937889</v>
      </c>
      <c r="CO17" s="341">
        <f t="shared" si="9"/>
        <v>0.68584159729543925</v>
      </c>
      <c r="CP17" s="341">
        <f t="shared" si="9"/>
        <v>0.32143142890925824</v>
      </c>
      <c r="CQ17" s="341">
        <f t="shared" si="9"/>
        <v>0.67692836296374181</v>
      </c>
      <c r="CR17" s="341">
        <f t="shared" si="9"/>
        <v>0.35024384377553797</v>
      </c>
      <c r="CS17" s="341">
        <f t="shared" si="9"/>
        <v>0.7188545566573683</v>
      </c>
      <c r="CT17" s="341">
        <f t="shared" si="9"/>
        <v>0.35134665270136445</v>
      </c>
      <c r="CU17" s="341">
        <f t="shared" si="9"/>
        <v>0.72111531495531234</v>
      </c>
      <c r="CV17" s="341">
        <f t="shared" si="9"/>
        <v>0.36419777701476391</v>
      </c>
      <c r="CW17" s="341">
        <f t="shared" si="9"/>
        <v>0.71160018764253796</v>
      </c>
      <c r="CX17" s="341">
        <v>0</v>
      </c>
      <c r="CY17" s="341">
        <v>0</v>
      </c>
      <c r="CZ17" s="341">
        <v>0</v>
      </c>
      <c r="DA17" s="341">
        <v>0</v>
      </c>
      <c r="DB17" s="341">
        <v>0</v>
      </c>
      <c r="DC17" s="341">
        <v>0</v>
      </c>
    </row>
    <row r="18" spans="1:107">
      <c r="A18" s="310" t="s">
        <v>378</v>
      </c>
      <c r="B18" s="341">
        <f>B11*2.5%</f>
        <v>0.28675</v>
      </c>
      <c r="C18" s="341">
        <f>C11*2.5%</f>
        <v>0.10739751840430108</v>
      </c>
      <c r="D18" s="341">
        <f>D11*5.5%</f>
        <v>0.18355916010666667</v>
      </c>
      <c r="E18" s="341">
        <f t="shared" ref="E18:W18" si="10">E11*5.5%</f>
        <v>0.34184254485333326</v>
      </c>
      <c r="F18" s="341">
        <f t="shared" si="10"/>
        <v>0.19134523583999999</v>
      </c>
      <c r="G18" s="341">
        <f t="shared" si="10"/>
        <v>0.29026356057600006</v>
      </c>
      <c r="H18" s="341">
        <f t="shared" si="10"/>
        <v>0.19913131157333336</v>
      </c>
      <c r="I18" s="341">
        <f t="shared" si="10"/>
        <v>0.3046631439573334</v>
      </c>
      <c r="J18" s="341">
        <f t="shared" si="10"/>
        <v>0.23941599498666666</v>
      </c>
      <c r="K18" s="341">
        <f t="shared" si="10"/>
        <v>0.31000790820266672</v>
      </c>
      <c r="L18" s="341">
        <f t="shared" si="10"/>
        <v>0.164775952</v>
      </c>
      <c r="M18" s="341">
        <f t="shared" si="10"/>
        <v>0.31969808816000006</v>
      </c>
      <c r="N18" s="341">
        <f t="shared" si="10"/>
        <v>0.16742306239999999</v>
      </c>
      <c r="O18" s="341">
        <f t="shared" si="10"/>
        <v>0.34952684272000001</v>
      </c>
      <c r="P18" s="341">
        <f t="shared" si="10"/>
        <v>0.19226758671999997</v>
      </c>
      <c r="Q18" s="341">
        <f t="shared" si="10"/>
        <v>0.36026679655999999</v>
      </c>
      <c r="R18" s="341">
        <f t="shared" si="10"/>
        <v>0.19011010480000001</v>
      </c>
      <c r="S18" s="341">
        <f t="shared" si="10"/>
        <v>0.36242480120000004</v>
      </c>
      <c r="T18" s="341">
        <f t="shared" si="10"/>
        <v>0.19018342287999998</v>
      </c>
      <c r="U18" s="341">
        <f t="shared" si="10"/>
        <v>0.37573715431999999</v>
      </c>
      <c r="V18" s="341">
        <f t="shared" si="10"/>
        <v>0.17801716415999999</v>
      </c>
      <c r="W18" s="341">
        <f t="shared" si="10"/>
        <v>0.38099132015999998</v>
      </c>
      <c r="X18" s="341">
        <f>X11*6%</f>
        <v>0.21088189439999999</v>
      </c>
      <c r="Y18" s="341">
        <f>Y11*6%</f>
        <v>0.42272313599999994</v>
      </c>
      <c r="Z18" s="341">
        <f>(Z11-Z10)*6%</f>
        <v>0.2149177344</v>
      </c>
      <c r="AA18" s="341">
        <f t="shared" ref="AA18:CL18" si="11">(AA11-AA10)*6%</f>
        <v>0.43099660800000006</v>
      </c>
      <c r="AB18" s="341">
        <f t="shared" si="11"/>
        <v>0.22503423999999997</v>
      </c>
      <c r="AC18" s="341">
        <f t="shared" si="11"/>
        <v>0.42943608320000004</v>
      </c>
      <c r="AD18" s="341">
        <f t="shared" si="11"/>
        <v>0.22670238719999999</v>
      </c>
      <c r="AE18" s="341">
        <f t="shared" si="11"/>
        <v>0.42762977279999992</v>
      </c>
      <c r="AF18" s="341">
        <f t="shared" si="11"/>
        <v>0.22330864640000003</v>
      </c>
      <c r="AG18" s="341">
        <f t="shared" si="11"/>
        <v>0.44141889279999996</v>
      </c>
      <c r="AH18" s="341">
        <f t="shared" si="11"/>
        <v>0.38382899199999998</v>
      </c>
      <c r="AI18" s="341">
        <f t="shared" si="11"/>
        <v>0.44273592192</v>
      </c>
      <c r="AJ18" s="341">
        <f t="shared" si="11"/>
        <v>0.28944157473600002</v>
      </c>
      <c r="AK18" s="341">
        <f t="shared" si="11"/>
        <v>0.53266215842879994</v>
      </c>
      <c r="AL18" s="341">
        <f t="shared" si="11"/>
        <v>0.29289948244800001</v>
      </c>
      <c r="AM18" s="341">
        <f t="shared" si="11"/>
        <v>0.53975086923839999</v>
      </c>
      <c r="AN18" s="341">
        <f t="shared" si="11"/>
        <v>0.30422413020479999</v>
      </c>
      <c r="AO18" s="341">
        <f t="shared" si="11"/>
        <v>0.53888639231039992</v>
      </c>
      <c r="AP18" s="341">
        <f t="shared" si="11"/>
        <v>0.3035858106912</v>
      </c>
      <c r="AQ18" s="341">
        <f t="shared" si="11"/>
        <v>0.5416483487135999</v>
      </c>
      <c r="AR18" s="341">
        <f t="shared" si="11"/>
        <v>0.30715898199359998</v>
      </c>
      <c r="AS18" s="341">
        <f t="shared" si="11"/>
        <v>0.56346373487605206</v>
      </c>
      <c r="AT18" s="341">
        <f t="shared" si="11"/>
        <v>0.29438439030931196</v>
      </c>
      <c r="AU18" s="341">
        <f t="shared" si="11"/>
        <v>0.55995054995500793</v>
      </c>
      <c r="AV18" s="341">
        <f t="shared" si="11"/>
        <v>0.29077363434883197</v>
      </c>
      <c r="AW18" s="341">
        <f t="shared" si="11"/>
        <v>0.56675744516542559</v>
      </c>
      <c r="AX18" s="341">
        <f t="shared" si="11"/>
        <v>0.29258903589763202</v>
      </c>
      <c r="AY18" s="341">
        <f t="shared" si="11"/>
        <v>0.57047901834046544</v>
      </c>
      <c r="AZ18" s="341">
        <f t="shared" si="11"/>
        <v>0.30324219039464639</v>
      </c>
      <c r="BA18" s="341">
        <f t="shared" si="11"/>
        <v>0.56531745352857121</v>
      </c>
      <c r="BB18" s="341">
        <f t="shared" si="11"/>
        <v>0.30511810532840644</v>
      </c>
      <c r="BC18" s="341">
        <f t="shared" si="11"/>
        <v>0.56897851331865112</v>
      </c>
      <c r="BD18" s="341">
        <f t="shared" si="11"/>
        <v>0.30699402026216638</v>
      </c>
      <c r="BE18" s="341">
        <f t="shared" si="11"/>
        <v>0.5861231277246528</v>
      </c>
      <c r="BF18" s="341">
        <f t="shared" si="11"/>
        <v>0.28181205588664326</v>
      </c>
      <c r="BG18" s="341">
        <f t="shared" si="11"/>
        <v>0.57634601793753115</v>
      </c>
      <c r="BH18" s="341">
        <f t="shared" si="11"/>
        <v>0.34197312955076448</v>
      </c>
      <c r="BI18" s="341">
        <f t="shared" si="11"/>
        <v>0.68526086194825164</v>
      </c>
      <c r="BJ18" s="341">
        <f t="shared" si="11"/>
        <v>0.34306173225293751</v>
      </c>
      <c r="BK18" s="341">
        <f t="shared" si="11"/>
        <v>0.68749249748770591</v>
      </c>
      <c r="BL18" s="341">
        <f t="shared" si="11"/>
        <v>0.35509414863694755</v>
      </c>
      <c r="BM18" s="341">
        <f t="shared" si="11"/>
        <v>0.67875310427776936</v>
      </c>
      <c r="BN18" s="341">
        <f t="shared" si="11"/>
        <v>0.3562190380958597</v>
      </c>
      <c r="BO18" s="341">
        <f t="shared" si="11"/>
        <v>0.68094845306048501</v>
      </c>
      <c r="BP18" s="341">
        <f t="shared" si="11"/>
        <v>0.35734392755477179</v>
      </c>
      <c r="BQ18" s="341">
        <f t="shared" si="11"/>
        <v>0.69969559770372758</v>
      </c>
      <c r="BR18" s="341">
        <f t="shared" si="11"/>
        <v>0.32531079515752098</v>
      </c>
      <c r="BS18" s="341">
        <f t="shared" si="11"/>
        <v>0.68536636569347031</v>
      </c>
      <c r="BT18" s="341">
        <f t="shared" si="11"/>
        <v>0.38568537872858044</v>
      </c>
      <c r="BU18" s="341">
        <f t="shared" si="11"/>
        <v>0.77496526496741835</v>
      </c>
      <c r="BV18" s="341">
        <f t="shared" si="11"/>
        <v>0.38689564879158461</v>
      </c>
      <c r="BW18" s="341">
        <f t="shared" si="11"/>
        <v>0.77744631859657665</v>
      </c>
      <c r="BX18" s="341">
        <f t="shared" si="11"/>
        <v>0.40051491866640831</v>
      </c>
      <c r="BY18" s="341">
        <f t="shared" si="11"/>
        <v>0.76748811566234032</v>
      </c>
      <c r="BZ18" s="341">
        <f t="shared" si="11"/>
        <v>0.40176553106484597</v>
      </c>
      <c r="CA18" s="341">
        <f t="shared" si="11"/>
        <v>0.76992882695606513</v>
      </c>
      <c r="CB18" s="341">
        <f t="shared" si="11"/>
        <v>0.40301614346328346</v>
      </c>
      <c r="CC18" s="341">
        <f t="shared" si="11"/>
        <v>0.79789837158288057</v>
      </c>
      <c r="CD18" s="341">
        <f t="shared" si="11"/>
        <v>0.37075621902256284</v>
      </c>
      <c r="CE18" s="341">
        <f t="shared" si="11"/>
        <v>0.78366614096712606</v>
      </c>
      <c r="CF18" s="341">
        <f t="shared" si="11"/>
        <v>0.4164068159571323</v>
      </c>
      <c r="CG18" s="341">
        <f t="shared" si="11"/>
        <v>0.83800256107953919</v>
      </c>
      <c r="CH18" s="341">
        <f t="shared" si="11"/>
        <v>0.41769237607638143</v>
      </c>
      <c r="CI18" s="341">
        <f t="shared" si="11"/>
        <v>0.84063795932400009</v>
      </c>
      <c r="CJ18" s="341">
        <f t="shared" si="11"/>
        <v>0.43241600325215152</v>
      </c>
      <c r="CK18" s="341">
        <f t="shared" si="11"/>
        <v>0.82980315150895834</v>
      </c>
      <c r="CL18" s="341">
        <f t="shared" si="11"/>
        <v>0.43374441537537556</v>
      </c>
      <c r="CM18" s="341">
        <f t="shared" ref="CM18:CW18" si="12">(CM11-CM10)*6%</f>
        <v>0.832395697749444</v>
      </c>
      <c r="CN18" s="341">
        <f t="shared" si="12"/>
        <v>0.43507282749859971</v>
      </c>
      <c r="CO18" s="341">
        <f t="shared" si="12"/>
        <v>0.85530603958961759</v>
      </c>
      <c r="CP18" s="341">
        <f t="shared" si="12"/>
        <v>0.40926799348493209</v>
      </c>
      <c r="CQ18" s="341">
        <f t="shared" si="12"/>
        <v>0.84439624076761977</v>
      </c>
      <c r="CR18" s="341">
        <f t="shared" si="12"/>
        <v>0.44453438928125838</v>
      </c>
      <c r="CS18" s="341">
        <f t="shared" si="12"/>
        <v>0.89571390184861865</v>
      </c>
      <c r="CT18" s="341">
        <f t="shared" si="12"/>
        <v>0.44588422740647005</v>
      </c>
      <c r="CU18" s="341">
        <f t="shared" si="12"/>
        <v>0.8984810700053022</v>
      </c>
      <c r="CV18" s="341">
        <f t="shared" si="12"/>
        <v>0.46161400356607096</v>
      </c>
      <c r="CW18" s="341">
        <f t="shared" si="12"/>
        <v>0.88683455417446633</v>
      </c>
      <c r="CX18" s="341">
        <v>0</v>
      </c>
      <c r="CY18" s="341">
        <v>0</v>
      </c>
      <c r="CZ18" s="341">
        <v>0</v>
      </c>
      <c r="DA18" s="341">
        <v>0</v>
      </c>
      <c r="DB18" s="341">
        <v>0</v>
      </c>
      <c r="DC18" s="341">
        <v>0</v>
      </c>
    </row>
    <row r="19" spans="1:107">
      <c r="A19" s="310" t="s">
        <v>379</v>
      </c>
      <c r="B19" s="341">
        <f>0.2</f>
        <v>0.2</v>
      </c>
      <c r="C19" s="341">
        <f>0.07</f>
        <v>7.0000000000000007E-2</v>
      </c>
      <c r="D19" s="341">
        <f t="shared" ref="D19:L19" si="13">SUM(D33:D34)*2%</f>
        <v>0</v>
      </c>
      <c r="E19" s="341">
        <f t="shared" si="13"/>
        <v>0</v>
      </c>
      <c r="F19" s="341">
        <f t="shared" si="13"/>
        <v>0</v>
      </c>
      <c r="G19" s="341">
        <f t="shared" si="13"/>
        <v>0</v>
      </c>
      <c r="H19" s="341">
        <f t="shared" si="13"/>
        <v>0</v>
      </c>
      <c r="I19" s="341">
        <f t="shared" si="13"/>
        <v>0</v>
      </c>
      <c r="J19" s="341">
        <f t="shared" si="13"/>
        <v>0</v>
      </c>
      <c r="K19" s="341">
        <f t="shared" si="13"/>
        <v>0</v>
      </c>
      <c r="L19" s="341">
        <f t="shared" si="13"/>
        <v>0</v>
      </c>
      <c r="M19" s="341">
        <f>SUM(M33:M34)*2%</f>
        <v>0</v>
      </c>
      <c r="N19" s="341">
        <f>SUM(N33:N34)*2%</f>
        <v>0</v>
      </c>
      <c r="O19" s="341">
        <f>SUM(O33:O34)*2%</f>
        <v>0</v>
      </c>
      <c r="P19" s="341">
        <f>SUM(P33:P34)*2%</f>
        <v>0</v>
      </c>
      <c r="Q19" s="341">
        <f>SUM(Q33:Q34)*2.5%</f>
        <v>6.6750000000000004E-2</v>
      </c>
      <c r="R19" s="341">
        <f t="shared" ref="R19:W19" si="14">SUM(R33:R34)*2.5%</f>
        <v>4.2500000000000003E-3</v>
      </c>
      <c r="S19" s="341">
        <f t="shared" si="14"/>
        <v>2.9803999999999997E-2</v>
      </c>
      <c r="T19" s="341">
        <f t="shared" si="14"/>
        <v>0.21444034084134886</v>
      </c>
      <c r="U19" s="341">
        <f t="shared" si="14"/>
        <v>0.25318242030010002</v>
      </c>
      <c r="V19" s="341">
        <f t="shared" si="14"/>
        <v>0.3262540525225</v>
      </c>
      <c r="W19" s="341">
        <f t="shared" si="14"/>
        <v>0.26735271359230012</v>
      </c>
      <c r="X19" s="341">
        <v>0</v>
      </c>
      <c r="Y19" s="341">
        <v>0</v>
      </c>
      <c r="Z19" s="341">
        <v>0</v>
      </c>
      <c r="AA19" s="341">
        <f>'CF Capex'!P13*2.5%</f>
        <v>6.6750000000000004E-2</v>
      </c>
      <c r="AB19" s="341">
        <f>'CF Capex'!Q13*2.5%</f>
        <v>1.2542500000000001</v>
      </c>
      <c r="AC19" s="341">
        <f>'CF Capex'!R13*2.5%</f>
        <v>2.9803999999999997E-2</v>
      </c>
      <c r="AD19" s="341">
        <f>'CF Capex'!S13*2.5%</f>
        <v>0.21444034084134886</v>
      </c>
      <c r="AE19" s="341">
        <f>'CF Capex'!T13*2.5%</f>
        <v>0.25318242030010002</v>
      </c>
      <c r="AF19" s="341">
        <f>'CF Capex'!U13*2.5%</f>
        <v>0.3262540525225</v>
      </c>
      <c r="AG19" s="341">
        <f>'CF Capex'!V13*2.5%</f>
        <v>0.26735271359230012</v>
      </c>
      <c r="AH19" s="341">
        <f>'CF Capex'!W13*2.5%</f>
        <v>0.25528973147369999</v>
      </c>
      <c r="AI19" s="341">
        <f>'CF Capex'!X13*2.5%</f>
        <v>0.25143685436672669</v>
      </c>
      <c r="AJ19" s="341">
        <f>'CF Capex'!Y13*2.5%</f>
        <v>9.9330817813200009E-2</v>
      </c>
      <c r="AK19" s="341">
        <f>'CF Capex'!Z13*2.5%</f>
        <v>0.12078380682193759</v>
      </c>
      <c r="AL19" s="341">
        <f>'CF Capex'!AA13*2.5%</f>
        <v>7.543490312880001E-2</v>
      </c>
      <c r="AM19" s="341">
        <f>'CF Capex'!AB13*2.5%</f>
        <v>9.6167456279772801E-2</v>
      </c>
      <c r="AN19" s="341">
        <f>'CF Capex'!AC13*2.5%</f>
        <v>7.2767100000000001E-2</v>
      </c>
      <c r="AO19" s="341">
        <f>'CF Capex'!AD13*2.5%</f>
        <v>0.45067356000000003</v>
      </c>
      <c r="AP19" s="341">
        <f>'CF Capex'!AE13*2.5%</f>
        <v>2.7195037500000005E-2</v>
      </c>
      <c r="AQ19" s="341">
        <f>'CF Capex'!AF13*2.5%</f>
        <v>2.0241450000000001E-2</v>
      </c>
      <c r="AR19" s="341">
        <f>'CF Capex'!AG13*2.5%</f>
        <v>7.1164906825000013E-2</v>
      </c>
      <c r="AS19" s="341">
        <f>'CF Capex'!AH13*2%</f>
        <v>0</v>
      </c>
      <c r="AT19" s="341">
        <f>'CF Capex'!AI13*2%</f>
        <v>0</v>
      </c>
      <c r="AU19" s="341">
        <f>'CF Capex'!AJ13*2%</f>
        <v>0</v>
      </c>
      <c r="AV19" s="341">
        <f>'CF Capex'!AK13*2%</f>
        <v>0</v>
      </c>
      <c r="AW19" s="341">
        <f>'CF Capex'!AL13*2%</f>
        <v>0</v>
      </c>
      <c r="AX19" s="341">
        <f>'CF Capex'!AM13*2%</f>
        <v>0</v>
      </c>
      <c r="AY19" s="341">
        <f>'CF Capex'!AN13*2%</f>
        <v>0</v>
      </c>
      <c r="AZ19" s="341">
        <f>'CF Capex'!AO13*2%</f>
        <v>0</v>
      </c>
      <c r="BA19" s="341">
        <f>'CF Capex'!AP13*2%</f>
        <v>0</v>
      </c>
      <c r="BB19" s="341">
        <f>'CF Capex'!AQ13*2%</f>
        <v>0</v>
      </c>
      <c r="BC19" s="341">
        <f>'CF Capex'!AR13*2%</f>
        <v>0</v>
      </c>
      <c r="BD19" s="341">
        <f>'CF Capex'!AS13*2%</f>
        <v>0</v>
      </c>
      <c r="BE19" s="341">
        <f>'CF Capex'!AT13*2%</f>
        <v>0</v>
      </c>
      <c r="BF19" s="341">
        <f>'CF Capex'!AU13*2%</f>
        <v>0</v>
      </c>
      <c r="BG19" s="341">
        <f>'CF Capex'!AV13*2%</f>
        <v>0</v>
      </c>
      <c r="BH19" s="341">
        <f>'CF Capex'!AW13*2%</f>
        <v>0</v>
      </c>
      <c r="BI19" s="341">
        <f>'CF Capex'!AX13*2%</f>
        <v>0</v>
      </c>
      <c r="BJ19" s="341">
        <f>'CF Capex'!AY13*2%</f>
        <v>0</v>
      </c>
      <c r="BK19" s="341">
        <f>'CF Capex'!AZ13*2%</f>
        <v>0</v>
      </c>
      <c r="BL19" s="341">
        <f>'CF Capex'!BA13*2%</f>
        <v>0</v>
      </c>
      <c r="BM19" s="341">
        <f>'CF Capex'!BB13*2%</f>
        <v>0</v>
      </c>
      <c r="BN19" s="341">
        <f>'CF Capex'!BC13*2%</f>
        <v>0</v>
      </c>
      <c r="BO19" s="341">
        <f>'CF Capex'!BD13*2%</f>
        <v>0</v>
      </c>
      <c r="BP19" s="341">
        <f>'CF Capex'!BE13*2%</f>
        <v>0</v>
      </c>
      <c r="BQ19" s="341">
        <f>'CF Capex'!BF13*2%</f>
        <v>0</v>
      </c>
      <c r="BR19" s="341">
        <f>'CF Capex'!BG13*2%</f>
        <v>0</v>
      </c>
      <c r="BS19" s="341">
        <f>'CF Capex'!BH13*2%</f>
        <v>0</v>
      </c>
      <c r="BT19" s="341">
        <f>'CF Capex'!BI13*2%</f>
        <v>0</v>
      </c>
      <c r="BU19" s="341">
        <f>'CF Capex'!BJ13*2%</f>
        <v>0</v>
      </c>
      <c r="BV19" s="341">
        <f>'CF Capex'!BK13*2%</f>
        <v>0</v>
      </c>
      <c r="BW19" s="341">
        <f>'CF Capex'!BL13*2%</f>
        <v>0</v>
      </c>
      <c r="BX19" s="341">
        <f>'CF Capex'!BM13*2%</f>
        <v>0</v>
      </c>
      <c r="BY19" s="341">
        <f>'CF Capex'!BN13*2%</f>
        <v>0</v>
      </c>
      <c r="BZ19" s="341">
        <f>'CF Capex'!BO13*2%</f>
        <v>0</v>
      </c>
      <c r="CA19" s="341">
        <f>'CF Capex'!BP13*2%</f>
        <v>0</v>
      </c>
      <c r="CB19" s="341">
        <f>'CF Capex'!BQ13*2%</f>
        <v>0</v>
      </c>
      <c r="CC19" s="341">
        <f>'CF Capex'!BR13*2%</f>
        <v>0</v>
      </c>
      <c r="CD19" s="341">
        <f>'CF Capex'!BS13*2%</f>
        <v>0</v>
      </c>
      <c r="CE19" s="341">
        <f>'CF Capex'!BT13*2%</f>
        <v>0</v>
      </c>
      <c r="CF19" s="341">
        <f>'CF Capex'!BU13*2%</f>
        <v>0</v>
      </c>
      <c r="CG19" s="341">
        <f>'CF Capex'!BV13*2%</f>
        <v>0</v>
      </c>
      <c r="CH19" s="341">
        <f>'CF Capex'!BW13*2%</f>
        <v>0</v>
      </c>
      <c r="CI19" s="341">
        <f>'CF Capex'!BX13*2%</f>
        <v>0</v>
      </c>
      <c r="CJ19" s="341">
        <f>'CF Capex'!BY13*2%</f>
        <v>0</v>
      </c>
      <c r="CK19" s="341">
        <f>'CF Capex'!BZ13*2%</f>
        <v>0</v>
      </c>
      <c r="CL19" s="341">
        <f>'CF Capex'!CA13*2%</f>
        <v>0</v>
      </c>
      <c r="CM19" s="341">
        <f>'CF Capex'!CB13*2%</f>
        <v>0</v>
      </c>
      <c r="CN19" s="341">
        <f>'CF Capex'!CC13*2%</f>
        <v>0</v>
      </c>
      <c r="CO19" s="341">
        <f>'CF Capex'!CD13*2%</f>
        <v>0</v>
      </c>
      <c r="CP19" s="341">
        <f>'CF Capex'!CE13*2%</f>
        <v>0</v>
      </c>
      <c r="CQ19" s="341">
        <f>'CF Capex'!CF13*2%</f>
        <v>0</v>
      </c>
      <c r="CR19" s="341">
        <f>'CF Capex'!CG13*2%</f>
        <v>0</v>
      </c>
      <c r="CS19" s="341">
        <f>'CF Capex'!CH13*2%</f>
        <v>0</v>
      </c>
      <c r="CT19" s="341">
        <f>'CF Capex'!CI13*2%</f>
        <v>0</v>
      </c>
      <c r="CU19" s="341">
        <f>'CF Capex'!CJ13*2%</f>
        <v>0</v>
      </c>
      <c r="CV19" s="341">
        <f>'CF Capex'!CK13*2%</f>
        <v>0</v>
      </c>
      <c r="CW19" s="341">
        <f>'CF Capex'!CL13*2%</f>
        <v>0</v>
      </c>
      <c r="CX19" s="341">
        <v>0</v>
      </c>
      <c r="CY19" s="341">
        <v>0</v>
      </c>
      <c r="CZ19" s="341">
        <v>0</v>
      </c>
      <c r="DA19" s="341">
        <v>0</v>
      </c>
      <c r="DB19" s="341">
        <v>0</v>
      </c>
      <c r="DC19" s="341">
        <v>0</v>
      </c>
    </row>
    <row r="20" spans="1:107" s="341" customFormat="1" ht="12.75" thickBot="1">
      <c r="A20" s="321" t="s">
        <v>380</v>
      </c>
      <c r="B20" s="343">
        <f t="shared" ref="B20:BM20" si="15">SUM(B14:B19)</f>
        <v>9.2067499999999978</v>
      </c>
      <c r="C20" s="343">
        <f t="shared" si="15"/>
        <v>3.1973975184043009</v>
      </c>
      <c r="D20" s="343">
        <f t="shared" si="15"/>
        <v>3.0600335420663365</v>
      </c>
      <c r="E20" s="343">
        <f t="shared" si="15"/>
        <v>3.3876485508646632</v>
      </c>
      <c r="F20" s="343">
        <f t="shared" si="15"/>
        <v>3.3264093103181365</v>
      </c>
      <c r="G20" s="343">
        <f t="shared" si="15"/>
        <v>3.5564432633833043</v>
      </c>
      <c r="H20" s="343">
        <f t="shared" si="15"/>
        <v>3.527526611438955</v>
      </c>
      <c r="I20" s="343">
        <f t="shared" si="15"/>
        <v>3.1053289103134589</v>
      </c>
      <c r="J20" s="343">
        <f t="shared" si="15"/>
        <v>3.0437764551981186</v>
      </c>
      <c r="K20" s="343">
        <f t="shared" si="15"/>
        <v>4.1042386758898424</v>
      </c>
      <c r="L20" s="343">
        <f t="shared" si="15"/>
        <v>3.4551241866629865</v>
      </c>
      <c r="M20" s="343">
        <f t="shared" si="15"/>
        <v>4.2588081351980591</v>
      </c>
      <c r="N20" s="343">
        <f t="shared" si="15"/>
        <v>3.7212600380046941</v>
      </c>
      <c r="O20" s="343">
        <f t="shared" si="15"/>
        <v>3.8904267262036902</v>
      </c>
      <c r="P20" s="343">
        <f t="shared" si="15"/>
        <v>3.6490859307088481</v>
      </c>
      <c r="Q20" s="343">
        <f t="shared" si="15"/>
        <v>4.2098445372269868</v>
      </c>
      <c r="R20" s="343">
        <f t="shared" si="15"/>
        <v>4.5446923020379506</v>
      </c>
      <c r="S20" s="343">
        <f t="shared" si="15"/>
        <v>4.6337436932346279</v>
      </c>
      <c r="T20" s="343">
        <f t="shared" si="15"/>
        <v>4.7650498007143041</v>
      </c>
      <c r="U20" s="343">
        <f t="shared" si="15"/>
        <v>4.8234118722720449</v>
      </c>
      <c r="V20" s="343">
        <f t="shared" si="15"/>
        <v>4.5259264653519118</v>
      </c>
      <c r="W20" s="343">
        <f t="shared" si="15"/>
        <v>4.8435443711113706</v>
      </c>
      <c r="X20" s="343">
        <f t="shared" si="15"/>
        <v>3.9978170427416462</v>
      </c>
      <c r="Y20" s="343">
        <f t="shared" si="15"/>
        <v>4.5852411520071188</v>
      </c>
      <c r="Z20" s="343">
        <f t="shared" si="15"/>
        <v>4.1340574627307314</v>
      </c>
      <c r="AA20" s="343">
        <f t="shared" si="15"/>
        <v>4.2348850789661592</v>
      </c>
      <c r="AB20" s="343">
        <f t="shared" si="15"/>
        <v>5.2002674148822345</v>
      </c>
      <c r="AC20" s="343">
        <f t="shared" si="15"/>
        <v>4.3576554472429603</v>
      </c>
      <c r="AD20" s="343">
        <f t="shared" si="15"/>
        <v>4.4389642517368699</v>
      </c>
      <c r="AE20" s="343">
        <f t="shared" si="15"/>
        <v>4.3181671835504023</v>
      </c>
      <c r="AF20" s="343">
        <f t="shared" si="15"/>
        <v>4.5404824092833946</v>
      </c>
      <c r="AG20" s="343">
        <f t="shared" si="15"/>
        <v>4.364751994116415</v>
      </c>
      <c r="AH20" s="343">
        <f t="shared" si="15"/>
        <v>4.3022674347700773</v>
      </c>
      <c r="AI20" s="343">
        <f t="shared" si="15"/>
        <v>4.7019330771816534</v>
      </c>
      <c r="AJ20" s="343">
        <f t="shared" si="15"/>
        <v>5.3119602530768333</v>
      </c>
      <c r="AK20" s="343">
        <f t="shared" si="15"/>
        <v>6.1509522438126094</v>
      </c>
      <c r="AL20" s="343">
        <f t="shared" si="15"/>
        <v>5.4301893282470788</v>
      </c>
      <c r="AM20" s="343">
        <f t="shared" si="15"/>
        <v>5.713802542659308</v>
      </c>
      <c r="AN20" s="343">
        <f t="shared" si="15"/>
        <v>5.2455031475953184</v>
      </c>
      <c r="AO20" s="343">
        <f t="shared" si="15"/>
        <v>6.2315628154599159</v>
      </c>
      <c r="AP20" s="343">
        <f t="shared" si="15"/>
        <v>5.4026830672749693</v>
      </c>
      <c r="AQ20" s="343">
        <f t="shared" si="15"/>
        <v>5.5411363855902716</v>
      </c>
      <c r="AR20" s="343">
        <f t="shared" si="15"/>
        <v>5.5206161272511967</v>
      </c>
      <c r="AS20" s="343">
        <f t="shared" si="15"/>
        <v>5.6192896879279539</v>
      </c>
      <c r="AT20" s="343">
        <f t="shared" si="15"/>
        <v>5.0984276197782785</v>
      </c>
      <c r="AU20" s="343">
        <f t="shared" si="15"/>
        <v>5.5682494059211436</v>
      </c>
      <c r="AV20" s="343">
        <f t="shared" si="15"/>
        <v>4.8458776235627168</v>
      </c>
      <c r="AW20" s="343">
        <f t="shared" si="15"/>
        <v>5.7229743765195682</v>
      </c>
      <c r="AX20" s="343">
        <f t="shared" si="15"/>
        <v>4.9888015444559137</v>
      </c>
      <c r="AY20" s="343">
        <f t="shared" si="15"/>
        <v>5.3042880976730702</v>
      </c>
      <c r="AZ20" s="343">
        <f t="shared" si="15"/>
        <v>4.8009473313354043</v>
      </c>
      <c r="BA20" s="343">
        <f t="shared" si="15"/>
        <v>5.4634416465918108</v>
      </c>
      <c r="BB20" s="343">
        <f t="shared" si="15"/>
        <v>5.104410478093321</v>
      </c>
      <c r="BC20" s="343">
        <f t="shared" si="15"/>
        <v>5.2852007532210044</v>
      </c>
      <c r="BD20" s="343">
        <f t="shared" si="15"/>
        <v>5.1648982956465455</v>
      </c>
      <c r="BE20" s="343">
        <f t="shared" si="15"/>
        <v>5.3364761454754115</v>
      </c>
      <c r="BF20" s="343">
        <f t="shared" si="15"/>
        <v>4.7912875108174839</v>
      </c>
      <c r="BG20" s="343">
        <f t="shared" si="15"/>
        <v>5.3128300487815006</v>
      </c>
      <c r="BH20" s="343">
        <f t="shared" si="15"/>
        <v>4.8740366099951498</v>
      </c>
      <c r="BI20" s="343">
        <f t="shared" si="15"/>
        <v>5.8734575570524212</v>
      </c>
      <c r="BJ20" s="343">
        <f t="shared" si="15"/>
        <v>5.0195849094670137</v>
      </c>
      <c r="BK20" s="343">
        <f t="shared" si="15"/>
        <v>5.1895380950426011</v>
      </c>
      <c r="BL20" s="343">
        <f t="shared" si="15"/>
        <v>4.5669467195869897</v>
      </c>
      <c r="BM20" s="343">
        <f t="shared" si="15"/>
        <v>5.3460749274918573</v>
      </c>
      <c r="BN20" s="343">
        <f t="shared" ref="BN20:DC20" si="16">SUM(BN14:BN19)</f>
        <v>4.986391938587718</v>
      </c>
      <c r="BO20" s="343">
        <f t="shared" si="16"/>
        <v>5.2658351022659575</v>
      </c>
      <c r="BP20" s="343">
        <f t="shared" si="16"/>
        <v>5.0347183001148723</v>
      </c>
      <c r="BQ20" s="343">
        <f t="shared" si="16"/>
        <v>5.3208272043509623</v>
      </c>
      <c r="BR20" s="343">
        <f t="shared" si="16"/>
        <v>6.76962478885702</v>
      </c>
      <c r="BS20" s="343">
        <f t="shared" si="16"/>
        <v>5.4982747037859729</v>
      </c>
      <c r="BT20" s="343">
        <f t="shared" si="16"/>
        <v>5.8440301948473978</v>
      </c>
      <c r="BU20" s="343">
        <f t="shared" si="16"/>
        <v>7.1895533571920831</v>
      </c>
      <c r="BV20" s="343">
        <f t="shared" si="16"/>
        <v>6.2564023843350558</v>
      </c>
      <c r="BW20" s="343">
        <f t="shared" si="16"/>
        <v>6.7700301263751088</v>
      </c>
      <c r="BX20" s="343">
        <f t="shared" si="16"/>
        <v>6.0696258624703887</v>
      </c>
      <c r="BY20" s="343">
        <f t="shared" si="16"/>
        <v>6.9335572791496158</v>
      </c>
      <c r="BZ20" s="343">
        <f t="shared" si="16"/>
        <v>6.3969504156193393</v>
      </c>
      <c r="CA20" s="343">
        <f t="shared" si="16"/>
        <v>6.7425741580364562</v>
      </c>
      <c r="CB20" s="343">
        <f t="shared" si="16"/>
        <v>6.4313365499376935</v>
      </c>
      <c r="CC20" s="343">
        <f t="shared" si="16"/>
        <v>6.7707475238359214</v>
      </c>
      <c r="CD20" s="343">
        <f t="shared" si="16"/>
        <v>6.0030074958305368</v>
      </c>
      <c r="CE20" s="343">
        <f t="shared" si="16"/>
        <v>6.7361578953202796</v>
      </c>
      <c r="CF20" s="343">
        <f t="shared" si="16"/>
        <v>6.2847499279240093</v>
      </c>
      <c r="CG20" s="343">
        <f t="shared" si="16"/>
        <v>7.4265269868464845</v>
      </c>
      <c r="CH20" s="343">
        <f t="shared" si="16"/>
        <v>5.597410999551367</v>
      </c>
      <c r="CI20" s="343">
        <f t="shared" si="16"/>
        <v>6.1657862192026922</v>
      </c>
      <c r="CJ20" s="343">
        <f t="shared" si="16"/>
        <v>5.4036151578803793</v>
      </c>
      <c r="CK20" s="343">
        <f t="shared" si="16"/>
        <v>6.3252053407829374</v>
      </c>
      <c r="CL20" s="343">
        <f t="shared" si="16"/>
        <v>5.7446887855207569</v>
      </c>
      <c r="CM20" s="343">
        <f t="shared" si="16"/>
        <v>6.1331035908031915</v>
      </c>
      <c r="CN20" s="343">
        <f t="shared" si="16"/>
        <v>5.7688636178637305</v>
      </c>
      <c r="CO20" s="343">
        <f t="shared" si="16"/>
        <v>6.197368094972953</v>
      </c>
      <c r="CP20" s="343">
        <f t="shared" si="16"/>
        <v>5.3956297155012258</v>
      </c>
      <c r="CQ20" s="343">
        <f t="shared" si="16"/>
        <v>6.1680665490325239</v>
      </c>
      <c r="CR20" s="343">
        <f t="shared" si="16"/>
        <v>5.6659866732211031</v>
      </c>
      <c r="CS20" s="343">
        <f t="shared" si="16"/>
        <v>6.6491549145499356</v>
      </c>
      <c r="CT20" s="343">
        <f t="shared" si="16"/>
        <v>5.4196376738503833</v>
      </c>
      <c r="CU20" s="343">
        <f t="shared" si="16"/>
        <v>6.12602453402826</v>
      </c>
      <c r="CV20" s="343">
        <f t="shared" si="16"/>
        <v>5.3108465813225143</v>
      </c>
      <c r="CW20" s="343">
        <f t="shared" si="16"/>
        <v>6.2029460545768549</v>
      </c>
      <c r="CX20" s="343">
        <f t="shared" si="16"/>
        <v>0</v>
      </c>
      <c r="CY20" s="343">
        <f t="shared" si="16"/>
        <v>0</v>
      </c>
      <c r="CZ20" s="343">
        <f t="shared" si="16"/>
        <v>0</v>
      </c>
      <c r="DA20" s="343">
        <f t="shared" si="16"/>
        <v>0</v>
      </c>
      <c r="DB20" s="343">
        <f t="shared" si="16"/>
        <v>0</v>
      </c>
      <c r="DC20" s="343">
        <f t="shared" si="16"/>
        <v>0</v>
      </c>
    </row>
    <row r="21" spans="1:107" s="341" customFormat="1" ht="12.75" thickTop="1">
      <c r="A21" s="346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7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</row>
    <row r="22" spans="1:107" s="341" customFormat="1">
      <c r="A22" s="321"/>
      <c r="B22" s="341">
        <f t="shared" ref="B22:BM22" si="17">+B11-B20</f>
        <v>2.2632500000000011</v>
      </c>
      <c r="C22" s="341">
        <f t="shared" si="17"/>
        <v>1.0985032177677421</v>
      </c>
      <c r="D22" s="341">
        <f t="shared" si="17"/>
        <v>0.27740573260033052</v>
      </c>
      <c r="E22" s="341">
        <f t="shared" si="17"/>
        <v>2.8276704464686691</v>
      </c>
      <c r="F22" s="341">
        <f t="shared" si="17"/>
        <v>0.15259497768186314</v>
      </c>
      <c r="G22" s="341">
        <f t="shared" si="17"/>
        <v>1.7210760198166968</v>
      </c>
      <c r="H22" s="341">
        <f t="shared" si="17"/>
        <v>9.3042689894379027E-2</v>
      </c>
      <c r="I22" s="341">
        <f t="shared" si="17"/>
        <v>2.4340009798198756</v>
      </c>
      <c r="J22" s="341">
        <f t="shared" si="17"/>
        <v>1.3092416354685481</v>
      </c>
      <c r="K22" s="341">
        <f t="shared" si="17"/>
        <v>1.5322687459768254</v>
      </c>
      <c r="L22" s="341">
        <f t="shared" si="17"/>
        <v>-0.45919778666298638</v>
      </c>
      <c r="M22" s="341">
        <f t="shared" si="17"/>
        <v>1.5538843768019417</v>
      </c>
      <c r="N22" s="341">
        <f t="shared" si="17"/>
        <v>-0.67720435800469447</v>
      </c>
      <c r="O22" s="341">
        <f t="shared" si="17"/>
        <v>2.4646067777963103</v>
      </c>
      <c r="P22" s="341">
        <f t="shared" si="17"/>
        <v>-0.15331162670884879</v>
      </c>
      <c r="Q22" s="341">
        <f t="shared" si="17"/>
        <v>2.3404608547730135</v>
      </c>
      <c r="R22" s="341">
        <f t="shared" si="17"/>
        <v>-1.0881449420379505</v>
      </c>
      <c r="S22" s="341">
        <f t="shared" si="17"/>
        <v>1.9557981467653729</v>
      </c>
      <c r="T22" s="341">
        <f t="shared" si="17"/>
        <v>-1.3071693847143044</v>
      </c>
      <c r="U22" s="341">
        <f t="shared" si="17"/>
        <v>2.0081727517279546</v>
      </c>
      <c r="V22" s="341">
        <f t="shared" si="17"/>
        <v>-1.289250753351912</v>
      </c>
      <c r="W22" s="341">
        <f t="shared" si="17"/>
        <v>2.0835705408886289</v>
      </c>
      <c r="X22" s="341">
        <f t="shared" si="17"/>
        <v>-0.4831188027416462</v>
      </c>
      <c r="Y22" s="341">
        <f t="shared" si="17"/>
        <v>2.4601444479928807</v>
      </c>
      <c r="Z22" s="341">
        <f t="shared" si="17"/>
        <v>-0.55209522273073119</v>
      </c>
      <c r="AA22" s="341">
        <f t="shared" si="17"/>
        <v>116.80389172103385</v>
      </c>
      <c r="AB22" s="341">
        <f t="shared" si="17"/>
        <v>-1.449696748215568</v>
      </c>
      <c r="AC22" s="341">
        <f t="shared" si="17"/>
        <v>2.7996126060903741</v>
      </c>
      <c r="AD22" s="341">
        <f t="shared" si="17"/>
        <v>-0.66059113173687001</v>
      </c>
      <c r="AE22" s="341">
        <f t="shared" si="17"/>
        <v>2.808995696449597</v>
      </c>
      <c r="AF22" s="341">
        <f t="shared" si="17"/>
        <v>-0.81867163595006076</v>
      </c>
      <c r="AG22" s="341">
        <f t="shared" si="17"/>
        <v>2.9922295525502509</v>
      </c>
      <c r="AH22" s="341">
        <f t="shared" si="17"/>
        <v>2.0948824318965888</v>
      </c>
      <c r="AI22" s="341">
        <f t="shared" si="17"/>
        <v>2.6769989548183464</v>
      </c>
      <c r="AJ22" s="341">
        <f t="shared" si="17"/>
        <v>-0.48793400747683258</v>
      </c>
      <c r="AK22" s="341">
        <f t="shared" si="17"/>
        <v>2.7267503966673896</v>
      </c>
      <c r="AL22" s="341">
        <f t="shared" si="17"/>
        <v>-0.54853128744707824</v>
      </c>
      <c r="AM22" s="341">
        <f t="shared" si="17"/>
        <v>3.2820452779806919</v>
      </c>
      <c r="AN22" s="341">
        <f t="shared" si="17"/>
        <v>-0.17510097751531806</v>
      </c>
      <c r="AO22" s="341">
        <f t="shared" si="17"/>
        <v>2.7498770563800834</v>
      </c>
      <c r="AP22" s="341">
        <f t="shared" si="17"/>
        <v>-0.34291955575496935</v>
      </c>
      <c r="AQ22" s="341">
        <f t="shared" si="17"/>
        <v>3.4863360929697267</v>
      </c>
      <c r="AR22" s="341">
        <f t="shared" si="17"/>
        <v>-0.40129976069119699</v>
      </c>
      <c r="AS22" s="341">
        <f t="shared" si="17"/>
        <v>3.7717725600062471</v>
      </c>
      <c r="AT22" s="341">
        <f t="shared" si="17"/>
        <v>-0.19202111462307858</v>
      </c>
      <c r="AU22" s="341">
        <f t="shared" si="17"/>
        <v>3.7642597599956549</v>
      </c>
      <c r="AV22" s="341">
        <f t="shared" si="17"/>
        <v>3.4961558448287633E-4</v>
      </c>
      <c r="AW22" s="341">
        <f t="shared" si="17"/>
        <v>3.7229830429041915</v>
      </c>
      <c r="AX22" s="341">
        <f t="shared" si="17"/>
        <v>-0.11231761282871311</v>
      </c>
      <c r="AY22" s="341">
        <f t="shared" si="17"/>
        <v>4.2036955413346879</v>
      </c>
      <c r="AZ22" s="341">
        <f t="shared" si="17"/>
        <v>0.25308917524203611</v>
      </c>
      <c r="BA22" s="341">
        <f t="shared" si="17"/>
        <v>3.9585159122177096</v>
      </c>
      <c r="BB22" s="341">
        <f t="shared" si="17"/>
        <v>-1.9108722619880503E-2</v>
      </c>
      <c r="BC22" s="341">
        <f t="shared" si="17"/>
        <v>4.1977744687565144</v>
      </c>
      <c r="BD22" s="341">
        <f t="shared" si="17"/>
        <v>-4.833129127710567E-2</v>
      </c>
      <c r="BE22" s="341">
        <f t="shared" si="17"/>
        <v>4.4322426499354686</v>
      </c>
      <c r="BF22" s="341">
        <f t="shared" si="17"/>
        <v>-9.4419912706762865E-2</v>
      </c>
      <c r="BG22" s="341">
        <f t="shared" si="17"/>
        <v>4.2929369168440195</v>
      </c>
      <c r="BH22" s="341">
        <f t="shared" si="17"/>
        <v>0.82551554918425829</v>
      </c>
      <c r="BI22" s="341">
        <f t="shared" si="17"/>
        <v>5.5475568087517724</v>
      </c>
      <c r="BJ22" s="341">
        <f t="shared" si="17"/>
        <v>0.69811062808194535</v>
      </c>
      <c r="BK22" s="341">
        <f t="shared" si="17"/>
        <v>6.2686701964191647</v>
      </c>
      <c r="BL22" s="341">
        <f t="shared" si="17"/>
        <v>1.3512890910288027</v>
      </c>
      <c r="BM22" s="341">
        <f t="shared" si="17"/>
        <v>5.9664768104709651</v>
      </c>
      <c r="BN22" s="341">
        <f t="shared" ref="BN22:DC22" si="18">+BN11-BN20</f>
        <v>0.95059202967661083</v>
      </c>
      <c r="BO22" s="341">
        <f t="shared" si="18"/>
        <v>6.0833057820754606</v>
      </c>
      <c r="BP22" s="341">
        <f t="shared" si="18"/>
        <v>0.92101382579799118</v>
      </c>
      <c r="BQ22" s="341">
        <f t="shared" si="18"/>
        <v>6.3407660907111651</v>
      </c>
      <c r="BR22" s="341">
        <f t="shared" si="18"/>
        <v>-1.3477782028983372</v>
      </c>
      <c r="BS22" s="341">
        <f t="shared" si="18"/>
        <v>5.9244980577718662</v>
      </c>
      <c r="BT22" s="341">
        <f t="shared" si="18"/>
        <v>0.58405945062894293</v>
      </c>
      <c r="BU22" s="341">
        <f t="shared" si="18"/>
        <v>5.7265343922648908</v>
      </c>
      <c r="BV22" s="341">
        <f t="shared" si="18"/>
        <v>0.19185842885802096</v>
      </c>
      <c r="BW22" s="341">
        <f t="shared" si="18"/>
        <v>6.1874085169011694</v>
      </c>
      <c r="BX22" s="341">
        <f t="shared" si="18"/>
        <v>0.60562278196974972</v>
      </c>
      <c r="BY22" s="341">
        <f t="shared" si="18"/>
        <v>5.857911315222724</v>
      </c>
      <c r="BZ22" s="341">
        <f t="shared" si="18"/>
        <v>0.29914176879476084</v>
      </c>
      <c r="CA22" s="341">
        <f t="shared" si="18"/>
        <v>6.0895729578979623</v>
      </c>
      <c r="CB22" s="341">
        <f t="shared" si="18"/>
        <v>0.28559917445036476</v>
      </c>
      <c r="CC22" s="341">
        <f t="shared" si="18"/>
        <v>6.5275586692120884</v>
      </c>
      <c r="CD22" s="341">
        <f t="shared" si="18"/>
        <v>0.17626282121217773</v>
      </c>
      <c r="CE22" s="341">
        <f t="shared" si="18"/>
        <v>6.3249444541318214</v>
      </c>
      <c r="CF22" s="341">
        <f t="shared" si="18"/>
        <v>0.6553636713615294</v>
      </c>
      <c r="CG22" s="341">
        <f t="shared" si="18"/>
        <v>6.5401823644791683</v>
      </c>
      <c r="CH22" s="341">
        <f t="shared" si="18"/>
        <v>1.3641286017216574</v>
      </c>
      <c r="CI22" s="341">
        <f t="shared" si="18"/>
        <v>7.8448464361973098</v>
      </c>
      <c r="CJ22" s="341">
        <f t="shared" si="18"/>
        <v>1.8033182296554795</v>
      </c>
      <c r="CK22" s="341">
        <f t="shared" si="18"/>
        <v>7.5048471843663682</v>
      </c>
      <c r="CL22" s="341">
        <f t="shared" si="18"/>
        <v>1.4843848040688359</v>
      </c>
      <c r="CM22" s="341">
        <f t="shared" si="18"/>
        <v>7.7401580383542097</v>
      </c>
      <c r="CN22" s="341">
        <f t="shared" si="18"/>
        <v>1.4823501737795981</v>
      </c>
      <c r="CO22" s="341">
        <f t="shared" si="18"/>
        <v>8.0577325648540068</v>
      </c>
      <c r="CP22" s="341">
        <f t="shared" si="18"/>
        <v>1.4255035092476422</v>
      </c>
      <c r="CQ22" s="341">
        <f t="shared" si="18"/>
        <v>7.9052041304278067</v>
      </c>
      <c r="CR22" s="341">
        <f t="shared" si="18"/>
        <v>1.7429198147998699</v>
      </c>
      <c r="CS22" s="341">
        <f t="shared" si="18"/>
        <v>8.2794101162603759</v>
      </c>
      <c r="CT22" s="341">
        <f t="shared" si="18"/>
        <v>2.0117661162574514</v>
      </c>
      <c r="CU22" s="341">
        <f t="shared" si="18"/>
        <v>8.8486599660601115</v>
      </c>
      <c r="CV22" s="341">
        <f t="shared" si="18"/>
        <v>2.382720144778669</v>
      </c>
      <c r="CW22" s="341">
        <f t="shared" si="18"/>
        <v>8.5776298483309183</v>
      </c>
      <c r="CX22" s="341">
        <f t="shared" si="18"/>
        <v>0</v>
      </c>
      <c r="CY22" s="341">
        <f t="shared" si="18"/>
        <v>0</v>
      </c>
      <c r="CZ22" s="341">
        <f t="shared" si="18"/>
        <v>0</v>
      </c>
      <c r="DA22" s="341">
        <f t="shared" si="18"/>
        <v>0</v>
      </c>
      <c r="DB22" s="341">
        <f t="shared" si="18"/>
        <v>0</v>
      </c>
      <c r="DC22" s="341">
        <f t="shared" si="18"/>
        <v>0</v>
      </c>
    </row>
    <row r="23" spans="1:107" s="341" customFormat="1" outlineLevel="1">
      <c r="A23" s="310" t="s">
        <v>244</v>
      </c>
      <c r="B23" s="341">
        <v>0.09</v>
      </c>
      <c r="C23" s="341">
        <v>0.03</v>
      </c>
      <c r="D23" s="341">
        <f t="shared" ref="D23:K23" si="19">0.04</f>
        <v>0.04</v>
      </c>
      <c r="E23" s="341">
        <f t="shared" si="19"/>
        <v>0.04</v>
      </c>
      <c r="F23" s="341">
        <f t="shared" si="19"/>
        <v>0.04</v>
      </c>
      <c r="G23" s="341">
        <f t="shared" si="19"/>
        <v>0.04</v>
      </c>
      <c r="H23" s="341">
        <f t="shared" si="19"/>
        <v>0.04</v>
      </c>
      <c r="I23" s="341">
        <f t="shared" si="19"/>
        <v>0.04</v>
      </c>
      <c r="J23" s="341">
        <f t="shared" si="19"/>
        <v>0.04</v>
      </c>
      <c r="K23" s="341">
        <f t="shared" si="19"/>
        <v>0.04</v>
      </c>
      <c r="L23" s="341">
        <v>0</v>
      </c>
      <c r="M23" s="341">
        <v>0</v>
      </c>
      <c r="N23" s="341">
        <v>0</v>
      </c>
      <c r="O23" s="341">
        <v>0</v>
      </c>
      <c r="P23" s="341">
        <v>0</v>
      </c>
      <c r="Q23" s="341">
        <v>0</v>
      </c>
      <c r="R23" s="341">
        <v>0</v>
      </c>
      <c r="S23" s="341">
        <v>0</v>
      </c>
      <c r="T23" s="341">
        <v>0</v>
      </c>
      <c r="U23" s="341">
        <v>0</v>
      </c>
      <c r="V23" s="341">
        <v>0</v>
      </c>
      <c r="W23" s="341">
        <v>30.75</v>
      </c>
      <c r="X23" s="341">
        <v>0</v>
      </c>
      <c r="Y23" s="341">
        <v>0</v>
      </c>
      <c r="Z23" s="341">
        <v>0</v>
      </c>
      <c r="AA23" s="341">
        <v>0</v>
      </c>
      <c r="AB23" s="341">
        <v>0</v>
      </c>
      <c r="AC23" s="341">
        <v>0</v>
      </c>
      <c r="AD23" s="341">
        <v>0</v>
      </c>
      <c r="AE23" s="341">
        <v>0</v>
      </c>
      <c r="AF23" s="341">
        <v>0</v>
      </c>
      <c r="AG23" s="341">
        <v>0</v>
      </c>
      <c r="AH23" s="341">
        <v>0</v>
      </c>
      <c r="AI23" s="341">
        <v>45.5</v>
      </c>
      <c r="AJ23" s="341">
        <v>0</v>
      </c>
      <c r="AK23" s="341">
        <v>0</v>
      </c>
      <c r="AL23" s="341">
        <v>0</v>
      </c>
      <c r="AM23" s="341">
        <v>0</v>
      </c>
      <c r="AN23" s="341">
        <v>0</v>
      </c>
      <c r="AO23" s="341">
        <v>0</v>
      </c>
      <c r="AP23" s="341">
        <v>0</v>
      </c>
      <c r="AQ23" s="341">
        <v>0</v>
      </c>
      <c r="AR23" s="341">
        <v>0</v>
      </c>
      <c r="AS23" s="341">
        <v>0</v>
      </c>
      <c r="AT23" s="341">
        <v>0</v>
      </c>
      <c r="AU23" s="341">
        <v>45.5</v>
      </c>
      <c r="AV23" s="341">
        <v>0</v>
      </c>
      <c r="AW23" s="341">
        <v>0</v>
      </c>
      <c r="AX23" s="341">
        <v>0</v>
      </c>
      <c r="AY23" s="341">
        <v>0</v>
      </c>
      <c r="AZ23" s="341">
        <v>0</v>
      </c>
      <c r="BA23" s="341">
        <v>0</v>
      </c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45.5</v>
      </c>
      <c r="BH23" s="341">
        <v>0</v>
      </c>
      <c r="BI23" s="341">
        <v>0</v>
      </c>
      <c r="BJ23" s="341">
        <v>0</v>
      </c>
      <c r="BK23" s="341">
        <v>0</v>
      </c>
      <c r="BL23" s="341">
        <v>0</v>
      </c>
      <c r="BM23" s="341">
        <v>0</v>
      </c>
      <c r="BN23" s="341">
        <v>0</v>
      </c>
      <c r="BO23" s="341">
        <v>0</v>
      </c>
      <c r="BP23" s="341">
        <v>0</v>
      </c>
      <c r="BQ23" s="341">
        <v>0</v>
      </c>
      <c r="BR23" s="341">
        <v>0</v>
      </c>
      <c r="BS23" s="341">
        <v>45.5</v>
      </c>
      <c r="BT23" s="341">
        <v>0</v>
      </c>
      <c r="BU23" s="341">
        <v>0</v>
      </c>
      <c r="BV23" s="341">
        <v>0</v>
      </c>
      <c r="BW23" s="341">
        <v>0</v>
      </c>
      <c r="BX23" s="341">
        <v>0</v>
      </c>
      <c r="BY23" s="341">
        <v>0</v>
      </c>
      <c r="BZ23" s="341">
        <v>0</v>
      </c>
      <c r="CA23" s="341">
        <v>0</v>
      </c>
      <c r="CB23" s="341">
        <v>0</v>
      </c>
      <c r="CC23" s="341">
        <v>0</v>
      </c>
      <c r="CD23" s="341">
        <v>0</v>
      </c>
      <c r="CE23" s="341">
        <v>45.5</v>
      </c>
      <c r="CF23" s="341">
        <v>0</v>
      </c>
      <c r="CG23" s="341">
        <v>0</v>
      </c>
      <c r="CH23" s="341">
        <v>0</v>
      </c>
      <c r="CI23" s="341">
        <v>0</v>
      </c>
      <c r="CJ23" s="341">
        <v>0</v>
      </c>
      <c r="CK23" s="341">
        <v>0</v>
      </c>
      <c r="CL23" s="341">
        <v>0</v>
      </c>
      <c r="CM23" s="341">
        <v>0</v>
      </c>
      <c r="CN23" s="341">
        <v>0</v>
      </c>
      <c r="CO23" s="341">
        <v>0</v>
      </c>
      <c r="CP23" s="341">
        <v>0</v>
      </c>
      <c r="CQ23" s="341">
        <v>46.04</v>
      </c>
      <c r="CR23" s="341">
        <v>0</v>
      </c>
      <c r="CS23" s="341">
        <v>0</v>
      </c>
      <c r="CT23" s="341">
        <v>0</v>
      </c>
      <c r="CU23" s="341">
        <v>0</v>
      </c>
      <c r="CV23" s="341">
        <v>0</v>
      </c>
      <c r="CW23" s="341">
        <v>0</v>
      </c>
      <c r="CX23" s="341">
        <v>0</v>
      </c>
      <c r="CY23" s="341">
        <v>0</v>
      </c>
      <c r="CZ23" s="341">
        <v>0</v>
      </c>
      <c r="DA23" s="341">
        <v>0</v>
      </c>
      <c r="DB23" s="341">
        <v>0</v>
      </c>
      <c r="DC23" s="341">
        <v>0</v>
      </c>
    </row>
    <row r="24" spans="1:107" outlineLevel="1">
      <c r="A24" s="310" t="s">
        <v>381</v>
      </c>
      <c r="B24" s="341">
        <v>0</v>
      </c>
      <c r="C24" s="341">
        <v>0</v>
      </c>
      <c r="D24" s="341">
        <v>0</v>
      </c>
      <c r="E24" s="341">
        <v>0</v>
      </c>
      <c r="F24" s="341">
        <v>0</v>
      </c>
      <c r="G24" s="341">
        <v>0</v>
      </c>
      <c r="H24" s="341">
        <v>0</v>
      </c>
      <c r="I24" s="341">
        <v>0</v>
      </c>
      <c r="J24" s="341">
        <v>0</v>
      </c>
      <c r="K24" s="341">
        <v>0</v>
      </c>
      <c r="L24" s="341">
        <f>'Debt (2)'!K14</f>
        <v>1.5484758333333331</v>
      </c>
      <c r="M24" s="341">
        <f>'Debt (2)'!L14</f>
        <v>1.5484758333333331</v>
      </c>
      <c r="N24" s="341">
        <f>'Debt (2)'!M14</f>
        <v>1.5484758333333331</v>
      </c>
      <c r="O24" s="341">
        <f>'Debt (2)'!N14</f>
        <v>1.5484758333333331</v>
      </c>
      <c r="P24" s="341">
        <f>'Debt (2)'!O14</f>
        <v>1.5484758333333331</v>
      </c>
      <c r="Q24" s="341">
        <f>'Debt (2)'!P14</f>
        <v>1.5484758333333331</v>
      </c>
      <c r="R24" s="341">
        <f>'Debt (2)'!Q14</f>
        <v>1.5484758333333331</v>
      </c>
      <c r="S24" s="341">
        <f>'Debt (2)'!R14</f>
        <v>1.5484758333333331</v>
      </c>
      <c r="T24" s="341">
        <f>'Debt (2)'!S14</f>
        <v>1.5484758333333331</v>
      </c>
      <c r="U24" s="341">
        <f>'Debt (2)'!T14</f>
        <v>2.0661036607468675</v>
      </c>
      <c r="V24" s="341">
        <f>'Debt (2)'!U14</f>
        <v>2.0661036607468675</v>
      </c>
      <c r="W24" s="341">
        <f>'Debt (2)'!V14</f>
        <v>2.0661036607468675</v>
      </c>
      <c r="X24" s="341">
        <f>'Debt (2)'!W14</f>
        <v>2.2975608469164337</v>
      </c>
      <c r="Y24" s="341">
        <f>'Debt (2)'!X14</f>
        <v>2.2975608469164337</v>
      </c>
      <c r="Z24" s="341">
        <f>'Debt (2)'!Y14</f>
        <v>2.2837706276777627</v>
      </c>
      <c r="AA24" s="341">
        <f>'Debt (2)'!Z14</f>
        <v>2.2837706276777627</v>
      </c>
      <c r="AB24" s="341">
        <f>'Debt (2)'!AA14</f>
        <v>1.069067440171005</v>
      </c>
      <c r="AC24" s="341">
        <f>'Debt (2)'!AB14</f>
        <v>1.6206762097178293</v>
      </c>
      <c r="AD24" s="341">
        <f>'Debt (2)'!AC14</f>
        <v>1.6206762097178293</v>
      </c>
      <c r="AE24" s="341">
        <f>'Debt (2)'!AD14</f>
        <v>1.6206762097178293</v>
      </c>
      <c r="AF24" s="341">
        <f>'Debt (2)'!AE14</f>
        <v>1.6206762097178293</v>
      </c>
      <c r="AG24" s="341">
        <f>'Debt (2)'!AF14</f>
        <v>1.2967391197846974</v>
      </c>
      <c r="AH24" s="341">
        <f>'Debt (2)'!AG14</f>
        <v>1.2967391197846974</v>
      </c>
      <c r="AI24" s="341">
        <f>'Debt (2)'!AH14</f>
        <v>1.2967391197846974</v>
      </c>
      <c r="AJ24" s="341">
        <f>'Debt (2)'!AI14</f>
        <v>1.2967391197846974</v>
      </c>
      <c r="AK24" s="341">
        <f>'Debt (2)'!AJ14</f>
        <v>1.2967391197846974</v>
      </c>
      <c r="AL24" s="341">
        <f>'Debt (2)'!AK14</f>
        <v>1.2967391197846974</v>
      </c>
      <c r="AM24" s="341">
        <f>'Debt (2)'!AL14</f>
        <v>1.2967391197846974</v>
      </c>
      <c r="AN24" s="341">
        <f>'Debt (2)'!AM14</f>
        <v>1.2967391197846974</v>
      </c>
      <c r="AO24" s="341">
        <f>'Debt (2)'!AN14</f>
        <v>1.2967391197846974</v>
      </c>
      <c r="AP24" s="341">
        <f>'Debt (2)'!AO14</f>
        <v>1.2967391197846974</v>
      </c>
      <c r="AQ24" s="341">
        <f>'Debt (2)'!AP14</f>
        <v>1.2967391197846974</v>
      </c>
      <c r="AR24" s="341">
        <f>'Debt (2)'!AQ14</f>
        <v>1.2967391197846974</v>
      </c>
      <c r="AS24" s="341">
        <f>'Debt (2)'!AR14</f>
        <v>1.2967391197846974</v>
      </c>
      <c r="AT24" s="341">
        <f>'Debt (2)'!AS14</f>
        <v>1.2967391197846974</v>
      </c>
      <c r="AU24" s="341">
        <f>'Debt (2)'!AT14</f>
        <v>1.2837717285868508</v>
      </c>
      <c r="AV24" s="341">
        <f>'Debt (2)'!AU14</f>
        <v>1.2837717285868508</v>
      </c>
      <c r="AW24" s="341">
        <f>'Debt (2)'!AV14</f>
        <v>1.2837717285868508</v>
      </c>
      <c r="AX24" s="341">
        <f>'Debt (2)'!AW14</f>
        <v>1.2448695549933095</v>
      </c>
      <c r="AY24" s="341">
        <f>'Debt (2)'!AX14</f>
        <v>1.2448695549933095</v>
      </c>
      <c r="AZ24" s="341">
        <f>'Debt (2)'!AY14</f>
        <v>1.2448695549933095</v>
      </c>
      <c r="BA24" s="341">
        <f>'Debt (2)'!AZ14</f>
        <v>1.2059673813997684</v>
      </c>
      <c r="BB24" s="341">
        <f>'Debt (2)'!BA14</f>
        <v>1.2059673813997684</v>
      </c>
      <c r="BC24" s="341">
        <f>'Debt (2)'!BB14</f>
        <v>1.2059673813997684</v>
      </c>
      <c r="BD24" s="341">
        <f>'Debt (2)'!BC14</f>
        <v>1.1670652078062276</v>
      </c>
      <c r="BE24" s="341">
        <f>'Debt (2)'!BD14</f>
        <v>1.1670652078062276</v>
      </c>
      <c r="BF24" s="341">
        <f>'Debt (2)'!BE14</f>
        <v>1.1670652078062276</v>
      </c>
      <c r="BG24" s="341">
        <f>'Debt (2)'!BF14</f>
        <v>1.1151956430148398</v>
      </c>
      <c r="BH24" s="341">
        <f>'Debt (2)'!BG14</f>
        <v>1.1151956430148398</v>
      </c>
      <c r="BI24" s="341">
        <f>'Debt (2)'!BH14</f>
        <v>1.1151956430148398</v>
      </c>
      <c r="BJ24" s="341">
        <f>'Debt (2)'!BI14</f>
        <v>1.0633260782234517</v>
      </c>
      <c r="BK24" s="341">
        <f>'Debt (2)'!BJ14</f>
        <v>1.0633260782234517</v>
      </c>
      <c r="BL24" s="341">
        <f>'Debt (2)'!BK14</f>
        <v>1.0633260782234517</v>
      </c>
      <c r="BM24" s="341">
        <f>'Debt (2)'!BL14</f>
        <v>1.0114565134320637</v>
      </c>
      <c r="BN24" s="341">
        <f>'Debt (2)'!BM14</f>
        <v>1.0114565134320637</v>
      </c>
      <c r="BO24" s="341">
        <f>'Debt (2)'!BN14</f>
        <v>1.0114565134320637</v>
      </c>
      <c r="BP24" s="341">
        <f>'Debt (2)'!BO14</f>
        <v>0.95958694864067573</v>
      </c>
      <c r="BQ24" s="341">
        <f>'Debt (2)'!BP14</f>
        <v>0.95958694864067573</v>
      </c>
      <c r="BR24" s="341">
        <f>'Debt (2)'!BQ14</f>
        <v>0.95958694864067573</v>
      </c>
      <c r="BS24" s="341">
        <f>'Debt (2)'!BR14</f>
        <v>0.89799184045090263</v>
      </c>
      <c r="BT24" s="341">
        <f>'Debt (2)'!BS14</f>
        <v>0.89799184045090263</v>
      </c>
      <c r="BU24" s="341">
        <f>'Debt (2)'!BT14</f>
        <v>0.89799184045090263</v>
      </c>
      <c r="BV24" s="341">
        <f>'Debt (2)'!BU14</f>
        <v>0.83639673226112943</v>
      </c>
      <c r="BW24" s="341">
        <f>'Debt (2)'!BV14</f>
        <v>0.83639673226112943</v>
      </c>
      <c r="BX24" s="341">
        <f>'Debt (2)'!BW14</f>
        <v>0.83639673226112943</v>
      </c>
      <c r="BY24" s="341">
        <f>'Debt (2)'!BX14</f>
        <v>0.77480162407135622</v>
      </c>
      <c r="BZ24" s="341">
        <f>'Debt (2)'!BY14</f>
        <v>0.77480162407135622</v>
      </c>
      <c r="CA24" s="341">
        <f>'Debt (2)'!BZ14</f>
        <v>0.77480162407135622</v>
      </c>
      <c r="CB24" s="341">
        <f>'Debt (2)'!CA14</f>
        <v>0.71320651588158324</v>
      </c>
      <c r="CC24" s="341">
        <f>'Debt (2)'!CB14</f>
        <v>0.71320651588158324</v>
      </c>
      <c r="CD24" s="341">
        <f>'Debt (2)'!CC14</f>
        <v>0.71320651588158324</v>
      </c>
      <c r="CE24" s="341">
        <f>'Debt (2)'!CD14</f>
        <v>0.65161140769181003</v>
      </c>
      <c r="CF24" s="341">
        <f>'Debt (2)'!CE14</f>
        <v>0.65161140769181003</v>
      </c>
      <c r="CG24" s="341">
        <f>'Debt (2)'!CF14</f>
        <v>0.65161140769181003</v>
      </c>
      <c r="CH24" s="341">
        <f>'Debt (2)'!CG14</f>
        <v>0.56732336490580471</v>
      </c>
      <c r="CI24" s="341">
        <f>'Debt (2)'!CH14</f>
        <v>0.56732336490580471</v>
      </c>
      <c r="CJ24" s="341">
        <f>'Debt (2)'!CI14</f>
        <v>0.56732336490580471</v>
      </c>
      <c r="CK24" s="341">
        <f>'Debt (2)'!CJ14</f>
        <v>0.48303532211979927</v>
      </c>
      <c r="CL24" s="341">
        <f>'Debt (2)'!CK14</f>
        <v>0.48303532211979927</v>
      </c>
      <c r="CM24" s="341">
        <f>'Debt (2)'!CL14</f>
        <v>0.48303532211979927</v>
      </c>
      <c r="CN24" s="341">
        <f>'Debt (2)'!CM14</f>
        <v>0.36632880133917656</v>
      </c>
      <c r="CO24" s="341">
        <f>'Debt (2)'!CN14</f>
        <v>0.36632880133917656</v>
      </c>
      <c r="CP24" s="341">
        <f>'Debt (2)'!CO14</f>
        <v>0.36632880133917656</v>
      </c>
      <c r="CQ24" s="341">
        <f>'Debt (2)'!CP14</f>
        <v>0.24962228055855379</v>
      </c>
      <c r="CR24" s="341">
        <f>'Debt (2)'!CQ14</f>
        <v>0.24962228055855379</v>
      </c>
      <c r="CS24" s="341">
        <f>'Debt (2)'!CR14</f>
        <v>0.24962228055855379</v>
      </c>
      <c r="CT24" s="341">
        <f>'Debt (2)'!CS14</f>
        <v>0.12643206417900749</v>
      </c>
      <c r="CU24" s="341">
        <f>'Debt (2)'!CT14</f>
        <v>0.12643206417900749</v>
      </c>
      <c r="CV24" s="341">
        <f>'Debt (2)'!CU14</f>
        <v>0.12643206417900749</v>
      </c>
      <c r="CW24" s="341">
        <f>'Debt (2)'!CV14</f>
        <v>-5.1744198675646075E-16</v>
      </c>
      <c r="CX24" s="341">
        <f>'Debt (2)'!CW14</f>
        <v>0</v>
      </c>
      <c r="CY24" s="341">
        <f>'Debt (2)'!CX14</f>
        <v>0</v>
      </c>
      <c r="CZ24" s="341">
        <f>'Debt (2)'!CY14</f>
        <v>0</v>
      </c>
      <c r="DA24" s="341">
        <f>'Debt (2)'!CZ14</f>
        <v>0</v>
      </c>
      <c r="DB24" s="341">
        <f>'Debt (2)'!DA14</f>
        <v>0</v>
      </c>
      <c r="DC24" s="341">
        <f>'Debt (2)'!DB14</f>
        <v>0</v>
      </c>
    </row>
    <row r="25" spans="1:107" outlineLevel="1">
      <c r="A25" s="310" t="s">
        <v>382</v>
      </c>
      <c r="B25" s="341">
        <v>0</v>
      </c>
      <c r="C25" s="341">
        <v>0</v>
      </c>
      <c r="D25" s="341">
        <v>0</v>
      </c>
      <c r="E25" s="341">
        <v>0</v>
      </c>
      <c r="F25" s="341">
        <v>0</v>
      </c>
      <c r="G25" s="341">
        <v>0</v>
      </c>
      <c r="H25" s="341">
        <v>0</v>
      </c>
      <c r="I25" s="341">
        <v>0</v>
      </c>
      <c r="J25" s="341">
        <v>0</v>
      </c>
      <c r="K25" s="341">
        <v>0</v>
      </c>
      <c r="L25" s="341">
        <f>'Monthly BS'!J9*10.85%/12</f>
        <v>1.8083333333333333E-2</v>
      </c>
      <c r="M25" s="341">
        <f>'Monthly BS'!K9*10.85%/12</f>
        <v>2.7125E-2</v>
      </c>
      <c r="N25" s="341">
        <f>'Monthly BS'!L9*10.85%/12</f>
        <v>2.7125E-2</v>
      </c>
      <c r="O25" s="341">
        <f>'Monthly BS'!M9*10.85%/12</f>
        <v>2.7125E-2</v>
      </c>
      <c r="P25" s="341">
        <f>'Monthly BS'!N9*10.85%/12</f>
        <v>2.7125E-2</v>
      </c>
      <c r="Q25" s="341">
        <f>'Monthly BS'!O9*10.85%/12</f>
        <v>2.7125E-2</v>
      </c>
      <c r="R25" s="341">
        <f>'Monthly BS'!P9*10.85%/12</f>
        <v>2.7125E-2</v>
      </c>
      <c r="S25" s="341">
        <f>'Monthly BS'!Q9*10.85%/12</f>
        <v>2.7125E-2</v>
      </c>
      <c r="T25" s="341">
        <f>'Monthly BS'!R9*10.85%/12</f>
        <v>2.7125E-2</v>
      </c>
      <c r="U25" s="341">
        <f>'Monthly BS'!S9*10.85%/12</f>
        <v>2.7125E-2</v>
      </c>
      <c r="V25" s="341">
        <f>'Monthly BS'!T9*10.85%/12</f>
        <v>2.7125E-2</v>
      </c>
      <c r="W25" s="341">
        <f>'Monthly BS'!U9*10.85%/12</f>
        <v>2.7125E-2</v>
      </c>
      <c r="X25" s="341">
        <f>'Monthly BS'!V9*10.85%/12</f>
        <v>2.7125E-2</v>
      </c>
      <c r="Y25" s="341">
        <f>'Monthly BS'!W9*10.85%/12</f>
        <v>2.7125E-2</v>
      </c>
      <c r="Z25" s="341">
        <f>'Monthly BS'!X9*10.85%/12</f>
        <v>2.7125E-2</v>
      </c>
      <c r="AA25" s="341">
        <f>'Monthly BS'!Y9*10.85%/12</f>
        <v>2.7125E-2</v>
      </c>
      <c r="AB25" s="341">
        <f>'Monthly BS'!Z9*10.85%/12</f>
        <v>2.7125E-2</v>
      </c>
      <c r="AC25" s="341">
        <f>'Monthly BS'!AA9*10.85%/12</f>
        <v>2.7125E-2</v>
      </c>
      <c r="AD25" s="341">
        <f>'Monthly BS'!AB9*10.85%/12</f>
        <v>2.7125E-2</v>
      </c>
      <c r="AE25" s="341">
        <f>'Monthly BS'!AC9*10.85%/12</f>
        <v>2.7125E-2</v>
      </c>
      <c r="AF25" s="341">
        <f>'Monthly BS'!AD9*10.85%/12</f>
        <v>2.7125E-2</v>
      </c>
      <c r="AG25" s="341">
        <f>'Monthly BS'!AE9*10.85%/12</f>
        <v>2.7125E-2</v>
      </c>
      <c r="AH25" s="341">
        <f>'Monthly BS'!AF9*10.85%/12</f>
        <v>2.7125E-2</v>
      </c>
      <c r="AI25" s="341">
        <f>'Monthly BS'!AG9*10.85%/12</f>
        <v>2.7125E-2</v>
      </c>
      <c r="AJ25" s="341">
        <f>'Monthly BS'!AH9*10.85%/12</f>
        <v>0</v>
      </c>
      <c r="AK25" s="341">
        <f>'Monthly BS'!AI9*10.85%/12</f>
        <v>0</v>
      </c>
      <c r="AL25" s="341">
        <f>'Monthly BS'!AJ9*10.85%/12</f>
        <v>0</v>
      </c>
      <c r="AM25" s="341">
        <f>'Monthly BS'!AK9*10.85%/12</f>
        <v>0</v>
      </c>
      <c r="AN25" s="341">
        <f>'Monthly BS'!AL9*10.85%/12</f>
        <v>0</v>
      </c>
      <c r="AO25" s="341">
        <f>'Monthly BS'!AM9*10.85%/12</f>
        <v>0</v>
      </c>
      <c r="AP25" s="341">
        <f>'Monthly BS'!AN9*10.85%/12</f>
        <v>0</v>
      </c>
      <c r="AQ25" s="341">
        <f>'Monthly BS'!AO9*10.85%/12</f>
        <v>0</v>
      </c>
      <c r="AR25" s="341">
        <f>'Monthly BS'!AP9*10.85%/12</f>
        <v>0</v>
      </c>
      <c r="AS25" s="341">
        <f>'Monthly BS'!AQ9*10.85%/12</f>
        <v>0</v>
      </c>
      <c r="AT25" s="341">
        <f>'Monthly BS'!AR9*10.85%/12</f>
        <v>0</v>
      </c>
      <c r="AU25" s="341">
        <f>'Monthly BS'!AS9*10.85%/12</f>
        <v>0</v>
      </c>
      <c r="AV25" s="341">
        <f>'Monthly BS'!AT9*10.85%/12</f>
        <v>0</v>
      </c>
      <c r="AW25" s="341">
        <f>'Monthly BS'!AU9*10.85%/12</f>
        <v>0</v>
      </c>
      <c r="AX25" s="341">
        <f>'Monthly BS'!AV9*10.85%/12</f>
        <v>0</v>
      </c>
      <c r="AY25" s="341">
        <f>'Monthly BS'!AW9*10.85%/12</f>
        <v>0</v>
      </c>
      <c r="AZ25" s="341">
        <f>'Monthly BS'!AX9*10.85%/12</f>
        <v>0</v>
      </c>
      <c r="BA25" s="341">
        <f>'Monthly BS'!AY9*10.85%/12</f>
        <v>0</v>
      </c>
      <c r="BB25" s="341">
        <f>'Monthly BS'!AZ9*10.85%/12</f>
        <v>0</v>
      </c>
      <c r="BC25" s="341">
        <f>'Monthly BS'!BA9*10.85%/12</f>
        <v>0</v>
      </c>
      <c r="BD25" s="341">
        <f>'Monthly BS'!BB9*10.85%/12</f>
        <v>0</v>
      </c>
      <c r="BE25" s="341">
        <f>'Monthly BS'!BC9*10.85%/12</f>
        <v>0</v>
      </c>
      <c r="BF25" s="341">
        <f>'Monthly BS'!BD9*10.85%/12</f>
        <v>0</v>
      </c>
      <c r="BG25" s="341">
        <f>'Monthly BS'!BE9*10.85%/12</f>
        <v>0</v>
      </c>
      <c r="BH25" s="341">
        <f>'Monthly BS'!BF9*10.85%/12</f>
        <v>0</v>
      </c>
      <c r="BI25" s="341">
        <f>'Monthly BS'!BG9*10.85%/12</f>
        <v>0</v>
      </c>
      <c r="BJ25" s="341">
        <f>'Monthly BS'!BH9*10.85%/12</f>
        <v>0</v>
      </c>
      <c r="BK25" s="341">
        <f>'Monthly BS'!BI9*10.85%/12</f>
        <v>0</v>
      </c>
      <c r="BL25" s="341">
        <f>'Monthly BS'!BJ9*10.85%/12</f>
        <v>0</v>
      </c>
      <c r="BM25" s="341">
        <f>'Monthly BS'!BK9*10.85%/12</f>
        <v>0</v>
      </c>
      <c r="BN25" s="341">
        <f>'Monthly BS'!BL9*10.85%/12</f>
        <v>0</v>
      </c>
      <c r="BO25" s="341">
        <f>'Monthly BS'!BM9*10.85%/12</f>
        <v>0</v>
      </c>
      <c r="BP25" s="341">
        <f>'Monthly BS'!BN9*10.85%/12</f>
        <v>0</v>
      </c>
      <c r="BQ25" s="341">
        <f>'Monthly BS'!BO9*10.85%/12</f>
        <v>0</v>
      </c>
      <c r="BR25" s="341">
        <f>'Monthly BS'!BP9*10.85%/12</f>
        <v>0</v>
      </c>
      <c r="BS25" s="341">
        <f>'Monthly BS'!BQ9*10.85%/12</f>
        <v>0</v>
      </c>
      <c r="BT25" s="341">
        <f>'Monthly BS'!BR9*10.85%/12</f>
        <v>0</v>
      </c>
      <c r="BU25" s="341">
        <f>'Monthly BS'!BS9*10.85%/12</f>
        <v>0</v>
      </c>
      <c r="BV25" s="341">
        <f>'Monthly BS'!BT9*10.85%/12</f>
        <v>0</v>
      </c>
      <c r="BW25" s="341">
        <f>'Monthly BS'!BU9*10.85%/12</f>
        <v>0</v>
      </c>
      <c r="BX25" s="341">
        <f>'Monthly BS'!BV9*10.85%/12</f>
        <v>0</v>
      </c>
      <c r="BY25" s="341">
        <f>'Monthly BS'!BW9*10.85%/12</f>
        <v>0</v>
      </c>
      <c r="BZ25" s="341">
        <f>'Monthly BS'!BX9*10.85%/12</f>
        <v>0</v>
      </c>
      <c r="CA25" s="341">
        <f>'Monthly BS'!BY9*10.85%/12</f>
        <v>0</v>
      </c>
      <c r="CB25" s="341">
        <f>'Monthly BS'!BZ9*10.85%/12</f>
        <v>0</v>
      </c>
      <c r="CC25" s="341">
        <f>'Monthly BS'!CA9*10.85%/12</f>
        <v>0</v>
      </c>
      <c r="CD25" s="341">
        <f>'Monthly BS'!CB9*10.85%/12</f>
        <v>0</v>
      </c>
      <c r="CE25" s="341">
        <f>'Monthly BS'!CC9*10.85%/12</f>
        <v>0</v>
      </c>
      <c r="CF25" s="341">
        <f>'Monthly BS'!CD9*10.85%/12</f>
        <v>0</v>
      </c>
      <c r="CG25" s="341">
        <f>'Monthly BS'!CE9*10.85%/12</f>
        <v>0</v>
      </c>
      <c r="CH25" s="341">
        <f>'Monthly BS'!CF9*10.85%/12</f>
        <v>0</v>
      </c>
      <c r="CI25" s="341">
        <f>'Monthly BS'!CG9*10.85%/12</f>
        <v>0</v>
      </c>
      <c r="CJ25" s="341">
        <f>'Monthly BS'!CH9*10.85%/12</f>
        <v>0</v>
      </c>
      <c r="CK25" s="341">
        <f>'Monthly BS'!CI9*10.85%/12</f>
        <v>0</v>
      </c>
      <c r="CL25" s="341">
        <f>'Monthly BS'!CJ9*10.85%/12</f>
        <v>0</v>
      </c>
      <c r="CM25" s="341">
        <f>'Monthly BS'!CK9*10.85%/12</f>
        <v>0</v>
      </c>
      <c r="CN25" s="341">
        <f>'Monthly BS'!CL9*10.85%/12</f>
        <v>0</v>
      </c>
      <c r="CO25" s="341">
        <f>'Monthly BS'!CM9*10.85%/12</f>
        <v>0</v>
      </c>
      <c r="CP25" s="341">
        <f>'Monthly BS'!CN9*10.85%/12</f>
        <v>0</v>
      </c>
      <c r="CQ25" s="341">
        <f>'Monthly BS'!CO9*10.85%/12</f>
        <v>0</v>
      </c>
      <c r="CR25" s="341">
        <f>'Monthly BS'!CP9*10.85%/12</f>
        <v>0</v>
      </c>
      <c r="CS25" s="341">
        <f>'Monthly BS'!CQ9*10.85%/12</f>
        <v>0</v>
      </c>
      <c r="CT25" s="341">
        <f>'Monthly BS'!CR9*10.85%/12</f>
        <v>0</v>
      </c>
      <c r="CU25" s="341">
        <f>'Monthly BS'!CS9*10.85%/12</f>
        <v>0</v>
      </c>
      <c r="CV25" s="341">
        <f>'Monthly BS'!CT9*10.85%/12</f>
        <v>0</v>
      </c>
      <c r="CW25" s="341">
        <f>'Monthly BS'!CU9*10.85%/12</f>
        <v>0</v>
      </c>
      <c r="CX25" s="341">
        <f>'Monthly BS'!CV9*10.85%/12</f>
        <v>0</v>
      </c>
      <c r="CY25" s="341">
        <f>'Monthly BS'!CW9*10.85%/12</f>
        <v>0</v>
      </c>
      <c r="CZ25" s="341">
        <f>'Monthly BS'!CX9*10.85%/12</f>
        <v>0</v>
      </c>
      <c r="DA25" s="341">
        <f>'Monthly BS'!CY9*10.85%/12</f>
        <v>0</v>
      </c>
      <c r="DB25" s="341">
        <f>'Monthly BS'!CZ9*10.85%/12</f>
        <v>0</v>
      </c>
      <c r="DC25" s="341">
        <f>'Monthly BS'!DA9*10.85%/12</f>
        <v>0</v>
      </c>
    </row>
    <row r="26" spans="1:107" outlineLevel="1">
      <c r="A26" s="310" t="s">
        <v>383</v>
      </c>
      <c r="B26" s="341">
        <v>0</v>
      </c>
      <c r="C26" s="341">
        <v>0</v>
      </c>
      <c r="D26" s="341">
        <v>0</v>
      </c>
      <c r="E26" s="341">
        <v>0</v>
      </c>
      <c r="F26" s="341">
        <v>0</v>
      </c>
      <c r="G26" s="341">
        <v>0</v>
      </c>
      <c r="H26" s="341">
        <v>0</v>
      </c>
      <c r="I26" s="341">
        <v>0</v>
      </c>
      <c r="J26" s="341">
        <v>0</v>
      </c>
      <c r="K26" s="341">
        <f>32*10%</f>
        <v>3.2</v>
      </c>
      <c r="L26" s="341">
        <v>0</v>
      </c>
      <c r="M26" s="341">
        <v>0</v>
      </c>
      <c r="N26" s="341">
        <v>0</v>
      </c>
      <c r="O26" s="341">
        <v>0</v>
      </c>
      <c r="P26" s="341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41">
        <v>0</v>
      </c>
      <c r="W26" s="341">
        <v>0</v>
      </c>
      <c r="X26" s="341">
        <v>0</v>
      </c>
      <c r="Y26" s="341">
        <v>0</v>
      </c>
      <c r="Z26" s="341">
        <v>0</v>
      </c>
      <c r="AA26" s="341">
        <v>0</v>
      </c>
      <c r="AB26" s="341">
        <v>0</v>
      </c>
      <c r="AC26" s="341">
        <v>0</v>
      </c>
      <c r="AD26" s="341">
        <v>0</v>
      </c>
      <c r="AE26" s="341">
        <v>0</v>
      </c>
      <c r="AF26" s="341">
        <v>0</v>
      </c>
      <c r="AG26" s="341">
        <v>0</v>
      </c>
      <c r="AH26" s="341">
        <v>0</v>
      </c>
      <c r="AI26" s="341">
        <v>0</v>
      </c>
      <c r="AJ26" s="341">
        <v>0</v>
      </c>
      <c r="AK26" s="341">
        <v>0</v>
      </c>
      <c r="AL26" s="341">
        <v>0</v>
      </c>
      <c r="AM26" s="341">
        <v>0</v>
      </c>
      <c r="AN26" s="341">
        <v>0</v>
      </c>
      <c r="AO26" s="341">
        <v>0</v>
      </c>
      <c r="AP26" s="341">
        <v>0</v>
      </c>
      <c r="AQ26" s="341">
        <v>0</v>
      </c>
      <c r="AR26" s="341">
        <v>0</v>
      </c>
      <c r="AS26" s="341">
        <v>0</v>
      </c>
      <c r="AT26" s="341">
        <v>0</v>
      </c>
      <c r="AU26" s="341">
        <v>0</v>
      </c>
      <c r="AV26" s="341">
        <v>0</v>
      </c>
      <c r="AW26" s="341">
        <v>0</v>
      </c>
      <c r="AX26" s="341">
        <v>0</v>
      </c>
      <c r="AY26" s="341">
        <v>0</v>
      </c>
      <c r="AZ26" s="341">
        <v>0</v>
      </c>
      <c r="BA26" s="341">
        <v>0</v>
      </c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>
        <v>0</v>
      </c>
      <c r="BM26" s="341">
        <v>0</v>
      </c>
      <c r="BN26" s="341">
        <v>0</v>
      </c>
      <c r="BO26" s="341">
        <v>0</v>
      </c>
      <c r="BP26" s="341">
        <v>0</v>
      </c>
      <c r="BQ26" s="341">
        <v>0</v>
      </c>
      <c r="BR26" s="341">
        <v>0</v>
      </c>
      <c r="BS26" s="341">
        <v>0</v>
      </c>
      <c r="BT26" s="341">
        <v>0</v>
      </c>
      <c r="BU26" s="341">
        <v>0</v>
      </c>
      <c r="BV26" s="341">
        <v>0</v>
      </c>
      <c r="BW26" s="341">
        <v>0</v>
      </c>
      <c r="BX26" s="341">
        <v>0</v>
      </c>
      <c r="BY26" s="341">
        <v>0</v>
      </c>
      <c r="BZ26" s="341">
        <v>0</v>
      </c>
      <c r="CA26" s="341">
        <v>0</v>
      </c>
      <c r="CB26" s="341">
        <v>0</v>
      </c>
      <c r="CC26" s="341">
        <v>0</v>
      </c>
      <c r="CD26" s="341">
        <v>0</v>
      </c>
      <c r="CE26" s="341">
        <v>0</v>
      </c>
      <c r="CF26" s="341">
        <v>0</v>
      </c>
      <c r="CG26" s="341">
        <v>0</v>
      </c>
      <c r="CH26" s="341">
        <v>0</v>
      </c>
      <c r="CI26" s="341">
        <v>0</v>
      </c>
      <c r="CJ26" s="341">
        <v>0</v>
      </c>
      <c r="CK26" s="341">
        <v>0</v>
      </c>
      <c r="CL26" s="341">
        <v>0</v>
      </c>
      <c r="CM26" s="341">
        <v>0</v>
      </c>
      <c r="CN26" s="341">
        <v>0</v>
      </c>
      <c r="CO26" s="341">
        <v>0</v>
      </c>
      <c r="CP26" s="341">
        <v>0</v>
      </c>
      <c r="CQ26" s="341">
        <v>0</v>
      </c>
      <c r="CR26" s="341">
        <v>0</v>
      </c>
      <c r="CS26" s="341">
        <v>0</v>
      </c>
      <c r="CT26" s="341">
        <v>0</v>
      </c>
      <c r="CU26" s="341">
        <v>0</v>
      </c>
      <c r="CV26" s="341">
        <v>0</v>
      </c>
      <c r="CW26" s="341">
        <f>'Monthly BS'!CU10*10.85%/12</f>
        <v>0</v>
      </c>
      <c r="CX26" s="341">
        <v>0</v>
      </c>
      <c r="CY26" s="341">
        <v>0</v>
      </c>
      <c r="CZ26" s="341">
        <v>0</v>
      </c>
      <c r="DA26" s="341">
        <v>0</v>
      </c>
      <c r="DB26" s="341">
        <v>0</v>
      </c>
      <c r="DC26" s="341">
        <v>0</v>
      </c>
    </row>
    <row r="27" spans="1:107" s="341" customFormat="1" outlineLevel="1">
      <c r="A27" s="310" t="s">
        <v>384</v>
      </c>
      <c r="B27" s="341">
        <v>0.03</v>
      </c>
      <c r="C27" s="341">
        <v>0.01</v>
      </c>
      <c r="D27" s="341">
        <f>'Monthly BS'!C15*0.9%</f>
        <v>2.6100000000000002E-2</v>
      </c>
      <c r="E27" s="341">
        <f>'Monthly BS'!D15*0.9%</f>
        <v>2.6100000000000002E-2</v>
      </c>
      <c r="F27" s="341">
        <f>'Monthly BS'!E15*0.9%</f>
        <v>2.6100000000000002E-2</v>
      </c>
      <c r="G27" s="341">
        <f>'Monthly BS'!F15*0.9%</f>
        <v>2.6100000000000002E-2</v>
      </c>
      <c r="H27" s="341">
        <f>'Monthly BS'!G15*0.9%</f>
        <v>2.6100000000000002E-2</v>
      </c>
      <c r="I27" s="341">
        <f>'Monthly BS'!H15*0.9%</f>
        <v>2.6100000000000002E-2</v>
      </c>
      <c r="J27" s="341">
        <f>'Monthly BS'!I15*0.9%</f>
        <v>2.6100000000000002E-2</v>
      </c>
      <c r="K27" s="341">
        <f>'Monthly BS'!J15*0.9%</f>
        <v>2.6100000000000002E-2</v>
      </c>
      <c r="L27" s="341">
        <f>'Monthly BS'!K15*0.9%</f>
        <v>2.6100000000000002E-2</v>
      </c>
      <c r="M27" s="341">
        <f>'Monthly BS'!L15*0.9%</f>
        <v>2.6100000000000002E-2</v>
      </c>
      <c r="N27" s="341">
        <f>'Monthly BS'!M15*0.9%</f>
        <v>2.6100000000000002E-2</v>
      </c>
      <c r="O27" s="341">
        <f>'Monthly BS'!N15*0.9%</f>
        <v>2.6100000000000002E-2</v>
      </c>
      <c r="P27" s="341">
        <f>'Monthly BS'!O15*0.9%</f>
        <v>2.6100000000000002E-2</v>
      </c>
      <c r="Q27" s="341">
        <f>'Monthly BS'!P15*0.9%</f>
        <v>2.6100000000000002E-2</v>
      </c>
      <c r="R27" s="341">
        <f>'Monthly BS'!Q15*0.9%</f>
        <v>2.6100000000000002E-2</v>
      </c>
      <c r="S27" s="341">
        <f>'Monthly BS'!R15*0.9%</f>
        <v>2.6100000000000002E-2</v>
      </c>
      <c r="T27" s="341">
        <f>'Monthly BS'!S15*0.9%</f>
        <v>0</v>
      </c>
      <c r="U27" s="341">
        <f>'Monthly BS'!T15*0.9%</f>
        <v>0</v>
      </c>
      <c r="V27" s="341">
        <f>'Monthly BS'!U15*0.9%</f>
        <v>0</v>
      </c>
      <c r="W27" s="341">
        <f>'Monthly BS'!V15*0.9%</f>
        <v>0</v>
      </c>
      <c r="X27" s="341">
        <f>'Monthly BS'!W15*0.9%</f>
        <v>0</v>
      </c>
      <c r="Y27" s="341">
        <f>'Monthly BS'!X15*0.9%</f>
        <v>0</v>
      </c>
      <c r="Z27" s="341">
        <f>'Monthly BS'!Y15*0.9%</f>
        <v>0</v>
      </c>
      <c r="AA27" s="341">
        <f>'Monthly BS'!Z15*0.9%</f>
        <v>0</v>
      </c>
      <c r="AB27" s="341">
        <f>'Monthly BS'!AA15*0.9%</f>
        <v>0</v>
      </c>
      <c r="AC27" s="341">
        <f>'Monthly BS'!AB15*0.9%</f>
        <v>0</v>
      </c>
      <c r="AD27" s="341">
        <f>'Monthly BS'!AC15*0.9%</f>
        <v>0</v>
      </c>
      <c r="AE27" s="341">
        <f>'Monthly BS'!AD15*0.9%</f>
        <v>0</v>
      </c>
      <c r="AF27" s="341">
        <f>'Monthly BS'!AE15*0.9%</f>
        <v>0</v>
      </c>
      <c r="AG27" s="341">
        <f>'Monthly BS'!AF15*0.9%</f>
        <v>0</v>
      </c>
      <c r="AH27" s="341">
        <f>'Monthly BS'!AG15*0.9%</f>
        <v>0</v>
      </c>
      <c r="AI27" s="341">
        <f>'Monthly BS'!AH15*0.9%</f>
        <v>0</v>
      </c>
      <c r="AJ27" s="341">
        <f>'Monthly BS'!AI15*0.9%</f>
        <v>0</v>
      </c>
      <c r="AK27" s="341">
        <f>'Monthly BS'!AJ15*0.9%</f>
        <v>0</v>
      </c>
      <c r="AL27" s="341">
        <f>'Monthly BS'!AK15*0.9%</f>
        <v>0</v>
      </c>
      <c r="AM27" s="341">
        <f>'Monthly BS'!AL15*0.9%</f>
        <v>0</v>
      </c>
      <c r="AN27" s="341">
        <f>'Monthly BS'!AM15*0.9%</f>
        <v>0</v>
      </c>
      <c r="AO27" s="341">
        <f>'Monthly BS'!AN15*0.9%</f>
        <v>0</v>
      </c>
      <c r="AP27" s="341">
        <f>'Monthly BS'!AO15*0.9%</f>
        <v>0</v>
      </c>
      <c r="AQ27" s="341">
        <f>'Monthly BS'!AP15*0.9%</f>
        <v>0</v>
      </c>
      <c r="AR27" s="341">
        <f>'Monthly BS'!AQ15*0.9%</f>
        <v>0</v>
      </c>
      <c r="AS27" s="341">
        <f>'Monthly BS'!AR15*0.9%</f>
        <v>0</v>
      </c>
      <c r="AT27" s="341">
        <f>'Monthly BS'!AS15*0.9%</f>
        <v>0</v>
      </c>
      <c r="AU27" s="341">
        <f>'Monthly BS'!AT15*0.9%</f>
        <v>0</v>
      </c>
      <c r="AV27" s="341">
        <f>'Monthly BS'!AU15*0.9%</f>
        <v>0</v>
      </c>
      <c r="AW27" s="341">
        <f>'Monthly BS'!AV15*0.9%</f>
        <v>0</v>
      </c>
      <c r="AX27" s="341">
        <f>'Monthly BS'!AW15*0.9%</f>
        <v>0</v>
      </c>
      <c r="AY27" s="341">
        <f>'Monthly BS'!AX15*0.9%</f>
        <v>0</v>
      </c>
      <c r="AZ27" s="341">
        <f>'Monthly BS'!AY15*0.9%</f>
        <v>0</v>
      </c>
      <c r="BA27" s="341">
        <f>'Monthly BS'!AZ15*0.9%</f>
        <v>0</v>
      </c>
      <c r="BB27" s="341">
        <f>'Monthly BS'!BA15*0.9%</f>
        <v>0</v>
      </c>
      <c r="BC27" s="341">
        <f>'Monthly BS'!BB15*0.9%</f>
        <v>0</v>
      </c>
      <c r="BD27" s="341">
        <f>'Monthly BS'!BC15*0.9%</f>
        <v>0</v>
      </c>
      <c r="BE27" s="341">
        <f>'Monthly BS'!BD15*0.9%</f>
        <v>0</v>
      </c>
      <c r="BF27" s="341">
        <f>'Monthly BS'!BE15*0.9%</f>
        <v>0</v>
      </c>
      <c r="BG27" s="341">
        <f>'Monthly BS'!BF15*0.9%</f>
        <v>0</v>
      </c>
      <c r="BH27" s="341">
        <f>'Monthly BS'!BG15*0.9%</f>
        <v>0</v>
      </c>
      <c r="BI27" s="341">
        <f>'Monthly BS'!BH15*0.9%</f>
        <v>0</v>
      </c>
      <c r="BJ27" s="341">
        <f>'Monthly BS'!BI15*0.9%</f>
        <v>0</v>
      </c>
      <c r="BK27" s="341">
        <f>'Monthly BS'!BJ15*0.9%</f>
        <v>0</v>
      </c>
      <c r="BL27" s="341">
        <f>'Monthly BS'!BK15*0.9%</f>
        <v>0</v>
      </c>
      <c r="BM27" s="341">
        <f>'Monthly BS'!BL15*0.9%</f>
        <v>0</v>
      </c>
      <c r="BN27" s="341">
        <f>'Monthly BS'!BM15*0.9%</f>
        <v>0</v>
      </c>
      <c r="BO27" s="341">
        <f>'Monthly BS'!BN15*0.9%</f>
        <v>0</v>
      </c>
      <c r="BP27" s="341">
        <f>'Monthly BS'!BO15*0.9%</f>
        <v>0</v>
      </c>
      <c r="BQ27" s="341">
        <f>'Monthly BS'!BP15*0.9%</f>
        <v>0</v>
      </c>
      <c r="BR27" s="341">
        <f>'Monthly BS'!BQ15*0.9%</f>
        <v>0</v>
      </c>
      <c r="BS27" s="341">
        <f>'Monthly BS'!BR15*0.9%</f>
        <v>0</v>
      </c>
      <c r="BT27" s="341">
        <f>'Monthly BS'!BS15*0.9%</f>
        <v>0</v>
      </c>
      <c r="BU27" s="341">
        <f>'Monthly BS'!BT15*0.9%</f>
        <v>0</v>
      </c>
      <c r="BV27" s="341">
        <f>'Monthly BS'!BU15*0.9%</f>
        <v>0</v>
      </c>
      <c r="BW27" s="341">
        <f>'Monthly BS'!BV15*0.9%</f>
        <v>0</v>
      </c>
      <c r="BX27" s="341">
        <f>'Monthly BS'!BW15*0.9%</f>
        <v>0</v>
      </c>
      <c r="BY27" s="341">
        <f>'Monthly BS'!BX15*0.9%</f>
        <v>0</v>
      </c>
      <c r="BZ27" s="341">
        <f>'Monthly BS'!BY15*0.9%</f>
        <v>0</v>
      </c>
      <c r="CA27" s="341">
        <f>'Monthly BS'!BZ15*0.9%</f>
        <v>0</v>
      </c>
      <c r="CB27" s="341">
        <f>'Monthly BS'!CA15*0.9%</f>
        <v>0</v>
      </c>
      <c r="CC27" s="341">
        <f>'Monthly BS'!CB15*0.9%</f>
        <v>0</v>
      </c>
      <c r="CD27" s="341">
        <f>'Monthly BS'!CC15*0.9%</f>
        <v>0</v>
      </c>
      <c r="CE27" s="341">
        <f>'Monthly BS'!CD15*0.9%</f>
        <v>0</v>
      </c>
      <c r="CF27" s="341">
        <f>'Monthly BS'!CE15*0.9%</f>
        <v>0</v>
      </c>
      <c r="CG27" s="341">
        <f>'Monthly BS'!CF15*0.9%</f>
        <v>0</v>
      </c>
      <c r="CH27" s="341">
        <f>'Monthly BS'!CG15*0.9%</f>
        <v>0</v>
      </c>
      <c r="CI27" s="341">
        <f>'Monthly BS'!CH15*0.9%</f>
        <v>0</v>
      </c>
      <c r="CJ27" s="341">
        <f>'Monthly BS'!CI15*0.9%</f>
        <v>0</v>
      </c>
      <c r="CK27" s="341">
        <f>'Monthly BS'!CJ15*0.9%</f>
        <v>0</v>
      </c>
      <c r="CL27" s="341">
        <f>'Monthly BS'!CK15*0.9%</f>
        <v>0</v>
      </c>
      <c r="CM27" s="341">
        <f>'Monthly BS'!CL15*0.9%</f>
        <v>0</v>
      </c>
      <c r="CN27" s="341">
        <f>'Monthly BS'!CM15*0.9%</f>
        <v>0</v>
      </c>
      <c r="CO27" s="341">
        <f>'Monthly BS'!CN15*0.9%</f>
        <v>0</v>
      </c>
      <c r="CP27" s="341">
        <f>'Monthly BS'!CO15*0.9%</f>
        <v>0</v>
      </c>
      <c r="CQ27" s="341">
        <f>'Monthly BS'!CP15*0.9%</f>
        <v>0</v>
      </c>
      <c r="CR27" s="341">
        <f>'Monthly BS'!CQ15*0.9%</f>
        <v>0</v>
      </c>
      <c r="CS27" s="341">
        <f>'Monthly BS'!CR15*0.9%</f>
        <v>0</v>
      </c>
      <c r="CT27" s="341">
        <f>'Monthly BS'!CS15*0.9%</f>
        <v>0</v>
      </c>
      <c r="CU27" s="341">
        <f>'Monthly BS'!CT15*0.9%</f>
        <v>0</v>
      </c>
      <c r="CV27" s="341">
        <f>'Monthly BS'!CU15*0.9%</f>
        <v>0</v>
      </c>
      <c r="CW27" s="341">
        <f>'Monthly BS'!CV15*0.9%</f>
        <v>0</v>
      </c>
      <c r="CX27" s="341">
        <f>'Monthly BS'!CW15*0.9%</f>
        <v>0</v>
      </c>
      <c r="CY27" s="341">
        <f>'Monthly BS'!CX15*0.9%</f>
        <v>0</v>
      </c>
      <c r="CZ27" s="341">
        <f>'Monthly BS'!CY15*0.9%</f>
        <v>0</v>
      </c>
      <c r="DA27" s="341">
        <f>'Monthly BS'!CZ15*0.9%</f>
        <v>0</v>
      </c>
      <c r="DB27" s="341">
        <f>'Monthly BS'!DA15*0.9%</f>
        <v>0</v>
      </c>
      <c r="DC27" s="341">
        <f>'Monthly BS'!DB15*0.9%</f>
        <v>0</v>
      </c>
    </row>
    <row r="28" spans="1:107" outlineLevel="1">
      <c r="A28" s="310"/>
      <c r="B28" s="341">
        <f>'Debt (2)'!B25*2.45%/12*3</f>
        <v>0</v>
      </c>
      <c r="C28" s="341">
        <f>'Debt (2)'!B25*2.45%/12</f>
        <v>0</v>
      </c>
      <c r="D28" s="341">
        <f>'Debt (2)'!C25*2.45%/12</f>
        <v>0.18130000000000002</v>
      </c>
      <c r="E28" s="341">
        <f>'Debt (2)'!D25*2.45%/12</f>
        <v>0.16003770245842372</v>
      </c>
      <c r="F28" s="341">
        <f>'Debt (2)'!E25*2.45%/12</f>
        <v>0.16003770245842372</v>
      </c>
      <c r="G28" s="341">
        <f>'Debt (2)'!F25*2.45%/12</f>
        <v>0.16003770245842372</v>
      </c>
      <c r="H28" s="341">
        <f>'Debt (2)'!G25*2.45%/12</f>
        <v>0.16003770245842372</v>
      </c>
      <c r="I28" s="341">
        <v>0</v>
      </c>
      <c r="J28" s="341">
        <v>0</v>
      </c>
      <c r="K28" s="341">
        <v>0</v>
      </c>
      <c r="L28" s="341">
        <v>0</v>
      </c>
      <c r="M28" s="341">
        <v>0</v>
      </c>
      <c r="N28" s="341">
        <v>0</v>
      </c>
      <c r="O28" s="341">
        <v>0</v>
      </c>
      <c r="P28" s="341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41">
        <v>0</v>
      </c>
      <c r="W28" s="341">
        <v>0</v>
      </c>
      <c r="X28" s="341">
        <v>0</v>
      </c>
      <c r="Y28" s="341">
        <v>0</v>
      </c>
      <c r="Z28" s="341">
        <v>0</v>
      </c>
      <c r="AA28" s="341">
        <v>0</v>
      </c>
      <c r="AB28" s="341">
        <v>0</v>
      </c>
      <c r="AC28" s="341">
        <v>0</v>
      </c>
      <c r="AD28" s="341">
        <v>0</v>
      </c>
      <c r="AE28" s="341">
        <v>0</v>
      </c>
      <c r="AF28" s="341">
        <v>0</v>
      </c>
      <c r="AG28" s="341">
        <v>0</v>
      </c>
      <c r="AH28" s="341">
        <v>0</v>
      </c>
      <c r="AI28" s="341">
        <v>0</v>
      </c>
      <c r="AJ28" s="341">
        <v>0</v>
      </c>
      <c r="AK28" s="341">
        <v>0</v>
      </c>
      <c r="AL28" s="341">
        <v>0</v>
      </c>
      <c r="AM28" s="341">
        <v>0</v>
      </c>
      <c r="AN28" s="341">
        <v>0</v>
      </c>
      <c r="AO28" s="341">
        <v>0</v>
      </c>
      <c r="AP28" s="341">
        <v>0</v>
      </c>
      <c r="AQ28" s="341">
        <v>0</v>
      </c>
      <c r="AR28" s="341">
        <v>0</v>
      </c>
      <c r="AS28" s="341">
        <v>0</v>
      </c>
      <c r="AT28" s="341">
        <v>0</v>
      </c>
      <c r="AU28" s="341">
        <v>0</v>
      </c>
      <c r="AV28" s="341">
        <v>0</v>
      </c>
      <c r="AW28" s="341">
        <v>0</v>
      </c>
      <c r="AX28" s="341">
        <v>0</v>
      </c>
      <c r="AY28" s="341">
        <v>0</v>
      </c>
      <c r="AZ28" s="341">
        <v>0</v>
      </c>
      <c r="BA28" s="341">
        <v>0</v>
      </c>
      <c r="BB28" s="341">
        <v>0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>
        <v>0</v>
      </c>
      <c r="BM28" s="341">
        <v>0</v>
      </c>
      <c r="BN28" s="341">
        <v>0</v>
      </c>
      <c r="BO28" s="341">
        <v>0</v>
      </c>
      <c r="BP28" s="341">
        <v>0</v>
      </c>
      <c r="BQ28" s="341">
        <v>0</v>
      </c>
      <c r="BR28" s="341">
        <v>0</v>
      </c>
      <c r="BS28" s="341">
        <v>0</v>
      </c>
      <c r="BT28" s="341">
        <v>0</v>
      </c>
      <c r="BU28" s="341">
        <v>0</v>
      </c>
      <c r="BV28" s="341">
        <v>0</v>
      </c>
      <c r="BW28" s="341">
        <v>0</v>
      </c>
      <c r="BX28" s="341">
        <v>0</v>
      </c>
      <c r="BY28" s="341">
        <v>0</v>
      </c>
      <c r="BZ28" s="341">
        <v>0</v>
      </c>
      <c r="CA28" s="341">
        <v>0</v>
      </c>
      <c r="CB28" s="341">
        <v>0</v>
      </c>
      <c r="CC28" s="341">
        <v>0</v>
      </c>
      <c r="CD28" s="341">
        <v>0</v>
      </c>
      <c r="CE28" s="341">
        <v>0</v>
      </c>
      <c r="CF28" s="341">
        <v>0</v>
      </c>
      <c r="CG28" s="341">
        <v>0</v>
      </c>
      <c r="CH28" s="341">
        <v>0</v>
      </c>
      <c r="CI28" s="341">
        <v>0</v>
      </c>
      <c r="CJ28" s="341">
        <v>0</v>
      </c>
      <c r="CK28" s="341">
        <v>0</v>
      </c>
      <c r="CL28" s="341">
        <v>0</v>
      </c>
      <c r="CM28" s="341">
        <v>0</v>
      </c>
      <c r="CN28" s="341">
        <v>0</v>
      </c>
      <c r="CO28" s="341">
        <v>0</v>
      </c>
      <c r="CP28" s="341">
        <v>0</v>
      </c>
      <c r="CQ28" s="341">
        <v>0</v>
      </c>
      <c r="CR28" s="341">
        <v>0</v>
      </c>
      <c r="CS28" s="341">
        <v>0</v>
      </c>
      <c r="CT28" s="341">
        <v>0</v>
      </c>
      <c r="CU28" s="341">
        <v>0</v>
      </c>
      <c r="CV28" s="341">
        <v>0</v>
      </c>
      <c r="CW28" s="341">
        <v>0</v>
      </c>
      <c r="CX28" s="341">
        <v>0</v>
      </c>
      <c r="CY28" s="341">
        <v>0</v>
      </c>
      <c r="CZ28" s="341">
        <v>0</v>
      </c>
      <c r="DA28" s="341">
        <v>0</v>
      </c>
      <c r="DB28" s="341">
        <v>0</v>
      </c>
      <c r="DC28" s="341">
        <v>0</v>
      </c>
    </row>
    <row r="29" spans="1:107" ht="12.75" outlineLevel="1" thickBot="1">
      <c r="A29" s="321" t="s">
        <v>10</v>
      </c>
      <c r="B29" s="343">
        <f t="shared" ref="B29:AG29" si="20">B22-SUM(B23:B28)</f>
        <v>2.143250000000001</v>
      </c>
      <c r="C29" s="343">
        <f t="shared" si="20"/>
        <v>1.058503217767742</v>
      </c>
      <c r="D29" s="343">
        <f t="shared" si="20"/>
        <v>3.0005732600330515E-2</v>
      </c>
      <c r="E29" s="343">
        <f t="shared" si="20"/>
        <v>2.6015327440102451</v>
      </c>
      <c r="F29" s="343">
        <f t="shared" si="20"/>
        <v>-7.3542724776560597E-2</v>
      </c>
      <c r="G29" s="343">
        <f t="shared" si="20"/>
        <v>1.4949383173582731</v>
      </c>
      <c r="H29" s="343">
        <f t="shared" si="20"/>
        <v>-0.13309501256404471</v>
      </c>
      <c r="I29" s="343">
        <f t="shared" si="20"/>
        <v>2.3679009798198756</v>
      </c>
      <c r="J29" s="343">
        <f t="shared" si="20"/>
        <v>1.2431416354685481</v>
      </c>
      <c r="K29" s="343">
        <f t="shared" si="20"/>
        <v>-1.7338312540231748</v>
      </c>
      <c r="L29" s="343">
        <f t="shared" si="20"/>
        <v>-2.0518569533296525</v>
      </c>
      <c r="M29" s="343">
        <f t="shared" si="20"/>
        <v>-4.7816456531391438E-2</v>
      </c>
      <c r="N29" s="343">
        <f t="shared" si="20"/>
        <v>-2.2789051913380276</v>
      </c>
      <c r="O29" s="343">
        <f t="shared" si="20"/>
        <v>0.86290594446297719</v>
      </c>
      <c r="P29" s="343">
        <f t="shared" si="20"/>
        <v>-1.7550124600421819</v>
      </c>
      <c r="Q29" s="343">
        <f t="shared" si="20"/>
        <v>0.73876002143968034</v>
      </c>
      <c r="R29" s="343">
        <f t="shared" si="20"/>
        <v>-2.6898457753712837</v>
      </c>
      <c r="S29" s="343">
        <f t="shared" si="20"/>
        <v>0.35409731343203976</v>
      </c>
      <c r="T29" s="343">
        <f t="shared" si="20"/>
        <v>-2.8827702180476376</v>
      </c>
      <c r="U29" s="343">
        <f t="shared" si="20"/>
        <v>-8.505590901891269E-2</v>
      </c>
      <c r="V29" s="343">
        <f t="shared" si="20"/>
        <v>-3.3824794140987793</v>
      </c>
      <c r="W29" s="343">
        <f t="shared" si="20"/>
        <v>-30.759658119858237</v>
      </c>
      <c r="X29" s="343">
        <f t="shared" si="20"/>
        <v>-2.8078046496580797</v>
      </c>
      <c r="Y29" s="343">
        <f t="shared" si="20"/>
        <v>0.13545860107644714</v>
      </c>
      <c r="Z29" s="343">
        <f t="shared" si="20"/>
        <v>-2.8629908504084938</v>
      </c>
      <c r="AA29" s="343">
        <f t="shared" si="20"/>
        <v>114.49299609335608</v>
      </c>
      <c r="AB29" s="343">
        <f t="shared" si="20"/>
        <v>-2.5458891883865729</v>
      </c>
      <c r="AC29" s="343">
        <f t="shared" si="20"/>
        <v>1.1518113963725447</v>
      </c>
      <c r="AD29" s="343">
        <f t="shared" si="20"/>
        <v>-2.3083923414546996</v>
      </c>
      <c r="AE29" s="343">
        <f t="shared" si="20"/>
        <v>1.1611944867317676</v>
      </c>
      <c r="AF29" s="343">
        <f t="shared" si="20"/>
        <v>-2.4664728456678899</v>
      </c>
      <c r="AG29" s="343">
        <f t="shared" si="20"/>
        <v>1.6683654327655535</v>
      </c>
      <c r="AH29" s="343">
        <f t="shared" ref="AH29:BM29" si="21">AH22-SUM(AH23:AH28)</f>
        <v>0.77101831211189142</v>
      </c>
      <c r="AI29" s="343">
        <f t="shared" si="21"/>
        <v>-44.14686516496635</v>
      </c>
      <c r="AJ29" s="343">
        <f t="shared" si="21"/>
        <v>-1.7846731272615299</v>
      </c>
      <c r="AK29" s="343">
        <f t="shared" si="21"/>
        <v>1.4300112768826923</v>
      </c>
      <c r="AL29" s="343">
        <f t="shared" si="21"/>
        <v>-1.8452704072317756</v>
      </c>
      <c r="AM29" s="343">
        <f t="shared" si="21"/>
        <v>1.9853061581959945</v>
      </c>
      <c r="AN29" s="343">
        <f t="shared" si="21"/>
        <v>-1.4718400973000154</v>
      </c>
      <c r="AO29" s="343">
        <f t="shared" si="21"/>
        <v>1.453137936595386</v>
      </c>
      <c r="AP29" s="343">
        <f t="shared" si="21"/>
        <v>-1.6396586755396667</v>
      </c>
      <c r="AQ29" s="343">
        <f t="shared" si="21"/>
        <v>2.1895969731850293</v>
      </c>
      <c r="AR29" s="343">
        <f t="shared" si="21"/>
        <v>-1.6980388804758944</v>
      </c>
      <c r="AS29" s="343">
        <f t="shared" si="21"/>
        <v>2.4750334402215497</v>
      </c>
      <c r="AT29" s="343">
        <f t="shared" si="21"/>
        <v>-1.4887602344077759</v>
      </c>
      <c r="AU29" s="343">
        <f t="shared" si="21"/>
        <v>-43.019511968591196</v>
      </c>
      <c r="AV29" s="343">
        <f t="shared" si="21"/>
        <v>-1.283422113002368</v>
      </c>
      <c r="AW29" s="343">
        <f t="shared" si="21"/>
        <v>2.4392113143173404</v>
      </c>
      <c r="AX29" s="343">
        <f t="shared" si="21"/>
        <v>-1.3571871678220226</v>
      </c>
      <c r="AY29" s="343">
        <f t="shared" si="21"/>
        <v>2.9588259863413784</v>
      </c>
      <c r="AZ29" s="343">
        <f t="shared" si="21"/>
        <v>-0.99178037975127342</v>
      </c>
      <c r="BA29" s="343">
        <f t="shared" si="21"/>
        <v>2.7525485308179412</v>
      </c>
      <c r="BB29" s="343">
        <f t="shared" si="21"/>
        <v>-1.2250761040196489</v>
      </c>
      <c r="BC29" s="343">
        <f t="shared" si="21"/>
        <v>2.9918070873567459</v>
      </c>
      <c r="BD29" s="343">
        <f t="shared" si="21"/>
        <v>-1.2153964990833332</v>
      </c>
      <c r="BE29" s="343">
        <f t="shared" si="21"/>
        <v>3.2651774421292412</v>
      </c>
      <c r="BF29" s="343">
        <f t="shared" si="21"/>
        <v>-1.2614851205129904</v>
      </c>
      <c r="BG29" s="343">
        <f t="shared" si="21"/>
        <v>-42.322258726170823</v>
      </c>
      <c r="BH29" s="343">
        <f t="shared" si="21"/>
        <v>-0.28968009383058146</v>
      </c>
      <c r="BI29" s="343">
        <f t="shared" si="21"/>
        <v>4.4323611657369328</v>
      </c>
      <c r="BJ29" s="343">
        <f t="shared" si="21"/>
        <v>-0.36521545014150636</v>
      </c>
      <c r="BK29" s="343">
        <f t="shared" si="21"/>
        <v>5.205344118195713</v>
      </c>
      <c r="BL29" s="343">
        <f t="shared" si="21"/>
        <v>0.28796301280535097</v>
      </c>
      <c r="BM29" s="343">
        <f t="shared" si="21"/>
        <v>4.9550202970389012</v>
      </c>
      <c r="BN29" s="343">
        <f t="shared" ref="BN29:DC29" si="22">BN22-SUM(BN23:BN28)</f>
        <v>-6.0864483755452836E-2</v>
      </c>
      <c r="BO29" s="343">
        <f t="shared" si="22"/>
        <v>5.0718492686433967</v>
      </c>
      <c r="BP29" s="343">
        <f t="shared" si="22"/>
        <v>-3.8573122842684548E-2</v>
      </c>
      <c r="BQ29" s="343">
        <f t="shared" si="22"/>
        <v>5.3811791420704891</v>
      </c>
      <c r="BR29" s="343">
        <f t="shared" si="22"/>
        <v>-2.3073651515390128</v>
      </c>
      <c r="BS29" s="343">
        <f t="shared" si="22"/>
        <v>-40.473493782679036</v>
      </c>
      <c r="BT29" s="343">
        <f t="shared" si="22"/>
        <v>-0.3139323898219597</v>
      </c>
      <c r="BU29" s="343">
        <f t="shared" si="22"/>
        <v>4.8285425518139879</v>
      </c>
      <c r="BV29" s="343">
        <f t="shared" si="22"/>
        <v>-0.64453830340310847</v>
      </c>
      <c r="BW29" s="343">
        <f t="shared" si="22"/>
        <v>5.3510117846400398</v>
      </c>
      <c r="BX29" s="343">
        <f t="shared" si="22"/>
        <v>-0.2307739502913797</v>
      </c>
      <c r="BY29" s="343">
        <f t="shared" si="22"/>
        <v>5.0831096911513676</v>
      </c>
      <c r="BZ29" s="343">
        <f t="shared" si="22"/>
        <v>-0.47565985527659538</v>
      </c>
      <c r="CA29" s="343">
        <f t="shared" si="22"/>
        <v>5.3147713338266058</v>
      </c>
      <c r="CB29" s="343">
        <f t="shared" si="22"/>
        <v>-0.42760734143121848</v>
      </c>
      <c r="CC29" s="343">
        <f t="shared" si="22"/>
        <v>5.8143521533305051</v>
      </c>
      <c r="CD29" s="343">
        <f t="shared" si="22"/>
        <v>-0.5369436946694055</v>
      </c>
      <c r="CE29" s="343">
        <f t="shared" si="22"/>
        <v>-39.826666953559986</v>
      </c>
      <c r="CF29" s="343">
        <f t="shared" si="22"/>
        <v>3.752263669719369E-3</v>
      </c>
      <c r="CG29" s="343">
        <f t="shared" si="22"/>
        <v>5.8885709567873583</v>
      </c>
      <c r="CH29" s="343">
        <f t="shared" si="22"/>
        <v>0.79680523681585269</v>
      </c>
      <c r="CI29" s="343">
        <f t="shared" si="22"/>
        <v>7.2775230712915047</v>
      </c>
      <c r="CJ29" s="343">
        <f t="shared" si="22"/>
        <v>1.2359948647496748</v>
      </c>
      <c r="CK29" s="343">
        <f t="shared" si="22"/>
        <v>7.0218118622465688</v>
      </c>
      <c r="CL29" s="343">
        <f t="shared" si="22"/>
        <v>1.0013494819490365</v>
      </c>
      <c r="CM29" s="343">
        <f t="shared" si="22"/>
        <v>7.2571227162344103</v>
      </c>
      <c r="CN29" s="343">
        <f t="shared" si="22"/>
        <v>1.1160213724404215</v>
      </c>
      <c r="CO29" s="343">
        <f t="shared" si="22"/>
        <v>7.6914037635148302</v>
      </c>
      <c r="CP29" s="343">
        <f t="shared" si="22"/>
        <v>1.0591747079084657</v>
      </c>
      <c r="CQ29" s="343">
        <f t="shared" si="22"/>
        <v>-38.384418150130749</v>
      </c>
      <c r="CR29" s="343">
        <f t="shared" si="22"/>
        <v>1.4932975342413162</v>
      </c>
      <c r="CS29" s="343">
        <f t="shared" si="22"/>
        <v>8.0297878357018213</v>
      </c>
      <c r="CT29" s="343">
        <f t="shared" si="22"/>
        <v>1.8853340520784438</v>
      </c>
      <c r="CU29" s="343">
        <f t="shared" si="22"/>
        <v>8.7222279018811033</v>
      </c>
      <c r="CV29" s="343">
        <f t="shared" si="22"/>
        <v>2.2562880805996617</v>
      </c>
      <c r="CW29" s="343">
        <f t="shared" si="22"/>
        <v>8.5776298483309183</v>
      </c>
      <c r="CX29" s="343">
        <f t="shared" si="22"/>
        <v>0</v>
      </c>
      <c r="CY29" s="343">
        <f t="shared" si="22"/>
        <v>0</v>
      </c>
      <c r="CZ29" s="343">
        <f t="shared" si="22"/>
        <v>0</v>
      </c>
      <c r="DA29" s="343">
        <f t="shared" si="22"/>
        <v>0</v>
      </c>
      <c r="DB29" s="343">
        <f t="shared" si="22"/>
        <v>0</v>
      </c>
      <c r="DC29" s="343">
        <f t="shared" si="22"/>
        <v>0</v>
      </c>
    </row>
    <row r="30" spans="1:107" ht="12.75" outlineLevel="1" thickTop="1">
      <c r="A30" s="310" t="s">
        <v>385</v>
      </c>
      <c r="B30" s="341">
        <v>0</v>
      </c>
      <c r="C30" s="341">
        <v>0</v>
      </c>
      <c r="D30" s="341">
        <v>0</v>
      </c>
      <c r="E30" s="341">
        <v>0</v>
      </c>
      <c r="F30" s="341">
        <v>0</v>
      </c>
      <c r="G30" s="341">
        <v>0</v>
      </c>
      <c r="H30" s="341">
        <v>0</v>
      </c>
      <c r="I30" s="341">
        <v>0</v>
      </c>
      <c r="J30" s="341">
        <v>0</v>
      </c>
      <c r="K30" s="341">
        <f>PL!$I$24</f>
        <v>0</v>
      </c>
      <c r="L30" s="341">
        <v>0</v>
      </c>
      <c r="M30" s="341">
        <v>0</v>
      </c>
      <c r="N30" s="341">
        <v>0</v>
      </c>
      <c r="O30" s="341">
        <v>0</v>
      </c>
      <c r="P30" s="341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41">
        <v>0</v>
      </c>
      <c r="W30" s="341">
        <f>PL!$J$24</f>
        <v>0</v>
      </c>
      <c r="X30" s="341">
        <v>0</v>
      </c>
      <c r="Y30" s="341">
        <v>0</v>
      </c>
      <c r="Z30" s="341">
        <v>0</v>
      </c>
      <c r="AA30" s="341">
        <v>0</v>
      </c>
      <c r="AB30" s="341">
        <v>0</v>
      </c>
      <c r="AC30" s="341">
        <v>0</v>
      </c>
      <c r="AD30" s="341">
        <v>0</v>
      </c>
      <c r="AE30" s="341">
        <v>0</v>
      </c>
      <c r="AF30" s="341">
        <v>0</v>
      </c>
      <c r="AG30" s="341">
        <v>0</v>
      </c>
      <c r="AH30" s="341">
        <v>0</v>
      </c>
      <c r="AI30" s="341">
        <f>PL!$K$24</f>
        <v>0</v>
      </c>
      <c r="AJ30" s="341">
        <v>0</v>
      </c>
      <c r="AK30" s="341">
        <v>0</v>
      </c>
      <c r="AL30" s="341">
        <v>0</v>
      </c>
      <c r="AM30" s="341">
        <v>0</v>
      </c>
      <c r="AN30" s="341">
        <v>0</v>
      </c>
      <c r="AO30" s="341">
        <v>0</v>
      </c>
      <c r="AP30" s="341">
        <v>0</v>
      </c>
      <c r="AQ30" s="341">
        <v>0</v>
      </c>
      <c r="AR30" s="341">
        <v>0</v>
      </c>
      <c r="AS30" s="341">
        <v>0</v>
      </c>
      <c r="AT30" s="341">
        <v>0</v>
      </c>
      <c r="AU30" s="341">
        <f>PL!$L$24</f>
        <v>0</v>
      </c>
      <c r="AV30" s="341">
        <v>0</v>
      </c>
      <c r="AW30" s="341">
        <v>0</v>
      </c>
      <c r="AX30" s="341">
        <v>0</v>
      </c>
      <c r="AY30" s="341">
        <v>0</v>
      </c>
      <c r="AZ30" s="341">
        <v>0</v>
      </c>
      <c r="BA30" s="341">
        <v>0</v>
      </c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f>PL!$M$24</f>
        <v>0</v>
      </c>
      <c r="BH30" s="341">
        <v>0</v>
      </c>
      <c r="BI30" s="341">
        <v>0</v>
      </c>
      <c r="BJ30" s="341">
        <v>0</v>
      </c>
      <c r="BK30" s="341">
        <v>0</v>
      </c>
      <c r="BL30" s="341">
        <v>0</v>
      </c>
      <c r="BM30" s="341">
        <v>0</v>
      </c>
      <c r="BN30" s="341">
        <v>0</v>
      </c>
      <c r="BO30" s="341">
        <v>0</v>
      </c>
      <c r="BP30" s="341">
        <v>0</v>
      </c>
      <c r="BQ30" s="341">
        <v>0</v>
      </c>
      <c r="BR30" s="341">
        <v>0</v>
      </c>
      <c r="BS30" s="341">
        <f>PL!$N$24</f>
        <v>0</v>
      </c>
      <c r="BT30" s="341">
        <v>0</v>
      </c>
      <c r="BU30" s="341">
        <v>0</v>
      </c>
      <c r="BV30" s="341">
        <v>0</v>
      </c>
      <c r="BW30" s="341">
        <v>0</v>
      </c>
      <c r="BX30" s="341">
        <v>0</v>
      </c>
      <c r="BY30" s="341">
        <v>0</v>
      </c>
      <c r="BZ30" s="341">
        <v>0</v>
      </c>
      <c r="CA30" s="341">
        <v>0</v>
      </c>
      <c r="CB30" s="341">
        <v>0</v>
      </c>
      <c r="CC30" s="341">
        <v>0</v>
      </c>
      <c r="CD30" s="341">
        <v>0</v>
      </c>
      <c r="CE30" s="341">
        <f>PL!$O$24</f>
        <v>0</v>
      </c>
      <c r="CF30" s="341">
        <v>0</v>
      </c>
      <c r="CG30" s="341">
        <v>0</v>
      </c>
      <c r="CH30" s="341">
        <v>0</v>
      </c>
      <c r="CI30" s="341">
        <v>0</v>
      </c>
      <c r="CJ30" s="341">
        <v>0</v>
      </c>
      <c r="CK30" s="341">
        <v>0</v>
      </c>
      <c r="CL30" s="341">
        <v>0</v>
      </c>
      <c r="CM30" s="341">
        <v>0</v>
      </c>
      <c r="CN30" s="341">
        <v>0</v>
      </c>
      <c r="CO30" s="341">
        <v>0</v>
      </c>
      <c r="CP30" s="341">
        <v>0</v>
      </c>
      <c r="CQ30" s="341">
        <f>PL!$P$24</f>
        <v>0</v>
      </c>
      <c r="CR30" s="341">
        <v>0</v>
      </c>
      <c r="CS30" s="341">
        <v>0</v>
      </c>
      <c r="CT30" s="341">
        <v>0</v>
      </c>
      <c r="CU30" s="341">
        <v>0</v>
      </c>
      <c r="CV30" s="341">
        <v>0</v>
      </c>
      <c r="CW30" s="341">
        <v>0</v>
      </c>
      <c r="CX30" s="341">
        <v>0</v>
      </c>
      <c r="CY30" s="341">
        <v>0</v>
      </c>
      <c r="CZ30" s="341">
        <v>0</v>
      </c>
      <c r="DA30" s="341">
        <v>0</v>
      </c>
      <c r="DB30" s="341">
        <v>0</v>
      </c>
      <c r="DC30" s="341">
        <f>PL!$Q$24</f>
        <v>0</v>
      </c>
    </row>
    <row r="31" spans="1:107" ht="12.75" outlineLevel="1" thickBot="1">
      <c r="A31" s="321" t="s">
        <v>12</v>
      </c>
      <c r="B31" s="343">
        <f t="shared" ref="B31:BM31" si="23">B29-B30</f>
        <v>2.143250000000001</v>
      </c>
      <c r="C31" s="343">
        <f t="shared" si="23"/>
        <v>1.058503217767742</v>
      </c>
      <c r="D31" s="343">
        <f t="shared" si="23"/>
        <v>3.0005732600330515E-2</v>
      </c>
      <c r="E31" s="343">
        <f t="shared" si="23"/>
        <v>2.6015327440102451</v>
      </c>
      <c r="F31" s="343">
        <f t="shared" si="23"/>
        <v>-7.3542724776560597E-2</v>
      </c>
      <c r="G31" s="343">
        <f t="shared" si="23"/>
        <v>1.4949383173582731</v>
      </c>
      <c r="H31" s="343">
        <f t="shared" si="23"/>
        <v>-0.13309501256404471</v>
      </c>
      <c r="I31" s="343">
        <f t="shared" si="23"/>
        <v>2.3679009798198756</v>
      </c>
      <c r="J31" s="343">
        <f t="shared" si="23"/>
        <v>1.2431416354685481</v>
      </c>
      <c r="K31" s="343">
        <f t="shared" si="23"/>
        <v>-1.7338312540231748</v>
      </c>
      <c r="L31" s="343">
        <f t="shared" si="23"/>
        <v>-2.0518569533296525</v>
      </c>
      <c r="M31" s="343">
        <f t="shared" si="23"/>
        <v>-4.7816456531391438E-2</v>
      </c>
      <c r="N31" s="343">
        <f t="shared" si="23"/>
        <v>-2.2789051913380276</v>
      </c>
      <c r="O31" s="343">
        <f t="shared" si="23"/>
        <v>0.86290594446297719</v>
      </c>
      <c r="P31" s="343">
        <f t="shared" si="23"/>
        <v>-1.7550124600421819</v>
      </c>
      <c r="Q31" s="343">
        <f t="shared" si="23"/>
        <v>0.73876002143968034</v>
      </c>
      <c r="R31" s="343">
        <f t="shared" si="23"/>
        <v>-2.6898457753712837</v>
      </c>
      <c r="S31" s="343">
        <f t="shared" si="23"/>
        <v>0.35409731343203976</v>
      </c>
      <c r="T31" s="343">
        <f t="shared" si="23"/>
        <v>-2.8827702180476376</v>
      </c>
      <c r="U31" s="343">
        <f t="shared" si="23"/>
        <v>-8.505590901891269E-2</v>
      </c>
      <c r="V31" s="343">
        <f t="shared" si="23"/>
        <v>-3.3824794140987793</v>
      </c>
      <c r="W31" s="343">
        <f t="shared" si="23"/>
        <v>-30.759658119858237</v>
      </c>
      <c r="X31" s="343">
        <f t="shared" si="23"/>
        <v>-2.8078046496580797</v>
      </c>
      <c r="Y31" s="343">
        <f t="shared" si="23"/>
        <v>0.13545860107644714</v>
      </c>
      <c r="Z31" s="343">
        <f t="shared" si="23"/>
        <v>-2.8629908504084938</v>
      </c>
      <c r="AA31" s="343">
        <f t="shared" si="23"/>
        <v>114.49299609335608</v>
      </c>
      <c r="AB31" s="343">
        <f t="shared" si="23"/>
        <v>-2.5458891883865729</v>
      </c>
      <c r="AC31" s="343">
        <f t="shared" si="23"/>
        <v>1.1518113963725447</v>
      </c>
      <c r="AD31" s="343">
        <f t="shared" si="23"/>
        <v>-2.3083923414546996</v>
      </c>
      <c r="AE31" s="343">
        <f t="shared" si="23"/>
        <v>1.1611944867317676</v>
      </c>
      <c r="AF31" s="343">
        <f t="shared" si="23"/>
        <v>-2.4664728456678899</v>
      </c>
      <c r="AG31" s="343">
        <f t="shared" si="23"/>
        <v>1.6683654327655535</v>
      </c>
      <c r="AH31" s="343">
        <f t="shared" si="23"/>
        <v>0.77101831211189142</v>
      </c>
      <c r="AI31" s="343">
        <f t="shared" si="23"/>
        <v>-44.14686516496635</v>
      </c>
      <c r="AJ31" s="343">
        <f t="shared" si="23"/>
        <v>-1.7846731272615299</v>
      </c>
      <c r="AK31" s="343">
        <f t="shared" si="23"/>
        <v>1.4300112768826923</v>
      </c>
      <c r="AL31" s="343">
        <f t="shared" si="23"/>
        <v>-1.8452704072317756</v>
      </c>
      <c r="AM31" s="343">
        <f t="shared" si="23"/>
        <v>1.9853061581959945</v>
      </c>
      <c r="AN31" s="343">
        <f t="shared" si="23"/>
        <v>-1.4718400973000154</v>
      </c>
      <c r="AO31" s="343">
        <f t="shared" si="23"/>
        <v>1.453137936595386</v>
      </c>
      <c r="AP31" s="343">
        <f t="shared" si="23"/>
        <v>-1.6396586755396667</v>
      </c>
      <c r="AQ31" s="343">
        <f t="shared" si="23"/>
        <v>2.1895969731850293</v>
      </c>
      <c r="AR31" s="343">
        <f t="shared" si="23"/>
        <v>-1.6980388804758944</v>
      </c>
      <c r="AS31" s="343">
        <f t="shared" si="23"/>
        <v>2.4750334402215497</v>
      </c>
      <c r="AT31" s="343">
        <f t="shared" si="23"/>
        <v>-1.4887602344077759</v>
      </c>
      <c r="AU31" s="343">
        <f t="shared" si="23"/>
        <v>-43.019511968591196</v>
      </c>
      <c r="AV31" s="343">
        <f t="shared" si="23"/>
        <v>-1.283422113002368</v>
      </c>
      <c r="AW31" s="343">
        <f t="shared" si="23"/>
        <v>2.4392113143173404</v>
      </c>
      <c r="AX31" s="343">
        <f t="shared" si="23"/>
        <v>-1.3571871678220226</v>
      </c>
      <c r="AY31" s="343">
        <f t="shared" si="23"/>
        <v>2.9588259863413784</v>
      </c>
      <c r="AZ31" s="343">
        <f t="shared" si="23"/>
        <v>-0.99178037975127342</v>
      </c>
      <c r="BA31" s="343">
        <f t="shared" si="23"/>
        <v>2.7525485308179412</v>
      </c>
      <c r="BB31" s="343">
        <f t="shared" si="23"/>
        <v>-1.2250761040196489</v>
      </c>
      <c r="BC31" s="343">
        <f t="shared" si="23"/>
        <v>2.9918070873567459</v>
      </c>
      <c r="BD31" s="343">
        <f t="shared" si="23"/>
        <v>-1.2153964990833332</v>
      </c>
      <c r="BE31" s="343">
        <f t="shared" si="23"/>
        <v>3.2651774421292412</v>
      </c>
      <c r="BF31" s="343">
        <f t="shared" si="23"/>
        <v>-1.2614851205129904</v>
      </c>
      <c r="BG31" s="343">
        <f t="shared" si="23"/>
        <v>-42.322258726170823</v>
      </c>
      <c r="BH31" s="343">
        <f t="shared" si="23"/>
        <v>-0.28968009383058146</v>
      </c>
      <c r="BI31" s="343">
        <f t="shared" si="23"/>
        <v>4.4323611657369328</v>
      </c>
      <c r="BJ31" s="343">
        <f t="shared" si="23"/>
        <v>-0.36521545014150636</v>
      </c>
      <c r="BK31" s="343">
        <f t="shared" si="23"/>
        <v>5.205344118195713</v>
      </c>
      <c r="BL31" s="343">
        <f t="shared" si="23"/>
        <v>0.28796301280535097</v>
      </c>
      <c r="BM31" s="343">
        <f t="shared" si="23"/>
        <v>4.9550202970389012</v>
      </c>
      <c r="BN31" s="343">
        <f t="shared" ref="BN31:DC31" si="24">BN29-BN30</f>
        <v>-6.0864483755452836E-2</v>
      </c>
      <c r="BO31" s="343">
        <f t="shared" si="24"/>
        <v>5.0718492686433967</v>
      </c>
      <c r="BP31" s="343">
        <f t="shared" si="24"/>
        <v>-3.8573122842684548E-2</v>
      </c>
      <c r="BQ31" s="343">
        <f t="shared" si="24"/>
        <v>5.3811791420704891</v>
      </c>
      <c r="BR31" s="343">
        <f t="shared" si="24"/>
        <v>-2.3073651515390128</v>
      </c>
      <c r="BS31" s="343">
        <f t="shared" si="24"/>
        <v>-40.473493782679036</v>
      </c>
      <c r="BT31" s="343">
        <f t="shared" si="24"/>
        <v>-0.3139323898219597</v>
      </c>
      <c r="BU31" s="343">
        <f t="shared" si="24"/>
        <v>4.8285425518139879</v>
      </c>
      <c r="BV31" s="343">
        <f t="shared" si="24"/>
        <v>-0.64453830340310847</v>
      </c>
      <c r="BW31" s="343">
        <f t="shared" si="24"/>
        <v>5.3510117846400398</v>
      </c>
      <c r="BX31" s="343">
        <f t="shared" si="24"/>
        <v>-0.2307739502913797</v>
      </c>
      <c r="BY31" s="343">
        <f t="shared" si="24"/>
        <v>5.0831096911513676</v>
      </c>
      <c r="BZ31" s="343">
        <f t="shared" si="24"/>
        <v>-0.47565985527659538</v>
      </c>
      <c r="CA31" s="343">
        <f t="shared" si="24"/>
        <v>5.3147713338266058</v>
      </c>
      <c r="CB31" s="343">
        <f t="shared" si="24"/>
        <v>-0.42760734143121848</v>
      </c>
      <c r="CC31" s="343">
        <f t="shared" si="24"/>
        <v>5.8143521533305051</v>
      </c>
      <c r="CD31" s="343">
        <f t="shared" si="24"/>
        <v>-0.5369436946694055</v>
      </c>
      <c r="CE31" s="343">
        <f t="shared" si="24"/>
        <v>-39.826666953559986</v>
      </c>
      <c r="CF31" s="343">
        <f t="shared" si="24"/>
        <v>3.752263669719369E-3</v>
      </c>
      <c r="CG31" s="343">
        <f t="shared" si="24"/>
        <v>5.8885709567873583</v>
      </c>
      <c r="CH31" s="343">
        <f t="shared" si="24"/>
        <v>0.79680523681585269</v>
      </c>
      <c r="CI31" s="343">
        <f t="shared" si="24"/>
        <v>7.2775230712915047</v>
      </c>
      <c r="CJ31" s="343">
        <f t="shared" si="24"/>
        <v>1.2359948647496748</v>
      </c>
      <c r="CK31" s="343">
        <f t="shared" si="24"/>
        <v>7.0218118622465688</v>
      </c>
      <c r="CL31" s="343">
        <f t="shared" si="24"/>
        <v>1.0013494819490365</v>
      </c>
      <c r="CM31" s="343">
        <f t="shared" si="24"/>
        <v>7.2571227162344103</v>
      </c>
      <c r="CN31" s="343">
        <f t="shared" si="24"/>
        <v>1.1160213724404215</v>
      </c>
      <c r="CO31" s="343">
        <f t="shared" si="24"/>
        <v>7.6914037635148302</v>
      </c>
      <c r="CP31" s="343">
        <f t="shared" si="24"/>
        <v>1.0591747079084657</v>
      </c>
      <c r="CQ31" s="343">
        <f t="shared" si="24"/>
        <v>-38.384418150130749</v>
      </c>
      <c r="CR31" s="343">
        <f t="shared" si="24"/>
        <v>1.4932975342413162</v>
      </c>
      <c r="CS31" s="343">
        <f t="shared" si="24"/>
        <v>8.0297878357018213</v>
      </c>
      <c r="CT31" s="343">
        <f t="shared" si="24"/>
        <v>1.8853340520784438</v>
      </c>
      <c r="CU31" s="343">
        <f t="shared" si="24"/>
        <v>8.7222279018811033</v>
      </c>
      <c r="CV31" s="343">
        <f t="shared" si="24"/>
        <v>2.2562880805996617</v>
      </c>
      <c r="CW31" s="343">
        <f t="shared" si="24"/>
        <v>8.5776298483309183</v>
      </c>
      <c r="CX31" s="343">
        <f t="shared" si="24"/>
        <v>0</v>
      </c>
      <c r="CY31" s="343">
        <f t="shared" si="24"/>
        <v>0</v>
      </c>
      <c r="CZ31" s="343">
        <f t="shared" si="24"/>
        <v>0</v>
      </c>
      <c r="DA31" s="343">
        <f t="shared" si="24"/>
        <v>0</v>
      </c>
      <c r="DB31" s="343">
        <f t="shared" si="24"/>
        <v>0</v>
      </c>
      <c r="DC31" s="343">
        <f t="shared" si="24"/>
        <v>0</v>
      </c>
    </row>
    <row r="32" spans="1:107" ht="12.75" outlineLevel="1" thickTop="1">
      <c r="A32" s="321" t="s">
        <v>386</v>
      </c>
      <c r="B32" s="341">
        <f t="shared" ref="B32:BM32" si="25">B29+B23</f>
        <v>2.2332500000000008</v>
      </c>
      <c r="C32" s="341">
        <f t="shared" si="25"/>
        <v>1.0885032177677421</v>
      </c>
      <c r="D32" s="341">
        <f t="shared" si="25"/>
        <v>7.0005732600330522E-2</v>
      </c>
      <c r="E32" s="341">
        <f t="shared" si="25"/>
        <v>2.6415327440102452</v>
      </c>
      <c r="F32" s="341">
        <f t="shared" si="25"/>
        <v>-3.3542724776560597E-2</v>
      </c>
      <c r="G32" s="341">
        <f t="shared" si="25"/>
        <v>1.5349383173582731</v>
      </c>
      <c r="H32" s="341">
        <f t="shared" si="25"/>
        <v>-9.3095012564044705E-2</v>
      </c>
      <c r="I32" s="341">
        <f t="shared" si="25"/>
        <v>2.4079009798198756</v>
      </c>
      <c r="J32" s="341">
        <f t="shared" si="25"/>
        <v>1.2831416354685481</v>
      </c>
      <c r="K32" s="341">
        <f t="shared" si="25"/>
        <v>-1.6938312540231748</v>
      </c>
      <c r="L32" s="341">
        <f t="shared" si="25"/>
        <v>-2.0518569533296525</v>
      </c>
      <c r="M32" s="341">
        <f t="shared" si="25"/>
        <v>-4.7816456531391438E-2</v>
      </c>
      <c r="N32" s="341">
        <f t="shared" si="25"/>
        <v>-2.2789051913380276</v>
      </c>
      <c r="O32" s="341">
        <f t="shared" si="25"/>
        <v>0.86290594446297719</v>
      </c>
      <c r="P32" s="341">
        <f t="shared" si="25"/>
        <v>-1.7550124600421819</v>
      </c>
      <c r="Q32" s="341">
        <f t="shared" si="25"/>
        <v>0.73876002143968034</v>
      </c>
      <c r="R32" s="341">
        <f t="shared" si="25"/>
        <v>-2.6898457753712837</v>
      </c>
      <c r="S32" s="341">
        <f t="shared" si="25"/>
        <v>0.35409731343203976</v>
      </c>
      <c r="T32" s="341">
        <f t="shared" si="25"/>
        <v>-2.8827702180476376</v>
      </c>
      <c r="U32" s="341">
        <f t="shared" si="25"/>
        <v>-8.505590901891269E-2</v>
      </c>
      <c r="V32" s="341">
        <f t="shared" si="25"/>
        <v>-3.3824794140987793</v>
      </c>
      <c r="W32" s="341">
        <f t="shared" si="25"/>
        <v>-9.6581198582370575E-3</v>
      </c>
      <c r="X32" s="341">
        <f t="shared" si="25"/>
        <v>-2.8078046496580797</v>
      </c>
      <c r="Y32" s="341">
        <f t="shared" si="25"/>
        <v>0.13545860107644714</v>
      </c>
      <c r="Z32" s="341">
        <f t="shared" si="25"/>
        <v>-2.8629908504084938</v>
      </c>
      <c r="AA32" s="341">
        <f t="shared" si="25"/>
        <v>114.49299609335608</v>
      </c>
      <c r="AB32" s="341">
        <f t="shared" si="25"/>
        <v>-2.5458891883865729</v>
      </c>
      <c r="AC32" s="341">
        <f t="shared" si="25"/>
        <v>1.1518113963725447</v>
      </c>
      <c r="AD32" s="341">
        <f t="shared" si="25"/>
        <v>-2.3083923414546996</v>
      </c>
      <c r="AE32" s="341">
        <f t="shared" si="25"/>
        <v>1.1611944867317676</v>
      </c>
      <c r="AF32" s="341">
        <f t="shared" si="25"/>
        <v>-2.4664728456678899</v>
      </c>
      <c r="AG32" s="341">
        <f t="shared" si="25"/>
        <v>1.6683654327655535</v>
      </c>
      <c r="AH32" s="341">
        <f t="shared" si="25"/>
        <v>0.77101831211189142</v>
      </c>
      <c r="AI32" s="341">
        <f t="shared" si="25"/>
        <v>1.3531348350336501</v>
      </c>
      <c r="AJ32" s="341">
        <f t="shared" si="25"/>
        <v>-1.7846731272615299</v>
      </c>
      <c r="AK32" s="341">
        <f t="shared" si="25"/>
        <v>1.4300112768826923</v>
      </c>
      <c r="AL32" s="341">
        <f t="shared" si="25"/>
        <v>-1.8452704072317756</v>
      </c>
      <c r="AM32" s="341">
        <f t="shared" si="25"/>
        <v>1.9853061581959945</v>
      </c>
      <c r="AN32" s="341">
        <f t="shared" si="25"/>
        <v>-1.4718400973000154</v>
      </c>
      <c r="AO32" s="341">
        <f t="shared" si="25"/>
        <v>1.453137936595386</v>
      </c>
      <c r="AP32" s="341">
        <f t="shared" si="25"/>
        <v>-1.6396586755396667</v>
      </c>
      <c r="AQ32" s="341">
        <f t="shared" si="25"/>
        <v>2.1895969731850293</v>
      </c>
      <c r="AR32" s="341">
        <f t="shared" si="25"/>
        <v>-1.6980388804758944</v>
      </c>
      <c r="AS32" s="341">
        <f t="shared" si="25"/>
        <v>2.4750334402215497</v>
      </c>
      <c r="AT32" s="341">
        <f t="shared" si="25"/>
        <v>-1.4887602344077759</v>
      </c>
      <c r="AU32" s="341">
        <f t="shared" si="25"/>
        <v>2.4804880314088038</v>
      </c>
      <c r="AV32" s="341">
        <f t="shared" si="25"/>
        <v>-1.283422113002368</v>
      </c>
      <c r="AW32" s="341">
        <f t="shared" si="25"/>
        <v>2.4392113143173404</v>
      </c>
      <c r="AX32" s="341">
        <f t="shared" si="25"/>
        <v>-1.3571871678220226</v>
      </c>
      <c r="AY32" s="341">
        <f t="shared" si="25"/>
        <v>2.9588259863413784</v>
      </c>
      <c r="AZ32" s="341">
        <f t="shared" si="25"/>
        <v>-0.99178037975127342</v>
      </c>
      <c r="BA32" s="341">
        <f t="shared" si="25"/>
        <v>2.7525485308179412</v>
      </c>
      <c r="BB32" s="341">
        <f t="shared" si="25"/>
        <v>-1.2250761040196489</v>
      </c>
      <c r="BC32" s="341">
        <f t="shared" si="25"/>
        <v>2.9918070873567459</v>
      </c>
      <c r="BD32" s="341">
        <f t="shared" si="25"/>
        <v>-1.2153964990833332</v>
      </c>
      <c r="BE32" s="341">
        <f t="shared" si="25"/>
        <v>3.2651774421292412</v>
      </c>
      <c r="BF32" s="341">
        <f t="shared" si="25"/>
        <v>-1.2614851205129904</v>
      </c>
      <c r="BG32" s="341">
        <f t="shared" si="25"/>
        <v>3.1777412738291773</v>
      </c>
      <c r="BH32" s="341">
        <f t="shared" si="25"/>
        <v>-0.28968009383058146</v>
      </c>
      <c r="BI32" s="341">
        <f t="shared" si="25"/>
        <v>4.4323611657369328</v>
      </c>
      <c r="BJ32" s="341">
        <f t="shared" si="25"/>
        <v>-0.36521545014150636</v>
      </c>
      <c r="BK32" s="341">
        <f t="shared" si="25"/>
        <v>5.205344118195713</v>
      </c>
      <c r="BL32" s="341">
        <f t="shared" si="25"/>
        <v>0.28796301280535097</v>
      </c>
      <c r="BM32" s="341">
        <f t="shared" si="25"/>
        <v>4.9550202970389012</v>
      </c>
      <c r="BN32" s="341">
        <f t="shared" ref="BN32:DC32" si="26">BN29+BN23</f>
        <v>-6.0864483755452836E-2</v>
      </c>
      <c r="BO32" s="341">
        <f t="shared" si="26"/>
        <v>5.0718492686433967</v>
      </c>
      <c r="BP32" s="341">
        <f t="shared" si="26"/>
        <v>-3.8573122842684548E-2</v>
      </c>
      <c r="BQ32" s="341">
        <f t="shared" si="26"/>
        <v>5.3811791420704891</v>
      </c>
      <c r="BR32" s="341">
        <f t="shared" si="26"/>
        <v>-2.3073651515390128</v>
      </c>
      <c r="BS32" s="341">
        <f t="shared" si="26"/>
        <v>5.0265062173209643</v>
      </c>
      <c r="BT32" s="341">
        <f t="shared" si="26"/>
        <v>-0.3139323898219597</v>
      </c>
      <c r="BU32" s="341">
        <f t="shared" si="26"/>
        <v>4.8285425518139879</v>
      </c>
      <c r="BV32" s="341">
        <f t="shared" si="26"/>
        <v>-0.64453830340310847</v>
      </c>
      <c r="BW32" s="341">
        <f t="shared" si="26"/>
        <v>5.3510117846400398</v>
      </c>
      <c r="BX32" s="341">
        <f t="shared" si="26"/>
        <v>-0.2307739502913797</v>
      </c>
      <c r="BY32" s="341">
        <f t="shared" si="26"/>
        <v>5.0831096911513676</v>
      </c>
      <c r="BZ32" s="341">
        <f t="shared" si="26"/>
        <v>-0.47565985527659538</v>
      </c>
      <c r="CA32" s="341">
        <f t="shared" si="26"/>
        <v>5.3147713338266058</v>
      </c>
      <c r="CB32" s="341">
        <f t="shared" si="26"/>
        <v>-0.42760734143121848</v>
      </c>
      <c r="CC32" s="341">
        <f t="shared" si="26"/>
        <v>5.8143521533305051</v>
      </c>
      <c r="CD32" s="341">
        <f t="shared" si="26"/>
        <v>-0.5369436946694055</v>
      </c>
      <c r="CE32" s="341">
        <f t="shared" si="26"/>
        <v>5.673333046440014</v>
      </c>
      <c r="CF32" s="341">
        <f t="shared" si="26"/>
        <v>3.752263669719369E-3</v>
      </c>
      <c r="CG32" s="341">
        <f t="shared" si="26"/>
        <v>5.8885709567873583</v>
      </c>
      <c r="CH32" s="341">
        <f t="shared" si="26"/>
        <v>0.79680523681585269</v>
      </c>
      <c r="CI32" s="341">
        <f t="shared" si="26"/>
        <v>7.2775230712915047</v>
      </c>
      <c r="CJ32" s="341">
        <f t="shared" si="26"/>
        <v>1.2359948647496748</v>
      </c>
      <c r="CK32" s="341">
        <f t="shared" si="26"/>
        <v>7.0218118622465688</v>
      </c>
      <c r="CL32" s="341">
        <f t="shared" si="26"/>
        <v>1.0013494819490365</v>
      </c>
      <c r="CM32" s="341">
        <f t="shared" si="26"/>
        <v>7.2571227162344103</v>
      </c>
      <c r="CN32" s="341">
        <f t="shared" si="26"/>
        <v>1.1160213724404215</v>
      </c>
      <c r="CO32" s="341">
        <f t="shared" si="26"/>
        <v>7.6914037635148302</v>
      </c>
      <c r="CP32" s="341">
        <f t="shared" si="26"/>
        <v>1.0591747079084657</v>
      </c>
      <c r="CQ32" s="341">
        <f t="shared" si="26"/>
        <v>7.6555818498692503</v>
      </c>
      <c r="CR32" s="341">
        <f t="shared" si="26"/>
        <v>1.4932975342413162</v>
      </c>
      <c r="CS32" s="341">
        <f t="shared" si="26"/>
        <v>8.0297878357018213</v>
      </c>
      <c r="CT32" s="341">
        <f t="shared" si="26"/>
        <v>1.8853340520784438</v>
      </c>
      <c r="CU32" s="341">
        <f t="shared" si="26"/>
        <v>8.7222279018811033</v>
      </c>
      <c r="CV32" s="341">
        <f t="shared" si="26"/>
        <v>2.2562880805996617</v>
      </c>
      <c r="CW32" s="341">
        <f t="shared" si="26"/>
        <v>8.5776298483309183</v>
      </c>
      <c r="CX32" s="341">
        <f t="shared" si="26"/>
        <v>0</v>
      </c>
      <c r="CY32" s="341">
        <f t="shared" si="26"/>
        <v>0</v>
      </c>
      <c r="CZ32" s="341">
        <f t="shared" si="26"/>
        <v>0</v>
      </c>
      <c r="DA32" s="341">
        <f t="shared" si="26"/>
        <v>0</v>
      </c>
      <c r="DB32" s="341">
        <f t="shared" si="26"/>
        <v>0</v>
      </c>
      <c r="DC32" s="341">
        <f t="shared" si="26"/>
        <v>0</v>
      </c>
    </row>
    <row r="33" spans="1:107" outlineLevel="1">
      <c r="A33" s="310" t="s">
        <v>387</v>
      </c>
      <c r="B33" s="341">
        <v>0</v>
      </c>
      <c r="C33" s="341">
        <v>0</v>
      </c>
      <c r="D33" s="341">
        <v>0</v>
      </c>
      <c r="E33" s="341">
        <f>SUM('CF Capex'!D4:D5)</f>
        <v>0</v>
      </c>
      <c r="F33" s="341">
        <f>SUM('CF Capex'!E4:E5)</f>
        <v>0</v>
      </c>
      <c r="G33" s="341">
        <f>SUM('CF Capex'!F4:F5)</f>
        <v>0</v>
      </c>
      <c r="H33" s="341">
        <f>SUM('CF Capex'!G4:G5)</f>
        <v>0</v>
      </c>
      <c r="I33" s="341">
        <f>SUM('CF Capex'!H4:H5)</f>
        <v>0</v>
      </c>
      <c r="J33" s="341">
        <f>SUM('CF Capex'!I4:I5)</f>
        <v>0</v>
      </c>
      <c r="K33" s="341">
        <f>SUM('CF Capex'!J4:J5)</f>
        <v>0</v>
      </c>
      <c r="L33" s="341">
        <f>SUM('CF Capex'!K4:K5)</f>
        <v>0</v>
      </c>
      <c r="M33" s="341">
        <f>SUM('CF Capex'!L4:L5)</f>
        <v>0</v>
      </c>
      <c r="N33" s="341">
        <f>SUM('CF Capex'!M4:M5)</f>
        <v>0</v>
      </c>
      <c r="O33" s="341">
        <f>SUM('CF Capex'!N4:N5)</f>
        <v>0</v>
      </c>
      <c r="P33" s="341">
        <f>SUM('CF Capex'!O4:O5)</f>
        <v>0</v>
      </c>
      <c r="Q33" s="341">
        <f>SUM('CF Capex'!P4:P5)</f>
        <v>2</v>
      </c>
      <c r="R33" s="341">
        <f>SUM('CF Capex'!Q4:Q5)</f>
        <v>0</v>
      </c>
      <c r="S33" s="341">
        <f>SUM('CF Capex'!R4:R5)</f>
        <v>1.02216</v>
      </c>
      <c r="T33" s="341">
        <f>SUM('CF Capex'!S4:S5)</f>
        <v>8.4076136336539538</v>
      </c>
      <c r="U33" s="341">
        <f>SUM('CF Capex'!T4:T5)</f>
        <v>9.9572968120040013</v>
      </c>
      <c r="V33" s="341">
        <f>SUM('CF Capex'!U4:U5)</f>
        <v>12.8801621009</v>
      </c>
      <c r="W33" s="341">
        <f>SUM('CF Capex'!V4:V5)</f>
        <v>10.524108543692005</v>
      </c>
      <c r="X33" s="341">
        <f>SUM('CF Capex'!W4:W5)</f>
        <v>6.041589258948</v>
      </c>
      <c r="Y33" s="341">
        <f>SUM('CF Capex'!X4:X5)</f>
        <v>9.8874741746690678</v>
      </c>
      <c r="Z33" s="341">
        <f>SUM('CF Capex'!Y4:Y5)</f>
        <v>3.8032327125280001</v>
      </c>
      <c r="AA33" s="341">
        <f>SUM('CF Capex'!Z4:Z5)</f>
        <v>4.6613522728775036</v>
      </c>
      <c r="AB33" s="341">
        <f>SUM('CF Capex'!AA4:AA5)</f>
        <v>2.8473961251520001</v>
      </c>
      <c r="AC33" s="341">
        <f>SUM('CF Capex'!AB4:AB5)</f>
        <v>3.6766982511909116</v>
      </c>
      <c r="AD33" s="341">
        <f>SUM('CF Capex'!AC4:AC5)</f>
        <v>2.7406839999999999</v>
      </c>
      <c r="AE33" s="341">
        <f>SUM('CF Capex'!AD4:AD5)</f>
        <v>2.6569424000000001</v>
      </c>
      <c r="AF33" s="341">
        <f>SUM('CF Capex'!AE4:AE5)</f>
        <v>0.91780150000000005</v>
      </c>
      <c r="AG33" s="341">
        <f>SUM('CF Capex'!AE4:AE5)</f>
        <v>0.91780150000000005</v>
      </c>
      <c r="AH33" s="341">
        <f>SUM('CF Capex'!AF4:AF5)</f>
        <v>0.63965799999999995</v>
      </c>
      <c r="AI33" s="341">
        <f>SUM('CF Capex'!AG4:AG5)</f>
        <v>0.67659627300000003</v>
      </c>
      <c r="AJ33" s="341">
        <f>SUM('CF Capex'!AH4:AH5)</f>
        <v>0</v>
      </c>
      <c r="AK33" s="341">
        <f>SUM('CF Capex'!AI4:AI5)</f>
        <v>0</v>
      </c>
      <c r="AL33" s="341">
        <f>SUM('CF Capex'!AJ4:AJ5)</f>
        <v>0</v>
      </c>
      <c r="AM33" s="341">
        <f>SUM('CF Capex'!AK4:AK5)</f>
        <v>0</v>
      </c>
      <c r="AN33" s="341">
        <f>SUM('CF Capex'!AL4:AL5)</f>
        <v>0</v>
      </c>
      <c r="AO33" s="341">
        <f>SUM('CF Capex'!AM4:AM5)</f>
        <v>0</v>
      </c>
      <c r="AP33" s="341">
        <f>SUM('CF Capex'!AN4:AN5)</f>
        <v>0</v>
      </c>
      <c r="AQ33" s="341">
        <f>SUM('CF Capex'!AO4:AO5)</f>
        <v>0</v>
      </c>
      <c r="AR33" s="341">
        <f>SUM('CF Capex'!AP4:AP5)</f>
        <v>0</v>
      </c>
      <c r="AS33" s="341">
        <f>SUM('CF Capex'!AQ4:AQ5)</f>
        <v>0</v>
      </c>
      <c r="AT33" s="341">
        <f>SUM('CF Capex'!AR4:AR5)</f>
        <v>0</v>
      </c>
      <c r="AU33" s="341">
        <f>SUM('CF Capex'!AS4:AS5)</f>
        <v>0</v>
      </c>
      <c r="AV33" s="341">
        <f>SUM('CF Capex'!AT4:AT5)</f>
        <v>0</v>
      </c>
      <c r="AW33" s="341">
        <f>SUM('CF Capex'!AU4:AU5)</f>
        <v>0</v>
      </c>
      <c r="AX33" s="341">
        <f>SUM('CF Capex'!AV4:AV5)</f>
        <v>0</v>
      </c>
      <c r="AY33" s="341">
        <f>SUM('CF Capex'!AW4:AW5)</f>
        <v>0</v>
      </c>
      <c r="AZ33" s="341">
        <f>SUM('CF Capex'!AX4:AX5)</f>
        <v>0</v>
      </c>
      <c r="BA33" s="341">
        <f>SUM('CF Capex'!AY4:AY5)</f>
        <v>0</v>
      </c>
      <c r="BB33" s="341">
        <f>SUM('CF Capex'!AZ4:AZ5)</f>
        <v>0</v>
      </c>
      <c r="BC33" s="341">
        <f>SUM('CF Capex'!BA4:BA5)</f>
        <v>0</v>
      </c>
      <c r="BD33" s="341">
        <f>SUM('CF Capex'!BB4:BB5)</f>
        <v>0</v>
      </c>
      <c r="BE33" s="341">
        <f>SUM('CF Capex'!BC4:BC5)</f>
        <v>0</v>
      </c>
      <c r="BF33" s="341">
        <f>SUM('CF Capex'!BD4:BD5)</f>
        <v>0</v>
      </c>
      <c r="BG33" s="341">
        <f>SUM('CF Capex'!BE4:BE5)</f>
        <v>0</v>
      </c>
      <c r="BH33" s="341">
        <f>SUM('CF Capex'!BF4:BF5)</f>
        <v>0</v>
      </c>
      <c r="BI33" s="341">
        <f>SUM('CF Capex'!BG4:BG5)</f>
        <v>0</v>
      </c>
      <c r="BJ33" s="341">
        <f>SUM('CF Capex'!BH4:BH5)</f>
        <v>0</v>
      </c>
      <c r="BK33" s="341">
        <f>SUM('CF Capex'!BI4:BI5)</f>
        <v>0</v>
      </c>
      <c r="BL33" s="341">
        <f>SUM('CF Capex'!BJ4:BJ5)</f>
        <v>0</v>
      </c>
      <c r="BM33" s="341">
        <f>SUM('CF Capex'!BK4:BK5)</f>
        <v>0</v>
      </c>
      <c r="BN33" s="341">
        <f>SUM('CF Capex'!BL4:BL5)</f>
        <v>0</v>
      </c>
      <c r="BO33" s="341">
        <f>SUM('CF Capex'!BM4:BM5)</f>
        <v>0</v>
      </c>
      <c r="BP33" s="341">
        <f>SUM('CF Capex'!BN4:BN5)</f>
        <v>0</v>
      </c>
      <c r="BQ33" s="341">
        <f>SUM('CF Capex'!BO4:BO5)</f>
        <v>0</v>
      </c>
      <c r="BR33" s="341">
        <f>SUM('CF Capex'!BP4:BP5)</f>
        <v>0</v>
      </c>
      <c r="BS33" s="341">
        <f>SUM('CF Capex'!BQ4:BQ5)</f>
        <v>0</v>
      </c>
      <c r="BT33" s="341">
        <f>SUM('CF Capex'!BR4:BR5)</f>
        <v>0</v>
      </c>
      <c r="BU33" s="341">
        <f>SUM('CF Capex'!BS4:BS5)</f>
        <v>0</v>
      </c>
      <c r="BV33" s="341">
        <f>SUM('CF Capex'!BT4:BT5)</f>
        <v>0</v>
      </c>
      <c r="BW33" s="341">
        <f>SUM('CF Capex'!BU4:BU5)</f>
        <v>0</v>
      </c>
      <c r="BX33" s="341">
        <f>SUM('CF Capex'!BV4:BV5)</f>
        <v>0</v>
      </c>
      <c r="BY33" s="341">
        <f>SUM('CF Capex'!BW4:BW5)</f>
        <v>0</v>
      </c>
      <c r="BZ33" s="341">
        <f>SUM('CF Capex'!BX4:BX5)</f>
        <v>0</v>
      </c>
      <c r="CA33" s="341">
        <f>SUM('CF Capex'!BY4:BY5)</f>
        <v>0</v>
      </c>
      <c r="CB33" s="341">
        <f>SUM('CF Capex'!BZ4:BZ5)</f>
        <v>0</v>
      </c>
      <c r="CC33" s="341">
        <f>SUM('CF Capex'!CA4:CA5)</f>
        <v>0</v>
      </c>
      <c r="CD33" s="341">
        <f>SUM('CF Capex'!CB4:CB5)</f>
        <v>0</v>
      </c>
      <c r="CE33" s="341">
        <f>SUM('CF Capex'!CC4:CC5)</f>
        <v>0</v>
      </c>
      <c r="CF33" s="341">
        <f>SUM('CF Capex'!CD4:CD5)</f>
        <v>0</v>
      </c>
      <c r="CG33" s="341">
        <f>SUM('CF Capex'!CE4:CE5)</f>
        <v>0</v>
      </c>
      <c r="CH33" s="341">
        <f>SUM('CF Capex'!CF4:CF5)</f>
        <v>0</v>
      </c>
      <c r="CI33" s="341">
        <f>SUM('CF Capex'!CG4:CG5)</f>
        <v>0</v>
      </c>
      <c r="CJ33" s="341">
        <f>SUM('CF Capex'!CH4:CH5)</f>
        <v>0</v>
      </c>
      <c r="CK33" s="341">
        <f>SUM('CF Capex'!CI4:CI5)</f>
        <v>0</v>
      </c>
      <c r="CL33" s="341">
        <f>SUM('CF Capex'!CJ4:CJ5)</f>
        <v>0</v>
      </c>
      <c r="CM33" s="341">
        <f>SUM('CF Capex'!CK4:CK5)</f>
        <v>0</v>
      </c>
      <c r="CN33" s="341">
        <f>SUM('CF Capex'!CL4:CL5)</f>
        <v>0</v>
      </c>
      <c r="CO33" s="341">
        <f>SUM('CF Capex'!CM4:CM5)</f>
        <v>0</v>
      </c>
      <c r="CP33" s="341">
        <f>SUM('CF Capex'!CN4:CN5)</f>
        <v>0</v>
      </c>
      <c r="CQ33" s="341">
        <f>SUM('CF Capex'!CO4:CO5)</f>
        <v>0</v>
      </c>
      <c r="CR33" s="341">
        <f>SUM('CF Capex'!CP4:CP5)</f>
        <v>0</v>
      </c>
      <c r="CS33" s="341">
        <f>SUM('CF Capex'!CQ4:CQ5)</f>
        <v>0</v>
      </c>
      <c r="CT33" s="341">
        <f>SUM('CF Capex'!CR4:CR5)</f>
        <v>0</v>
      </c>
      <c r="CU33" s="341">
        <f>SUM('CF Capex'!CS4:CS5)</f>
        <v>0</v>
      </c>
      <c r="CV33" s="341">
        <f>SUM('CF Capex'!CT4:CT5)</f>
        <v>0</v>
      </c>
      <c r="CW33" s="341">
        <f>SUM('CF Capex'!CU4:CU5)</f>
        <v>0</v>
      </c>
      <c r="CX33" s="341">
        <f>SUM('CF Capex'!CV4:CV5)</f>
        <v>0</v>
      </c>
      <c r="CY33" s="341">
        <f>SUM('CF Capex'!CW4:CW5)</f>
        <v>0</v>
      </c>
      <c r="CZ33" s="341">
        <f>SUM('CF Capex'!CX4:CX5)</f>
        <v>0</v>
      </c>
      <c r="DA33" s="341">
        <f>SUM('CF Capex'!CY4:CY5)</f>
        <v>0</v>
      </c>
      <c r="DB33" s="341">
        <f>SUM('CF Capex'!CZ4:CZ5)</f>
        <v>0</v>
      </c>
      <c r="DC33" s="341">
        <f>SUM('CF Capex'!DA4:DA5)</f>
        <v>0</v>
      </c>
    </row>
    <row r="34" spans="1:107" outlineLevel="1">
      <c r="A34" s="310" t="s">
        <v>388</v>
      </c>
      <c r="B34" s="341">
        <v>0</v>
      </c>
      <c r="C34" s="341">
        <v>0</v>
      </c>
      <c r="D34" s="341">
        <v>0</v>
      </c>
      <c r="E34" s="341">
        <f>'CF Capex'!D6</f>
        <v>0</v>
      </c>
      <c r="F34" s="341">
        <f>'CF Capex'!E6</f>
        <v>0</v>
      </c>
      <c r="G34" s="341">
        <f>'CF Capex'!F6</f>
        <v>0</v>
      </c>
      <c r="H34" s="341">
        <f>'CF Capex'!G6</f>
        <v>0</v>
      </c>
      <c r="I34" s="341">
        <f>'CF Capex'!H6</f>
        <v>0</v>
      </c>
      <c r="J34" s="341">
        <f>'CF Capex'!I6</f>
        <v>0</v>
      </c>
      <c r="K34" s="341">
        <f>'CF Capex'!J6</f>
        <v>0</v>
      </c>
      <c r="L34" s="341">
        <f>'CF Capex'!K6</f>
        <v>0</v>
      </c>
      <c r="M34" s="341">
        <f>'CF Capex'!L6</f>
        <v>0</v>
      </c>
      <c r="N34" s="341">
        <f>'CF Capex'!M6</f>
        <v>0</v>
      </c>
      <c r="O34" s="341">
        <f>'CF Capex'!N6</f>
        <v>0</v>
      </c>
      <c r="P34" s="341">
        <f>'CF Capex'!O6</f>
        <v>0</v>
      </c>
      <c r="Q34" s="341">
        <f>'CF Capex'!P6</f>
        <v>0.67</v>
      </c>
      <c r="R34" s="341">
        <f>'CF Capex'!Q6</f>
        <v>0.17</v>
      </c>
      <c r="S34" s="341">
        <f>'CF Capex'!R6</f>
        <v>0.17</v>
      </c>
      <c r="T34" s="341">
        <f>'CF Capex'!S6</f>
        <v>0.17</v>
      </c>
      <c r="U34" s="341">
        <f>'CF Capex'!T6</f>
        <v>0.17</v>
      </c>
      <c r="V34" s="341">
        <f>'CF Capex'!U6</f>
        <v>0.17</v>
      </c>
      <c r="W34" s="341">
        <f>'CF Capex'!V6</f>
        <v>0.17</v>
      </c>
      <c r="X34" s="341">
        <f>'CF Capex'!W6</f>
        <v>0.17</v>
      </c>
      <c r="Y34" s="341">
        <f>'CF Capex'!X6</f>
        <v>0.17</v>
      </c>
      <c r="Z34" s="341">
        <f>'CF Capex'!Y6</f>
        <v>0.17</v>
      </c>
      <c r="AA34" s="341">
        <f>'CF Capex'!Z6</f>
        <v>0.17</v>
      </c>
      <c r="AB34" s="341">
        <f>'CF Capex'!AA6</f>
        <v>0.17</v>
      </c>
      <c r="AC34" s="341">
        <f>'CF Capex'!AB6</f>
        <v>0.17</v>
      </c>
      <c r="AD34" s="341">
        <f>'CF Capex'!AC6</f>
        <v>0.17</v>
      </c>
      <c r="AE34" s="341">
        <f>'CF Capex'!AD6</f>
        <v>0.37</v>
      </c>
      <c r="AF34" s="341">
        <f>'CF Capex'!AE6</f>
        <v>0.17</v>
      </c>
      <c r="AG34" s="341">
        <f>'CF Capex'!AE6</f>
        <v>0.17</v>
      </c>
      <c r="AH34" s="341">
        <f>'CF Capex'!AF6</f>
        <v>0.17</v>
      </c>
      <c r="AI34" s="341">
        <f>'CF Capex'!AG6</f>
        <v>0.17</v>
      </c>
      <c r="AJ34" s="341">
        <f>'CF Capex'!AH6</f>
        <v>0</v>
      </c>
      <c r="AK34" s="341">
        <f>'CF Capex'!AI6</f>
        <v>0</v>
      </c>
      <c r="AL34" s="341">
        <f>'CF Capex'!AJ6</f>
        <v>0</v>
      </c>
      <c r="AM34" s="341">
        <f>'CF Capex'!AK6</f>
        <v>0</v>
      </c>
      <c r="AN34" s="341">
        <f>'CF Capex'!AL6</f>
        <v>0</v>
      </c>
      <c r="AO34" s="341">
        <f>'CF Capex'!AM6</f>
        <v>0</v>
      </c>
      <c r="AP34" s="341">
        <f>'CF Capex'!AN6</f>
        <v>0</v>
      </c>
      <c r="AQ34" s="341">
        <f>'CF Capex'!AO6</f>
        <v>0</v>
      </c>
      <c r="AR34" s="341">
        <f>'CF Capex'!AP6</f>
        <v>0</v>
      </c>
      <c r="AS34" s="341">
        <f>'CF Capex'!AQ6</f>
        <v>0</v>
      </c>
      <c r="AT34" s="341">
        <f>'CF Capex'!AR6</f>
        <v>0</v>
      </c>
      <c r="AU34" s="341">
        <f>'CF Capex'!AS6</f>
        <v>0</v>
      </c>
      <c r="AV34" s="341">
        <f>'CF Capex'!AT6</f>
        <v>0</v>
      </c>
      <c r="AW34" s="341">
        <f>'CF Capex'!AU6</f>
        <v>0</v>
      </c>
      <c r="AX34" s="341">
        <f>'CF Capex'!AV6</f>
        <v>0</v>
      </c>
      <c r="AY34" s="341">
        <f>'CF Capex'!AW6</f>
        <v>0</v>
      </c>
      <c r="AZ34" s="341">
        <f>'CF Capex'!AX6</f>
        <v>0</v>
      </c>
      <c r="BA34" s="341">
        <f>'CF Capex'!AY6</f>
        <v>0</v>
      </c>
      <c r="BB34" s="341">
        <f>'CF Capex'!AZ6</f>
        <v>0</v>
      </c>
      <c r="BC34" s="341">
        <f>'CF Capex'!BA6</f>
        <v>0</v>
      </c>
      <c r="BD34" s="341">
        <f>'CF Capex'!BB6</f>
        <v>0</v>
      </c>
      <c r="BE34" s="341">
        <f>'CF Capex'!BC6</f>
        <v>0</v>
      </c>
      <c r="BF34" s="341">
        <f>'CF Capex'!BD6</f>
        <v>0</v>
      </c>
      <c r="BG34" s="341">
        <f>'CF Capex'!BE6</f>
        <v>0</v>
      </c>
      <c r="BH34" s="341">
        <f>'CF Capex'!BF6</f>
        <v>0</v>
      </c>
      <c r="BI34" s="341">
        <f>'CF Capex'!BG6</f>
        <v>0</v>
      </c>
      <c r="BJ34" s="341">
        <f>'CF Capex'!BH6</f>
        <v>0</v>
      </c>
      <c r="BK34" s="341">
        <f>'CF Capex'!BI6</f>
        <v>0</v>
      </c>
      <c r="BL34" s="341">
        <f>'CF Capex'!BJ6</f>
        <v>0</v>
      </c>
      <c r="BM34" s="341">
        <f>'CF Capex'!BK6</f>
        <v>0</v>
      </c>
      <c r="BN34" s="341">
        <f>'CF Capex'!BL6</f>
        <v>0</v>
      </c>
      <c r="BO34" s="341">
        <f>'CF Capex'!BM6</f>
        <v>0</v>
      </c>
      <c r="BP34" s="341">
        <f>'CF Capex'!BN6</f>
        <v>0</v>
      </c>
      <c r="BQ34" s="341">
        <f>'CF Capex'!BO6</f>
        <v>0</v>
      </c>
      <c r="BR34" s="341">
        <f>'CF Capex'!BP6</f>
        <v>0</v>
      </c>
      <c r="BS34" s="341">
        <f>'CF Capex'!BQ6</f>
        <v>0</v>
      </c>
      <c r="BT34" s="341">
        <f>'CF Capex'!BR6</f>
        <v>0</v>
      </c>
      <c r="BU34" s="341">
        <f>'CF Capex'!BS6</f>
        <v>0</v>
      </c>
      <c r="BV34" s="341">
        <f>'CF Capex'!BT6</f>
        <v>0</v>
      </c>
      <c r="BW34" s="341">
        <f>'CF Capex'!BU6</f>
        <v>0</v>
      </c>
      <c r="BX34" s="341">
        <f>'CF Capex'!BV6</f>
        <v>0</v>
      </c>
      <c r="BY34" s="341">
        <f>'CF Capex'!BW6</f>
        <v>0</v>
      </c>
      <c r="BZ34" s="341">
        <f>'CF Capex'!BX6</f>
        <v>0</v>
      </c>
      <c r="CA34" s="341">
        <f>'CF Capex'!BY6</f>
        <v>0</v>
      </c>
      <c r="CB34" s="341">
        <f>'CF Capex'!BZ6</f>
        <v>0</v>
      </c>
      <c r="CC34" s="341">
        <f>'CF Capex'!CA6</f>
        <v>0</v>
      </c>
      <c r="CD34" s="341">
        <f>'CF Capex'!CB6</f>
        <v>0</v>
      </c>
      <c r="CE34" s="341">
        <f>'CF Capex'!CC6</f>
        <v>0</v>
      </c>
      <c r="CF34" s="341">
        <f>'CF Capex'!CD6</f>
        <v>0</v>
      </c>
      <c r="CG34" s="341">
        <f>'CF Capex'!CE6</f>
        <v>0</v>
      </c>
      <c r="CH34" s="341">
        <f>'CF Capex'!CF6</f>
        <v>0</v>
      </c>
      <c r="CI34" s="341">
        <f>'CF Capex'!CG6</f>
        <v>0</v>
      </c>
      <c r="CJ34" s="341">
        <f>'CF Capex'!CH6</f>
        <v>0</v>
      </c>
      <c r="CK34" s="341">
        <f>'CF Capex'!CI6</f>
        <v>0</v>
      </c>
      <c r="CL34" s="341">
        <f>'CF Capex'!CJ6</f>
        <v>0</v>
      </c>
      <c r="CM34" s="341">
        <f>'CF Capex'!CK6</f>
        <v>0</v>
      </c>
      <c r="CN34" s="341">
        <f>'CF Capex'!CL6</f>
        <v>0</v>
      </c>
      <c r="CO34" s="341">
        <f>'CF Capex'!CM6</f>
        <v>0</v>
      </c>
      <c r="CP34" s="341">
        <f>'CF Capex'!CN6</f>
        <v>0</v>
      </c>
      <c r="CQ34" s="341">
        <f>'CF Capex'!CO6</f>
        <v>0</v>
      </c>
      <c r="CR34" s="341">
        <f>'CF Capex'!CP6</f>
        <v>0</v>
      </c>
      <c r="CS34" s="341">
        <f>'CF Capex'!CQ6</f>
        <v>0</v>
      </c>
      <c r="CT34" s="341">
        <f>'CF Capex'!CR6</f>
        <v>0</v>
      </c>
      <c r="CU34" s="341">
        <f>'CF Capex'!CS6</f>
        <v>0</v>
      </c>
      <c r="CV34" s="341">
        <f>'CF Capex'!CT6</f>
        <v>0</v>
      </c>
      <c r="CW34" s="341">
        <f>'CF Capex'!CU6</f>
        <v>0</v>
      </c>
      <c r="CX34" s="341">
        <f>'CF Capex'!CV6</f>
        <v>0</v>
      </c>
      <c r="CY34" s="341">
        <f>'CF Capex'!CW6</f>
        <v>0</v>
      </c>
      <c r="CZ34" s="341">
        <f>'CF Capex'!CX6</f>
        <v>0</v>
      </c>
      <c r="DA34" s="341">
        <f>'CF Capex'!CY6</f>
        <v>0</v>
      </c>
      <c r="DB34" s="341">
        <f>'CF Capex'!CZ6</f>
        <v>0</v>
      </c>
      <c r="DC34" s="341">
        <f>'CF Capex'!DA6</f>
        <v>0</v>
      </c>
    </row>
    <row r="36" spans="1:107">
      <c r="A36" s="310"/>
      <c r="K36" s="341"/>
      <c r="W36" s="341"/>
      <c r="AI36" s="341"/>
      <c r="AU36" s="341"/>
      <c r="BG36" s="341"/>
      <c r="BS36" s="341"/>
      <c r="CE36" s="341"/>
      <c r="CQ36" s="341"/>
      <c r="DC36" s="341"/>
    </row>
    <row r="37" spans="1:107" hidden="1"/>
    <row r="38" spans="1:107" ht="15" hidden="1">
      <c r="L38" s="348">
        <v>1.85</v>
      </c>
    </row>
    <row r="39" spans="1:107" ht="15" hidden="1">
      <c r="L39" s="348">
        <v>1.71</v>
      </c>
    </row>
    <row r="40" spans="1:107" ht="15" hidden="1">
      <c r="L40" s="348">
        <v>7.05</v>
      </c>
    </row>
    <row r="41" spans="1:107" ht="15" hidden="1">
      <c r="L41" s="348">
        <v>7.14</v>
      </c>
    </row>
    <row r="42" spans="1:107" ht="15" hidden="1">
      <c r="L42" s="348">
        <v>10.83</v>
      </c>
    </row>
    <row r="43" spans="1:107" ht="15" hidden="1">
      <c r="L43" s="348">
        <v>4.2</v>
      </c>
    </row>
    <row r="44" spans="1:107" ht="15" hidden="1">
      <c r="L44" s="348">
        <v>1.43</v>
      </c>
    </row>
    <row r="45" spans="1:107" ht="15" hidden="1">
      <c r="L45" s="348">
        <v>0.69</v>
      </c>
    </row>
    <row r="46" spans="1:107" ht="15" hidden="1">
      <c r="L46" s="348">
        <v>1.4</v>
      </c>
    </row>
    <row r="47" spans="1:107" ht="15" hidden="1">
      <c r="L47" s="348">
        <v>2.08</v>
      </c>
    </row>
    <row r="48" spans="1:107" ht="15" hidden="1">
      <c r="L48" s="348">
        <v>3.4</v>
      </c>
    </row>
    <row r="49" spans="13:24" hidden="1">
      <c r="M49" s="342">
        <f>54.15-41.72</f>
        <v>12.43</v>
      </c>
    </row>
    <row r="50" spans="13:24" hidden="1">
      <c r="M50" s="342">
        <f>M49-7.29</f>
        <v>5.14</v>
      </c>
    </row>
    <row r="51" spans="13:24" hidden="1"/>
    <row r="52" spans="13:24" hidden="1"/>
    <row r="53" spans="13:24" hidden="1"/>
    <row r="54" spans="13:24" hidden="1"/>
    <row r="55" spans="13:24" ht="15">
      <c r="M55"/>
    </row>
    <row r="57" spans="13:24">
      <c r="W57" s="349">
        <v>4478.6414999999997</v>
      </c>
    </row>
    <row r="58" spans="13:24">
      <c r="W58" s="349">
        <v>2971</v>
      </c>
    </row>
    <row r="62" spans="13:24">
      <c r="X62" s="347"/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32"/>
  <sheetViews>
    <sheetView topLeftCell="A10" workbookViewId="0">
      <selection activeCell="U29" sqref="U29"/>
    </sheetView>
  </sheetViews>
  <sheetFormatPr defaultRowHeight="12"/>
  <cols>
    <col min="1" max="1" width="18.5703125" style="537" bestFit="1" customWidth="1"/>
    <col min="2" max="2" width="5.85546875" style="537" bestFit="1" customWidth="1"/>
    <col min="3" max="3" width="6.140625" style="537" bestFit="1" customWidth="1"/>
    <col min="4" max="4" width="6" style="537" bestFit="1" customWidth="1"/>
    <col min="5" max="6" width="6.42578125" style="537" bestFit="1" customWidth="1"/>
    <col min="7" max="9" width="6" style="537" bestFit="1" customWidth="1"/>
    <col min="10" max="10" width="5.85546875" style="537" bestFit="1" customWidth="1"/>
    <col min="11" max="12" width="6.140625" style="537" bestFit="1" customWidth="1"/>
    <col min="13" max="13" width="6" style="537" bestFit="1" customWidth="1"/>
    <col min="14" max="14" width="5.85546875" style="537" bestFit="1" customWidth="1"/>
    <col min="15" max="16" width="6.140625" style="537" bestFit="1" customWidth="1"/>
    <col min="17" max="18" width="9.140625" style="537"/>
    <col min="19" max="19" width="6.85546875" style="537" bestFit="1" customWidth="1"/>
    <col min="20" max="20" width="4.5703125" style="537" bestFit="1" customWidth="1"/>
    <col min="21" max="16384" width="9.140625" style="537"/>
  </cols>
  <sheetData>
    <row r="1" spans="1:19">
      <c r="A1" s="536" t="s">
        <v>854</v>
      </c>
    </row>
    <row r="2" spans="1:19">
      <c r="A2" s="535" t="s">
        <v>188</v>
      </c>
      <c r="B2" s="512">
        <v>45292</v>
      </c>
      <c r="C2" s="512">
        <f>B2+31</f>
        <v>45323</v>
      </c>
      <c r="D2" s="512">
        <f t="shared" ref="D2:M2" si="0">C2+30</f>
        <v>45353</v>
      </c>
      <c r="E2" s="512">
        <f>D2+31</f>
        <v>45384</v>
      </c>
      <c r="F2" s="512">
        <f>E2+31</f>
        <v>45415</v>
      </c>
      <c r="G2" s="512">
        <f t="shared" si="0"/>
        <v>45445</v>
      </c>
      <c r="H2" s="512">
        <f>G2+31</f>
        <v>45476</v>
      </c>
      <c r="I2" s="512">
        <f>H2+31</f>
        <v>45507</v>
      </c>
      <c r="J2" s="512">
        <f t="shared" si="0"/>
        <v>45537</v>
      </c>
      <c r="K2" s="512">
        <f>J2+31</f>
        <v>45568</v>
      </c>
      <c r="L2" s="512">
        <f>K2+31</f>
        <v>45599</v>
      </c>
      <c r="M2" s="512">
        <f t="shared" si="0"/>
        <v>45629</v>
      </c>
      <c r="N2" s="512">
        <f>M2+31</f>
        <v>45660</v>
      </c>
      <c r="O2" s="512">
        <f>N2+31</f>
        <v>45691</v>
      </c>
      <c r="P2" s="512">
        <f>O2+31</f>
        <v>45722</v>
      </c>
    </row>
    <row r="3" spans="1:19">
      <c r="A3" s="537" t="s">
        <v>838</v>
      </c>
      <c r="B3" s="515"/>
      <c r="C3" s="515">
        <v>0.45921692105395195</v>
      </c>
      <c r="D3" s="515">
        <v>0.42561460000000001</v>
      </c>
      <c r="E3" s="515">
        <v>0.99990319999999999</v>
      </c>
      <c r="F3" s="515">
        <v>1.8496893999999999</v>
      </c>
      <c r="G3" s="515">
        <v>2.9628730000000001</v>
      </c>
      <c r="H3" s="515">
        <v>3.386923525152</v>
      </c>
      <c r="I3" s="515">
        <v>3.761218212528</v>
      </c>
      <c r="J3" s="515">
        <v>3.813957772877504</v>
      </c>
      <c r="K3" s="515">
        <v>2.7994411251520002</v>
      </c>
      <c r="L3" s="515">
        <v>3.1258952511909119</v>
      </c>
      <c r="M3" s="515">
        <v>2.6970230000000002</v>
      </c>
      <c r="N3" s="515">
        <v>2.5811272000000001</v>
      </c>
      <c r="O3" s="515">
        <v>0.80730599999999997</v>
      </c>
      <c r="P3" s="515">
        <f>0.5255982+Q3</f>
        <v>1.0809888270000001</v>
      </c>
      <c r="Q3" s="515">
        <v>0.55539062699999997</v>
      </c>
    </row>
    <row r="4" spans="1:19">
      <c r="A4" s="537" t="s">
        <v>839</v>
      </c>
      <c r="B4" s="515"/>
      <c r="C4" s="515">
        <v>0</v>
      </c>
      <c r="D4" s="515">
        <v>1.7146874999999999</v>
      </c>
      <c r="E4" s="515">
        <v>6.3282087000000011</v>
      </c>
      <c r="F4" s="515">
        <v>11.162723740000001</v>
      </c>
      <c r="G4" s="515">
        <v>8.6138983299999996</v>
      </c>
      <c r="H4" s="515">
        <v>8.8702451599999996</v>
      </c>
      <c r="I4" s="515">
        <v>6.114004682</v>
      </c>
      <c r="J4" s="515">
        <v>4.9984188588488792</v>
      </c>
      <c r="K4" s="515">
        <v>1.2416391499999999</v>
      </c>
      <c r="L4" s="515">
        <v>1.2327401799999997</v>
      </c>
      <c r="M4" s="515">
        <v>1.2416391499999999</v>
      </c>
      <c r="N4" s="515">
        <v>1.0674477199999999</v>
      </c>
      <c r="O4" s="515">
        <v>1.0763466899999998</v>
      </c>
      <c r="P4" s="515">
        <f>0.51829848+Q4</f>
        <v>0.84223502999999988</v>
      </c>
      <c r="Q4" s="515">
        <v>0.32393654999999993</v>
      </c>
    </row>
    <row r="5" spans="1:19">
      <c r="A5" s="537" t="s">
        <v>696</v>
      </c>
      <c r="B5" s="515"/>
      <c r="C5" s="515">
        <v>0</v>
      </c>
      <c r="D5" s="515">
        <v>0</v>
      </c>
      <c r="E5" s="515">
        <v>0</v>
      </c>
      <c r="F5" s="515">
        <v>1.2488896753616525</v>
      </c>
      <c r="G5" s="515">
        <v>1.1011452887781485</v>
      </c>
      <c r="H5" s="515">
        <v>2.2366204763829565</v>
      </c>
      <c r="I5" s="515">
        <v>2.0214879419805101</v>
      </c>
      <c r="J5" s="515">
        <v>0</v>
      </c>
      <c r="K5" s="515">
        <v>0</v>
      </c>
      <c r="L5" s="515">
        <v>0</v>
      </c>
      <c r="M5" s="515">
        <v>0</v>
      </c>
      <c r="N5" s="515">
        <v>0</v>
      </c>
      <c r="O5" s="515">
        <v>0</v>
      </c>
      <c r="P5" s="515">
        <v>0</v>
      </c>
      <c r="Q5" s="515">
        <v>0</v>
      </c>
    </row>
    <row r="6" spans="1:19">
      <c r="A6" s="537" t="s">
        <v>837</v>
      </c>
      <c r="B6" s="515"/>
      <c r="C6" s="515">
        <v>0</v>
      </c>
      <c r="D6" s="515">
        <v>0.33148646400000004</v>
      </c>
      <c r="E6" s="515">
        <v>2.0781547385599999</v>
      </c>
      <c r="F6" s="515">
        <v>1.1809039261696002</v>
      </c>
      <c r="G6" s="515">
        <v>0.68982251711999998</v>
      </c>
      <c r="H6" s="515">
        <v>1.8996113186368</v>
      </c>
      <c r="I6" s="515">
        <v>0</v>
      </c>
      <c r="J6" s="515">
        <v>0</v>
      </c>
      <c r="K6" s="515">
        <v>0</v>
      </c>
      <c r="L6" s="515">
        <v>0</v>
      </c>
      <c r="M6" s="515">
        <v>0</v>
      </c>
      <c r="N6" s="515">
        <v>0</v>
      </c>
      <c r="O6" s="515">
        <v>0</v>
      </c>
      <c r="P6" s="515">
        <v>0</v>
      </c>
      <c r="Q6" s="515">
        <v>0</v>
      </c>
    </row>
    <row r="7" spans="1:19">
      <c r="A7" s="537" t="s">
        <v>695</v>
      </c>
      <c r="B7" s="515"/>
      <c r="C7" s="515">
        <v>1.1334364592857151</v>
      </c>
      <c r="D7" s="515">
        <v>0.93343645928571506</v>
      </c>
      <c r="E7" s="515">
        <v>0.8615138822857149</v>
      </c>
      <c r="F7" s="515">
        <v>1.252658657685715</v>
      </c>
      <c r="G7" s="515">
        <v>2.3334364592857058</v>
      </c>
      <c r="H7" s="515">
        <v>2.637836459285706</v>
      </c>
      <c r="I7" s="515">
        <v>1.5851305310857149</v>
      </c>
      <c r="J7" s="515">
        <v>0</v>
      </c>
      <c r="K7" s="515">
        <v>0</v>
      </c>
      <c r="L7" s="515">
        <v>0</v>
      </c>
      <c r="M7" s="515">
        <v>0</v>
      </c>
      <c r="N7" s="515">
        <v>0</v>
      </c>
      <c r="O7" s="515">
        <v>0</v>
      </c>
      <c r="P7" s="515">
        <v>0</v>
      </c>
      <c r="Q7" s="515">
        <v>0</v>
      </c>
    </row>
    <row r="8" spans="1:19">
      <c r="A8" s="537" t="s">
        <v>698</v>
      </c>
      <c r="B8" s="515"/>
      <c r="C8" s="515">
        <v>0</v>
      </c>
      <c r="D8" s="515">
        <v>0</v>
      </c>
      <c r="E8" s="515">
        <v>0</v>
      </c>
      <c r="F8" s="515">
        <v>1.0932999999999999</v>
      </c>
      <c r="G8" s="515">
        <v>3.4733000000000001</v>
      </c>
      <c r="H8" s="515">
        <v>0</v>
      </c>
      <c r="I8" s="515">
        <v>0</v>
      </c>
      <c r="J8" s="515">
        <v>0</v>
      </c>
      <c r="K8" s="515">
        <v>0</v>
      </c>
      <c r="L8" s="515">
        <v>0</v>
      </c>
      <c r="M8" s="515">
        <v>0</v>
      </c>
      <c r="N8" s="515">
        <v>0</v>
      </c>
      <c r="O8" s="515">
        <v>0</v>
      </c>
      <c r="P8" s="515">
        <v>0</v>
      </c>
      <c r="Q8" s="515">
        <v>0</v>
      </c>
    </row>
    <row r="9" spans="1:19" ht="12.75" thickBot="1">
      <c r="A9" s="535" t="s">
        <v>104</v>
      </c>
      <c r="B9" s="526">
        <f>SUM(B3:B8)</f>
        <v>0</v>
      </c>
      <c r="C9" s="526">
        <f t="shared" ref="C9:P9" si="1">SUM(C3:C8)</f>
        <v>1.5926533803396672</v>
      </c>
      <c r="D9" s="526">
        <f t="shared" si="1"/>
        <v>3.4052250232857153</v>
      </c>
      <c r="E9" s="526">
        <f t="shared" si="1"/>
        <v>10.267780520845717</v>
      </c>
      <c r="F9" s="526">
        <f t="shared" si="1"/>
        <v>17.788165399216968</v>
      </c>
      <c r="G9" s="526">
        <f t="shared" si="1"/>
        <v>19.174475595183853</v>
      </c>
      <c r="H9" s="526">
        <f t="shared" si="1"/>
        <v>19.031236939457461</v>
      </c>
      <c r="I9" s="526">
        <f t="shared" si="1"/>
        <v>13.481841367594226</v>
      </c>
      <c r="J9" s="526">
        <f t="shared" si="1"/>
        <v>8.8123766317263836</v>
      </c>
      <c r="K9" s="526">
        <f t="shared" si="1"/>
        <v>4.0410802751519999</v>
      </c>
      <c r="L9" s="526">
        <f t="shared" si="1"/>
        <v>4.3586354311909119</v>
      </c>
      <c r="M9" s="526">
        <f t="shared" si="1"/>
        <v>3.9386621499999999</v>
      </c>
      <c r="N9" s="526">
        <f t="shared" si="1"/>
        <v>3.6485749199999997</v>
      </c>
      <c r="O9" s="526">
        <f t="shared" si="1"/>
        <v>1.8836526899999999</v>
      </c>
      <c r="P9" s="526">
        <f t="shared" si="1"/>
        <v>1.923223857</v>
      </c>
      <c r="S9" s="538">
        <f>SUM(B9:P9)</f>
        <v>113.34758418099291</v>
      </c>
    </row>
    <row r="10" spans="1:19" ht="12.75" thickTop="1"/>
    <row r="11" spans="1:19">
      <c r="A11" s="536" t="s">
        <v>855</v>
      </c>
      <c r="C11" s="541">
        <v>0.1</v>
      </c>
    </row>
    <row r="13" spans="1:19">
      <c r="A13" s="535" t="s">
        <v>188</v>
      </c>
      <c r="B13" s="512">
        <f>B2</f>
        <v>45292</v>
      </c>
      <c r="C13" s="512">
        <f t="shared" ref="C13:P13" si="2">C2</f>
        <v>45323</v>
      </c>
      <c r="D13" s="512">
        <f t="shared" si="2"/>
        <v>45353</v>
      </c>
      <c r="E13" s="512">
        <f t="shared" si="2"/>
        <v>45384</v>
      </c>
      <c r="F13" s="512">
        <f t="shared" si="2"/>
        <v>45415</v>
      </c>
      <c r="G13" s="512">
        <f t="shared" si="2"/>
        <v>45445</v>
      </c>
      <c r="H13" s="512">
        <f t="shared" si="2"/>
        <v>45476</v>
      </c>
      <c r="I13" s="512">
        <f t="shared" si="2"/>
        <v>45507</v>
      </c>
      <c r="J13" s="512">
        <f t="shared" si="2"/>
        <v>45537</v>
      </c>
      <c r="K13" s="512">
        <f t="shared" si="2"/>
        <v>45568</v>
      </c>
      <c r="L13" s="512">
        <f t="shared" si="2"/>
        <v>45599</v>
      </c>
      <c r="M13" s="512">
        <f t="shared" si="2"/>
        <v>45629</v>
      </c>
      <c r="N13" s="512">
        <f t="shared" si="2"/>
        <v>45660</v>
      </c>
      <c r="O13" s="512">
        <f t="shared" si="2"/>
        <v>45691</v>
      </c>
      <c r="P13" s="512">
        <f t="shared" si="2"/>
        <v>45722</v>
      </c>
    </row>
    <row r="14" spans="1:19">
      <c r="A14" s="537" t="s">
        <v>838</v>
      </c>
      <c r="B14" s="515">
        <f>B3*(1+$C$11)</f>
        <v>0</v>
      </c>
      <c r="C14" s="515">
        <f t="shared" ref="C14:P14" si="3">C3*(1+$C$11)</f>
        <v>0.50513861315934716</v>
      </c>
      <c r="D14" s="515">
        <f t="shared" si="3"/>
        <v>0.46817606000000006</v>
      </c>
      <c r="E14" s="515">
        <f t="shared" si="3"/>
        <v>1.0998935200000002</v>
      </c>
      <c r="F14" s="515">
        <f t="shared" si="3"/>
        <v>2.03465834</v>
      </c>
      <c r="G14" s="515">
        <f t="shared" si="3"/>
        <v>3.2591603000000005</v>
      </c>
      <c r="H14" s="515">
        <f t="shared" si="3"/>
        <v>3.7256158776672001</v>
      </c>
      <c r="I14" s="515">
        <f t="shared" si="3"/>
        <v>4.1373400337808004</v>
      </c>
      <c r="J14" s="515">
        <f t="shared" si="3"/>
        <v>4.1953535501652546</v>
      </c>
      <c r="K14" s="515">
        <f t="shared" si="3"/>
        <v>3.0793852376672004</v>
      </c>
      <c r="L14" s="515">
        <f t="shared" si="3"/>
        <v>3.4384847763100033</v>
      </c>
      <c r="M14" s="515">
        <f t="shared" si="3"/>
        <v>2.9667253000000002</v>
      </c>
      <c r="N14" s="515">
        <f t="shared" si="3"/>
        <v>2.8392399200000003</v>
      </c>
      <c r="O14" s="515">
        <f t="shared" si="3"/>
        <v>0.88803660000000006</v>
      </c>
      <c r="P14" s="515">
        <f t="shared" si="3"/>
        <v>1.1890877097000001</v>
      </c>
    </row>
    <row r="15" spans="1:19">
      <c r="A15" s="537" t="s">
        <v>839</v>
      </c>
      <c r="B15" s="515">
        <f t="shared" ref="B15:P19" si="4">B4*(1+$C$11)</f>
        <v>0</v>
      </c>
      <c r="C15" s="515">
        <f t="shared" si="4"/>
        <v>0</v>
      </c>
      <c r="D15" s="515">
        <f t="shared" si="4"/>
        <v>1.88615625</v>
      </c>
      <c r="E15" s="515">
        <f t="shared" si="4"/>
        <v>6.9610295700000018</v>
      </c>
      <c r="F15" s="515">
        <f t="shared" si="4"/>
        <v>12.278996114000002</v>
      </c>
      <c r="G15" s="515">
        <f t="shared" si="4"/>
        <v>9.4752881630000001</v>
      </c>
      <c r="H15" s="515">
        <f t="shared" si="4"/>
        <v>9.7572696759999999</v>
      </c>
      <c r="I15" s="515">
        <f t="shared" si="4"/>
        <v>6.7254051502000003</v>
      </c>
      <c r="J15" s="515">
        <f t="shared" si="4"/>
        <v>5.4982607447337672</v>
      </c>
      <c r="K15" s="515">
        <f t="shared" si="4"/>
        <v>1.3658030649999999</v>
      </c>
      <c r="L15" s="515">
        <f t="shared" si="4"/>
        <v>1.3560141979999998</v>
      </c>
      <c r="M15" s="515">
        <f t="shared" si="4"/>
        <v>1.3658030649999999</v>
      </c>
      <c r="N15" s="515">
        <f t="shared" si="4"/>
        <v>1.174192492</v>
      </c>
      <c r="O15" s="515">
        <f t="shared" si="4"/>
        <v>1.1839813589999999</v>
      </c>
      <c r="P15" s="515">
        <f t="shared" si="4"/>
        <v>0.92645853299999992</v>
      </c>
    </row>
    <row r="16" spans="1:19">
      <c r="A16" s="537" t="s">
        <v>696</v>
      </c>
      <c r="B16" s="515">
        <f t="shared" si="4"/>
        <v>0</v>
      </c>
      <c r="C16" s="515">
        <f t="shared" si="4"/>
        <v>0</v>
      </c>
      <c r="D16" s="515">
        <f t="shared" si="4"/>
        <v>0</v>
      </c>
      <c r="E16" s="515">
        <f t="shared" si="4"/>
        <v>0</v>
      </c>
      <c r="F16" s="515">
        <f t="shared" si="4"/>
        <v>1.3737786428978178</v>
      </c>
      <c r="G16" s="515">
        <f t="shared" si="4"/>
        <v>1.2112598176559635</v>
      </c>
      <c r="H16" s="515">
        <f t="shared" si="4"/>
        <v>2.4602825240212525</v>
      </c>
      <c r="I16" s="515">
        <f t="shared" si="4"/>
        <v>2.2236367361785612</v>
      </c>
      <c r="J16" s="515">
        <f t="shared" si="4"/>
        <v>0</v>
      </c>
      <c r="K16" s="515">
        <f t="shared" si="4"/>
        <v>0</v>
      </c>
      <c r="L16" s="515">
        <f t="shared" si="4"/>
        <v>0</v>
      </c>
      <c r="M16" s="515">
        <f t="shared" si="4"/>
        <v>0</v>
      </c>
      <c r="N16" s="515">
        <f t="shared" si="4"/>
        <v>0</v>
      </c>
      <c r="O16" s="515">
        <f t="shared" si="4"/>
        <v>0</v>
      </c>
      <c r="P16" s="515">
        <f t="shared" si="4"/>
        <v>0</v>
      </c>
    </row>
    <row r="17" spans="1:21">
      <c r="A17" s="537" t="s">
        <v>837</v>
      </c>
      <c r="B17" s="515">
        <f t="shared" si="4"/>
        <v>0</v>
      </c>
      <c r="C17" s="515">
        <f t="shared" si="4"/>
        <v>0</v>
      </c>
      <c r="D17" s="515">
        <f t="shared" si="4"/>
        <v>0.36463511040000007</v>
      </c>
      <c r="E17" s="515">
        <f t="shared" si="4"/>
        <v>2.2859702124160002</v>
      </c>
      <c r="F17" s="515">
        <f t="shared" si="4"/>
        <v>1.2989943187865602</v>
      </c>
      <c r="G17" s="515">
        <f t="shared" si="4"/>
        <v>0.75880476883199999</v>
      </c>
      <c r="H17" s="515">
        <f t="shared" si="4"/>
        <v>2.08957245050048</v>
      </c>
      <c r="I17" s="515">
        <f t="shared" si="4"/>
        <v>0</v>
      </c>
      <c r="J17" s="515">
        <f t="shared" si="4"/>
        <v>0</v>
      </c>
      <c r="K17" s="515">
        <f t="shared" si="4"/>
        <v>0</v>
      </c>
      <c r="L17" s="515">
        <f t="shared" si="4"/>
        <v>0</v>
      </c>
      <c r="M17" s="515">
        <f t="shared" si="4"/>
        <v>0</v>
      </c>
      <c r="N17" s="515">
        <f t="shared" si="4"/>
        <v>0</v>
      </c>
      <c r="O17" s="515">
        <f t="shared" si="4"/>
        <v>0</v>
      </c>
      <c r="P17" s="515">
        <f t="shared" si="4"/>
        <v>0</v>
      </c>
    </row>
    <row r="18" spans="1:21">
      <c r="A18" s="537" t="s">
        <v>695</v>
      </c>
      <c r="B18" s="515">
        <f t="shared" si="4"/>
        <v>0</v>
      </c>
      <c r="C18" s="515">
        <f t="shared" si="4"/>
        <v>1.2467801052142868</v>
      </c>
      <c r="D18" s="515">
        <f t="shared" si="4"/>
        <v>1.0267801052142866</v>
      </c>
      <c r="E18" s="515">
        <f t="shared" si="4"/>
        <v>0.94766527051428651</v>
      </c>
      <c r="F18" s="515">
        <f t="shared" si="4"/>
        <v>1.3779245234542867</v>
      </c>
      <c r="G18" s="515">
        <f t="shared" si="4"/>
        <v>2.5667801052142765</v>
      </c>
      <c r="H18" s="515">
        <f t="shared" si="4"/>
        <v>2.9016201052142767</v>
      </c>
      <c r="I18" s="515">
        <f t="shared" si="4"/>
        <v>1.7436435841942866</v>
      </c>
      <c r="J18" s="515">
        <f t="shared" si="4"/>
        <v>0</v>
      </c>
      <c r="K18" s="515">
        <f t="shared" si="4"/>
        <v>0</v>
      </c>
      <c r="L18" s="515">
        <f t="shared" si="4"/>
        <v>0</v>
      </c>
      <c r="M18" s="515">
        <f t="shared" si="4"/>
        <v>0</v>
      </c>
      <c r="N18" s="515">
        <f t="shared" si="4"/>
        <v>0</v>
      </c>
      <c r="O18" s="515">
        <f t="shared" si="4"/>
        <v>0</v>
      </c>
      <c r="P18" s="515">
        <f t="shared" si="4"/>
        <v>0</v>
      </c>
    </row>
    <row r="19" spans="1:21">
      <c r="A19" s="537" t="s">
        <v>698</v>
      </c>
      <c r="B19" s="515">
        <f t="shared" si="4"/>
        <v>0</v>
      </c>
      <c r="C19" s="515">
        <f t="shared" si="4"/>
        <v>0</v>
      </c>
      <c r="D19" s="515">
        <f t="shared" si="4"/>
        <v>0</v>
      </c>
      <c r="E19" s="515">
        <f t="shared" si="4"/>
        <v>0</v>
      </c>
      <c r="F19" s="515">
        <f t="shared" si="4"/>
        <v>1.2026300000000001</v>
      </c>
      <c r="G19" s="515">
        <f t="shared" si="4"/>
        <v>3.8206300000000004</v>
      </c>
      <c r="H19" s="515">
        <f t="shared" si="4"/>
        <v>0</v>
      </c>
      <c r="I19" s="515">
        <f t="shared" si="4"/>
        <v>0</v>
      </c>
      <c r="J19" s="515">
        <f t="shared" si="4"/>
        <v>0</v>
      </c>
      <c r="K19" s="515">
        <f t="shared" si="4"/>
        <v>0</v>
      </c>
      <c r="L19" s="515">
        <f t="shared" si="4"/>
        <v>0</v>
      </c>
      <c r="M19" s="515">
        <f t="shared" si="4"/>
        <v>0</v>
      </c>
      <c r="N19" s="515">
        <f t="shared" si="4"/>
        <v>0</v>
      </c>
      <c r="O19" s="515">
        <f t="shared" si="4"/>
        <v>0</v>
      </c>
      <c r="P19" s="515">
        <f t="shared" si="4"/>
        <v>0</v>
      </c>
    </row>
    <row r="20" spans="1:21" ht="12.75" thickBot="1">
      <c r="A20" s="535" t="s">
        <v>104</v>
      </c>
      <c r="B20" s="526">
        <f>SUM(B14:B19)</f>
        <v>0</v>
      </c>
      <c r="C20" s="526">
        <f t="shared" ref="C20:P20" si="5">SUM(C14:C19)</f>
        <v>1.751918718373634</v>
      </c>
      <c r="D20" s="526">
        <f t="shared" si="5"/>
        <v>3.7457475256142869</v>
      </c>
      <c r="E20" s="526">
        <f t="shared" si="5"/>
        <v>11.29455857293029</v>
      </c>
      <c r="F20" s="526">
        <f t="shared" si="5"/>
        <v>19.566981939138667</v>
      </c>
      <c r="G20" s="526">
        <f t="shared" si="5"/>
        <v>21.091923154702243</v>
      </c>
      <c r="H20" s="526">
        <f t="shared" si="5"/>
        <v>20.934360633403209</v>
      </c>
      <c r="I20" s="526">
        <f t="shared" si="5"/>
        <v>14.830025504353648</v>
      </c>
      <c r="J20" s="526">
        <f t="shared" si="5"/>
        <v>9.6936142948990209</v>
      </c>
      <c r="K20" s="526">
        <f t="shared" si="5"/>
        <v>4.4451883026672006</v>
      </c>
      <c r="L20" s="526">
        <f t="shared" si="5"/>
        <v>4.7944989743100033</v>
      </c>
      <c r="M20" s="526">
        <f t="shared" si="5"/>
        <v>4.3325283649999999</v>
      </c>
      <c r="N20" s="526">
        <f t="shared" si="5"/>
        <v>4.0134324120000002</v>
      </c>
      <c r="O20" s="526">
        <f t="shared" si="5"/>
        <v>2.0720179590000001</v>
      </c>
      <c r="P20" s="526">
        <f t="shared" si="5"/>
        <v>2.1155462426999998</v>
      </c>
      <c r="S20" s="538">
        <f>SUM(B20:P20)</f>
        <v>124.68234259909222</v>
      </c>
      <c r="T20" s="539">
        <f>S20/S9-1</f>
        <v>0.10000000000000009</v>
      </c>
    </row>
    <row r="21" spans="1:21" ht="12.75" thickTop="1"/>
    <row r="22" spans="1:21">
      <c r="A22" s="535"/>
      <c r="B22" s="512">
        <f>B13</f>
        <v>45292</v>
      </c>
      <c r="C22" s="512">
        <f t="shared" ref="C22:P22" si="6">C13</f>
        <v>45323</v>
      </c>
      <c r="D22" s="512">
        <f t="shared" si="6"/>
        <v>45353</v>
      </c>
      <c r="E22" s="512">
        <f t="shared" si="6"/>
        <v>45384</v>
      </c>
      <c r="F22" s="512">
        <f t="shared" si="6"/>
        <v>45415</v>
      </c>
      <c r="G22" s="512">
        <f t="shared" si="6"/>
        <v>45445</v>
      </c>
      <c r="H22" s="512">
        <f t="shared" si="6"/>
        <v>45476</v>
      </c>
      <c r="I22" s="512">
        <f t="shared" si="6"/>
        <v>45507</v>
      </c>
      <c r="J22" s="512">
        <f t="shared" si="6"/>
        <v>45537</v>
      </c>
      <c r="K22" s="512">
        <f t="shared" si="6"/>
        <v>45568</v>
      </c>
      <c r="L22" s="512">
        <f t="shared" si="6"/>
        <v>45599</v>
      </c>
      <c r="M22" s="512">
        <f t="shared" si="6"/>
        <v>45629</v>
      </c>
      <c r="N22" s="512">
        <f t="shared" si="6"/>
        <v>45660</v>
      </c>
      <c r="O22" s="512">
        <f t="shared" si="6"/>
        <v>45691</v>
      </c>
      <c r="P22" s="512">
        <f t="shared" si="6"/>
        <v>45722</v>
      </c>
    </row>
    <row r="23" spans="1:21" ht="12.75" thickBot="1">
      <c r="A23" s="535" t="s">
        <v>275</v>
      </c>
      <c r="B23" s="526">
        <v>0</v>
      </c>
      <c r="C23" s="526">
        <v>0</v>
      </c>
      <c r="D23" s="526">
        <v>1</v>
      </c>
      <c r="E23" s="526">
        <v>12</v>
      </c>
      <c r="F23" s="526">
        <v>0</v>
      </c>
      <c r="G23" s="526">
        <v>7</v>
      </c>
      <c r="H23" s="526">
        <v>9</v>
      </c>
      <c r="I23" s="526">
        <v>8.81</v>
      </c>
      <c r="J23" s="526">
        <v>5</v>
      </c>
      <c r="K23" s="526">
        <v>4</v>
      </c>
      <c r="L23" s="526">
        <v>3</v>
      </c>
      <c r="M23" s="526">
        <v>3</v>
      </c>
      <c r="N23" s="526">
        <v>3</v>
      </c>
      <c r="O23" s="526">
        <v>3</v>
      </c>
      <c r="P23" s="526">
        <v>1.62</v>
      </c>
      <c r="Q23" s="538"/>
      <c r="R23" s="538"/>
      <c r="S23" s="538">
        <f>SUM(B23:P23)</f>
        <v>60.43</v>
      </c>
      <c r="T23" s="538">
        <v>0</v>
      </c>
    </row>
    <row r="24" spans="1:21" ht="12.75" thickTop="1"/>
    <row r="26" spans="1:21">
      <c r="A26" s="537" t="s">
        <v>856</v>
      </c>
      <c r="B26" s="540">
        <f>'Summary '!F8-'Capex Plan'!S9</f>
        <v>28.22999999999989</v>
      </c>
    </row>
    <row r="27" spans="1:21">
      <c r="B27" s="540"/>
    </row>
    <row r="28" spans="1:21">
      <c r="B28" s="512">
        <f>B2</f>
        <v>45292</v>
      </c>
      <c r="C28" s="512">
        <f t="shared" ref="C28:P28" si="7">C2</f>
        <v>45323</v>
      </c>
      <c r="D28" s="512">
        <f t="shared" si="7"/>
        <v>45353</v>
      </c>
      <c r="E28" s="512">
        <f t="shared" si="7"/>
        <v>45384</v>
      </c>
      <c r="F28" s="512">
        <f t="shared" si="7"/>
        <v>45415</v>
      </c>
      <c r="G28" s="512">
        <f t="shared" si="7"/>
        <v>45445</v>
      </c>
      <c r="H28" s="512">
        <f t="shared" si="7"/>
        <v>45476</v>
      </c>
      <c r="I28" s="512">
        <f t="shared" si="7"/>
        <v>45507</v>
      </c>
      <c r="J28" s="512">
        <f t="shared" si="7"/>
        <v>45537</v>
      </c>
      <c r="K28" s="512">
        <f t="shared" si="7"/>
        <v>45568</v>
      </c>
      <c r="L28" s="512">
        <f t="shared" si="7"/>
        <v>45599</v>
      </c>
      <c r="M28" s="512">
        <f t="shared" si="7"/>
        <v>45629</v>
      </c>
      <c r="N28" s="512">
        <f t="shared" si="7"/>
        <v>45660</v>
      </c>
      <c r="O28" s="512">
        <f t="shared" si="7"/>
        <v>45691</v>
      </c>
      <c r="P28" s="512">
        <f t="shared" si="7"/>
        <v>45722</v>
      </c>
    </row>
    <row r="29" spans="1:21">
      <c r="B29" s="540"/>
      <c r="C29" s="540"/>
      <c r="D29" s="540">
        <f>B26/12</f>
        <v>2.3524999999999907</v>
      </c>
      <c r="E29" s="540">
        <f t="shared" ref="E29:N29" si="8">D29</f>
        <v>2.3524999999999907</v>
      </c>
      <c r="F29" s="540">
        <f t="shared" si="8"/>
        <v>2.3524999999999907</v>
      </c>
      <c r="G29" s="540">
        <f t="shared" si="8"/>
        <v>2.3524999999999907</v>
      </c>
      <c r="H29" s="540">
        <f t="shared" si="8"/>
        <v>2.3524999999999907</v>
      </c>
      <c r="I29" s="540">
        <f t="shared" si="8"/>
        <v>2.3524999999999907</v>
      </c>
      <c r="J29" s="540">
        <f t="shared" si="8"/>
        <v>2.3524999999999907</v>
      </c>
      <c r="K29" s="540">
        <f t="shared" si="8"/>
        <v>2.3524999999999907</v>
      </c>
      <c r="L29" s="540">
        <f t="shared" si="8"/>
        <v>2.3524999999999907</v>
      </c>
      <c r="M29" s="540">
        <f t="shared" si="8"/>
        <v>2.3524999999999907</v>
      </c>
      <c r="N29" s="540">
        <f t="shared" si="8"/>
        <v>2.3524999999999907</v>
      </c>
      <c r="O29" s="540">
        <f>N29</f>
        <v>2.3524999999999907</v>
      </c>
      <c r="P29" s="540">
        <f>P26/12</f>
        <v>0</v>
      </c>
      <c r="S29" s="540">
        <f>SUM(B29:P29)</f>
        <v>28.229999999999894</v>
      </c>
      <c r="U29" s="540">
        <f>S29+S9</f>
        <v>141.5775841809928</v>
      </c>
    </row>
    <row r="31" spans="1:21">
      <c r="B31" s="512">
        <f>B28</f>
        <v>45292</v>
      </c>
      <c r="C31" s="512">
        <f t="shared" ref="C31:P31" si="9">C28</f>
        <v>45323</v>
      </c>
      <c r="D31" s="512">
        <f t="shared" si="9"/>
        <v>45353</v>
      </c>
      <c r="E31" s="512">
        <f t="shared" si="9"/>
        <v>45384</v>
      </c>
      <c r="F31" s="512">
        <f t="shared" si="9"/>
        <v>45415</v>
      </c>
      <c r="G31" s="512">
        <f t="shared" si="9"/>
        <v>45445</v>
      </c>
      <c r="H31" s="512">
        <f t="shared" si="9"/>
        <v>45476</v>
      </c>
      <c r="I31" s="512">
        <f t="shared" si="9"/>
        <v>45507</v>
      </c>
      <c r="J31" s="512">
        <f t="shared" si="9"/>
        <v>45537</v>
      </c>
      <c r="K31" s="512">
        <f t="shared" si="9"/>
        <v>45568</v>
      </c>
      <c r="L31" s="512">
        <f t="shared" si="9"/>
        <v>45599</v>
      </c>
      <c r="M31" s="512">
        <f t="shared" si="9"/>
        <v>45629</v>
      </c>
      <c r="N31" s="512">
        <f t="shared" si="9"/>
        <v>45660</v>
      </c>
      <c r="O31" s="512">
        <f t="shared" si="9"/>
        <v>45691</v>
      </c>
      <c r="P31" s="512">
        <f t="shared" si="9"/>
        <v>45722</v>
      </c>
    </row>
    <row r="32" spans="1:21">
      <c r="A32" s="537" t="s">
        <v>857</v>
      </c>
      <c r="B32" s="540">
        <f t="shared" ref="B32:P32" si="10">B20-B23+B29</f>
        <v>0</v>
      </c>
      <c r="C32" s="540">
        <f t="shared" si="10"/>
        <v>1.751918718373634</v>
      </c>
      <c r="D32" s="540">
        <f t="shared" si="10"/>
        <v>5.0982475256142781</v>
      </c>
      <c r="E32" s="540">
        <f t="shared" si="10"/>
        <v>1.6470585729302809</v>
      </c>
      <c r="F32" s="540">
        <f t="shared" si="10"/>
        <v>21.919481939138659</v>
      </c>
      <c r="G32" s="540">
        <f t="shared" si="10"/>
        <v>16.444423154702235</v>
      </c>
      <c r="H32" s="540">
        <f t="shared" si="10"/>
        <v>14.286860633403199</v>
      </c>
      <c r="I32" s="540">
        <f t="shared" si="10"/>
        <v>8.3725255043536375</v>
      </c>
      <c r="J32" s="540">
        <f t="shared" si="10"/>
        <v>7.0461142948990112</v>
      </c>
      <c r="K32" s="540">
        <f t="shared" si="10"/>
        <v>2.7976883026671913</v>
      </c>
      <c r="L32" s="540">
        <f t="shared" si="10"/>
        <v>4.1469989743099944</v>
      </c>
      <c r="M32" s="540">
        <f t="shared" si="10"/>
        <v>3.6850283649999906</v>
      </c>
      <c r="N32" s="540">
        <f t="shared" si="10"/>
        <v>3.3659324119999909</v>
      </c>
      <c r="O32" s="540">
        <f t="shared" si="10"/>
        <v>1.4245179589999908</v>
      </c>
      <c r="P32" s="540">
        <f t="shared" si="10"/>
        <v>0.49554624269999969</v>
      </c>
      <c r="S32" s="545">
        <f>SUM(B32:P32)</f>
        <v>92.482342599092107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70"/>
  <sheetViews>
    <sheetView tabSelected="1" zoomScaleNormal="100" workbookViewId="0">
      <pane xSplit="1" ySplit="2" topLeftCell="B3" activePane="bottomRight" state="frozen"/>
      <selection activeCell="U8" sqref="U8"/>
      <selection pane="topRight" activeCell="U8" sqref="U8"/>
      <selection pane="bottomLeft" activeCell="U8" sqref="U8"/>
      <selection pane="bottomRight" activeCell="F11" sqref="F11"/>
    </sheetView>
  </sheetViews>
  <sheetFormatPr defaultColWidth="11.42578125" defaultRowHeight="12" outlineLevelRow="1" outlineLevelCol="1"/>
  <cols>
    <col min="1" max="1" width="36.28515625" style="367" customWidth="1"/>
    <col min="2" max="9" width="6.7109375" style="360" hidden="1" customWidth="1" outlineLevel="1"/>
    <col min="10" max="11" width="7.42578125" style="360" hidden="1" customWidth="1" outlineLevel="1"/>
    <col min="12" max="12" width="8.5703125" style="360" bestFit="1" customWidth="1" collapsed="1"/>
    <col min="13" max="13" width="7.85546875" style="360" bestFit="1" customWidth="1"/>
    <col min="14" max="16" width="8" style="360" bestFit="1" customWidth="1"/>
    <col min="17" max="17" width="7.85546875" style="360" bestFit="1" customWidth="1"/>
    <col min="18" max="18" width="8" style="358" hidden="1" customWidth="1"/>
    <col min="19" max="19" width="8" style="359" hidden="1" customWidth="1"/>
    <col min="20" max="22" width="8" style="358" hidden="1" customWidth="1"/>
    <col min="23" max="16384" width="11.42578125" style="360"/>
  </cols>
  <sheetData>
    <row r="1" spans="1:24" s="354" customFormat="1">
      <c r="A1" s="350"/>
      <c r="B1" s="596" t="s">
        <v>389</v>
      </c>
      <c r="C1" s="596"/>
      <c r="D1" s="596"/>
      <c r="E1" s="596"/>
      <c r="F1" s="596"/>
      <c r="G1" s="596"/>
      <c r="H1" s="596"/>
      <c r="I1" s="596"/>
      <c r="J1" s="596" t="s">
        <v>390</v>
      </c>
      <c r="K1" s="596"/>
      <c r="L1" s="596"/>
      <c r="M1" s="596"/>
      <c r="N1" s="596"/>
      <c r="O1" s="596"/>
      <c r="P1" s="596"/>
      <c r="Q1" s="596"/>
      <c r="R1" s="351" t="s">
        <v>303</v>
      </c>
      <c r="S1" s="352"/>
      <c r="T1" s="353"/>
      <c r="U1" s="353"/>
      <c r="V1" s="353"/>
    </row>
    <row r="2" spans="1:24" s="357" customFormat="1">
      <c r="A2" s="350" t="s">
        <v>2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  <c r="R2" s="355" t="s">
        <v>104</v>
      </c>
      <c r="S2" s="356" t="s">
        <v>391</v>
      </c>
      <c r="T2" s="355" t="s">
        <v>392</v>
      </c>
      <c r="U2" s="355" t="s">
        <v>393</v>
      </c>
      <c r="V2" s="355" t="s">
        <v>394</v>
      </c>
    </row>
    <row r="3" spans="1:24">
      <c r="A3" s="354" t="str">
        <f>'Monthly PL'!A4</f>
        <v>Billings</v>
      </c>
      <c r="B3" s="358">
        <v>8.0970399999999998</v>
      </c>
      <c r="C3" s="358">
        <v>29.901019300000002</v>
      </c>
      <c r="D3" s="358">
        <v>29.548490399999999</v>
      </c>
      <c r="E3" s="358">
        <v>33.501902000000001</v>
      </c>
      <c r="F3" s="358">
        <v>31.883900000000001</v>
      </c>
      <c r="G3" s="358">
        <v>33.200000000000003</v>
      </c>
      <c r="H3" s="358">
        <v>37.75</v>
      </c>
      <c r="I3" s="358">
        <v>47.03</v>
      </c>
      <c r="J3" s="358">
        <v>57.39</v>
      </c>
      <c r="K3" s="358">
        <f>SUMIF('Monthly PL'!$2:$2,K$2,'Monthly PL'!4:4)</f>
        <v>62.970538879999992</v>
      </c>
      <c r="L3" s="358">
        <f>SUM('Monthly PL'!AS4:AU4)</f>
        <v>20.373887828560001</v>
      </c>
      <c r="M3" s="358">
        <f>SUMIF('Monthly PL'!$2:$2,M$2,'Monthly PL'!4:4)</f>
        <v>79.465170427020013</v>
      </c>
      <c r="N3" s="358">
        <f>SUMIF('Monthly PL'!$2:$2,N$2,'Monthly PL'!4:4)</f>
        <v>98.145237866343336</v>
      </c>
      <c r="O3" s="358">
        <f>SUMIF('Monthly PL'!$2:$2,O$2,'Monthly PL'!4:4)</f>
        <v>111.60123830832801</v>
      </c>
      <c r="P3" s="358">
        <f>SUMIF('Monthly PL'!$2:$2,P$2,'Monthly PL'!4:4)</f>
        <v>120.83514685725083</v>
      </c>
      <c r="Q3" s="358">
        <f>SUMIF('Monthly PL'!$2:$2,Q$2,'Monthly PL'!4:4)</f>
        <v>64.347166654937695</v>
      </c>
      <c r="R3" s="358">
        <f>SUM(L3:Q3)</f>
        <v>494.76784794243986</v>
      </c>
      <c r="S3" s="359">
        <v>1446.9620910714204</v>
      </c>
      <c r="T3" s="358">
        <v>1533.7429982479775</v>
      </c>
      <c r="U3" s="358">
        <v>1925.52</v>
      </c>
      <c r="V3" s="358">
        <v>1841.2411215026118</v>
      </c>
    </row>
    <row r="4" spans="1:24">
      <c r="A4" s="354" t="str">
        <f>'Monthly PL'!A5</f>
        <v>GST Claim from DJB-NOR</v>
      </c>
      <c r="B4" s="358">
        <v>0</v>
      </c>
      <c r="C4" s="358">
        <v>0</v>
      </c>
      <c r="D4" s="358">
        <v>0</v>
      </c>
      <c r="E4" s="358">
        <v>0</v>
      </c>
      <c r="F4" s="358">
        <v>0</v>
      </c>
      <c r="G4" s="358">
        <v>0</v>
      </c>
      <c r="H4" s="358">
        <v>0</v>
      </c>
      <c r="I4" s="358">
        <v>0</v>
      </c>
      <c r="J4" s="358">
        <f>SUMIF('Monthly PL'!$2:$2,J$2,'Monthly PL'!5:5)</f>
        <v>0</v>
      </c>
      <c r="K4" s="358">
        <f>SUMIF('Monthly PL'!$2:$2,K$2,'Monthly PL'!5:5)</f>
        <v>3.1425772586666665</v>
      </c>
      <c r="L4" s="358">
        <f>SUM('Monthly PL'!AS5:AU5)</f>
        <v>0.4074777565712</v>
      </c>
      <c r="M4" s="358">
        <f>SUMIF('Monthly PL'!$2:$2,M$2,'Monthly PL'!5:5)</f>
        <v>1.5893034085404003</v>
      </c>
      <c r="N4" s="358">
        <f>SUMIF('Monthly PL'!$2:$2,N$2,'Monthly PL'!5:5)</f>
        <v>1.962904757326867</v>
      </c>
      <c r="O4" s="358">
        <f>SUMIF('Monthly PL'!$2:$2,O$2,'Monthly PL'!5:5)</f>
        <v>2.23202476616656</v>
      </c>
      <c r="P4" s="358">
        <f>SUMIF('Monthly PL'!$2:$2,P$2,'Monthly PL'!5:5)</f>
        <v>2.4167029371450166</v>
      </c>
      <c r="Q4" s="358">
        <f>SUMIF('Monthly PL'!$2:$2,Q$2,'Monthly PL'!5:5)</f>
        <v>1.2869433330987539</v>
      </c>
      <c r="R4" s="358">
        <f t="shared" ref="R4:R9" si="0">SUM(L4:Q4)</f>
        <v>9.8953569588487973</v>
      </c>
      <c r="S4" s="359">
        <v>0</v>
      </c>
      <c r="T4" s="358">
        <v>0</v>
      </c>
      <c r="U4" s="358">
        <v>0</v>
      </c>
      <c r="V4" s="358">
        <v>0</v>
      </c>
    </row>
    <row r="5" spans="1:24">
      <c r="A5" s="354" t="str">
        <f>'Monthly PL'!A6</f>
        <v>Power Incentive</v>
      </c>
      <c r="B5" s="358">
        <v>0</v>
      </c>
      <c r="C5" s="358">
        <v>2.0169651000000002</v>
      </c>
      <c r="D5" s="358">
        <v>1.8678585999999999</v>
      </c>
      <c r="E5" s="358">
        <v>0.85397120000000004</v>
      </c>
      <c r="F5" s="358">
        <v>0.51380000000000003</v>
      </c>
      <c r="G5" s="358">
        <v>0.08</v>
      </c>
      <c r="H5" s="358">
        <v>0</v>
      </c>
      <c r="I5" s="358">
        <v>0</v>
      </c>
      <c r="J5" s="358">
        <f>SUMIF('Monthly PL'!$2:$2,J$2,'Monthly PL'!6:6)</f>
        <v>0</v>
      </c>
      <c r="K5" s="358">
        <f>SUMIF('Monthly PL'!$2:$2,K$2,'Monthly PL'!6:6)</f>
        <v>0.47999999999999993</v>
      </c>
      <c r="L5" s="358">
        <f>SUM('Monthly PL'!AS6:AU6)</f>
        <v>0.12</v>
      </c>
      <c r="M5" s="358">
        <f>SUMIF('Monthly PL'!$2:$2,M$2,'Monthly PL'!6:6)</f>
        <v>0.47999999999999993</v>
      </c>
      <c r="N5" s="358">
        <f>SUMIF('Monthly PL'!$2:$2,N$2,'Monthly PL'!6:6)</f>
        <v>0.47999999999999993</v>
      </c>
      <c r="O5" s="358">
        <f>SUMIF('Monthly PL'!$2:$2,O$2,'Monthly PL'!6:6)</f>
        <v>0.47999999999999993</v>
      </c>
      <c r="P5" s="358">
        <f>SUMIF('Monthly PL'!$2:$2,P$2,'Monthly PL'!6:6)</f>
        <v>0.47999999999999993</v>
      </c>
      <c r="Q5" s="358">
        <f>SUMIF('Monthly PL'!$2:$2,Q$2,'Monthly PL'!6:6)</f>
        <v>0.24000000000000002</v>
      </c>
      <c r="R5" s="358">
        <f t="shared" si="0"/>
        <v>2.2799999999999998</v>
      </c>
      <c r="S5" s="359">
        <v>10.725004232299034</v>
      </c>
      <c r="T5" s="358">
        <v>21.888428161614534</v>
      </c>
      <c r="U5" s="358">
        <v>0</v>
      </c>
      <c r="V5" s="358">
        <v>0</v>
      </c>
    </row>
    <row r="6" spans="1:24">
      <c r="A6" s="354" t="str">
        <f>'Monthly PL'!A7</f>
        <v>New HSC Revenue Post Capex</v>
      </c>
      <c r="B6" s="358">
        <v>0</v>
      </c>
      <c r="C6" s="358">
        <v>0</v>
      </c>
      <c r="D6" s="358">
        <v>0</v>
      </c>
      <c r="E6" s="358">
        <v>0</v>
      </c>
      <c r="F6" s="358">
        <v>0</v>
      </c>
      <c r="G6" s="358">
        <v>0</v>
      </c>
      <c r="H6" s="358">
        <v>0</v>
      </c>
      <c r="I6" s="358">
        <v>0</v>
      </c>
      <c r="J6" s="358">
        <f>SUMIF('Monthly PL'!$2:$2,J$2,'Monthly PL'!7:7)</f>
        <v>0</v>
      </c>
      <c r="K6" s="358">
        <f>SUMIF('Monthly PL'!$2:$2,K$2,'Monthly PL'!7:7)</f>
        <v>0</v>
      </c>
      <c r="L6" s="358">
        <f>SUM('Monthly PL'!AS7:AU7)</f>
        <v>2.7286123338750001</v>
      </c>
      <c r="M6" s="358">
        <f>SUMIF('Monthly PL'!$2:$2,M$2,'Monthly PL'!7:7)</f>
        <v>5.3743698000000002</v>
      </c>
      <c r="N6" s="358">
        <f>SUMIF('Monthly PL'!$2:$2,N$2,'Monthly PL'!7:7)</f>
        <v>2.6871849000000001</v>
      </c>
      <c r="O6" s="358">
        <f>SUMIF('Monthly PL'!$2:$2,O$2,'Monthly PL'!7:7)</f>
        <v>2.6871849000000001</v>
      </c>
      <c r="P6" s="358">
        <f>SUMIF('Monthly PL'!$2:$2,P$2,'Monthly PL'!7:7)</f>
        <v>2.6871849000000001</v>
      </c>
      <c r="Q6" s="358">
        <f>SUMIF('Monthly PL'!$2:$2,Q$2,'Monthly PL'!7:7)</f>
        <v>1.34359245</v>
      </c>
      <c r="R6" s="358">
        <f t="shared" si="0"/>
        <v>17.508129283875</v>
      </c>
      <c r="S6" s="359">
        <v>13.449184782723407</v>
      </c>
      <c r="T6" s="358">
        <v>0</v>
      </c>
      <c r="U6" s="358">
        <v>0</v>
      </c>
      <c r="V6" s="358">
        <v>0</v>
      </c>
    </row>
    <row r="7" spans="1:24">
      <c r="A7" s="354" t="str">
        <f>'Monthly PL'!A8</f>
        <v>Tanker Current Bills</v>
      </c>
      <c r="B7" s="358">
        <v>0</v>
      </c>
      <c r="C7" s="358">
        <v>0</v>
      </c>
      <c r="D7" s="358">
        <v>0</v>
      </c>
      <c r="E7" s="358">
        <v>0</v>
      </c>
      <c r="F7" s="358">
        <v>2.2488000000000001</v>
      </c>
      <c r="G7" s="358">
        <v>14.32</v>
      </c>
      <c r="H7" s="358">
        <v>12.75</v>
      </c>
      <c r="I7" s="358">
        <v>7.04</v>
      </c>
      <c r="J7" s="358">
        <f>SUMIF('Monthly PL'!$2:$2,J$2,'Monthly PL'!8:8)</f>
        <v>3.1312319999999998</v>
      </c>
      <c r="K7" s="358">
        <f>SUMIF('Monthly PL'!$2:$2,K$2,'Monthly PL'!8:8)</f>
        <v>1.4004556799999999</v>
      </c>
      <c r="L7" s="358">
        <f>SUM('Monthly PL'!AS8:AU8)</f>
        <v>0</v>
      </c>
      <c r="M7" s="358">
        <f>SUMIF('Monthly PL'!$2:$2,M$2,'Monthly PL'!8:8)</f>
        <v>0</v>
      </c>
      <c r="N7" s="358">
        <f>SUMIF('Monthly PL'!$2:$2,N$2,'Monthly PL'!8:8)</f>
        <v>0</v>
      </c>
      <c r="O7" s="358">
        <f>SUMIF('Monthly PL'!$2:$2,O$2,'Monthly PL'!8:8)</f>
        <v>0</v>
      </c>
      <c r="P7" s="358">
        <f>SUMIF('Monthly PL'!$2:$2,P$2,'Monthly PL'!8:8)</f>
        <v>0</v>
      </c>
      <c r="Q7" s="358">
        <f>SUMIF('Monthly PL'!$2:$2,Q$2,'Monthly PL'!8:8)</f>
        <v>0</v>
      </c>
      <c r="R7" s="358">
        <f t="shared" si="0"/>
        <v>0</v>
      </c>
      <c r="S7" s="359">
        <v>8.5631951999999991</v>
      </c>
      <c r="T7" s="358">
        <v>0</v>
      </c>
      <c r="U7" s="358">
        <v>0</v>
      </c>
      <c r="V7" s="358">
        <v>0</v>
      </c>
    </row>
    <row r="8" spans="1:24">
      <c r="A8" s="354" t="str">
        <f>'Monthly PL'!A9</f>
        <v>ACE Bill</v>
      </c>
      <c r="B8" s="358">
        <v>0</v>
      </c>
      <c r="C8" s="358">
        <v>0</v>
      </c>
      <c r="D8" s="358">
        <v>0</v>
      </c>
      <c r="E8" s="358">
        <v>0</v>
      </c>
      <c r="F8" s="358">
        <v>5.68</v>
      </c>
      <c r="G8" s="358">
        <v>0.68</v>
      </c>
      <c r="H8" s="358">
        <v>0</v>
      </c>
      <c r="I8" s="358">
        <v>0</v>
      </c>
      <c r="J8" s="358">
        <f>SUMIF('Monthly PL'!$2:$2,J$2,'Monthly PL'!9:9)</f>
        <v>0</v>
      </c>
      <c r="K8" s="358">
        <f>SUMIF('Monthly PL'!$2:$2,K$2,'Monthly PL'!9:9)</f>
        <v>0</v>
      </c>
      <c r="L8" s="358">
        <f>SUM('Monthly PL'!AS9:AU9)</f>
        <v>0</v>
      </c>
      <c r="M8" s="358">
        <f>SUMIF('Monthly PL'!$2:$2,M$2,'Monthly PL'!9:9)</f>
        <v>0</v>
      </c>
      <c r="N8" s="358">
        <f>SUMIF('Monthly PL'!$2:$2,N$2,'Monthly PL'!9:9)</f>
        <v>0</v>
      </c>
      <c r="O8" s="358">
        <f>SUMIF('Monthly PL'!$2:$2,O$2,'Monthly PL'!9:9)</f>
        <v>0</v>
      </c>
      <c r="P8" s="358">
        <f>SUMIF('Monthly PL'!$2:$2,P$2,'Monthly PL'!9:9)</f>
        <v>0</v>
      </c>
      <c r="Q8" s="358">
        <f>SUMIF('Monthly PL'!$2:$2,Q$2,'Monthly PL'!9:9)</f>
        <v>0</v>
      </c>
      <c r="R8" s="358">
        <f t="shared" si="0"/>
        <v>0</v>
      </c>
      <c r="S8" s="359">
        <v>34.728000000000002</v>
      </c>
      <c r="T8" s="358">
        <v>0</v>
      </c>
      <c r="U8" s="358">
        <v>0</v>
      </c>
      <c r="V8" s="358">
        <v>0</v>
      </c>
    </row>
    <row r="9" spans="1:24">
      <c r="A9" s="310" t="s">
        <v>373</v>
      </c>
      <c r="B9" s="358"/>
      <c r="C9" s="358"/>
      <c r="D9" s="358"/>
      <c r="E9" s="358"/>
      <c r="F9" s="358"/>
      <c r="G9" s="358"/>
      <c r="H9" s="358"/>
      <c r="I9" s="358"/>
      <c r="J9" s="358"/>
      <c r="K9" s="358">
        <f>'Monthly PL'!AA10</f>
        <v>113.85550000000001</v>
      </c>
      <c r="L9" s="534">
        <v>0</v>
      </c>
      <c r="M9" s="358"/>
      <c r="N9" s="358"/>
      <c r="O9" s="358"/>
      <c r="P9" s="358"/>
      <c r="Q9" s="358"/>
      <c r="R9" s="358">
        <f t="shared" si="0"/>
        <v>0</v>
      </c>
    </row>
    <row r="10" spans="1:24" ht="12.75" thickBot="1">
      <c r="A10" s="350" t="s">
        <v>4</v>
      </c>
      <c r="B10" s="361">
        <f t="shared" ref="B10:J10" si="1">SUM(B3:B9)</f>
        <v>8.0970399999999998</v>
      </c>
      <c r="C10" s="361">
        <f t="shared" si="1"/>
        <v>31.917984400000002</v>
      </c>
      <c r="D10" s="361">
        <f t="shared" si="1"/>
        <v>31.416348999999997</v>
      </c>
      <c r="E10" s="361">
        <f t="shared" si="1"/>
        <v>34.355873199999998</v>
      </c>
      <c r="F10" s="361">
        <f t="shared" si="1"/>
        <v>40.326500000000003</v>
      </c>
      <c r="G10" s="361">
        <f t="shared" si="1"/>
        <v>48.28</v>
      </c>
      <c r="H10" s="361">
        <f t="shared" si="1"/>
        <v>50.5</v>
      </c>
      <c r="I10" s="361">
        <f t="shared" si="1"/>
        <v>54.07</v>
      </c>
      <c r="J10" s="361">
        <f t="shared" si="1"/>
        <v>60.521231999999998</v>
      </c>
      <c r="K10" s="361">
        <f>SUM(K3:K9)</f>
        <v>181.84907181866666</v>
      </c>
      <c r="L10" s="361">
        <f t="shared" ref="L10:R10" si="2">SUM(L3:L9)</f>
        <v>23.629977919006201</v>
      </c>
      <c r="M10" s="361">
        <f t="shared" si="2"/>
        <v>86.908843635560416</v>
      </c>
      <c r="N10" s="361">
        <f t="shared" si="2"/>
        <v>103.27532752367021</v>
      </c>
      <c r="O10" s="361">
        <f t="shared" si="2"/>
        <v>117.00044797449458</v>
      </c>
      <c r="P10" s="361">
        <f t="shared" si="2"/>
        <v>126.41903469439586</v>
      </c>
      <c r="Q10" s="361">
        <f t="shared" si="2"/>
        <v>67.21770243803644</v>
      </c>
      <c r="R10" s="361">
        <f t="shared" si="2"/>
        <v>524.45133418516366</v>
      </c>
      <c r="S10" s="362">
        <f>SUM(S3:S8)</f>
        <v>1514.427475286443</v>
      </c>
      <c r="T10" s="361">
        <f>SUM(T3:T8)</f>
        <v>1555.631426409592</v>
      </c>
      <c r="U10" s="361">
        <f>SUM(U3:U8)</f>
        <v>1925.52</v>
      </c>
      <c r="V10" s="361">
        <f>SUM(V3:V8)</f>
        <v>1841.2411215026118</v>
      </c>
    </row>
    <row r="11" spans="1:24" ht="12.75" thickTop="1">
      <c r="A11" s="344"/>
      <c r="B11" s="576">
        <f>B13/B10</f>
        <v>0.73450155311301168</v>
      </c>
      <c r="C11" s="576">
        <f t="shared" ref="C11:Q11" si="3">C13/C10</f>
        <v>0.57911332492389178</v>
      </c>
      <c r="D11" s="576">
        <f t="shared" si="3"/>
        <v>0.50446476361718551</v>
      </c>
      <c r="E11" s="576">
        <f t="shared" si="3"/>
        <v>0.52757024016250886</v>
      </c>
      <c r="F11" s="576">
        <f t="shared" si="3"/>
        <v>0.55918564715509655</v>
      </c>
      <c r="G11" s="576">
        <f t="shared" si="3"/>
        <v>0.5772576636288318</v>
      </c>
      <c r="H11" s="576">
        <f t="shared" si="3"/>
        <v>0.55425742574257431</v>
      </c>
      <c r="I11" s="576">
        <f t="shared" si="3"/>
        <v>0.52783428888477901</v>
      </c>
      <c r="J11" s="576">
        <f t="shared" si="3"/>
        <v>0.39605935318699392</v>
      </c>
      <c r="K11" s="576">
        <f t="shared" si="3"/>
        <v>0.16465698999018419</v>
      </c>
      <c r="L11" s="576">
        <f t="shared" si="3"/>
        <v>0.27655243255307393</v>
      </c>
      <c r="M11" s="576">
        <f t="shared" si="3"/>
        <v>0.3171768280463359</v>
      </c>
      <c r="N11" s="576">
        <f t="shared" si="3"/>
        <v>0.28747431084437897</v>
      </c>
      <c r="O11" s="576">
        <f t="shared" si="3"/>
        <v>0.359816819570765</v>
      </c>
      <c r="P11" s="576">
        <f t="shared" si="3"/>
        <v>0.27465956246629253</v>
      </c>
      <c r="Q11" s="576">
        <f t="shared" si="3"/>
        <v>0.23071924765971086</v>
      </c>
      <c r="S11" s="358"/>
    </row>
    <row r="12" spans="1:24" s="357" customFormat="1">
      <c r="A12" s="350" t="s">
        <v>2</v>
      </c>
      <c r="B12" s="322" t="str">
        <f t="shared" ref="B12:S12" si="4">B2</f>
        <v>2013-14</v>
      </c>
      <c r="C12" s="322" t="str">
        <f t="shared" si="4"/>
        <v>2014-15</v>
      </c>
      <c r="D12" s="322" t="str">
        <f t="shared" si="4"/>
        <v>2015-16</v>
      </c>
      <c r="E12" s="322" t="str">
        <f t="shared" si="4"/>
        <v>2016-17</v>
      </c>
      <c r="F12" s="322" t="str">
        <f t="shared" si="4"/>
        <v>2017-18</v>
      </c>
      <c r="G12" s="322" t="str">
        <f t="shared" si="4"/>
        <v>2018-19</v>
      </c>
      <c r="H12" s="322" t="str">
        <f t="shared" si="4"/>
        <v>2019-20</v>
      </c>
      <c r="I12" s="322" t="str">
        <f t="shared" si="4"/>
        <v>2020-21</v>
      </c>
      <c r="J12" s="322" t="str">
        <f t="shared" si="4"/>
        <v>2021-22</v>
      </c>
      <c r="K12" s="322" t="str">
        <f t="shared" si="4"/>
        <v>2022-23</v>
      </c>
      <c r="L12" s="322" t="str">
        <f t="shared" si="4"/>
        <v>2023-24</v>
      </c>
      <c r="M12" s="322" t="str">
        <f t="shared" si="4"/>
        <v>2024-25</v>
      </c>
      <c r="N12" s="322" t="str">
        <f t="shared" si="4"/>
        <v>2025-26</v>
      </c>
      <c r="O12" s="322" t="str">
        <f t="shared" si="4"/>
        <v>2026-27</v>
      </c>
      <c r="P12" s="322" t="str">
        <f t="shared" si="4"/>
        <v>2027-28</v>
      </c>
      <c r="Q12" s="322" t="str">
        <f t="shared" si="4"/>
        <v>2028-29</v>
      </c>
      <c r="R12" s="322" t="str">
        <f t="shared" si="4"/>
        <v>Total</v>
      </c>
      <c r="S12" s="356" t="str">
        <f t="shared" si="4"/>
        <v>Oct,18 BP</v>
      </c>
      <c r="T12" s="355" t="s">
        <v>392</v>
      </c>
      <c r="U12" s="355" t="s">
        <v>393</v>
      </c>
      <c r="V12" s="355" t="s">
        <v>394</v>
      </c>
    </row>
    <row r="13" spans="1:24">
      <c r="A13" s="354" t="s">
        <v>374</v>
      </c>
      <c r="B13" s="364">
        <v>5.94728845561818</v>
      </c>
      <c r="C13" s="364">
        <v>18.484130070752911</v>
      </c>
      <c r="D13" s="364">
        <v>15.848441072</v>
      </c>
      <c r="E13" s="358">
        <v>18.125136275116702</v>
      </c>
      <c r="F13" s="358">
        <v>22.55</v>
      </c>
      <c r="G13" s="358">
        <v>27.87</v>
      </c>
      <c r="H13" s="358">
        <f>27.14+0.85</f>
        <v>27.990000000000002</v>
      </c>
      <c r="I13" s="358">
        <v>28.54</v>
      </c>
      <c r="J13" s="358">
        <v>23.97</v>
      </c>
      <c r="K13" s="358">
        <f>(SUMIF('Monthly PL'!$2:$2,K$2,'Monthly PL'!14:14))+(SUMIF('Monthly PL'!$2:$2,K$2,'Monthly PL'!18:18))+(SUMIF('Monthly PL'!$2:$2,K$2,'Monthly PL'!19:19))</f>
        <v>29.94272079817048</v>
      </c>
      <c r="L13" s="358">
        <f>SUM('Monthly PL'!AS14:AU14,'Monthly PL'!AS18:AU19)</f>
        <v>6.5349278746765886</v>
      </c>
      <c r="M13" s="358">
        <f>(SUMIF('Monthly PL'!$2:$2,M$2,'Monthly PL'!14:14))+(SUMIF('Monthly PL'!$2:$2,M$2,'Monthly PL'!18:18))+(SUMIF('Monthly PL'!$2:$2,M$2,'Monthly PL'!19:19))</f>
        <v>27.565471353502041</v>
      </c>
      <c r="N13" s="358">
        <f>(SUMIF('Monthly PL'!$2:$2,N$2,'Monthly PL'!14:14))+(SUMIF('Monthly PL'!$2:$2,N$2,'Monthly PL'!18:18))+(SUMIF('Monthly PL'!$2:$2,N$2,'Monthly PL'!19:19))</f>
        <v>29.689003607094619</v>
      </c>
      <c r="O13" s="358">
        <f>(SUMIF('Monthly PL'!$2:$2,O$2,'Monthly PL'!14:14))+(SUMIF('Monthly PL'!$2:$2,O$2,'Monthly PL'!18:18))+(SUMIF('Monthly PL'!$2:$2,O$2,'Monthly PL'!19:19))</f>
        <v>42.098729078537396</v>
      </c>
      <c r="P13" s="358">
        <f>(SUMIF('Monthly PL'!$2:$2,P$2,'Monthly PL'!14:14))+(SUMIF('Monthly PL'!$2:$2,P$2,'Monthly PL'!18:18))+(SUMIF('Monthly PL'!$2:$2,P$2,'Monthly PL'!19:19))</f>
        <v>34.722196756573823</v>
      </c>
      <c r="Q13" s="358">
        <f>(SUMIF('Monthly PL'!$2:$2,Q$2,'Monthly PL'!14:14))+(SUMIF('Monthly PL'!$2:$2,Q$2,'Monthly PL'!18:18))+(SUMIF('Monthly PL'!$2:$2,Q$2,'Monthly PL'!19:19))</f>
        <v>15.50841773591808</v>
      </c>
      <c r="R13" s="358">
        <f t="shared" ref="R13:R17" si="5">SUM(L13:Q13)</f>
        <v>156.11874640630253</v>
      </c>
      <c r="S13" s="359">
        <v>288.79101992552393</v>
      </c>
      <c r="T13" s="358">
        <v>290.70019136295195</v>
      </c>
      <c r="U13" s="358">
        <v>601.37</v>
      </c>
      <c r="V13" s="358">
        <v>510.07</v>
      </c>
      <c r="X13" s="357"/>
    </row>
    <row r="14" spans="1:24">
      <c r="A14" s="354" t="s">
        <v>375</v>
      </c>
      <c r="B14" s="364">
        <v>3.2947455599999995</v>
      </c>
      <c r="C14" s="364">
        <v>9.9191263000000003</v>
      </c>
      <c r="D14" s="364">
        <v>11.269306</v>
      </c>
      <c r="E14" s="358">
        <v>12.8960802408</v>
      </c>
      <c r="F14" s="358">
        <v>16.28</v>
      </c>
      <c r="G14" s="358">
        <v>19.079999999999998</v>
      </c>
      <c r="H14" s="358">
        <v>21.02</v>
      </c>
      <c r="I14" s="358">
        <f>14.95+10.91</f>
        <v>25.86</v>
      </c>
      <c r="J14" s="358">
        <v>24.84</v>
      </c>
      <c r="K14" s="358">
        <f>(SUMIF('Monthly PL'!$2:$2,K$2,'Monthly PL'!15:15))</f>
        <v>22.87732600437252</v>
      </c>
      <c r="L14" s="358">
        <f>SUM('Monthly PL'!AS15:AU15)</f>
        <v>6.0037321136477875</v>
      </c>
      <c r="M14" s="358">
        <f>(SUMIF('Monthly PL'!$2:$2,M$2,'Monthly PL'!15:15))</f>
        <v>25.208334177320708</v>
      </c>
      <c r="N14" s="358">
        <f>(SUMIF('Monthly PL'!$2:$2,N$2,'Monthly PL'!15:15))</f>
        <v>26.461860456186741</v>
      </c>
      <c r="O14" s="358">
        <f>(SUMIF('Monthly PL'!$2:$2,O$2,'Monthly PL'!15:15))</f>
        <v>27.777997348996088</v>
      </c>
      <c r="P14" s="358">
        <f>(SUMIF('Monthly PL'!$2:$2,P$2,'Monthly PL'!15:15))</f>
        <v>29.159875986445883</v>
      </c>
      <c r="Q14" s="358">
        <f>(SUMIF('Monthly PL'!$2:$2,Q$2,'Monthly PL'!15:15))</f>
        <v>15.305227912884083</v>
      </c>
      <c r="R14" s="358">
        <f t="shared" si="5"/>
        <v>129.91702799548128</v>
      </c>
      <c r="S14" s="359">
        <v>268.24571089977979</v>
      </c>
      <c r="T14" s="358">
        <v>312.70450283576844</v>
      </c>
      <c r="U14" s="358">
        <v>445.79</v>
      </c>
      <c r="V14" s="358">
        <v>431.18994557820309</v>
      </c>
    </row>
    <row r="15" spans="1:24">
      <c r="A15" s="354" t="str">
        <f>'Monthly PL'!A16</f>
        <v>New HSC Cost Post Capex</v>
      </c>
      <c r="B15" s="358">
        <v>0</v>
      </c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f>SUMIF('Monthly PL'!$2:$2,J$2,'Monthly PL'!16:16)</f>
        <v>0</v>
      </c>
      <c r="K15" s="358">
        <f>SUMIF('Monthly PL'!$2:$2,K$2,'Monthly PL'!16:16)</f>
        <v>0</v>
      </c>
      <c r="L15" s="358">
        <f>SUM('Monthly PL'!AS16:AU16)</f>
        <v>2.7286123338750001</v>
      </c>
      <c r="M15" s="358">
        <f>SUMIF('Monthly PL'!$2:$2,M$2,'Monthly PL'!16:16)</f>
        <v>5.3743698000000002</v>
      </c>
      <c r="N15" s="358">
        <f>SUMIF('Monthly PL'!$2:$2,N$2,'Monthly PL'!16:16)</f>
        <v>2.6871849000000001</v>
      </c>
      <c r="O15" s="358">
        <f>SUMIF('Monthly PL'!$2:$2,O$2,'Monthly PL'!16:16)</f>
        <v>2.6871849000000001</v>
      </c>
      <c r="P15" s="358">
        <f>SUMIF('Monthly PL'!$2:$2,P$2,'Monthly PL'!16:16)</f>
        <v>2.6871849000000001</v>
      </c>
      <c r="Q15" s="358">
        <f>SUMIF('Monthly PL'!$2:$2,Q$2,'Monthly PL'!16:16)</f>
        <v>1.34359245</v>
      </c>
      <c r="R15" s="358">
        <f t="shared" si="5"/>
        <v>17.508129283875</v>
      </c>
      <c r="S15" s="359">
        <v>13.449184782723407</v>
      </c>
      <c r="T15" s="358">
        <v>0</v>
      </c>
      <c r="U15" s="358">
        <v>0</v>
      </c>
      <c r="V15" s="358">
        <v>0</v>
      </c>
    </row>
    <row r="16" spans="1:24">
      <c r="A16" s="293" t="s">
        <v>377</v>
      </c>
      <c r="B16" s="358">
        <f>(SUMIF('Monthly PL'!$2:$2,B$2,'Monthly PL'!16:16))</f>
        <v>0</v>
      </c>
      <c r="C16" s="358">
        <f>(SUMIF('Monthly PL'!$2:$2,C$2,'Monthly PL'!16:16))</f>
        <v>0</v>
      </c>
      <c r="D16" s="358">
        <f>(SUMIF('Monthly PL'!$2:$2,D$2,'Monthly PL'!16:16))</f>
        <v>0</v>
      </c>
      <c r="E16" s="358">
        <f>(SUMIF('Monthly PL'!$2:$2,E$2,'Monthly PL'!16:16))</f>
        <v>0</v>
      </c>
      <c r="F16" s="358">
        <f>(SUMIF('Monthly PL'!$2:$2,F$2,'Monthly PL'!16:16))</f>
        <v>0</v>
      </c>
      <c r="G16" s="358">
        <f>(SUMIF('Monthly PL'!$2:$2,G$2,'Monthly PL'!16:16))</f>
        <v>0</v>
      </c>
      <c r="H16" s="358">
        <f>(SUMIF('Monthly PL'!$2:$2,H$2,'Monthly PL'!16:16))</f>
        <v>0</v>
      </c>
      <c r="I16" s="358">
        <f>(SUMIF('Monthly PL'!$2:$2,I$2,'Monthly PL'!16:16))</f>
        <v>0</v>
      </c>
      <c r="J16" s="358">
        <f>(SUMIF('Monthly PL'!$2:$2,J$2,'Monthly PL'!16:16))</f>
        <v>0</v>
      </c>
      <c r="K16" s="358">
        <f>SUMIF('Monthly PL'!$2:$2,K$2,'Monthly PL'!17:17)</f>
        <v>0.35644314666666665</v>
      </c>
      <c r="L16" s="358">
        <f>SUM('Monthly PL'!AS17:AU17)</f>
        <v>1.018694391428</v>
      </c>
      <c r="M16" s="358">
        <f>SUMIF('Monthly PL'!$2:$2,M$2,'Monthly PL'!17:17)</f>
        <v>3.9732585213510005</v>
      </c>
      <c r="N16" s="358">
        <f>SUMIF('Monthly PL'!$2:$2,N$2,'Monthly PL'!17:17)</f>
        <v>4.907261893317167</v>
      </c>
      <c r="O16" s="358">
        <f>SUMIF('Monthly PL'!$2:$2,O$2,'Monthly PL'!17:17)</f>
        <v>5.5800619154164002</v>
      </c>
      <c r="P16" s="358">
        <f>SUMIF('Monthly PL'!$2:$2,P$2,'Monthly PL'!17:17)</f>
        <v>6.0417573428625424</v>
      </c>
      <c r="Q16" s="358">
        <f>SUMIF('Monthly PL'!$2:$2,Q$2,'Monthly PL'!17:17)</f>
        <v>3.2173583327468851</v>
      </c>
      <c r="R16" s="358">
        <f t="shared" si="5"/>
        <v>24.738392397121999</v>
      </c>
    </row>
    <row r="17" spans="1:22">
      <c r="A17" s="354" t="s">
        <v>395</v>
      </c>
      <c r="B17" s="364">
        <v>1.6066672</v>
      </c>
      <c r="C17" s="364">
        <v>3.4574229000000001</v>
      </c>
      <c r="D17" s="364">
        <v>2.9133610999999999</v>
      </c>
      <c r="E17" s="358">
        <v>2.2207475591999999</v>
      </c>
      <c r="F17" s="358">
        <v>0.43369999999999997</v>
      </c>
      <c r="G17" s="358">
        <v>0</v>
      </c>
      <c r="H17" s="358">
        <v>0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f t="shared" si="5"/>
        <v>0</v>
      </c>
      <c r="S17" s="359">
        <v>10.765958759199998</v>
      </c>
      <c r="T17" s="358">
        <v>35.507966139458603</v>
      </c>
      <c r="U17" s="358">
        <v>16.02</v>
      </c>
      <c r="V17" s="358">
        <v>20.014768830643195</v>
      </c>
    </row>
    <row r="18" spans="1:22" ht="12.75" thickBot="1">
      <c r="A18" s="350" t="s">
        <v>380</v>
      </c>
      <c r="B18" s="365">
        <f t="shared" ref="B18:V18" si="6">SUM(B13:B17)</f>
        <v>10.848701215618179</v>
      </c>
      <c r="C18" s="365">
        <f t="shared" si="6"/>
        <v>31.860679270752915</v>
      </c>
      <c r="D18" s="365">
        <f t="shared" si="6"/>
        <v>30.031108172</v>
      </c>
      <c r="E18" s="365">
        <f t="shared" si="6"/>
        <v>33.241964075116705</v>
      </c>
      <c r="F18" s="365">
        <f t="shared" si="6"/>
        <v>39.2637</v>
      </c>
      <c r="G18" s="365">
        <f t="shared" si="6"/>
        <v>46.95</v>
      </c>
      <c r="H18" s="365">
        <f t="shared" si="6"/>
        <v>49.010000000000005</v>
      </c>
      <c r="I18" s="365">
        <f t="shared" si="6"/>
        <v>54.4</v>
      </c>
      <c r="J18" s="365">
        <f t="shared" si="6"/>
        <v>48.81</v>
      </c>
      <c r="K18" s="365">
        <f t="shared" si="6"/>
        <v>53.176489949209667</v>
      </c>
      <c r="L18" s="365">
        <f t="shared" si="6"/>
        <v>16.285966713627378</v>
      </c>
      <c r="M18" s="365">
        <f t="shared" si="6"/>
        <v>62.121433852173752</v>
      </c>
      <c r="N18" s="365">
        <f t="shared" si="6"/>
        <v>63.745310856598529</v>
      </c>
      <c r="O18" s="365">
        <f t="shared" si="6"/>
        <v>78.143973242949883</v>
      </c>
      <c r="P18" s="365">
        <f t="shared" si="6"/>
        <v>72.61101498588225</v>
      </c>
      <c r="Q18" s="365">
        <f t="shared" si="6"/>
        <v>35.374596431549051</v>
      </c>
      <c r="R18" s="365">
        <f t="shared" si="6"/>
        <v>328.28229608278082</v>
      </c>
      <c r="S18" s="366">
        <f t="shared" si="6"/>
        <v>581.25187436722706</v>
      </c>
      <c r="T18" s="365">
        <f t="shared" si="6"/>
        <v>638.91266033817897</v>
      </c>
      <c r="U18" s="365">
        <f t="shared" si="6"/>
        <v>1063.18</v>
      </c>
      <c r="V18" s="365">
        <f t="shared" si="6"/>
        <v>961.27471440884631</v>
      </c>
    </row>
    <row r="19" spans="1:22" ht="12.75" thickTop="1"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543">
        <f>M20/M10</f>
        <v>0.28521159350973602</v>
      </c>
      <c r="N19" s="543">
        <f t="shared" ref="N19:Q19" si="7">N20/N10</f>
        <v>0.38276341130955593</v>
      </c>
      <c r="O19" s="543">
        <f t="shared" si="7"/>
        <v>0.33210535005827652</v>
      </c>
      <c r="P19" s="543">
        <f t="shared" si="7"/>
        <v>0.4256322620924024</v>
      </c>
      <c r="Q19" s="543">
        <f t="shared" si="7"/>
        <v>0.4737309496087202</v>
      </c>
    </row>
    <row r="20" spans="1:22">
      <c r="A20" s="350" t="s">
        <v>396</v>
      </c>
      <c r="B20" s="358">
        <f t="shared" ref="B20:Q20" si="8">+B10-B18</f>
        <v>-2.7516612156181797</v>
      </c>
      <c r="C20" s="358">
        <f t="shared" si="8"/>
        <v>5.7305129247087194E-2</v>
      </c>
      <c r="D20" s="358">
        <f t="shared" si="8"/>
        <v>1.385240827999997</v>
      </c>
      <c r="E20" s="358">
        <f t="shared" si="8"/>
        <v>1.1139091248832926</v>
      </c>
      <c r="F20" s="358">
        <f t="shared" si="8"/>
        <v>1.0628000000000029</v>
      </c>
      <c r="G20" s="358">
        <f t="shared" si="8"/>
        <v>1.3299999999999983</v>
      </c>
      <c r="H20" s="358">
        <f t="shared" si="8"/>
        <v>1.4899999999999949</v>
      </c>
      <c r="I20" s="358">
        <f t="shared" si="8"/>
        <v>-0.32999999999999829</v>
      </c>
      <c r="J20" s="358">
        <f t="shared" si="8"/>
        <v>11.711231999999995</v>
      </c>
      <c r="K20" s="358">
        <f t="shared" si="8"/>
        <v>128.67258186945699</v>
      </c>
      <c r="L20" s="358">
        <f t="shared" si="8"/>
        <v>7.3440112053788233</v>
      </c>
      <c r="M20" s="358">
        <f t="shared" si="8"/>
        <v>24.787409783386664</v>
      </c>
      <c r="N20" s="358">
        <f t="shared" si="8"/>
        <v>39.530016667071685</v>
      </c>
      <c r="O20" s="358">
        <f t="shared" si="8"/>
        <v>38.856474731544694</v>
      </c>
      <c r="P20" s="358">
        <f t="shared" si="8"/>
        <v>53.808019708513612</v>
      </c>
      <c r="Q20" s="358">
        <f t="shared" si="8"/>
        <v>31.843106006487389</v>
      </c>
      <c r="R20" s="358">
        <f>SUM(B20:Q20)</f>
        <v>339.91044583835208</v>
      </c>
      <c r="S20" s="359">
        <f>S10-S18</f>
        <v>933.17560091921598</v>
      </c>
      <c r="T20" s="358">
        <f>T10-T18</f>
        <v>916.71876607141303</v>
      </c>
      <c r="U20" s="358">
        <f>U10-U18</f>
        <v>862.33999999999992</v>
      </c>
      <c r="V20" s="358">
        <f>V10-V18</f>
        <v>879.9664070937655</v>
      </c>
    </row>
    <row r="21" spans="1:22" outlineLevel="1">
      <c r="A21" s="354" t="s">
        <v>244</v>
      </c>
      <c r="B21" s="368">
        <v>0.198254004381819</v>
      </c>
      <c r="C21" s="368">
        <v>1.7866841</v>
      </c>
      <c r="D21" s="368">
        <v>1.9100072241098698</v>
      </c>
      <c r="E21" s="368">
        <v>1.0247816367689195</v>
      </c>
      <c r="F21" s="358">
        <v>0.71830000000000005</v>
      </c>
      <c r="G21" s="358">
        <v>0.51280000000000003</v>
      </c>
      <c r="H21" s="358">
        <v>0.55000000000000004</v>
      </c>
      <c r="I21" s="358">
        <v>36.24</v>
      </c>
      <c r="J21" s="358">
        <v>37.049999999999997</v>
      </c>
      <c r="K21" s="358">
        <f>(SUMIF('Monthly PL'!$2:$2,K$2,'Monthly PL'!23:23))</f>
        <v>45.5</v>
      </c>
      <c r="L21" s="358">
        <f>(SUMIF('Monthly PL'!$2:$2,L$2,'Monthly PL'!23:23))</f>
        <v>45.5</v>
      </c>
      <c r="M21" s="358">
        <f>(SUMIF('Monthly PL'!$2:$2,M$2,'Monthly PL'!23:23))</f>
        <v>45.5</v>
      </c>
      <c r="N21" s="358">
        <f>(SUMIF('Monthly PL'!$2:$2,N$2,'Monthly PL'!23:23))</f>
        <v>45.5</v>
      </c>
      <c r="O21" s="358">
        <f>(SUMIF('Monthly PL'!$2:$2,O$2,'Monthly PL'!23:23))</f>
        <v>45.5</v>
      </c>
      <c r="P21" s="358">
        <f>(SUMIF('Monthly PL'!$2:$2,P$2,'Monthly PL'!23:23))</f>
        <v>46.04</v>
      </c>
      <c r="Q21" s="358">
        <f>(SUMIF('Monthly PL'!$2:$2,Q$2,'Monthly PL'!23:23))</f>
        <v>0</v>
      </c>
      <c r="R21" s="358">
        <f>SUM(B21:Q21)</f>
        <v>353.53082696526064</v>
      </c>
      <c r="S21" s="359">
        <v>237.51370632993331</v>
      </c>
      <c r="T21" s="358">
        <v>227.57959374223009</v>
      </c>
      <c r="U21" s="358">
        <v>272.10000000000002</v>
      </c>
      <c r="V21" s="358">
        <v>211.36651829315741</v>
      </c>
    </row>
    <row r="22" spans="1:22" outlineLevel="1">
      <c r="A22" s="310" t="s">
        <v>335</v>
      </c>
      <c r="B22" s="358">
        <v>7.7491099999999993E-2</v>
      </c>
      <c r="C22" s="358">
        <v>0.2278715</v>
      </c>
      <c r="D22" s="358">
        <v>0.23861950000000001</v>
      </c>
      <c r="E22" s="358">
        <v>0.25939272000000002</v>
      </c>
      <c r="F22" s="358">
        <v>0.26590000000000003</v>
      </c>
      <c r="G22" s="358">
        <v>0.5544</v>
      </c>
      <c r="H22" s="358">
        <v>1.33</v>
      </c>
      <c r="I22" s="358">
        <v>42.41</v>
      </c>
      <c r="J22" s="358">
        <v>47.42</v>
      </c>
      <c r="K22" s="358">
        <f>(SUMIF('Monthly PL'!$2:$2,K$2,'Monthly PL'!25:25))+(SUMIF('Monthly PL'!$2:$2,K$2,'Monthly PL'!24:24))+(SUMIF('Monthly PL'!$2:$2,K$2,'Monthly PL'!26:26))</f>
        <v>20.930152587584804</v>
      </c>
      <c r="L22" s="358">
        <f>(SUMIF('Monthly PL'!$2:$2,L$2,'Monthly PL'!27:27))+(SUMIF('Monthly PL'!$2:$2,L$2,'Monthly PL'!24:24))+(SUMIF('Monthly PL'!$2:$2,L$2,'Monthly PL'!26:26))</f>
        <v>15.547902046218519</v>
      </c>
      <c r="M22" s="358">
        <f>(SUMIF('Monthly PL'!$2:$2,M$2,'Monthly PL'!27:27))+(SUMIF('Monthly PL'!$2:$2,M$2,'Monthly PL'!24:24))+(SUMIF('Monthly PL'!$2:$2,M$2,'Monthly PL'!26:26))</f>
        <v>14.536445532786459</v>
      </c>
      <c r="N22" s="358">
        <f>(SUMIF('Monthly PL'!$2:$2,N$2,'Monthly PL'!27:27))+(SUMIF('Monthly PL'!$2:$2,N$2,'Monthly PL'!24:24))+(SUMIF('Monthly PL'!$2:$2,N$2,'Monthly PL'!26:26))</f>
        <v>12.231491747369153</v>
      </c>
      <c r="O22" s="358">
        <f>(SUMIF('Monthly PL'!$2:$2,O$2,'Monthly PL'!27:27))+(SUMIF('Monthly PL'!$2:$2,O$2,'Monthly PL'!24:24))+(SUMIF('Monthly PL'!$2:$2,O$2,'Monthly PL'!26:26))</f>
        <v>9.420809705235822</v>
      </c>
      <c r="P22" s="358">
        <f>(SUMIF('Monthly PL'!$2:$2,P$2,'Monthly PL'!27:27))+(SUMIF('Monthly PL'!$2:$2,P$2,'Monthly PL'!24:24))+(SUMIF('Monthly PL'!$2:$2,P$2,'Monthly PL'!26:26))</f>
        <v>5.8029075610365153</v>
      </c>
      <c r="Q22" s="358">
        <f>(SUMIF('Monthly PL'!$2:$2,Q$2,'Monthly PL'!27:27))+(SUMIF('Monthly PL'!$2:$2,Q$2,'Monthly PL'!24:24))+(SUMIF('Monthly PL'!$2:$2,Q$2,'Monthly PL'!26:26))</f>
        <v>0.87854075365412954</v>
      </c>
      <c r="R22" s="358">
        <f>SUM(B22:Q22)</f>
        <v>172.13192475388541</v>
      </c>
      <c r="S22" s="359">
        <v>0</v>
      </c>
      <c r="T22" s="358">
        <v>0</v>
      </c>
      <c r="U22" s="358">
        <v>0</v>
      </c>
      <c r="V22" s="358">
        <v>0</v>
      </c>
    </row>
    <row r="23" spans="1:22" ht="12.75" outlineLevel="1" thickBot="1">
      <c r="A23" s="350" t="s">
        <v>397</v>
      </c>
      <c r="B23" s="361">
        <f t="shared" ref="B23:V23" si="9">+B20-SUM(B21:B22)</f>
        <v>-3.0274063199999985</v>
      </c>
      <c r="C23" s="361">
        <f t="shared" si="9"/>
        <v>-1.9572504707529128</v>
      </c>
      <c r="D23" s="361">
        <f t="shared" si="9"/>
        <v>-0.76338589610987295</v>
      </c>
      <c r="E23" s="361">
        <f t="shared" si="9"/>
        <v>-0.17026523188562681</v>
      </c>
      <c r="F23" s="361">
        <f t="shared" si="9"/>
        <v>7.8600000000002779E-2</v>
      </c>
      <c r="G23" s="361">
        <f t="shared" si="9"/>
        <v>0.26279999999999815</v>
      </c>
      <c r="H23" s="361">
        <f t="shared" si="9"/>
        <v>-0.39000000000000523</v>
      </c>
      <c r="I23" s="361">
        <f t="shared" si="9"/>
        <v>-78.98</v>
      </c>
      <c r="J23" s="361">
        <f t="shared" si="9"/>
        <v>-72.758768000000003</v>
      </c>
      <c r="K23" s="361">
        <f t="shared" si="9"/>
        <v>62.242429281872191</v>
      </c>
      <c r="L23" s="361">
        <f t="shared" si="9"/>
        <v>-53.703890840839691</v>
      </c>
      <c r="M23" s="361">
        <f t="shared" si="9"/>
        <v>-35.249035749399795</v>
      </c>
      <c r="N23" s="361">
        <f t="shared" si="9"/>
        <v>-18.20147508029747</v>
      </c>
      <c r="O23" s="361">
        <f t="shared" si="9"/>
        <v>-16.064334973691132</v>
      </c>
      <c r="P23" s="361">
        <f t="shared" si="9"/>
        <v>1.9651121474771003</v>
      </c>
      <c r="Q23" s="361">
        <f t="shared" si="9"/>
        <v>30.96456525283326</v>
      </c>
      <c r="R23" s="361">
        <f t="shared" si="9"/>
        <v>-185.75230588079398</v>
      </c>
      <c r="S23" s="362">
        <f t="shared" si="9"/>
        <v>695.66189458928261</v>
      </c>
      <c r="T23" s="361">
        <f t="shared" si="9"/>
        <v>689.13917232918288</v>
      </c>
      <c r="U23" s="361">
        <f t="shared" si="9"/>
        <v>590.2399999999999</v>
      </c>
      <c r="V23" s="361">
        <f t="shared" si="9"/>
        <v>668.59988880060814</v>
      </c>
    </row>
    <row r="24" spans="1:22" ht="12.75" outlineLevel="1" thickTop="1">
      <c r="A24" s="354" t="s">
        <v>398</v>
      </c>
      <c r="B24" s="358">
        <f t="shared" ref="B24:G24" si="10">B49</f>
        <v>0</v>
      </c>
      <c r="C24" s="358">
        <f t="shared" si="10"/>
        <v>0</v>
      </c>
      <c r="D24" s="358">
        <f t="shared" si="10"/>
        <v>0</v>
      </c>
      <c r="E24" s="358">
        <f t="shared" si="10"/>
        <v>0</v>
      </c>
      <c r="F24" s="358">
        <f t="shared" si="10"/>
        <v>0</v>
      </c>
      <c r="G24" s="358">
        <f t="shared" si="10"/>
        <v>0</v>
      </c>
      <c r="H24" s="358">
        <f>MAX(H49,0)</f>
        <v>0</v>
      </c>
      <c r="I24" s="358">
        <f>MAX(I49,0)</f>
        <v>0</v>
      </c>
      <c r="J24" s="358">
        <f>J49</f>
        <v>0</v>
      </c>
      <c r="K24" s="358">
        <f t="shared" ref="K24:Q24" si="11">K49</f>
        <v>0</v>
      </c>
      <c r="L24" s="358">
        <f t="shared" si="11"/>
        <v>0</v>
      </c>
      <c r="M24" s="358">
        <f t="shared" si="11"/>
        <v>0</v>
      </c>
      <c r="N24" s="358">
        <f t="shared" si="11"/>
        <v>0</v>
      </c>
      <c r="O24" s="358">
        <f t="shared" si="11"/>
        <v>0</v>
      </c>
      <c r="P24" s="358">
        <v>0</v>
      </c>
      <c r="Q24" s="358">
        <f t="shared" si="11"/>
        <v>0</v>
      </c>
      <c r="R24" s="358">
        <f>SUM(B24:Q24)</f>
        <v>0</v>
      </c>
      <c r="S24" s="359">
        <v>115.88535668914456</v>
      </c>
      <c r="T24" s="358">
        <v>105.67674837739351</v>
      </c>
      <c r="U24" s="358">
        <v>74.680000000000007</v>
      </c>
      <c r="V24" s="358">
        <v>80.994368413504674</v>
      </c>
    </row>
    <row r="25" spans="1:22" ht="12.75" outlineLevel="1" thickBot="1">
      <c r="A25" s="350" t="s">
        <v>399</v>
      </c>
      <c r="B25" s="361">
        <f t="shared" ref="B25:V25" si="12">B23-SUM(B24:B24)</f>
        <v>-3.0274063199999985</v>
      </c>
      <c r="C25" s="361">
        <f t="shared" si="12"/>
        <v>-1.9572504707529128</v>
      </c>
      <c r="D25" s="361">
        <f t="shared" si="12"/>
        <v>-0.76338589610987295</v>
      </c>
      <c r="E25" s="361">
        <f t="shared" si="12"/>
        <v>-0.17026523188562681</v>
      </c>
      <c r="F25" s="361">
        <f t="shared" si="12"/>
        <v>7.8600000000002779E-2</v>
      </c>
      <c r="G25" s="361">
        <f t="shared" si="12"/>
        <v>0.26279999999999815</v>
      </c>
      <c r="H25" s="361">
        <f t="shared" si="12"/>
        <v>-0.39000000000000523</v>
      </c>
      <c r="I25" s="361">
        <f t="shared" si="12"/>
        <v>-78.98</v>
      </c>
      <c r="J25" s="361">
        <f t="shared" si="12"/>
        <v>-72.758768000000003</v>
      </c>
      <c r="K25" s="361">
        <f t="shared" si="12"/>
        <v>62.242429281872191</v>
      </c>
      <c r="L25" s="361">
        <f t="shared" si="12"/>
        <v>-53.703890840839691</v>
      </c>
      <c r="M25" s="361">
        <f t="shared" si="12"/>
        <v>-35.249035749399795</v>
      </c>
      <c r="N25" s="361">
        <f t="shared" si="12"/>
        <v>-18.20147508029747</v>
      </c>
      <c r="O25" s="361">
        <f t="shared" si="12"/>
        <v>-16.064334973691132</v>
      </c>
      <c r="P25" s="361">
        <f t="shared" si="12"/>
        <v>1.9651121474771003</v>
      </c>
      <c r="Q25" s="361">
        <f t="shared" si="12"/>
        <v>30.96456525283326</v>
      </c>
      <c r="R25" s="361">
        <f t="shared" si="12"/>
        <v>-185.75230588079398</v>
      </c>
      <c r="S25" s="362">
        <f>S23-SUM(S24:S24)</f>
        <v>579.77653790013801</v>
      </c>
      <c r="T25" s="361">
        <f>T23-SUM(T24:T24)</f>
        <v>583.46242395178933</v>
      </c>
      <c r="U25" s="361">
        <f t="shared" si="12"/>
        <v>515.55999999999995</v>
      </c>
      <c r="V25" s="361">
        <f t="shared" si="12"/>
        <v>587.60552038710352</v>
      </c>
    </row>
    <row r="26" spans="1:22" ht="12.75" outlineLevel="1" thickTop="1">
      <c r="A26" s="350" t="s">
        <v>357</v>
      </c>
      <c r="B26" s="358">
        <f>B25</f>
        <v>-3.0274063199999985</v>
      </c>
      <c r="C26" s="358">
        <f t="shared" ref="C26:Q26" si="13">C25+B26</f>
        <v>-4.9846567907529113</v>
      </c>
      <c r="D26" s="358">
        <f t="shared" si="13"/>
        <v>-5.7480426868627843</v>
      </c>
      <c r="E26" s="358">
        <f t="shared" si="13"/>
        <v>-5.9183079187484111</v>
      </c>
      <c r="F26" s="358">
        <f t="shared" si="13"/>
        <v>-5.8397079187484087</v>
      </c>
      <c r="G26" s="358">
        <f t="shared" si="13"/>
        <v>-5.576907918748411</v>
      </c>
      <c r="H26" s="358">
        <f t="shared" si="13"/>
        <v>-5.966907918748416</v>
      </c>
      <c r="I26" s="358">
        <f t="shared" si="13"/>
        <v>-84.946907918748423</v>
      </c>
      <c r="J26" s="358">
        <f t="shared" si="13"/>
        <v>-157.70567591874843</v>
      </c>
      <c r="K26" s="358">
        <f t="shared" si="13"/>
        <v>-95.463246636876235</v>
      </c>
      <c r="L26" s="358">
        <f t="shared" si="13"/>
        <v>-149.16713747771593</v>
      </c>
      <c r="M26" s="358">
        <f t="shared" si="13"/>
        <v>-184.41617322711573</v>
      </c>
      <c r="N26" s="358">
        <f t="shared" si="13"/>
        <v>-202.61764830741322</v>
      </c>
      <c r="O26" s="358">
        <f t="shared" si="13"/>
        <v>-218.68198328110435</v>
      </c>
      <c r="P26" s="358">
        <f t="shared" si="13"/>
        <v>-216.71687113362725</v>
      </c>
      <c r="Q26" s="358">
        <f t="shared" si="13"/>
        <v>-185.75230588079398</v>
      </c>
      <c r="S26" s="359">
        <f>S25+S21</f>
        <v>817.29024423007127</v>
      </c>
      <c r="T26" s="358">
        <f>T25+T21</f>
        <v>811.04201769401948</v>
      </c>
      <c r="U26" s="358">
        <f>U25+U21</f>
        <v>787.66</v>
      </c>
      <c r="V26" s="358">
        <f>V25+V21</f>
        <v>798.97203868026099</v>
      </c>
    </row>
    <row r="27" spans="1:22" outlineLevel="1">
      <c r="A27" s="350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</row>
    <row r="28" spans="1:22" outlineLevel="1">
      <c r="A28" s="350"/>
      <c r="B28" s="358">
        <f t="shared" ref="B28:Q28" si="14">SUM(B22:B22)</f>
        <v>7.7491099999999993E-2</v>
      </c>
      <c r="C28" s="358">
        <f t="shared" si="14"/>
        <v>0.2278715</v>
      </c>
      <c r="D28" s="358">
        <f t="shared" si="14"/>
        <v>0.23861950000000001</v>
      </c>
      <c r="E28" s="358">
        <f t="shared" si="14"/>
        <v>0.25939272000000002</v>
      </c>
      <c r="F28" s="358">
        <f t="shared" si="14"/>
        <v>0.26590000000000003</v>
      </c>
      <c r="G28" s="358">
        <f t="shared" si="14"/>
        <v>0.5544</v>
      </c>
      <c r="H28" s="358">
        <f t="shared" si="14"/>
        <v>1.33</v>
      </c>
      <c r="I28" s="358">
        <f t="shared" si="14"/>
        <v>42.41</v>
      </c>
      <c r="J28" s="358">
        <f t="shared" si="14"/>
        <v>47.42</v>
      </c>
      <c r="K28" s="358">
        <f t="shared" si="14"/>
        <v>20.930152587584804</v>
      </c>
      <c r="L28" s="358">
        <f t="shared" si="14"/>
        <v>15.547902046218519</v>
      </c>
      <c r="M28" s="358">
        <f t="shared" si="14"/>
        <v>14.536445532786459</v>
      </c>
      <c r="N28" s="358">
        <f t="shared" si="14"/>
        <v>12.231491747369153</v>
      </c>
      <c r="O28" s="358">
        <f t="shared" si="14"/>
        <v>9.420809705235822</v>
      </c>
      <c r="P28" s="358">
        <f t="shared" si="14"/>
        <v>5.8029075610365153</v>
      </c>
      <c r="Q28" s="358">
        <f t="shared" si="14"/>
        <v>0.87854075365412954</v>
      </c>
    </row>
    <row r="29" spans="1:22">
      <c r="A29" s="350"/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</row>
    <row r="30" spans="1:22">
      <c r="A30" s="350" t="s">
        <v>400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</row>
    <row r="31" spans="1:22">
      <c r="A31" s="350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</row>
    <row r="32" spans="1:22">
      <c r="A32" s="350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</row>
    <row r="33" spans="1:19">
      <c r="A33" s="350"/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</row>
    <row r="34" spans="1:19">
      <c r="A34" s="350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</row>
    <row r="35" spans="1:19">
      <c r="A35" s="350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</row>
    <row r="36" spans="1:19">
      <c r="A36" s="354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</row>
    <row r="37" spans="1:19">
      <c r="A37" s="354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</row>
    <row r="38" spans="1:19">
      <c r="A38" s="350" t="s">
        <v>401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</row>
    <row r="39" spans="1:19">
      <c r="A39" s="354" t="s">
        <v>402</v>
      </c>
      <c r="B39" s="358">
        <f t="shared" ref="B39:Q39" si="15">B23</f>
        <v>-3.0274063199999985</v>
      </c>
      <c r="C39" s="358">
        <f t="shared" si="15"/>
        <v>-1.9572504707529128</v>
      </c>
      <c r="D39" s="358">
        <f t="shared" si="15"/>
        <v>-0.76338589610987295</v>
      </c>
      <c r="E39" s="358">
        <f t="shared" si="15"/>
        <v>-0.17026523188562681</v>
      </c>
      <c r="F39" s="358">
        <f t="shared" si="15"/>
        <v>7.8600000000002779E-2</v>
      </c>
      <c r="G39" s="358">
        <f t="shared" si="15"/>
        <v>0.26279999999999815</v>
      </c>
      <c r="H39" s="358">
        <f t="shared" si="15"/>
        <v>-0.39000000000000523</v>
      </c>
      <c r="I39" s="358">
        <f t="shared" si="15"/>
        <v>-78.98</v>
      </c>
      <c r="J39" s="358">
        <f t="shared" si="15"/>
        <v>-72.758768000000003</v>
      </c>
      <c r="K39" s="358">
        <f t="shared" si="15"/>
        <v>62.242429281872191</v>
      </c>
      <c r="L39" s="358">
        <f t="shared" si="15"/>
        <v>-53.703890840839691</v>
      </c>
      <c r="M39" s="358">
        <f t="shared" si="15"/>
        <v>-35.249035749399795</v>
      </c>
      <c r="N39" s="358">
        <f t="shared" si="15"/>
        <v>-18.20147508029747</v>
      </c>
      <c r="O39" s="358">
        <f t="shared" si="15"/>
        <v>-16.064334973691132</v>
      </c>
      <c r="P39" s="358">
        <f t="shared" si="15"/>
        <v>1.9651121474771003</v>
      </c>
      <c r="Q39" s="358">
        <f t="shared" si="15"/>
        <v>30.96456525283326</v>
      </c>
      <c r="R39" s="358">
        <f>SUM(B39:Q39)</f>
        <v>-185.75230588079398</v>
      </c>
    </row>
    <row r="40" spans="1:19">
      <c r="A40" s="354" t="s">
        <v>403</v>
      </c>
      <c r="B40" s="358">
        <f t="shared" ref="B40:Q40" si="16">B21</f>
        <v>0.198254004381819</v>
      </c>
      <c r="C40" s="358">
        <f t="shared" si="16"/>
        <v>1.7866841</v>
      </c>
      <c r="D40" s="358">
        <f t="shared" si="16"/>
        <v>1.9100072241098698</v>
      </c>
      <c r="E40" s="358">
        <f t="shared" si="16"/>
        <v>1.0247816367689195</v>
      </c>
      <c r="F40" s="358">
        <f t="shared" si="16"/>
        <v>0.71830000000000005</v>
      </c>
      <c r="G40" s="358">
        <f t="shared" si="16"/>
        <v>0.51280000000000003</v>
      </c>
      <c r="H40" s="358">
        <f t="shared" si="16"/>
        <v>0.55000000000000004</v>
      </c>
      <c r="I40" s="358">
        <f t="shared" si="16"/>
        <v>36.24</v>
      </c>
      <c r="J40" s="358">
        <f t="shared" si="16"/>
        <v>37.049999999999997</v>
      </c>
      <c r="K40" s="358">
        <f t="shared" si="16"/>
        <v>45.5</v>
      </c>
      <c r="L40" s="358">
        <f t="shared" si="16"/>
        <v>45.5</v>
      </c>
      <c r="M40" s="358">
        <f t="shared" si="16"/>
        <v>45.5</v>
      </c>
      <c r="N40" s="358">
        <f t="shared" si="16"/>
        <v>45.5</v>
      </c>
      <c r="O40" s="358">
        <f t="shared" si="16"/>
        <v>45.5</v>
      </c>
      <c r="P40" s="358">
        <f t="shared" si="16"/>
        <v>46.04</v>
      </c>
      <c r="Q40" s="358">
        <f t="shared" si="16"/>
        <v>0</v>
      </c>
      <c r="R40" s="358">
        <f>SUM(B40:Q40)</f>
        <v>353.53082696526064</v>
      </c>
    </row>
    <row r="41" spans="1:19" ht="12.75" thickBot="1">
      <c r="A41" s="350" t="s">
        <v>404</v>
      </c>
      <c r="B41" s="361">
        <f t="shared" ref="B41:R41" si="17">B39+B40</f>
        <v>-2.8291523156181797</v>
      </c>
      <c r="C41" s="361">
        <f t="shared" si="17"/>
        <v>-0.17056637075291281</v>
      </c>
      <c r="D41" s="361">
        <f t="shared" si="17"/>
        <v>1.1466213279999968</v>
      </c>
      <c r="E41" s="361">
        <f t="shared" si="17"/>
        <v>0.85451640488329272</v>
      </c>
      <c r="F41" s="361">
        <f t="shared" si="17"/>
        <v>0.79690000000000283</v>
      </c>
      <c r="G41" s="361">
        <f t="shared" si="17"/>
        <v>0.77559999999999818</v>
      </c>
      <c r="H41" s="361">
        <f t="shared" si="17"/>
        <v>0.15999999999999481</v>
      </c>
      <c r="I41" s="361">
        <f t="shared" si="17"/>
        <v>-42.74</v>
      </c>
      <c r="J41" s="361">
        <f t="shared" si="17"/>
        <v>-35.708768000000006</v>
      </c>
      <c r="K41" s="361">
        <f t="shared" si="17"/>
        <v>107.74242928187219</v>
      </c>
      <c r="L41" s="361">
        <f t="shared" si="17"/>
        <v>-8.2038908408396907</v>
      </c>
      <c r="M41" s="361">
        <f t="shared" si="17"/>
        <v>10.250964250600205</v>
      </c>
      <c r="N41" s="361">
        <f t="shared" si="17"/>
        <v>27.29852491970253</v>
      </c>
      <c r="O41" s="361">
        <f t="shared" si="17"/>
        <v>29.435665026308868</v>
      </c>
      <c r="P41" s="361">
        <f t="shared" si="17"/>
        <v>48.005112147477099</v>
      </c>
      <c r="Q41" s="361">
        <f t="shared" si="17"/>
        <v>30.96456525283326</v>
      </c>
      <c r="R41" s="361">
        <f t="shared" si="17"/>
        <v>167.77852108446666</v>
      </c>
      <c r="S41" s="369"/>
    </row>
    <row r="42" spans="1:19" ht="12.75" thickTop="1">
      <c r="A42" s="354" t="s">
        <v>405</v>
      </c>
      <c r="B42" s="358">
        <f t="shared" ref="B42:Q42" si="18">B40</f>
        <v>0.198254004381819</v>
      </c>
      <c r="C42" s="358">
        <f t="shared" si="18"/>
        <v>1.7866841</v>
      </c>
      <c r="D42" s="358">
        <f t="shared" si="18"/>
        <v>1.9100072241098698</v>
      </c>
      <c r="E42" s="358">
        <f t="shared" si="18"/>
        <v>1.0247816367689195</v>
      </c>
      <c r="F42" s="358">
        <f t="shared" si="18"/>
        <v>0.71830000000000005</v>
      </c>
      <c r="G42" s="358">
        <f t="shared" si="18"/>
        <v>0.51280000000000003</v>
      </c>
      <c r="H42" s="358">
        <f t="shared" si="18"/>
        <v>0.55000000000000004</v>
      </c>
      <c r="I42" s="358">
        <f t="shared" si="18"/>
        <v>36.24</v>
      </c>
      <c r="J42" s="358">
        <f t="shared" si="18"/>
        <v>37.049999999999997</v>
      </c>
      <c r="K42" s="358">
        <f t="shared" si="18"/>
        <v>45.5</v>
      </c>
      <c r="L42" s="358">
        <f t="shared" si="18"/>
        <v>45.5</v>
      </c>
      <c r="M42" s="358">
        <f t="shared" si="18"/>
        <v>45.5</v>
      </c>
      <c r="N42" s="358">
        <f t="shared" si="18"/>
        <v>45.5</v>
      </c>
      <c r="O42" s="358">
        <f t="shared" si="18"/>
        <v>45.5</v>
      </c>
      <c r="P42" s="358">
        <f t="shared" si="18"/>
        <v>46.04</v>
      </c>
      <c r="Q42" s="358">
        <f t="shared" si="18"/>
        <v>0</v>
      </c>
      <c r="R42" s="358">
        <f>SUM(B42:Q42)</f>
        <v>353.53082696526064</v>
      </c>
    </row>
    <row r="43" spans="1:19" ht="12.75" thickBot="1">
      <c r="A43" s="350" t="s">
        <v>406</v>
      </c>
      <c r="B43" s="361">
        <f t="shared" ref="B43:R43" si="19">B41-B42</f>
        <v>-3.0274063199999985</v>
      </c>
      <c r="C43" s="361">
        <f t="shared" si="19"/>
        <v>-1.9572504707529128</v>
      </c>
      <c r="D43" s="361">
        <f t="shared" si="19"/>
        <v>-0.76338589610987295</v>
      </c>
      <c r="E43" s="361">
        <f t="shared" si="19"/>
        <v>-0.17026523188562681</v>
      </c>
      <c r="F43" s="361">
        <f t="shared" si="19"/>
        <v>7.8600000000002779E-2</v>
      </c>
      <c r="G43" s="361">
        <f t="shared" si="19"/>
        <v>0.26279999999999815</v>
      </c>
      <c r="H43" s="361">
        <f t="shared" si="19"/>
        <v>-0.39000000000000523</v>
      </c>
      <c r="I43" s="361">
        <f t="shared" si="19"/>
        <v>-78.98</v>
      </c>
      <c r="J43" s="361">
        <f t="shared" si="19"/>
        <v>-72.758768000000003</v>
      </c>
      <c r="K43" s="361">
        <f t="shared" si="19"/>
        <v>62.242429281872191</v>
      </c>
      <c r="L43" s="361">
        <f t="shared" si="19"/>
        <v>-53.703890840839691</v>
      </c>
      <c r="M43" s="361">
        <f t="shared" si="19"/>
        <v>-35.249035749399795</v>
      </c>
      <c r="N43" s="361">
        <f t="shared" si="19"/>
        <v>-18.20147508029747</v>
      </c>
      <c r="O43" s="361">
        <f t="shared" si="19"/>
        <v>-16.064334973691132</v>
      </c>
      <c r="P43" s="361">
        <f t="shared" si="19"/>
        <v>1.9651121474771003</v>
      </c>
      <c r="Q43" s="361">
        <f t="shared" si="19"/>
        <v>30.96456525283326</v>
      </c>
      <c r="R43" s="361">
        <f t="shared" si="19"/>
        <v>-185.75230588079398</v>
      </c>
      <c r="S43" s="369"/>
    </row>
    <row r="44" spans="1:19" ht="12.75" thickTop="1">
      <c r="A44" s="354" t="s">
        <v>407</v>
      </c>
      <c r="B44" s="358">
        <f t="shared" ref="B44:Q44" si="20">IF(B43&lt;0,B43,0)</f>
        <v>-3.0274063199999985</v>
      </c>
      <c r="C44" s="358">
        <f t="shared" si="20"/>
        <v>-1.9572504707529128</v>
      </c>
      <c r="D44" s="358">
        <f t="shared" si="20"/>
        <v>-0.76338589610987295</v>
      </c>
      <c r="E44" s="358">
        <f t="shared" si="20"/>
        <v>-0.17026523188562681</v>
      </c>
      <c r="F44" s="358">
        <f t="shared" si="20"/>
        <v>0</v>
      </c>
      <c r="G44" s="358">
        <f t="shared" si="20"/>
        <v>0</v>
      </c>
      <c r="H44" s="358">
        <f t="shared" si="20"/>
        <v>-0.39000000000000523</v>
      </c>
      <c r="I44" s="358">
        <f t="shared" si="20"/>
        <v>-78.98</v>
      </c>
      <c r="J44" s="358">
        <f t="shared" si="20"/>
        <v>-72.758768000000003</v>
      </c>
      <c r="K44" s="358">
        <f t="shared" si="20"/>
        <v>0</v>
      </c>
      <c r="L44" s="358">
        <f t="shared" si="20"/>
        <v>-53.703890840839691</v>
      </c>
      <c r="M44" s="358">
        <f t="shared" si="20"/>
        <v>-35.249035749399795</v>
      </c>
      <c r="N44" s="358">
        <f t="shared" si="20"/>
        <v>-18.20147508029747</v>
      </c>
      <c r="O44" s="358">
        <f t="shared" si="20"/>
        <v>-16.064334973691132</v>
      </c>
      <c r="P44" s="358">
        <f t="shared" si="20"/>
        <v>0</v>
      </c>
      <c r="Q44" s="358">
        <f t="shared" si="20"/>
        <v>0</v>
      </c>
    </row>
    <row r="45" spans="1:19">
      <c r="A45" s="354" t="s">
        <v>408</v>
      </c>
      <c r="B45" s="358">
        <f>B44</f>
        <v>-3.0274063199999985</v>
      </c>
      <c r="C45" s="358">
        <f t="shared" ref="C45:P45" si="21">IF((B45+C43)&lt;0,(B45+C43),0)</f>
        <v>-4.9846567907529113</v>
      </c>
      <c r="D45" s="358">
        <f t="shared" si="21"/>
        <v>-5.7480426868627843</v>
      </c>
      <c r="E45" s="358">
        <f t="shared" si="21"/>
        <v>-5.9183079187484111</v>
      </c>
      <c r="F45" s="358">
        <f t="shared" si="21"/>
        <v>-5.8397079187484087</v>
      </c>
      <c r="G45" s="358">
        <f t="shared" si="21"/>
        <v>-5.576907918748411</v>
      </c>
      <c r="H45" s="358">
        <f t="shared" si="21"/>
        <v>-5.966907918748416</v>
      </c>
      <c r="I45" s="358">
        <f t="shared" si="21"/>
        <v>-84.946907918748423</v>
      </c>
      <c r="J45" s="358">
        <f t="shared" si="21"/>
        <v>-157.70567591874843</v>
      </c>
      <c r="K45" s="358">
        <f t="shared" si="21"/>
        <v>-95.463246636876235</v>
      </c>
      <c r="L45" s="358">
        <f t="shared" si="21"/>
        <v>-149.16713747771593</v>
      </c>
      <c r="M45" s="358">
        <f t="shared" si="21"/>
        <v>-184.41617322711573</v>
      </c>
      <c r="N45" s="358">
        <f t="shared" si="21"/>
        <v>-202.61764830741322</v>
      </c>
      <c r="O45" s="358">
        <f t="shared" si="21"/>
        <v>-218.68198328110435</v>
      </c>
      <c r="P45" s="358">
        <f t="shared" si="21"/>
        <v>-216.71687113362725</v>
      </c>
      <c r="Q45" s="358">
        <f>IF((O45+Q43)&lt;0,(O45+Q43),0)</f>
        <v>-187.71741802827108</v>
      </c>
    </row>
    <row r="46" spans="1:19">
      <c r="A46" s="354" t="s">
        <v>409</v>
      </c>
      <c r="B46" s="358">
        <v>0</v>
      </c>
      <c r="C46" s="358">
        <f t="shared" ref="C46:P46" si="22">IF((C43+B45)&lt;0,0,(C43+B45))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8">
        <f t="shared" si="22"/>
        <v>0</v>
      </c>
      <c r="L46" s="358">
        <f t="shared" si="22"/>
        <v>0</v>
      </c>
      <c r="M46" s="358">
        <f t="shared" si="22"/>
        <v>0</v>
      </c>
      <c r="N46" s="358">
        <f t="shared" si="22"/>
        <v>0</v>
      </c>
      <c r="O46" s="358">
        <f t="shared" si="22"/>
        <v>0</v>
      </c>
      <c r="P46" s="358">
        <f t="shared" si="22"/>
        <v>0</v>
      </c>
      <c r="Q46" s="358">
        <f>IF((Q43+O45)&lt;0,0,(Q43+O45))</f>
        <v>0</v>
      </c>
    </row>
    <row r="47" spans="1:19">
      <c r="A47" s="354" t="s">
        <v>410</v>
      </c>
      <c r="B47" s="358">
        <v>0</v>
      </c>
      <c r="C47" s="358">
        <v>0</v>
      </c>
      <c r="D47" s="358">
        <v>0</v>
      </c>
      <c r="E47" s="358">
        <v>0</v>
      </c>
      <c r="F47" s="358">
        <v>0</v>
      </c>
      <c r="G47" s="358">
        <v>0</v>
      </c>
      <c r="H47" s="358">
        <v>0</v>
      </c>
      <c r="I47" s="358">
        <v>0</v>
      </c>
      <c r="J47" s="358">
        <v>0</v>
      </c>
      <c r="K47" s="358">
        <v>0</v>
      </c>
      <c r="L47" s="358">
        <v>0</v>
      </c>
      <c r="M47" s="358">
        <v>0</v>
      </c>
      <c r="N47" s="358">
        <v>0</v>
      </c>
      <c r="O47" s="358">
        <v>0</v>
      </c>
      <c r="P47" s="358">
        <v>0</v>
      </c>
      <c r="Q47" s="358">
        <v>0</v>
      </c>
    </row>
    <row r="48" spans="1:19">
      <c r="A48" s="354" t="s">
        <v>411</v>
      </c>
      <c r="B48" s="364" t="s">
        <v>250</v>
      </c>
      <c r="C48" s="364" t="s">
        <v>250</v>
      </c>
      <c r="D48" s="364" t="s">
        <v>250</v>
      </c>
      <c r="E48" s="364" t="s">
        <v>250</v>
      </c>
      <c r="F48" s="364" t="s">
        <v>250</v>
      </c>
      <c r="G48" s="364" t="s">
        <v>250</v>
      </c>
      <c r="H48" s="364" t="s">
        <v>250</v>
      </c>
      <c r="I48" s="364" t="s">
        <v>250</v>
      </c>
      <c r="J48" s="364" t="s">
        <v>250</v>
      </c>
      <c r="K48" s="364" t="s">
        <v>250</v>
      </c>
      <c r="L48" s="364" t="s">
        <v>250</v>
      </c>
      <c r="M48" s="364" t="s">
        <v>250</v>
      </c>
      <c r="N48" s="364" t="s">
        <v>250</v>
      </c>
      <c r="O48" s="364" t="s">
        <v>250</v>
      </c>
      <c r="P48" s="364" t="s">
        <v>412</v>
      </c>
      <c r="Q48" s="364" t="s">
        <v>250</v>
      </c>
    </row>
    <row r="49" spans="1:17">
      <c r="A49" s="354" t="s">
        <v>413</v>
      </c>
      <c r="B49" s="358">
        <v>0</v>
      </c>
      <c r="C49" s="358">
        <v>0</v>
      </c>
      <c r="D49" s="358">
        <v>0</v>
      </c>
      <c r="E49" s="358">
        <v>0</v>
      </c>
      <c r="F49" s="358">
        <v>0</v>
      </c>
      <c r="G49" s="358">
        <f>IF(AND(G48=$G$48,(G39+F45)&lt;0),0,(G39+F45)*(18*107.5%*103%)%)</f>
        <v>0</v>
      </c>
      <c r="H49" s="358">
        <f t="shared" ref="H49:P49" si="23">IF(AND(H48=$G$48,(H39+G45)&lt;0),0,(H39+G45)*(21.3416)%)</f>
        <v>0</v>
      </c>
      <c r="I49" s="358">
        <f t="shared" si="23"/>
        <v>0</v>
      </c>
      <c r="J49" s="358">
        <f t="shared" si="23"/>
        <v>0</v>
      </c>
      <c r="K49" s="358">
        <f t="shared" si="23"/>
        <v>0</v>
      </c>
      <c r="L49" s="358">
        <f t="shared" si="23"/>
        <v>0</v>
      </c>
      <c r="M49" s="358">
        <f t="shared" si="23"/>
        <v>0</v>
      </c>
      <c r="N49" s="358">
        <f t="shared" si="23"/>
        <v>0</v>
      </c>
      <c r="O49" s="358">
        <f t="shared" si="23"/>
        <v>0</v>
      </c>
      <c r="P49" s="358">
        <f t="shared" si="23"/>
        <v>-46.25084776985419</v>
      </c>
      <c r="Q49" s="358">
        <f>IF(AND(Q48=$G$48,(Q39+O45)&lt;0),0,(Q39+O45)*(21.3416)%)</f>
        <v>0</v>
      </c>
    </row>
    <row r="50" spans="1:17">
      <c r="A50" s="354" t="s">
        <v>414</v>
      </c>
      <c r="B50" s="358">
        <f>B49</f>
        <v>0</v>
      </c>
      <c r="C50" s="358">
        <f t="shared" ref="C50:P50" si="24">C49+B50</f>
        <v>0</v>
      </c>
      <c r="D50" s="358">
        <f t="shared" si="24"/>
        <v>0</v>
      </c>
      <c r="E50" s="358">
        <f t="shared" si="24"/>
        <v>0</v>
      </c>
      <c r="F50" s="358">
        <f t="shared" si="24"/>
        <v>0</v>
      </c>
      <c r="G50" s="358">
        <f t="shared" si="24"/>
        <v>0</v>
      </c>
      <c r="H50" s="358">
        <f t="shared" si="24"/>
        <v>0</v>
      </c>
      <c r="I50" s="358">
        <f t="shared" si="24"/>
        <v>0</v>
      </c>
      <c r="J50" s="358">
        <f t="shared" si="24"/>
        <v>0</v>
      </c>
      <c r="K50" s="358">
        <f t="shared" si="24"/>
        <v>0</v>
      </c>
      <c r="L50" s="358">
        <f t="shared" si="24"/>
        <v>0</v>
      </c>
      <c r="M50" s="358">
        <f t="shared" si="24"/>
        <v>0</v>
      </c>
      <c r="N50" s="358">
        <f t="shared" si="24"/>
        <v>0</v>
      </c>
      <c r="O50" s="358">
        <f t="shared" si="24"/>
        <v>0</v>
      </c>
      <c r="P50" s="358">
        <f t="shared" si="24"/>
        <v>-46.25084776985419</v>
      </c>
      <c r="Q50" s="358">
        <f>Q49+O50</f>
        <v>0</v>
      </c>
    </row>
    <row r="58" spans="1:17" ht="15">
      <c r="A58" s="579" t="s">
        <v>82</v>
      </c>
      <c r="B58" s="578"/>
      <c r="C58" s="578"/>
      <c r="D58" s="578"/>
      <c r="E58" s="578"/>
      <c r="F58" s="578"/>
      <c r="G58" s="578"/>
      <c r="H58" s="578"/>
      <c r="I58" s="578"/>
      <c r="J58" s="578"/>
      <c r="K58" s="578"/>
      <c r="L58" s="580">
        <f>L10</f>
        <v>23.629977919006201</v>
      </c>
      <c r="M58" s="580">
        <f t="shared" ref="M58:Q58" si="25">M10</f>
        <v>86.908843635560416</v>
      </c>
      <c r="N58" s="580">
        <f t="shared" si="25"/>
        <v>103.27532752367021</v>
      </c>
      <c r="O58" s="580">
        <f t="shared" si="25"/>
        <v>117.00044797449458</v>
      </c>
      <c r="P58" s="580">
        <f t="shared" si="25"/>
        <v>126.41903469439586</v>
      </c>
      <c r="Q58" s="580">
        <f t="shared" si="25"/>
        <v>67.21770243803644</v>
      </c>
    </row>
    <row r="59" spans="1:17" ht="15">
      <c r="A59" s="579" t="s">
        <v>7</v>
      </c>
      <c r="B59" s="578"/>
      <c r="C59" s="578"/>
      <c r="D59" s="578"/>
      <c r="E59" s="578"/>
      <c r="F59" s="578"/>
      <c r="G59" s="578"/>
      <c r="H59" s="578"/>
      <c r="I59" s="578"/>
      <c r="J59" s="578"/>
      <c r="K59" s="578"/>
      <c r="L59" s="580">
        <f>L20</f>
        <v>7.3440112053788233</v>
      </c>
      <c r="M59" s="580">
        <f t="shared" ref="M59:Q59" si="26">M20</f>
        <v>24.787409783386664</v>
      </c>
      <c r="N59" s="580">
        <f t="shared" si="26"/>
        <v>39.530016667071685</v>
      </c>
      <c r="O59" s="580">
        <f t="shared" si="26"/>
        <v>38.856474731544694</v>
      </c>
      <c r="P59" s="580">
        <f t="shared" si="26"/>
        <v>53.808019708513612</v>
      </c>
      <c r="Q59" s="580">
        <f t="shared" si="26"/>
        <v>31.843106006487389</v>
      </c>
    </row>
    <row r="60" spans="1:17" ht="15">
      <c r="A60" s="579" t="s">
        <v>898</v>
      </c>
      <c r="B60" s="578"/>
      <c r="C60" s="578"/>
      <c r="D60" s="578"/>
      <c r="E60" s="578"/>
      <c r="F60" s="578"/>
      <c r="G60" s="578"/>
      <c r="H60" s="578"/>
      <c r="I60" s="578"/>
      <c r="J60" s="578"/>
      <c r="K60" s="578"/>
      <c r="L60" s="580">
        <f>L21</f>
        <v>45.5</v>
      </c>
      <c r="M60" s="580">
        <f t="shared" ref="M60:Q60" si="27">M21</f>
        <v>45.5</v>
      </c>
      <c r="N60" s="580">
        <f t="shared" si="27"/>
        <v>45.5</v>
      </c>
      <c r="O60" s="580">
        <f t="shared" si="27"/>
        <v>45.5</v>
      </c>
      <c r="P60" s="580">
        <f t="shared" si="27"/>
        <v>46.04</v>
      </c>
      <c r="Q60" s="580">
        <f t="shared" si="27"/>
        <v>0</v>
      </c>
    </row>
    <row r="61" spans="1:17" ht="15">
      <c r="A61" s="579" t="s">
        <v>8</v>
      </c>
      <c r="B61" s="578"/>
      <c r="C61" s="578"/>
      <c r="D61" s="578"/>
      <c r="E61" s="578"/>
      <c r="F61" s="578"/>
      <c r="G61" s="578"/>
      <c r="H61" s="578"/>
      <c r="I61" s="578"/>
      <c r="J61" s="578"/>
      <c r="K61" s="578"/>
      <c r="L61" s="580">
        <f>L59-L60</f>
        <v>-38.15598879462118</v>
      </c>
      <c r="M61" s="580">
        <f t="shared" ref="M61:Q61" si="28">M59-M60</f>
        <v>-20.712590216613336</v>
      </c>
      <c r="N61" s="580">
        <f t="shared" si="28"/>
        <v>-5.9699833329283152</v>
      </c>
      <c r="O61" s="580">
        <f t="shared" si="28"/>
        <v>-6.6435252684553063</v>
      </c>
      <c r="P61" s="580">
        <f t="shared" si="28"/>
        <v>7.7680197085136129</v>
      </c>
      <c r="Q61" s="580">
        <f t="shared" si="28"/>
        <v>31.843106006487389</v>
      </c>
    </row>
    <row r="62" spans="1:17" ht="15">
      <c r="A62" s="579" t="s">
        <v>480</v>
      </c>
      <c r="B62" s="578"/>
      <c r="C62" s="578"/>
      <c r="D62" s="578"/>
      <c r="E62" s="578"/>
      <c r="F62" s="578"/>
      <c r="G62" s="578"/>
      <c r="H62" s="578"/>
      <c r="I62" s="578"/>
      <c r="J62" s="578"/>
      <c r="K62" s="578"/>
      <c r="L62" s="580">
        <f>L22</f>
        <v>15.547902046218519</v>
      </c>
      <c r="M62" s="580">
        <f t="shared" ref="M62:Q62" si="29">M22</f>
        <v>14.536445532786459</v>
      </c>
      <c r="N62" s="580">
        <f t="shared" si="29"/>
        <v>12.231491747369153</v>
      </c>
      <c r="O62" s="580">
        <f t="shared" si="29"/>
        <v>9.420809705235822</v>
      </c>
      <c r="P62" s="580">
        <f t="shared" si="29"/>
        <v>5.8029075610365153</v>
      </c>
      <c r="Q62" s="580">
        <f t="shared" si="29"/>
        <v>0.87854075365412954</v>
      </c>
    </row>
    <row r="63" spans="1:17" ht="15">
      <c r="A63" s="579" t="s">
        <v>10</v>
      </c>
      <c r="B63" s="578"/>
      <c r="C63" s="578"/>
      <c r="D63" s="578"/>
      <c r="E63" s="578"/>
      <c r="F63" s="578"/>
      <c r="G63" s="578"/>
      <c r="H63" s="578"/>
      <c r="I63" s="578"/>
      <c r="J63" s="578"/>
      <c r="K63" s="578"/>
      <c r="L63" s="580">
        <f>L61-L62</f>
        <v>-53.703890840839698</v>
      </c>
      <c r="M63" s="580">
        <f t="shared" ref="M63:Q63" si="30">M61-M62</f>
        <v>-35.249035749399795</v>
      </c>
      <c r="N63" s="580">
        <f t="shared" si="30"/>
        <v>-18.20147508029747</v>
      </c>
      <c r="O63" s="580">
        <f t="shared" si="30"/>
        <v>-16.064334973691128</v>
      </c>
      <c r="P63" s="580">
        <f t="shared" si="30"/>
        <v>1.9651121474770976</v>
      </c>
      <c r="Q63" s="580">
        <f t="shared" si="30"/>
        <v>30.96456525283326</v>
      </c>
    </row>
    <row r="64" spans="1:17" ht="15">
      <c r="A64" s="579" t="s">
        <v>207</v>
      </c>
      <c r="B64" s="578"/>
      <c r="C64" s="578"/>
      <c r="D64" s="578"/>
      <c r="E64" s="578"/>
      <c r="F64" s="578"/>
      <c r="G64" s="578"/>
      <c r="H64" s="578"/>
      <c r="I64" s="578"/>
      <c r="J64" s="578"/>
      <c r="K64" s="578"/>
      <c r="L64" s="580">
        <f>L24</f>
        <v>0</v>
      </c>
      <c r="M64" s="580">
        <f t="shared" ref="M64:Q64" si="31">M24</f>
        <v>0</v>
      </c>
      <c r="N64" s="580">
        <f t="shared" si="31"/>
        <v>0</v>
      </c>
      <c r="O64" s="580">
        <f t="shared" si="31"/>
        <v>0</v>
      </c>
      <c r="P64" s="580">
        <f t="shared" si="31"/>
        <v>0</v>
      </c>
      <c r="Q64" s="580">
        <f t="shared" si="31"/>
        <v>0</v>
      </c>
    </row>
    <row r="65" spans="1:22" ht="15">
      <c r="A65" s="579" t="s">
        <v>12</v>
      </c>
      <c r="B65" s="578"/>
      <c r="C65" s="578"/>
      <c r="D65" s="578"/>
      <c r="E65" s="578"/>
      <c r="F65" s="578"/>
      <c r="G65" s="578"/>
      <c r="H65" s="578"/>
      <c r="I65" s="578"/>
      <c r="J65" s="578"/>
      <c r="K65" s="578"/>
      <c r="L65" s="580">
        <f>L63-L64</f>
        <v>-53.703890840839698</v>
      </c>
      <c r="M65" s="580">
        <f t="shared" ref="M65:Q65" si="32">M63-M64</f>
        <v>-35.249035749399795</v>
      </c>
      <c r="N65" s="580">
        <f t="shared" si="32"/>
        <v>-18.20147508029747</v>
      </c>
      <c r="O65" s="580">
        <f t="shared" si="32"/>
        <v>-16.064334973691128</v>
      </c>
      <c r="P65" s="580">
        <f t="shared" si="32"/>
        <v>1.9651121474770976</v>
      </c>
      <c r="Q65" s="580">
        <f t="shared" si="32"/>
        <v>30.96456525283326</v>
      </c>
    </row>
    <row r="66" spans="1:22">
      <c r="L66" s="363"/>
      <c r="M66" s="363"/>
      <c r="N66" s="363"/>
      <c r="O66" s="363"/>
      <c r="P66" s="363"/>
      <c r="Q66" s="363"/>
    </row>
    <row r="67" spans="1:22" ht="15">
      <c r="A67" s="581" t="s">
        <v>899</v>
      </c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82">
        <f>L59/L58</f>
        <v>0.31079213152678598</v>
      </c>
      <c r="M67" s="582">
        <f t="shared" ref="M67:V67" si="33">M59/M58</f>
        <v>0.28521159350973602</v>
      </c>
      <c r="N67" s="582">
        <f t="shared" si="33"/>
        <v>0.38276341130955593</v>
      </c>
      <c r="O67" s="582">
        <f t="shared" si="33"/>
        <v>0.33210535005827652</v>
      </c>
      <c r="P67" s="582">
        <f t="shared" si="33"/>
        <v>0.4256322620924024</v>
      </c>
      <c r="Q67" s="582">
        <f t="shared" si="33"/>
        <v>0.4737309496087202</v>
      </c>
      <c r="R67" s="576" t="e">
        <f t="shared" si="33"/>
        <v>#DIV/0!</v>
      </c>
      <c r="S67" s="576" t="e">
        <f t="shared" si="33"/>
        <v>#DIV/0!</v>
      </c>
      <c r="T67" s="576" t="e">
        <f t="shared" si="33"/>
        <v>#DIV/0!</v>
      </c>
      <c r="U67" s="576" t="e">
        <f t="shared" si="33"/>
        <v>#DIV/0!</v>
      </c>
      <c r="V67" s="576" t="e">
        <f t="shared" si="33"/>
        <v>#DIV/0!</v>
      </c>
    </row>
    <row r="68" spans="1:22" ht="15">
      <c r="A68" s="581" t="s">
        <v>900</v>
      </c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83">
        <f>L61/L58</f>
        <v>-1.6147280765730776</v>
      </c>
      <c r="M68" s="583">
        <f t="shared" ref="M68:Q68" si="34">M61/M58</f>
        <v>-0.2383254609101528</v>
      </c>
      <c r="N68" s="583">
        <f t="shared" si="34"/>
        <v>-5.7806481722946106E-2</v>
      </c>
      <c r="O68" s="583">
        <f t="shared" si="34"/>
        <v>-5.6782049842266896E-2</v>
      </c>
      <c r="P68" s="583">
        <f t="shared" si="34"/>
        <v>6.1446598823444172E-2</v>
      </c>
      <c r="Q68" s="583">
        <f t="shared" si="34"/>
        <v>0.4737309496087202</v>
      </c>
    </row>
    <row r="69" spans="1:22" ht="15">
      <c r="A69" s="581" t="s">
        <v>901</v>
      </c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83">
        <f>L65/L58</f>
        <v>-2.2727016937939784</v>
      </c>
      <c r="M69" s="583">
        <f t="shared" ref="M69:Q69" si="35">M65/M58</f>
        <v>-0.40558629334905771</v>
      </c>
      <c r="N69" s="583">
        <f t="shared" si="35"/>
        <v>-0.17624224020132764</v>
      </c>
      <c r="O69" s="583">
        <f t="shared" si="35"/>
        <v>-0.13730148261648589</v>
      </c>
      <c r="P69" s="583">
        <f t="shared" si="35"/>
        <v>1.5544432468002469E-2</v>
      </c>
      <c r="Q69" s="583">
        <f t="shared" si="35"/>
        <v>0.46066086952878893</v>
      </c>
    </row>
    <row r="70" spans="1:22" ht="15">
      <c r="A70" s="581" t="s">
        <v>902</v>
      </c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83"/>
      <c r="M70" s="583">
        <f>M58/L58-1</f>
        <v>2.6779062567662151</v>
      </c>
      <c r="N70" s="583">
        <f t="shared" ref="N70:Q70" si="36">N58/M58-1</f>
        <v>0.18831781903278189</v>
      </c>
      <c r="O70" s="583">
        <f t="shared" si="36"/>
        <v>0.13289834832698677</v>
      </c>
      <c r="P70" s="583">
        <f t="shared" si="36"/>
        <v>8.0500432972312019E-2</v>
      </c>
      <c r="Q70" s="583">
        <f t="shared" si="36"/>
        <v>-0.46829444948280252</v>
      </c>
    </row>
  </sheetData>
  <mergeCells count="2">
    <mergeCell ref="B1:I1"/>
    <mergeCell ref="J1:Q1"/>
  </mergeCells>
  <pageMargins left="0.75" right="0.75" top="1" bottom="1" header="0.4921259845" footer="0.4921259845"/>
  <pageSetup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47"/>
  <sheetViews>
    <sheetView zoomScaleNormal="100" workbookViewId="0">
      <pane xSplit="2" ySplit="3" topLeftCell="P17" activePane="bottomRight" state="frozen"/>
      <selection activeCell="U8" sqref="U8"/>
      <selection pane="topRight" activeCell="U8" sqref="U8"/>
      <selection pane="bottomLeft" activeCell="U8" sqref="U8"/>
      <selection pane="bottomRight" activeCell="AE38" sqref="AE38"/>
    </sheetView>
  </sheetViews>
  <sheetFormatPr defaultColWidth="8" defaultRowHeight="12" customHeight="1"/>
  <cols>
    <col min="1" max="1" width="43.28515625" bestFit="1" customWidth="1"/>
    <col min="2" max="2" width="6.85546875" customWidth="1"/>
    <col min="3" max="15" width="6.5703125" hidden="1" customWidth="1"/>
    <col min="16" max="33" width="6.5703125" customWidth="1"/>
  </cols>
  <sheetData>
    <row r="1" spans="1:33" ht="12" customHeight="1">
      <c r="A1" s="319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05"/>
      <c r="AC1" s="305"/>
      <c r="AD1" s="305"/>
      <c r="AE1" s="305"/>
      <c r="AF1" s="305"/>
      <c r="AG1" s="305"/>
    </row>
    <row r="2" spans="1:33" s="372" customFormat="1" ht="12" customHeight="1">
      <c r="A2" s="371"/>
      <c r="C2" s="373" t="s">
        <v>311</v>
      </c>
      <c r="D2" s="373" t="s">
        <v>311</v>
      </c>
      <c r="E2" s="373" t="s">
        <v>311</v>
      </c>
      <c r="F2" s="373" t="s">
        <v>311</v>
      </c>
      <c r="G2" s="373" t="s">
        <v>311</v>
      </c>
      <c r="H2" s="373" t="s">
        <v>311</v>
      </c>
      <c r="I2" s="373" t="s">
        <v>311</v>
      </c>
      <c r="J2" s="373" t="s">
        <v>311</v>
      </c>
      <c r="K2" s="373" t="s">
        <v>311</v>
      </c>
      <c r="L2" s="373" t="s">
        <v>311</v>
      </c>
      <c r="M2" s="373" t="s">
        <v>311</v>
      </c>
      <c r="N2" s="373" t="s">
        <v>311</v>
      </c>
      <c r="O2" s="373" t="s">
        <v>311</v>
      </c>
      <c r="P2" s="373" t="s">
        <v>314</v>
      </c>
      <c r="Q2" s="373" t="s">
        <v>314</v>
      </c>
      <c r="R2" s="373" t="s">
        <v>314</v>
      </c>
      <c r="S2" s="373" t="s">
        <v>314</v>
      </c>
      <c r="T2" s="373" t="s">
        <v>314</v>
      </c>
      <c r="U2" s="373" t="s">
        <v>314</v>
      </c>
      <c r="V2" s="373" t="s">
        <v>314</v>
      </c>
      <c r="W2" s="373" t="s">
        <v>314</v>
      </c>
      <c r="X2" s="373" t="s">
        <v>314</v>
      </c>
      <c r="Y2" s="373" t="s">
        <v>314</v>
      </c>
      <c r="Z2" s="373" t="s">
        <v>314</v>
      </c>
      <c r="AA2" s="373" t="s">
        <v>314</v>
      </c>
      <c r="AB2" s="373" t="s">
        <v>314</v>
      </c>
      <c r="AC2" s="373" t="s">
        <v>314</v>
      </c>
      <c r="AD2" s="373" t="s">
        <v>314</v>
      </c>
      <c r="AE2" s="373" t="s">
        <v>314</v>
      </c>
      <c r="AF2" s="373" t="s">
        <v>314</v>
      </c>
      <c r="AG2" s="373" t="s">
        <v>314</v>
      </c>
    </row>
    <row r="3" spans="1:33" ht="12" customHeight="1">
      <c r="A3" s="345" t="s">
        <v>415</v>
      </c>
      <c r="B3" s="374" t="s">
        <v>416</v>
      </c>
      <c r="C3" s="374">
        <v>44044</v>
      </c>
      <c r="D3" s="374">
        <v>44075</v>
      </c>
      <c r="E3" s="374">
        <v>44105</v>
      </c>
      <c r="F3" s="374">
        <v>44136</v>
      </c>
      <c r="G3" s="374">
        <v>44166</v>
      </c>
      <c r="H3" s="374">
        <v>44197</v>
      </c>
      <c r="I3" s="374">
        <v>44228</v>
      </c>
      <c r="J3" s="374">
        <v>44256</v>
      </c>
      <c r="K3" s="374">
        <v>44287</v>
      </c>
      <c r="L3" s="374">
        <v>44317</v>
      </c>
      <c r="M3" s="374">
        <v>44348</v>
      </c>
      <c r="N3" s="374">
        <v>44378</v>
      </c>
      <c r="O3" s="374">
        <v>44409</v>
      </c>
      <c r="P3" s="374">
        <v>44743</v>
      </c>
      <c r="Q3" s="374">
        <v>44774</v>
      </c>
      <c r="R3" s="374">
        <v>44805</v>
      </c>
      <c r="S3" s="374">
        <v>44835</v>
      </c>
      <c r="T3" s="374">
        <v>44866</v>
      </c>
      <c r="U3" s="374">
        <v>44896</v>
      </c>
      <c r="V3" s="374">
        <v>44927</v>
      </c>
      <c r="W3" s="374">
        <v>44958</v>
      </c>
      <c r="X3" s="374">
        <v>44986</v>
      </c>
      <c r="Y3" s="374">
        <v>45017</v>
      </c>
      <c r="Z3" s="374">
        <v>45047</v>
      </c>
      <c r="AA3" s="374">
        <v>45078</v>
      </c>
      <c r="AB3" s="374">
        <v>45108</v>
      </c>
      <c r="AC3" s="374">
        <v>45139</v>
      </c>
      <c r="AD3" s="374">
        <v>45170</v>
      </c>
      <c r="AE3" s="374">
        <v>45200</v>
      </c>
      <c r="AF3" s="374">
        <v>45231</v>
      </c>
      <c r="AG3" s="374">
        <v>45261</v>
      </c>
    </row>
    <row r="4" spans="1:33" ht="12" customHeight="1">
      <c r="A4" s="310" t="s">
        <v>417</v>
      </c>
      <c r="B4" s="375">
        <f>B40</f>
        <v>356.99099999999999</v>
      </c>
      <c r="C4" s="375">
        <v>0</v>
      </c>
      <c r="D4" s="375">
        <v>0</v>
      </c>
      <c r="E4" s="375">
        <v>0</v>
      </c>
      <c r="F4" s="375">
        <v>0</v>
      </c>
      <c r="G4" s="375">
        <v>0</v>
      </c>
      <c r="H4" s="375">
        <v>0</v>
      </c>
      <c r="I4" s="375">
        <v>0</v>
      </c>
      <c r="J4" s="375">
        <v>0</v>
      </c>
      <c r="K4" s="375">
        <f t="shared" ref="K4:AB4" si="0">K40</f>
        <v>0</v>
      </c>
      <c r="L4" s="375">
        <f t="shared" si="0"/>
        <v>0</v>
      </c>
      <c r="M4" s="375">
        <f t="shared" si="0"/>
        <v>0</v>
      </c>
      <c r="N4" s="375">
        <f t="shared" si="0"/>
        <v>0</v>
      </c>
      <c r="O4" s="375">
        <f t="shared" si="0"/>
        <v>0</v>
      </c>
      <c r="P4" s="375">
        <f t="shared" si="0"/>
        <v>2</v>
      </c>
      <c r="Q4" s="375">
        <f t="shared" si="0"/>
        <v>0</v>
      </c>
      <c r="R4" s="375">
        <f t="shared" si="0"/>
        <v>1.02216</v>
      </c>
      <c r="S4" s="375">
        <f t="shared" si="0"/>
        <v>8.4076136336539538</v>
      </c>
      <c r="T4" s="375">
        <f>T40-2</f>
        <v>9.9572968120040013</v>
      </c>
      <c r="U4" s="375">
        <f t="shared" si="0"/>
        <v>12.8801621009</v>
      </c>
      <c r="V4" s="375">
        <f t="shared" si="0"/>
        <v>10.524108543692005</v>
      </c>
      <c r="W4" s="375">
        <f>W40</f>
        <v>6.041589258948</v>
      </c>
      <c r="X4" s="375">
        <f t="shared" si="0"/>
        <v>9.8874741746690678</v>
      </c>
      <c r="Y4" s="375">
        <f t="shared" si="0"/>
        <v>3.8032327125280001</v>
      </c>
      <c r="Z4" s="375">
        <f t="shared" si="0"/>
        <v>4.6613522728775036</v>
      </c>
      <c r="AA4" s="375">
        <f t="shared" si="0"/>
        <v>2.8473961251520001</v>
      </c>
      <c r="AB4" s="375">
        <f t="shared" si="0"/>
        <v>3.6766982511909116</v>
      </c>
      <c r="AC4" s="375">
        <f>AC40</f>
        <v>2.7406839999999999</v>
      </c>
      <c r="AD4" s="375">
        <f>AD40</f>
        <v>2.6569424000000001</v>
      </c>
      <c r="AE4" s="375">
        <f>AE40</f>
        <v>0.91780150000000005</v>
      </c>
      <c r="AF4" s="375">
        <f>AF40</f>
        <v>0.63965799999999995</v>
      </c>
      <c r="AG4" s="375">
        <f>AG40</f>
        <v>0.67659627300000003</v>
      </c>
    </row>
    <row r="5" spans="1:33" ht="12" customHeight="1">
      <c r="A5" s="310" t="s">
        <v>418</v>
      </c>
      <c r="B5" s="375">
        <v>53.78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0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</row>
    <row r="6" spans="1:33" ht="12" customHeight="1">
      <c r="A6" s="310" t="s">
        <v>419</v>
      </c>
      <c r="B6" s="375">
        <v>17.399999999999999</v>
      </c>
      <c r="C6" s="375">
        <v>0</v>
      </c>
      <c r="D6" s="375">
        <v>0</v>
      </c>
      <c r="E6" s="375">
        <v>0</v>
      </c>
      <c r="F6" s="375">
        <v>0</v>
      </c>
      <c r="G6" s="375">
        <v>0</v>
      </c>
      <c r="H6" s="375">
        <v>0</v>
      </c>
      <c r="I6" s="375">
        <v>0</v>
      </c>
      <c r="J6" s="375">
        <v>0</v>
      </c>
      <c r="K6" s="375">
        <v>0</v>
      </c>
      <c r="L6" s="375">
        <v>0</v>
      </c>
      <c r="M6" s="375">
        <v>0</v>
      </c>
      <c r="N6" s="375">
        <v>0</v>
      </c>
      <c r="O6" s="375">
        <v>0</v>
      </c>
      <c r="P6" s="375">
        <f>0.17+0.5</f>
        <v>0.67</v>
      </c>
      <c r="Q6" s="375">
        <v>0.17</v>
      </c>
      <c r="R6" s="375">
        <v>0.17</v>
      </c>
      <c r="S6" s="375">
        <v>0.17</v>
      </c>
      <c r="T6" s="375">
        <v>0.17</v>
      </c>
      <c r="U6" s="375">
        <v>0.17</v>
      </c>
      <c r="V6" s="375">
        <v>0.17</v>
      </c>
      <c r="W6" s="375">
        <v>0.17</v>
      </c>
      <c r="X6" s="375">
        <v>0.17</v>
      </c>
      <c r="Y6" s="375">
        <v>0.17</v>
      </c>
      <c r="Z6" s="375">
        <v>0.17</v>
      </c>
      <c r="AA6" s="375">
        <v>0.17</v>
      </c>
      <c r="AB6" s="375">
        <v>0.17</v>
      </c>
      <c r="AC6" s="375">
        <v>0.17</v>
      </c>
      <c r="AD6" s="375">
        <f>0.17+0.2</f>
        <v>0.37</v>
      </c>
      <c r="AE6" s="375">
        <v>0.17</v>
      </c>
      <c r="AF6" s="375">
        <v>0.17</v>
      </c>
      <c r="AG6" s="375">
        <v>0.17</v>
      </c>
    </row>
    <row r="7" spans="1:33" ht="12" customHeight="1">
      <c r="A7" s="310" t="s">
        <v>420</v>
      </c>
      <c r="B7" s="376">
        <f>8.68+4.3</f>
        <v>12.98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0</v>
      </c>
      <c r="I7" s="375">
        <v>0</v>
      </c>
      <c r="J7" s="375">
        <v>0</v>
      </c>
      <c r="K7" s="375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4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2</v>
      </c>
    </row>
    <row r="8" spans="1:33" s="342" customFormat="1">
      <c r="A8" s="310" t="s">
        <v>421</v>
      </c>
      <c r="B8" s="341">
        <v>0</v>
      </c>
      <c r="C8" s="375">
        <v>0</v>
      </c>
      <c r="D8" s="375">
        <v>0</v>
      </c>
      <c r="E8" s="375">
        <v>0</v>
      </c>
      <c r="F8" s="375">
        <v>0</v>
      </c>
      <c r="G8" s="375">
        <v>0</v>
      </c>
      <c r="H8" s="375">
        <v>0</v>
      </c>
      <c r="I8" s="375">
        <v>0</v>
      </c>
      <c r="J8" s="375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v>0</v>
      </c>
      <c r="W8" s="341">
        <v>0</v>
      </c>
      <c r="X8" s="341">
        <v>0</v>
      </c>
      <c r="Y8" s="341">
        <v>0</v>
      </c>
      <c r="Z8" s="341">
        <v>0</v>
      </c>
      <c r="AA8" s="341">
        <v>0</v>
      </c>
      <c r="AB8" s="341">
        <v>0</v>
      </c>
      <c r="AC8" s="341">
        <v>0</v>
      </c>
      <c r="AD8" s="341">
        <v>15</v>
      </c>
      <c r="AE8" s="341">
        <v>0</v>
      </c>
      <c r="AF8" s="341">
        <v>0</v>
      </c>
      <c r="AG8" s="341">
        <v>0</v>
      </c>
    </row>
    <row r="9" spans="1:33" ht="12" customHeight="1">
      <c r="A9" s="310" t="s">
        <v>422</v>
      </c>
      <c r="B9" s="375">
        <v>27.11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299">
        <v>0</v>
      </c>
      <c r="L9" s="299">
        <v>0</v>
      </c>
      <c r="M9" s="299">
        <v>0</v>
      </c>
      <c r="N9" s="299">
        <v>0</v>
      </c>
      <c r="O9" s="299">
        <v>0</v>
      </c>
      <c r="P9" s="299">
        <v>0</v>
      </c>
      <c r="Q9" s="299">
        <v>0</v>
      </c>
      <c r="R9" s="299">
        <v>0</v>
      </c>
      <c r="S9" s="299">
        <v>0</v>
      </c>
      <c r="T9" s="299">
        <v>0</v>
      </c>
      <c r="U9" s="299">
        <v>0</v>
      </c>
      <c r="V9" s="299">
        <v>0</v>
      </c>
      <c r="W9" s="299">
        <v>0</v>
      </c>
      <c r="X9" s="299">
        <v>0</v>
      </c>
      <c r="Y9" s="299">
        <v>0</v>
      </c>
      <c r="Z9" s="299">
        <v>0</v>
      </c>
      <c r="AA9" s="299">
        <v>0</v>
      </c>
      <c r="AB9" s="299">
        <v>0</v>
      </c>
      <c r="AC9" s="299">
        <v>0</v>
      </c>
      <c r="AD9" s="299">
        <v>0</v>
      </c>
      <c r="AE9" s="299">
        <v>0</v>
      </c>
      <c r="AF9" s="299">
        <v>0</v>
      </c>
      <c r="AG9" s="299">
        <v>0</v>
      </c>
    </row>
    <row r="10" spans="1:33" ht="12" customHeight="1">
      <c r="A10" s="310" t="s">
        <v>423</v>
      </c>
      <c r="B10" s="375">
        <v>32</v>
      </c>
      <c r="C10" s="375">
        <v>0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</row>
    <row r="11" spans="1:33" ht="12" customHeight="1">
      <c r="A11" s="310" t="s">
        <v>424</v>
      </c>
      <c r="B11" s="375">
        <v>33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50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</row>
    <row r="12" spans="1:33" ht="12" customHeight="1">
      <c r="A12" s="310" t="s">
        <v>425</v>
      </c>
      <c r="B12" s="376">
        <f>87.66+3.91+2.66</f>
        <v>94.22999999999999</v>
      </c>
      <c r="C12" s="375">
        <v>0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</row>
    <row r="13" spans="1:33" ht="12" customHeight="1" thickBot="1">
      <c r="A13" s="345" t="s">
        <v>426</v>
      </c>
      <c r="B13" s="377">
        <f t="shared" ref="B13:AD13" si="1">SUM(B4:B12)</f>
        <v>627.49099999999999</v>
      </c>
      <c r="C13" s="377">
        <f t="shared" si="1"/>
        <v>0</v>
      </c>
      <c r="D13" s="377">
        <f t="shared" si="1"/>
        <v>0</v>
      </c>
      <c r="E13" s="377">
        <f t="shared" si="1"/>
        <v>0</v>
      </c>
      <c r="F13" s="377">
        <f t="shared" si="1"/>
        <v>0</v>
      </c>
      <c r="G13" s="377">
        <f t="shared" si="1"/>
        <v>0</v>
      </c>
      <c r="H13" s="377">
        <f t="shared" si="1"/>
        <v>0</v>
      </c>
      <c r="I13" s="377">
        <f t="shared" si="1"/>
        <v>0</v>
      </c>
      <c r="J13" s="377">
        <f t="shared" si="1"/>
        <v>0</v>
      </c>
      <c r="K13" s="377">
        <f t="shared" si="1"/>
        <v>0</v>
      </c>
      <c r="L13" s="377">
        <f t="shared" si="1"/>
        <v>0</v>
      </c>
      <c r="M13" s="377">
        <f t="shared" si="1"/>
        <v>0</v>
      </c>
      <c r="N13" s="377">
        <f t="shared" si="1"/>
        <v>0</v>
      </c>
      <c r="O13" s="377">
        <f t="shared" si="1"/>
        <v>0</v>
      </c>
      <c r="P13" s="377">
        <f t="shared" si="1"/>
        <v>2.67</v>
      </c>
      <c r="Q13" s="377">
        <f t="shared" si="1"/>
        <v>50.17</v>
      </c>
      <c r="R13" s="377">
        <f t="shared" si="1"/>
        <v>1.1921599999999999</v>
      </c>
      <c r="S13" s="377">
        <f t="shared" si="1"/>
        <v>8.5776136336539537</v>
      </c>
      <c r="T13" s="377">
        <f t="shared" si="1"/>
        <v>10.127296812004001</v>
      </c>
      <c r="U13" s="377">
        <f t="shared" si="1"/>
        <v>13.0501621009</v>
      </c>
      <c r="V13" s="377">
        <f t="shared" si="1"/>
        <v>10.694108543692005</v>
      </c>
      <c r="W13" s="377">
        <f t="shared" si="1"/>
        <v>10.211589258947999</v>
      </c>
      <c r="X13" s="377">
        <f t="shared" si="1"/>
        <v>10.057474174669068</v>
      </c>
      <c r="Y13" s="377">
        <f t="shared" si="1"/>
        <v>3.973232712528</v>
      </c>
      <c r="Z13" s="377">
        <f t="shared" si="1"/>
        <v>4.8313522728775036</v>
      </c>
      <c r="AA13" s="377">
        <f t="shared" si="1"/>
        <v>3.0173961251520001</v>
      </c>
      <c r="AB13" s="377">
        <f t="shared" si="1"/>
        <v>3.8466982511909116</v>
      </c>
      <c r="AC13" s="377">
        <f t="shared" si="1"/>
        <v>2.9106839999999998</v>
      </c>
      <c r="AD13" s="377">
        <f t="shared" si="1"/>
        <v>18.026942399999999</v>
      </c>
      <c r="AE13" s="377">
        <f>SUM(AE4:AE12)</f>
        <v>1.0878015000000001</v>
      </c>
      <c r="AF13" s="377">
        <f>SUM(AF4:AF12)</f>
        <v>0.80965799999999999</v>
      </c>
      <c r="AG13" s="377">
        <f>SUM(AG4:AG12)</f>
        <v>2.8465962730000003</v>
      </c>
    </row>
    <row r="14" spans="1:33" ht="12" customHeight="1" thickTop="1">
      <c r="A14" s="345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>
        <f>SUM(P13:AG13)</f>
        <v>158.10076605861545</v>
      </c>
    </row>
    <row r="15" spans="1:33" ht="12" customHeight="1">
      <c r="A15" s="345" t="s">
        <v>427</v>
      </c>
      <c r="B15" s="374" t="str">
        <f t="shared" ref="B15:AD15" si="2">B3</f>
        <v>Opening</v>
      </c>
      <c r="C15" s="374">
        <f t="shared" si="2"/>
        <v>44044</v>
      </c>
      <c r="D15" s="374">
        <f t="shared" si="2"/>
        <v>44075</v>
      </c>
      <c r="E15" s="374">
        <f t="shared" si="2"/>
        <v>44105</v>
      </c>
      <c r="F15" s="374">
        <f t="shared" si="2"/>
        <v>44136</v>
      </c>
      <c r="G15" s="374">
        <f t="shared" si="2"/>
        <v>44166</v>
      </c>
      <c r="H15" s="374">
        <f t="shared" si="2"/>
        <v>44197</v>
      </c>
      <c r="I15" s="374">
        <f t="shared" si="2"/>
        <v>44228</v>
      </c>
      <c r="J15" s="374">
        <f t="shared" si="2"/>
        <v>44256</v>
      </c>
      <c r="K15" s="374">
        <f t="shared" si="2"/>
        <v>44287</v>
      </c>
      <c r="L15" s="374">
        <f t="shared" si="2"/>
        <v>44317</v>
      </c>
      <c r="M15" s="374">
        <f t="shared" si="2"/>
        <v>44348</v>
      </c>
      <c r="N15" s="374">
        <f t="shared" si="2"/>
        <v>44378</v>
      </c>
      <c r="O15" s="374">
        <f t="shared" si="2"/>
        <v>44409</v>
      </c>
      <c r="P15" s="374">
        <f t="shared" si="2"/>
        <v>44743</v>
      </c>
      <c r="Q15" s="374">
        <f t="shared" si="2"/>
        <v>44774</v>
      </c>
      <c r="R15" s="374">
        <f t="shared" si="2"/>
        <v>44805</v>
      </c>
      <c r="S15" s="374">
        <f t="shared" si="2"/>
        <v>44835</v>
      </c>
      <c r="T15" s="374">
        <f t="shared" si="2"/>
        <v>44866</v>
      </c>
      <c r="U15" s="374">
        <f t="shared" si="2"/>
        <v>44896</v>
      </c>
      <c r="V15" s="374">
        <f t="shared" si="2"/>
        <v>44927</v>
      </c>
      <c r="W15" s="374">
        <f t="shared" si="2"/>
        <v>44958</v>
      </c>
      <c r="X15" s="374">
        <f t="shared" si="2"/>
        <v>44986</v>
      </c>
      <c r="Y15" s="374">
        <f t="shared" si="2"/>
        <v>45017</v>
      </c>
      <c r="Z15" s="374">
        <f t="shared" si="2"/>
        <v>45047</v>
      </c>
      <c r="AA15" s="374">
        <f t="shared" si="2"/>
        <v>45078</v>
      </c>
      <c r="AB15" s="374">
        <f t="shared" si="2"/>
        <v>45108</v>
      </c>
      <c r="AC15" s="374">
        <f t="shared" si="2"/>
        <v>45139</v>
      </c>
      <c r="AD15" s="374">
        <f t="shared" si="2"/>
        <v>45170</v>
      </c>
      <c r="AE15" s="374">
        <f>AE3</f>
        <v>45200</v>
      </c>
      <c r="AF15" s="374">
        <f>AF3</f>
        <v>45231</v>
      </c>
      <c r="AG15" s="374">
        <f>AG3</f>
        <v>45261</v>
      </c>
    </row>
    <row r="16" spans="1:33" ht="12" customHeight="1">
      <c r="A16" s="310" t="s">
        <v>326</v>
      </c>
      <c r="B16" s="376">
        <v>442.41</v>
      </c>
      <c r="C16" s="376">
        <v>0</v>
      </c>
      <c r="D16" s="376">
        <v>0</v>
      </c>
      <c r="E16" s="376">
        <v>0</v>
      </c>
      <c r="F16" s="376">
        <v>0</v>
      </c>
      <c r="G16" s="376">
        <v>0</v>
      </c>
      <c r="H16" s="376">
        <v>0</v>
      </c>
      <c r="I16" s="376">
        <v>0</v>
      </c>
      <c r="J16" s="376">
        <v>0</v>
      </c>
      <c r="K16" s="376">
        <v>0</v>
      </c>
      <c r="L16" s="376">
        <v>0</v>
      </c>
      <c r="M16" s="376">
        <v>0</v>
      </c>
      <c r="N16" s="376">
        <v>0</v>
      </c>
      <c r="O16" s="376">
        <v>0</v>
      </c>
      <c r="P16" s="376">
        <f>'R&amp;P'!B8+0.5+2</f>
        <v>2.7833591148214287</v>
      </c>
      <c r="Q16" s="376">
        <f>'R&amp;P'!C8-0.5</f>
        <v>1.5309182308214289</v>
      </c>
      <c r="R16" s="376">
        <f>'R&amp;P'!D8</f>
        <v>8.372420120729668</v>
      </c>
      <c r="S16" s="376">
        <f>'R&amp;P'!E8</f>
        <v>13.418746178428115</v>
      </c>
      <c r="T16" s="376">
        <f>'R&amp;P'!F8-2</f>
        <v>11.442692739735714</v>
      </c>
      <c r="U16" s="376">
        <f>'R&amp;P'!G8</f>
        <v>15.748333117733765</v>
      </c>
      <c r="V16" s="376">
        <f>'R&amp;P'!H8</f>
        <v>15.446724835853855</v>
      </c>
      <c r="W16" s="376">
        <f>'R&amp;P'!I8</f>
        <v>14.025048693825715</v>
      </c>
      <c r="X16" s="376">
        <f>'R&amp;P'!J8</f>
        <v>8.2131932028227972</v>
      </c>
      <c r="Y16" s="376">
        <f>'R&amp;P'!K8</f>
        <v>5.046697952877504</v>
      </c>
      <c r="Z16" s="376">
        <f>'R&amp;P'!L8</f>
        <v>4.0410802751519999</v>
      </c>
      <c r="AA16" s="376">
        <f>'R&amp;P'!M8</f>
        <v>4.193342971190912</v>
      </c>
      <c r="AB16" s="376">
        <f>'R&amp;P'!N8</f>
        <v>3.77336969</v>
      </c>
      <c r="AC16" s="376">
        <f>'R&amp;P'!O8</f>
        <v>3.09942568</v>
      </c>
      <c r="AD16" s="376">
        <f>'R&amp;P'!P8</f>
        <v>1.1312425499999998</v>
      </c>
      <c r="AE16" s="376">
        <f>'R&amp;P'!Q8</f>
        <v>0.52559820000000002</v>
      </c>
      <c r="AF16" s="376">
        <f>'R&amp;P'!R8</f>
        <v>0.55539062699999997</v>
      </c>
      <c r="AG16" s="376">
        <f>'R&amp;P'!S8</f>
        <v>0</v>
      </c>
    </row>
    <row r="17" spans="1:33" ht="12" customHeight="1">
      <c r="A17" s="310" t="s">
        <v>428</v>
      </c>
      <c r="B17" s="376">
        <v>26.382863769</v>
      </c>
      <c r="C17" s="376">
        <v>0</v>
      </c>
      <c r="D17" s="376">
        <v>0</v>
      </c>
      <c r="E17" s="376">
        <v>0</v>
      </c>
      <c r="F17" s="376">
        <v>0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0</v>
      </c>
      <c r="P17" s="376">
        <f>0.21</f>
        <v>0.21</v>
      </c>
      <c r="Q17" s="376">
        <f t="shared" ref="Q17:AG17" si="3">0.21</f>
        <v>0.21</v>
      </c>
      <c r="R17" s="376">
        <f t="shared" si="3"/>
        <v>0.21</v>
      </c>
      <c r="S17" s="376">
        <f t="shared" si="3"/>
        <v>0.21</v>
      </c>
      <c r="T17" s="376">
        <f t="shared" si="3"/>
        <v>0.21</v>
      </c>
      <c r="U17" s="376">
        <f t="shared" si="3"/>
        <v>0.21</v>
      </c>
      <c r="V17" s="376">
        <f t="shared" si="3"/>
        <v>0.21</v>
      </c>
      <c r="W17" s="376">
        <f t="shared" si="3"/>
        <v>0.21</v>
      </c>
      <c r="X17" s="376">
        <f t="shared" si="3"/>
        <v>0.21</v>
      </c>
      <c r="Y17" s="376">
        <f t="shared" si="3"/>
        <v>0.21</v>
      </c>
      <c r="Z17" s="376">
        <f t="shared" si="3"/>
        <v>0.21</v>
      </c>
      <c r="AA17" s="376">
        <f t="shared" si="3"/>
        <v>0.21</v>
      </c>
      <c r="AB17" s="376">
        <f t="shared" si="3"/>
        <v>0.21</v>
      </c>
      <c r="AC17" s="376">
        <f t="shared" si="3"/>
        <v>0.21</v>
      </c>
      <c r="AD17" s="376">
        <f t="shared" si="3"/>
        <v>0.21</v>
      </c>
      <c r="AE17" s="376">
        <f t="shared" si="3"/>
        <v>0.21</v>
      </c>
      <c r="AF17" s="376">
        <f t="shared" si="3"/>
        <v>0.21</v>
      </c>
      <c r="AG17" s="376">
        <f t="shared" si="3"/>
        <v>0.21</v>
      </c>
    </row>
    <row r="18" spans="1:33" ht="12" customHeight="1">
      <c r="A18" s="310" t="s">
        <v>429</v>
      </c>
      <c r="B18" s="376">
        <v>113.79</v>
      </c>
      <c r="C18" s="376">
        <v>0</v>
      </c>
      <c r="D18" s="376">
        <v>0</v>
      </c>
      <c r="E18" s="376">
        <v>0</v>
      </c>
      <c r="F18" s="376">
        <v>0</v>
      </c>
      <c r="G18" s="376">
        <v>0</v>
      </c>
      <c r="H18" s="376">
        <v>0</v>
      </c>
      <c r="I18" s="376">
        <v>0</v>
      </c>
      <c r="J18" s="376">
        <v>0</v>
      </c>
      <c r="K18" s="376">
        <v>0</v>
      </c>
      <c r="L18" s="376">
        <v>0</v>
      </c>
      <c r="M18" s="376">
        <v>0</v>
      </c>
      <c r="N18" s="376">
        <v>0</v>
      </c>
      <c r="O18" s="376">
        <v>0</v>
      </c>
      <c r="P18" s="376">
        <v>0</v>
      </c>
      <c r="Q18" s="376">
        <v>0</v>
      </c>
      <c r="R18" s="376">
        <v>0</v>
      </c>
      <c r="S18" s="376">
        <v>0</v>
      </c>
      <c r="T18" s="376">
        <v>0</v>
      </c>
      <c r="U18" s="376">
        <v>0</v>
      </c>
      <c r="V18" s="376">
        <v>0</v>
      </c>
      <c r="W18" s="376">
        <v>0</v>
      </c>
      <c r="X18" s="376">
        <v>0</v>
      </c>
      <c r="Y18" s="376">
        <v>0</v>
      </c>
      <c r="Z18" s="376">
        <v>0</v>
      </c>
      <c r="AA18" s="376">
        <v>0</v>
      </c>
      <c r="AB18" s="376">
        <v>0</v>
      </c>
      <c r="AC18" s="376">
        <v>0</v>
      </c>
      <c r="AD18" s="376">
        <v>0</v>
      </c>
      <c r="AE18" s="376">
        <v>0</v>
      </c>
      <c r="AF18" s="376">
        <v>0</v>
      </c>
      <c r="AG18" s="376">
        <v>0</v>
      </c>
    </row>
    <row r="19" spans="1:33" ht="12" customHeight="1">
      <c r="A19" s="310" t="s">
        <v>430</v>
      </c>
      <c r="B19" s="376">
        <v>24.72</v>
      </c>
      <c r="C19" s="376">
        <v>0</v>
      </c>
      <c r="D19" s="376">
        <v>0</v>
      </c>
      <c r="E19" s="376">
        <v>0</v>
      </c>
      <c r="F19" s="376">
        <v>0</v>
      </c>
      <c r="G19" s="376">
        <v>0</v>
      </c>
      <c r="H19" s="376">
        <v>0</v>
      </c>
      <c r="I19" s="376">
        <v>0</v>
      </c>
      <c r="J19" s="376">
        <v>0</v>
      </c>
      <c r="K19" s="376">
        <v>0</v>
      </c>
      <c r="L19" s="376">
        <v>0</v>
      </c>
      <c r="M19" s="376">
        <v>0</v>
      </c>
      <c r="N19" s="376">
        <v>0</v>
      </c>
      <c r="O19" s="376">
        <v>0</v>
      </c>
      <c r="P19" s="376">
        <v>0</v>
      </c>
      <c r="Q19" s="376">
        <v>0</v>
      </c>
      <c r="R19" s="376">
        <v>0</v>
      </c>
      <c r="S19" s="376">
        <v>0</v>
      </c>
      <c r="T19" s="376">
        <v>0</v>
      </c>
      <c r="U19" s="376">
        <v>0</v>
      </c>
      <c r="V19" s="376">
        <v>0</v>
      </c>
      <c r="W19" s="376">
        <v>0</v>
      </c>
      <c r="X19" s="376">
        <v>0</v>
      </c>
      <c r="Y19" s="376">
        <v>0</v>
      </c>
      <c r="Z19" s="376">
        <v>0</v>
      </c>
      <c r="AA19" s="376">
        <v>0</v>
      </c>
      <c r="AB19" s="376">
        <v>0</v>
      </c>
      <c r="AC19" s="376">
        <v>0</v>
      </c>
      <c r="AD19" s="376">
        <v>0</v>
      </c>
      <c r="AE19" s="376">
        <v>0</v>
      </c>
      <c r="AF19" s="376">
        <v>0</v>
      </c>
      <c r="AG19" s="376">
        <v>0</v>
      </c>
    </row>
    <row r="20" spans="1:33" ht="12" customHeight="1">
      <c r="A20" s="310" t="s">
        <v>431</v>
      </c>
      <c r="B20" s="376">
        <v>37.57</v>
      </c>
      <c r="C20" s="376">
        <v>0</v>
      </c>
      <c r="D20" s="376">
        <v>0</v>
      </c>
      <c r="E20" s="376">
        <v>0</v>
      </c>
      <c r="F20" s="376">
        <v>0</v>
      </c>
      <c r="G20" s="376">
        <v>0</v>
      </c>
      <c r="H20" s="376">
        <v>0</v>
      </c>
      <c r="I20" s="376">
        <v>0</v>
      </c>
      <c r="J20" s="376">
        <v>0</v>
      </c>
      <c r="K20" s="376">
        <v>0</v>
      </c>
      <c r="L20" s="376">
        <v>0</v>
      </c>
      <c r="M20" s="376">
        <v>0</v>
      </c>
      <c r="N20" s="376">
        <v>0</v>
      </c>
      <c r="O20" s="376">
        <v>0</v>
      </c>
      <c r="P20" s="376">
        <v>0</v>
      </c>
      <c r="Q20" s="376">
        <v>0</v>
      </c>
      <c r="R20" s="376">
        <v>0</v>
      </c>
      <c r="S20" s="376">
        <v>0</v>
      </c>
      <c r="T20" s="376">
        <v>0</v>
      </c>
      <c r="U20" s="376">
        <v>0</v>
      </c>
      <c r="V20" s="376">
        <v>0</v>
      </c>
      <c r="W20" s="376">
        <v>0</v>
      </c>
      <c r="X20" s="376">
        <v>0</v>
      </c>
      <c r="Y20" s="376">
        <v>0</v>
      </c>
      <c r="Z20" s="376">
        <v>0</v>
      </c>
      <c r="AA20" s="376">
        <v>0</v>
      </c>
      <c r="AB20" s="376">
        <v>0</v>
      </c>
      <c r="AC20" s="376">
        <v>0</v>
      </c>
      <c r="AD20" s="376">
        <v>0</v>
      </c>
      <c r="AE20" s="376">
        <v>0</v>
      </c>
      <c r="AF20" s="376">
        <v>0</v>
      </c>
      <c r="AG20" s="376">
        <v>0</v>
      </c>
    </row>
    <row r="21" spans="1:33" ht="12" customHeight="1">
      <c r="A21" s="310" t="s">
        <v>432</v>
      </c>
      <c r="B21" s="376">
        <v>8.42</v>
      </c>
      <c r="C21" s="376">
        <v>0</v>
      </c>
      <c r="D21" s="376">
        <v>0</v>
      </c>
      <c r="E21" s="376">
        <v>0</v>
      </c>
      <c r="F21" s="376">
        <v>0</v>
      </c>
      <c r="G21" s="376">
        <v>0</v>
      </c>
      <c r="H21" s="376">
        <v>0</v>
      </c>
      <c r="I21" s="376">
        <v>0</v>
      </c>
      <c r="J21" s="376">
        <v>0</v>
      </c>
      <c r="K21" s="376">
        <v>0</v>
      </c>
      <c r="L21" s="376">
        <v>0</v>
      </c>
      <c r="M21" s="376">
        <v>0</v>
      </c>
      <c r="N21" s="376">
        <v>0</v>
      </c>
      <c r="O21" s="376">
        <v>0</v>
      </c>
      <c r="P21" s="376">
        <v>0</v>
      </c>
      <c r="Q21" s="376">
        <v>0</v>
      </c>
      <c r="R21" s="376">
        <v>0</v>
      </c>
      <c r="S21" s="376">
        <v>0</v>
      </c>
      <c r="T21" s="376">
        <v>0</v>
      </c>
      <c r="U21" s="376">
        <v>0</v>
      </c>
      <c r="V21" s="376">
        <v>0</v>
      </c>
      <c r="W21" s="376">
        <v>0</v>
      </c>
      <c r="X21" s="376">
        <v>0</v>
      </c>
      <c r="Y21" s="376">
        <v>0</v>
      </c>
      <c r="Z21" s="376">
        <v>0</v>
      </c>
      <c r="AA21" s="376">
        <v>0</v>
      </c>
      <c r="AB21" s="376">
        <v>0</v>
      </c>
      <c r="AC21" s="376">
        <v>0</v>
      </c>
      <c r="AD21" s="376">
        <v>0</v>
      </c>
      <c r="AE21" s="376">
        <v>0</v>
      </c>
      <c r="AF21" s="376">
        <v>0</v>
      </c>
      <c r="AG21" s="376">
        <v>0</v>
      </c>
    </row>
    <row r="22" spans="1:33" ht="12" customHeight="1">
      <c r="A22" s="310" t="s">
        <v>433</v>
      </c>
      <c r="B22" s="376">
        <v>8.4269999999999996</v>
      </c>
      <c r="C22" s="376">
        <v>0</v>
      </c>
      <c r="D22" s="376">
        <v>0</v>
      </c>
      <c r="E22" s="376">
        <v>0</v>
      </c>
      <c r="F22" s="376">
        <v>0</v>
      </c>
      <c r="G22" s="376">
        <v>0</v>
      </c>
      <c r="H22" s="376">
        <v>0</v>
      </c>
      <c r="I22" s="376">
        <v>0</v>
      </c>
      <c r="J22" s="376">
        <v>0</v>
      </c>
      <c r="K22" s="376">
        <v>0</v>
      </c>
      <c r="L22" s="376">
        <v>0</v>
      </c>
      <c r="M22" s="376">
        <v>0</v>
      </c>
      <c r="N22" s="376">
        <v>0</v>
      </c>
      <c r="O22" s="376">
        <v>0</v>
      </c>
      <c r="P22" s="376">
        <v>0</v>
      </c>
      <c r="Q22" s="376">
        <v>0</v>
      </c>
      <c r="R22" s="376">
        <v>0</v>
      </c>
      <c r="S22" s="376">
        <v>0</v>
      </c>
      <c r="T22" s="376">
        <v>0</v>
      </c>
      <c r="U22" s="376">
        <v>0</v>
      </c>
      <c r="V22" s="376">
        <v>0</v>
      </c>
      <c r="W22" s="376">
        <v>0</v>
      </c>
      <c r="X22" s="376">
        <v>0</v>
      </c>
      <c r="Y22" s="376">
        <v>0</v>
      </c>
      <c r="Z22" s="376">
        <v>0</v>
      </c>
      <c r="AA22" s="376">
        <v>0</v>
      </c>
      <c r="AB22" s="376">
        <v>0</v>
      </c>
      <c r="AC22" s="376">
        <v>0</v>
      </c>
      <c r="AD22" s="376">
        <v>0</v>
      </c>
      <c r="AE22" s="376">
        <v>0</v>
      </c>
      <c r="AF22" s="376">
        <v>0</v>
      </c>
      <c r="AG22" s="376">
        <v>0</v>
      </c>
    </row>
    <row r="23" spans="1:33" ht="12" customHeight="1">
      <c r="A23" s="310" t="s">
        <v>434</v>
      </c>
      <c r="B23" s="376">
        <v>-34.229999999999997</v>
      </c>
      <c r="C23" s="376">
        <v>0</v>
      </c>
      <c r="D23" s="376">
        <v>0</v>
      </c>
      <c r="E23" s="376">
        <v>0</v>
      </c>
      <c r="F23" s="376">
        <v>0</v>
      </c>
      <c r="G23" s="376">
        <v>0</v>
      </c>
      <c r="H23" s="376">
        <v>0</v>
      </c>
      <c r="I23" s="376">
        <v>0</v>
      </c>
      <c r="J23" s="376">
        <v>0</v>
      </c>
      <c r="K23" s="376">
        <v>0</v>
      </c>
      <c r="L23" s="376">
        <v>0</v>
      </c>
      <c r="M23" s="376">
        <v>0</v>
      </c>
      <c r="N23" s="376">
        <v>0</v>
      </c>
      <c r="O23" s="376">
        <v>0</v>
      </c>
      <c r="P23" s="376">
        <v>0.5</v>
      </c>
      <c r="Q23" s="376">
        <v>0.5</v>
      </c>
      <c r="R23" s="376">
        <v>0.5</v>
      </c>
      <c r="S23" s="376">
        <v>1</v>
      </c>
      <c r="T23" s="376">
        <v>1</v>
      </c>
      <c r="U23" s="376">
        <v>1</v>
      </c>
      <c r="V23" s="376">
        <v>1</v>
      </c>
      <c r="W23" s="376">
        <v>1</v>
      </c>
      <c r="X23" s="376">
        <v>1</v>
      </c>
      <c r="Y23" s="376">
        <v>3</v>
      </c>
      <c r="Z23" s="376">
        <v>3</v>
      </c>
      <c r="AA23" s="376">
        <v>3</v>
      </c>
      <c r="AB23" s="376">
        <v>3</v>
      </c>
      <c r="AC23" s="376">
        <v>3</v>
      </c>
      <c r="AD23" s="376">
        <v>3</v>
      </c>
      <c r="AE23" s="376">
        <v>3</v>
      </c>
      <c r="AF23" s="376">
        <v>3</v>
      </c>
      <c r="AG23" s="376">
        <v>2.73</v>
      </c>
    </row>
    <row r="24" spans="1:33" ht="12" customHeight="1">
      <c r="A24" s="310" t="s">
        <v>435</v>
      </c>
      <c r="B24" s="375">
        <v>0</v>
      </c>
      <c r="C24" s="376">
        <v>0</v>
      </c>
      <c r="D24" s="376">
        <v>0</v>
      </c>
      <c r="E24" s="376">
        <v>0</v>
      </c>
      <c r="F24" s="376">
        <v>0</v>
      </c>
      <c r="G24" s="376">
        <v>0</v>
      </c>
      <c r="H24" s="376">
        <v>0</v>
      </c>
      <c r="I24" s="376">
        <v>0</v>
      </c>
      <c r="J24" s="376">
        <v>0</v>
      </c>
      <c r="K24" s="376">
        <v>0</v>
      </c>
      <c r="L24" s="376">
        <v>0</v>
      </c>
      <c r="M24" s="376">
        <v>0</v>
      </c>
      <c r="N24" s="376">
        <v>0</v>
      </c>
      <c r="O24" s="376">
        <v>0</v>
      </c>
      <c r="P24" s="376">
        <v>0</v>
      </c>
      <c r="Q24" s="376">
        <v>0</v>
      </c>
      <c r="R24" s="376">
        <v>0</v>
      </c>
      <c r="S24" s="376">
        <v>0</v>
      </c>
      <c r="T24" s="376">
        <v>0</v>
      </c>
      <c r="U24" s="376">
        <v>0</v>
      </c>
      <c r="V24" s="376">
        <v>0</v>
      </c>
      <c r="W24" s="376">
        <v>0</v>
      </c>
      <c r="X24" s="376">
        <v>0</v>
      </c>
      <c r="Y24" s="376">
        <v>0</v>
      </c>
      <c r="Z24" s="376">
        <v>0</v>
      </c>
      <c r="AA24" s="376">
        <v>0</v>
      </c>
      <c r="AB24" s="376">
        <v>0</v>
      </c>
      <c r="AC24" s="376">
        <v>0</v>
      </c>
      <c r="AD24" s="376">
        <v>0</v>
      </c>
      <c r="AE24" s="376">
        <v>0</v>
      </c>
      <c r="AF24" s="376">
        <v>0</v>
      </c>
      <c r="AG24" s="376">
        <v>0</v>
      </c>
    </row>
    <row r="25" spans="1:33" ht="12" customHeight="1" thickBot="1">
      <c r="A25" s="345" t="s">
        <v>436</v>
      </c>
      <c r="B25" s="377">
        <f t="shared" ref="B25:AG25" si="4">SUM(B16:B24)</f>
        <v>627.48986376900007</v>
      </c>
      <c r="C25" s="377">
        <f t="shared" si="4"/>
        <v>0</v>
      </c>
      <c r="D25" s="377">
        <f t="shared" si="4"/>
        <v>0</v>
      </c>
      <c r="E25" s="377">
        <f t="shared" si="4"/>
        <v>0</v>
      </c>
      <c r="F25" s="377">
        <f t="shared" si="4"/>
        <v>0</v>
      </c>
      <c r="G25" s="377">
        <f t="shared" si="4"/>
        <v>0</v>
      </c>
      <c r="H25" s="377">
        <f t="shared" si="4"/>
        <v>0</v>
      </c>
      <c r="I25" s="377">
        <f t="shared" si="4"/>
        <v>0</v>
      </c>
      <c r="J25" s="377">
        <f t="shared" si="4"/>
        <v>0</v>
      </c>
      <c r="K25" s="377">
        <f t="shared" si="4"/>
        <v>0</v>
      </c>
      <c r="L25" s="377">
        <f t="shared" si="4"/>
        <v>0</v>
      </c>
      <c r="M25" s="377">
        <f t="shared" si="4"/>
        <v>0</v>
      </c>
      <c r="N25" s="377">
        <f t="shared" si="4"/>
        <v>0</v>
      </c>
      <c r="O25" s="377">
        <f t="shared" si="4"/>
        <v>0</v>
      </c>
      <c r="P25" s="377">
        <f t="shared" si="4"/>
        <v>3.4933591148214287</v>
      </c>
      <c r="Q25" s="377">
        <f t="shared" si="4"/>
        <v>2.2409182308214288</v>
      </c>
      <c r="R25" s="377">
        <f t="shared" si="4"/>
        <v>9.0824201207296689</v>
      </c>
      <c r="S25" s="377">
        <f t="shared" si="4"/>
        <v>14.628746178428116</v>
      </c>
      <c r="T25" s="377">
        <f t="shared" si="4"/>
        <v>12.652692739735715</v>
      </c>
      <c r="U25" s="377">
        <f t="shared" si="4"/>
        <v>16.958333117733766</v>
      </c>
      <c r="V25" s="377">
        <f t="shared" si="4"/>
        <v>16.656724835853858</v>
      </c>
      <c r="W25" s="377">
        <f t="shared" si="4"/>
        <v>15.235048693825716</v>
      </c>
      <c r="X25" s="377">
        <f t="shared" si="4"/>
        <v>9.423193202822798</v>
      </c>
      <c r="Y25" s="377">
        <f t="shared" si="4"/>
        <v>8.256697952877504</v>
      </c>
      <c r="Z25" s="377">
        <f t="shared" si="4"/>
        <v>7.2510802751519998</v>
      </c>
      <c r="AA25" s="377">
        <f t="shared" si="4"/>
        <v>7.403342971190912</v>
      </c>
      <c r="AB25" s="377">
        <f t="shared" si="4"/>
        <v>6.98336969</v>
      </c>
      <c r="AC25" s="377">
        <f t="shared" si="4"/>
        <v>6.3094256800000004</v>
      </c>
      <c r="AD25" s="377">
        <f t="shared" si="4"/>
        <v>4.3412425499999996</v>
      </c>
      <c r="AE25" s="377">
        <f t="shared" si="4"/>
        <v>3.7355982000000001</v>
      </c>
      <c r="AF25" s="377">
        <f t="shared" si="4"/>
        <v>3.7653906269999999</v>
      </c>
      <c r="AG25" s="377">
        <f t="shared" si="4"/>
        <v>2.94</v>
      </c>
    </row>
    <row r="26" spans="1:33" s="345" customFormat="1" ht="12" customHeight="1" thickTop="1">
      <c r="A26" s="345" t="s">
        <v>437</v>
      </c>
      <c r="B26" s="378">
        <f t="shared" ref="B26:AG26" si="5">+B13-B25</f>
        <v>1.1362309999185527E-3</v>
      </c>
      <c r="C26" s="378">
        <f t="shared" si="5"/>
        <v>0</v>
      </c>
      <c r="D26" s="378">
        <f t="shared" si="5"/>
        <v>0</v>
      </c>
      <c r="E26" s="378">
        <f t="shared" si="5"/>
        <v>0</v>
      </c>
      <c r="F26" s="378">
        <f t="shared" si="5"/>
        <v>0</v>
      </c>
      <c r="G26" s="378">
        <f t="shared" si="5"/>
        <v>0</v>
      </c>
      <c r="H26" s="378">
        <f t="shared" si="5"/>
        <v>0</v>
      </c>
      <c r="I26" s="378">
        <f t="shared" si="5"/>
        <v>0</v>
      </c>
      <c r="J26" s="378">
        <f t="shared" si="5"/>
        <v>0</v>
      </c>
      <c r="K26" s="378">
        <f t="shared" si="5"/>
        <v>0</v>
      </c>
      <c r="L26" s="378">
        <f t="shared" si="5"/>
        <v>0</v>
      </c>
      <c r="M26" s="378">
        <f t="shared" si="5"/>
        <v>0</v>
      </c>
      <c r="N26" s="378">
        <f t="shared" si="5"/>
        <v>0</v>
      </c>
      <c r="O26" s="378">
        <f t="shared" si="5"/>
        <v>0</v>
      </c>
      <c r="P26" s="378">
        <f t="shared" si="5"/>
        <v>-0.82335911482142876</v>
      </c>
      <c r="Q26" s="378">
        <f t="shared" si="5"/>
        <v>47.929081769178573</v>
      </c>
      <c r="R26" s="378">
        <f t="shared" si="5"/>
        <v>-7.8902601207296694</v>
      </c>
      <c r="S26" s="378">
        <f t="shared" si="5"/>
        <v>-6.0511325447741626</v>
      </c>
      <c r="T26" s="378">
        <f t="shared" si="5"/>
        <v>-2.5253959277317133</v>
      </c>
      <c r="U26" s="378">
        <f t="shared" si="5"/>
        <v>-3.9081710168337658</v>
      </c>
      <c r="V26" s="378">
        <f t="shared" si="5"/>
        <v>-5.9626162921618526</v>
      </c>
      <c r="W26" s="378">
        <f t="shared" si="5"/>
        <v>-5.0234594348777168</v>
      </c>
      <c r="X26" s="378">
        <f t="shared" si="5"/>
        <v>0.63428097184626964</v>
      </c>
      <c r="Y26" s="378">
        <f t="shared" si="5"/>
        <v>-4.2834652403495035</v>
      </c>
      <c r="Z26" s="378">
        <f t="shared" si="5"/>
        <v>-2.4197280022744962</v>
      </c>
      <c r="AA26" s="378">
        <f t="shared" si="5"/>
        <v>-4.3859468460389124</v>
      </c>
      <c r="AB26" s="378">
        <f t="shared" si="5"/>
        <v>-3.1366714388090884</v>
      </c>
      <c r="AC26" s="378">
        <f t="shared" si="5"/>
        <v>-3.3987416800000005</v>
      </c>
      <c r="AD26" s="378">
        <f t="shared" si="5"/>
        <v>13.685699849999999</v>
      </c>
      <c r="AE26" s="378">
        <f t="shared" si="5"/>
        <v>-2.6477966999999998</v>
      </c>
      <c r="AF26" s="378">
        <f t="shared" si="5"/>
        <v>-2.9557326269999997</v>
      </c>
      <c r="AG26" s="378">
        <f t="shared" si="5"/>
        <v>-9.3403726999999659E-2</v>
      </c>
    </row>
    <row r="27" spans="1:33" ht="12" customHeight="1">
      <c r="A27" s="345"/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>
        <f>SUM(P25:AG25)</f>
        <v>151.35758418099289</v>
      </c>
    </row>
    <row r="28" spans="1:33" ht="12" customHeight="1">
      <c r="A28" s="345"/>
      <c r="B28" s="376">
        <f t="shared" ref="B28:AG28" si="6">SUM(B16:B22)-SUM(B5:B7)-B38</f>
        <v>338.55986376900012</v>
      </c>
      <c r="C28" s="376">
        <f t="shared" si="6"/>
        <v>0</v>
      </c>
      <c r="D28" s="376">
        <f t="shared" si="6"/>
        <v>0</v>
      </c>
      <c r="E28" s="376">
        <f t="shared" si="6"/>
        <v>0</v>
      </c>
      <c r="F28" s="376">
        <f t="shared" si="6"/>
        <v>0</v>
      </c>
      <c r="G28" s="376">
        <f t="shared" si="6"/>
        <v>0</v>
      </c>
      <c r="H28" s="376">
        <f t="shared" si="6"/>
        <v>0</v>
      </c>
      <c r="I28" s="376">
        <f t="shared" si="6"/>
        <v>0</v>
      </c>
      <c r="J28" s="376">
        <f t="shared" si="6"/>
        <v>0</v>
      </c>
      <c r="K28" s="376">
        <f t="shared" si="6"/>
        <v>0</v>
      </c>
      <c r="L28" s="376">
        <f t="shared" si="6"/>
        <v>0</v>
      </c>
      <c r="M28" s="376">
        <f t="shared" si="6"/>
        <v>0</v>
      </c>
      <c r="N28" s="376">
        <f t="shared" si="6"/>
        <v>0</v>
      </c>
      <c r="O28" s="376">
        <f t="shared" si="6"/>
        <v>0</v>
      </c>
      <c r="P28" s="376">
        <f t="shared" si="6"/>
        <v>2.3233591148214288</v>
      </c>
      <c r="Q28" s="376">
        <f t="shared" si="6"/>
        <v>1.5709182308214289</v>
      </c>
      <c r="R28" s="376">
        <f t="shared" si="6"/>
        <v>8.4124201207296689</v>
      </c>
      <c r="S28" s="376">
        <f t="shared" si="6"/>
        <v>12.458746178428116</v>
      </c>
      <c r="T28" s="376">
        <f t="shared" si="6"/>
        <v>-0.51730726026428542</v>
      </c>
      <c r="U28" s="376">
        <f t="shared" si="6"/>
        <v>15.788333117733766</v>
      </c>
      <c r="V28" s="376">
        <f t="shared" si="6"/>
        <v>8.4867248358538561</v>
      </c>
      <c r="W28" s="376">
        <f t="shared" si="6"/>
        <v>1.065048693825716</v>
      </c>
      <c r="X28" s="376">
        <f t="shared" si="6"/>
        <v>-0.55680679717720238</v>
      </c>
      <c r="Y28" s="376">
        <f t="shared" si="6"/>
        <v>8.6697952877504036E-2</v>
      </c>
      <c r="Z28" s="376">
        <f t="shared" si="6"/>
        <v>8.1080275151999892E-2</v>
      </c>
      <c r="AA28" s="376">
        <f t="shared" si="6"/>
        <v>1.2333429711909121</v>
      </c>
      <c r="AB28" s="376">
        <f t="shared" si="6"/>
        <v>0.81336969000000003</v>
      </c>
      <c r="AC28" s="376">
        <f t="shared" si="6"/>
        <v>0.13942568</v>
      </c>
      <c r="AD28" s="376">
        <f t="shared" si="6"/>
        <v>-2.0287574500000001</v>
      </c>
      <c r="AE28" s="376">
        <f t="shared" si="6"/>
        <v>-1.0544018000000002</v>
      </c>
      <c r="AF28" s="376">
        <f t="shared" si="6"/>
        <v>0.59539062699999989</v>
      </c>
      <c r="AG28" s="376">
        <f t="shared" si="6"/>
        <v>-1.96</v>
      </c>
    </row>
    <row r="29" spans="1:33" ht="12" customHeight="1">
      <c r="A29" s="345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</row>
    <row r="30" spans="1:33" ht="12" customHeight="1">
      <c r="A30" s="345" t="s">
        <v>363</v>
      </c>
      <c r="B30" s="374" t="str">
        <f t="shared" ref="B30:AG30" si="7">B15</f>
        <v>Opening</v>
      </c>
      <c r="C30" s="374">
        <f t="shared" si="7"/>
        <v>44044</v>
      </c>
      <c r="D30" s="374">
        <f t="shared" si="7"/>
        <v>44075</v>
      </c>
      <c r="E30" s="374">
        <f t="shared" si="7"/>
        <v>44105</v>
      </c>
      <c r="F30" s="374">
        <f t="shared" si="7"/>
        <v>44136</v>
      </c>
      <c r="G30" s="374">
        <f t="shared" si="7"/>
        <v>44166</v>
      </c>
      <c r="H30" s="374">
        <f t="shared" si="7"/>
        <v>44197</v>
      </c>
      <c r="I30" s="374">
        <f t="shared" si="7"/>
        <v>44228</v>
      </c>
      <c r="J30" s="374">
        <f t="shared" si="7"/>
        <v>44256</v>
      </c>
      <c r="K30" s="374">
        <f t="shared" si="7"/>
        <v>44287</v>
      </c>
      <c r="L30" s="374">
        <f t="shared" si="7"/>
        <v>44317</v>
      </c>
      <c r="M30" s="374">
        <f t="shared" si="7"/>
        <v>44348</v>
      </c>
      <c r="N30" s="374">
        <f t="shared" si="7"/>
        <v>44378</v>
      </c>
      <c r="O30" s="374">
        <f t="shared" si="7"/>
        <v>44409</v>
      </c>
      <c r="P30" s="374">
        <f t="shared" si="7"/>
        <v>44743</v>
      </c>
      <c r="Q30" s="374">
        <f t="shared" si="7"/>
        <v>44774</v>
      </c>
      <c r="R30" s="374">
        <f t="shared" si="7"/>
        <v>44805</v>
      </c>
      <c r="S30" s="374">
        <f t="shared" si="7"/>
        <v>44835</v>
      </c>
      <c r="T30" s="374">
        <f t="shared" si="7"/>
        <v>44866</v>
      </c>
      <c r="U30" s="374">
        <f t="shared" si="7"/>
        <v>44896</v>
      </c>
      <c r="V30" s="374">
        <f t="shared" si="7"/>
        <v>44927</v>
      </c>
      <c r="W30" s="374">
        <f t="shared" si="7"/>
        <v>44958</v>
      </c>
      <c r="X30" s="374">
        <f t="shared" si="7"/>
        <v>44986</v>
      </c>
      <c r="Y30" s="374">
        <f t="shared" si="7"/>
        <v>45017</v>
      </c>
      <c r="Z30" s="374">
        <f t="shared" si="7"/>
        <v>45047</v>
      </c>
      <c r="AA30" s="374">
        <f t="shared" si="7"/>
        <v>45078</v>
      </c>
      <c r="AB30" s="374">
        <f t="shared" si="7"/>
        <v>45108</v>
      </c>
      <c r="AC30" s="374">
        <f t="shared" si="7"/>
        <v>45139</v>
      </c>
      <c r="AD30" s="374">
        <f t="shared" si="7"/>
        <v>45170</v>
      </c>
      <c r="AE30" s="374">
        <f t="shared" si="7"/>
        <v>45200</v>
      </c>
      <c r="AF30" s="374">
        <f t="shared" si="7"/>
        <v>45231</v>
      </c>
      <c r="AG30" s="374">
        <f t="shared" si="7"/>
        <v>45261</v>
      </c>
    </row>
    <row r="31" spans="1:33" ht="12" customHeight="1">
      <c r="A31" s="310" t="s">
        <v>247</v>
      </c>
      <c r="B31" s="375">
        <v>0</v>
      </c>
      <c r="C31" s="375">
        <f>B32</f>
        <v>1.1362309999185527E-3</v>
      </c>
      <c r="D31" s="375">
        <f t="shared" ref="D31:AB31" si="8">C33</f>
        <v>1.1362309999185527E-3</v>
      </c>
      <c r="E31" s="375">
        <f t="shared" si="8"/>
        <v>1.1362309999185527E-3</v>
      </c>
      <c r="F31" s="375">
        <f t="shared" si="8"/>
        <v>1.1362309999185527E-3</v>
      </c>
      <c r="G31" s="375">
        <f t="shared" si="8"/>
        <v>1.1362309999185527E-3</v>
      </c>
      <c r="H31" s="375">
        <f t="shared" si="8"/>
        <v>1.1362309999185527E-3</v>
      </c>
      <c r="I31" s="375">
        <f t="shared" si="8"/>
        <v>1.1362309999185527E-3</v>
      </c>
      <c r="J31" s="375">
        <f t="shared" si="8"/>
        <v>1.1362309999185527E-3</v>
      </c>
      <c r="K31" s="375">
        <f t="shared" si="8"/>
        <v>1.1362309999185527E-3</v>
      </c>
      <c r="L31" s="375">
        <f t="shared" si="8"/>
        <v>1.1362309999185527E-3</v>
      </c>
      <c r="M31" s="375">
        <f t="shared" si="8"/>
        <v>1.1362309999185527E-3</v>
      </c>
      <c r="N31" s="375">
        <f t="shared" si="8"/>
        <v>1.1362309999185527E-3</v>
      </c>
      <c r="O31" s="375">
        <f t="shared" si="8"/>
        <v>1.1362309999185527E-3</v>
      </c>
      <c r="P31" s="375">
        <f t="shared" si="8"/>
        <v>1.1362309999185527E-3</v>
      </c>
      <c r="Q31" s="375">
        <f t="shared" si="8"/>
        <v>-0.82222288382151021</v>
      </c>
      <c r="R31" s="375">
        <f t="shared" si="8"/>
        <v>47.106858885357063</v>
      </c>
      <c r="S31" s="375">
        <f t="shared" si="8"/>
        <v>39.216598764627392</v>
      </c>
      <c r="T31" s="375">
        <f t="shared" si="8"/>
        <v>33.165466219853229</v>
      </c>
      <c r="U31" s="375">
        <f t="shared" si="8"/>
        <v>30.640070292121514</v>
      </c>
      <c r="V31" s="375">
        <f t="shared" si="8"/>
        <v>26.731899275287748</v>
      </c>
      <c r="W31" s="375">
        <f t="shared" si="8"/>
        <v>20.769282983125898</v>
      </c>
      <c r="X31" s="375">
        <f t="shared" si="8"/>
        <v>15.745823548248181</v>
      </c>
      <c r="Y31" s="375">
        <f t="shared" si="8"/>
        <v>16.380104520094449</v>
      </c>
      <c r="Z31" s="375">
        <f t="shared" si="8"/>
        <v>12.096639279744945</v>
      </c>
      <c r="AA31" s="375">
        <f t="shared" si="8"/>
        <v>9.6769112774704489</v>
      </c>
      <c r="AB31" s="375">
        <f t="shared" si="8"/>
        <v>5.2909644314315365</v>
      </c>
      <c r="AC31" s="375">
        <f>AB33</f>
        <v>2.1542929926224481</v>
      </c>
      <c r="AD31" s="375">
        <f>AC33</f>
        <v>-1.2444486873775524</v>
      </c>
      <c r="AE31" s="375">
        <f>AD33</f>
        <v>12.441251162622446</v>
      </c>
      <c r="AF31" s="375">
        <f>AE33</f>
        <v>9.7934544626224458</v>
      </c>
      <c r="AG31" s="375">
        <f>AF33</f>
        <v>6.8377218356224461</v>
      </c>
    </row>
    <row r="32" spans="1:33" ht="12" customHeight="1">
      <c r="A32" s="310" t="s">
        <v>330</v>
      </c>
      <c r="B32" s="375">
        <f t="shared" ref="B32:AB32" si="9">B26</f>
        <v>1.1362309999185527E-3</v>
      </c>
      <c r="C32" s="375">
        <f t="shared" si="9"/>
        <v>0</v>
      </c>
      <c r="D32" s="375">
        <f t="shared" si="9"/>
        <v>0</v>
      </c>
      <c r="E32" s="375">
        <f t="shared" si="9"/>
        <v>0</v>
      </c>
      <c r="F32" s="375">
        <f t="shared" si="9"/>
        <v>0</v>
      </c>
      <c r="G32" s="375">
        <f t="shared" si="9"/>
        <v>0</v>
      </c>
      <c r="H32" s="375">
        <f t="shared" si="9"/>
        <v>0</v>
      </c>
      <c r="I32" s="375">
        <f t="shared" si="9"/>
        <v>0</v>
      </c>
      <c r="J32" s="375">
        <f t="shared" si="9"/>
        <v>0</v>
      </c>
      <c r="K32" s="375">
        <f t="shared" si="9"/>
        <v>0</v>
      </c>
      <c r="L32" s="375">
        <f t="shared" si="9"/>
        <v>0</v>
      </c>
      <c r="M32" s="375">
        <f t="shared" si="9"/>
        <v>0</v>
      </c>
      <c r="N32" s="375">
        <f t="shared" si="9"/>
        <v>0</v>
      </c>
      <c r="O32" s="375">
        <f t="shared" si="9"/>
        <v>0</v>
      </c>
      <c r="P32" s="375">
        <f t="shared" si="9"/>
        <v>-0.82335911482142876</v>
      </c>
      <c r="Q32" s="375">
        <f t="shared" si="9"/>
        <v>47.929081769178573</v>
      </c>
      <c r="R32" s="375">
        <f t="shared" si="9"/>
        <v>-7.8902601207296694</v>
      </c>
      <c r="S32" s="375">
        <f t="shared" si="9"/>
        <v>-6.0511325447741626</v>
      </c>
      <c r="T32" s="375">
        <f t="shared" si="9"/>
        <v>-2.5253959277317133</v>
      </c>
      <c r="U32" s="375">
        <f t="shared" si="9"/>
        <v>-3.9081710168337658</v>
      </c>
      <c r="V32" s="375">
        <f t="shared" si="9"/>
        <v>-5.9626162921618526</v>
      </c>
      <c r="W32" s="375">
        <f t="shared" si="9"/>
        <v>-5.0234594348777168</v>
      </c>
      <c r="X32" s="375">
        <f t="shared" si="9"/>
        <v>0.63428097184626964</v>
      </c>
      <c r="Y32" s="375">
        <f t="shared" si="9"/>
        <v>-4.2834652403495035</v>
      </c>
      <c r="Z32" s="375">
        <f t="shared" si="9"/>
        <v>-2.4197280022744962</v>
      </c>
      <c r="AA32" s="375">
        <f t="shared" si="9"/>
        <v>-4.3859468460389124</v>
      </c>
      <c r="AB32" s="375">
        <f t="shared" si="9"/>
        <v>-3.1366714388090884</v>
      </c>
      <c r="AC32" s="375">
        <f>AC26</f>
        <v>-3.3987416800000005</v>
      </c>
      <c r="AD32" s="375">
        <f>AD26</f>
        <v>13.685699849999999</v>
      </c>
      <c r="AE32" s="375">
        <f>AE26</f>
        <v>-2.6477966999999998</v>
      </c>
      <c r="AF32" s="375">
        <f>AF26</f>
        <v>-2.9557326269999997</v>
      </c>
      <c r="AG32" s="375">
        <f>AG26</f>
        <v>-9.3403726999999659E-2</v>
      </c>
    </row>
    <row r="33" spans="1:33" ht="12" customHeight="1" thickBot="1">
      <c r="A33" s="345" t="s">
        <v>249</v>
      </c>
      <c r="B33" s="379">
        <f t="shared" ref="B33:AB33" si="10">SUM(B31:B32)</f>
        <v>1.1362309999185527E-3</v>
      </c>
      <c r="C33" s="379">
        <f t="shared" si="10"/>
        <v>1.1362309999185527E-3</v>
      </c>
      <c r="D33" s="379">
        <f t="shared" si="10"/>
        <v>1.1362309999185527E-3</v>
      </c>
      <c r="E33" s="379">
        <f t="shared" si="10"/>
        <v>1.1362309999185527E-3</v>
      </c>
      <c r="F33" s="379">
        <f t="shared" si="10"/>
        <v>1.1362309999185527E-3</v>
      </c>
      <c r="G33" s="379">
        <f t="shared" si="10"/>
        <v>1.1362309999185527E-3</v>
      </c>
      <c r="H33" s="379">
        <f t="shared" si="10"/>
        <v>1.1362309999185527E-3</v>
      </c>
      <c r="I33" s="379">
        <f t="shared" si="10"/>
        <v>1.1362309999185527E-3</v>
      </c>
      <c r="J33" s="379">
        <f t="shared" si="10"/>
        <v>1.1362309999185527E-3</v>
      </c>
      <c r="K33" s="379">
        <f t="shared" si="10"/>
        <v>1.1362309999185527E-3</v>
      </c>
      <c r="L33" s="379">
        <f t="shared" si="10"/>
        <v>1.1362309999185527E-3</v>
      </c>
      <c r="M33" s="379">
        <f t="shared" si="10"/>
        <v>1.1362309999185527E-3</v>
      </c>
      <c r="N33" s="379">
        <f t="shared" si="10"/>
        <v>1.1362309999185527E-3</v>
      </c>
      <c r="O33" s="379">
        <f t="shared" si="10"/>
        <v>1.1362309999185527E-3</v>
      </c>
      <c r="P33" s="379">
        <f t="shared" si="10"/>
        <v>-0.82222288382151021</v>
      </c>
      <c r="Q33" s="379">
        <f t="shared" si="10"/>
        <v>47.106858885357063</v>
      </c>
      <c r="R33" s="379">
        <f t="shared" si="10"/>
        <v>39.216598764627392</v>
      </c>
      <c r="S33" s="379">
        <f t="shared" si="10"/>
        <v>33.165466219853229</v>
      </c>
      <c r="T33" s="379">
        <f t="shared" si="10"/>
        <v>30.640070292121514</v>
      </c>
      <c r="U33" s="379">
        <f t="shared" si="10"/>
        <v>26.731899275287748</v>
      </c>
      <c r="V33" s="379">
        <f t="shared" si="10"/>
        <v>20.769282983125898</v>
      </c>
      <c r="W33" s="379">
        <f t="shared" si="10"/>
        <v>15.745823548248181</v>
      </c>
      <c r="X33" s="379">
        <f t="shared" si="10"/>
        <v>16.380104520094449</v>
      </c>
      <c r="Y33" s="379">
        <f t="shared" si="10"/>
        <v>12.096639279744945</v>
      </c>
      <c r="Z33" s="379">
        <f t="shared" si="10"/>
        <v>9.6769112774704489</v>
      </c>
      <c r="AA33" s="379">
        <f t="shared" si="10"/>
        <v>5.2909644314315365</v>
      </c>
      <c r="AB33" s="379">
        <f t="shared" si="10"/>
        <v>2.1542929926224481</v>
      </c>
      <c r="AC33" s="379">
        <f>SUM(AC31:AC32)</f>
        <v>-1.2444486873775524</v>
      </c>
      <c r="AD33" s="379">
        <f>SUM(AD31:AD32)</f>
        <v>12.441251162622446</v>
      </c>
      <c r="AE33" s="379">
        <f>SUM(AE31:AE32)</f>
        <v>9.7934544626224458</v>
      </c>
      <c r="AF33" s="379">
        <f>SUM(AF31:AF32)</f>
        <v>6.8377218356224461</v>
      </c>
      <c r="AG33" s="379">
        <f>SUM(AG31:AG32)</f>
        <v>6.744318108622446</v>
      </c>
    </row>
    <row r="34" spans="1:33" ht="12" customHeight="1" thickTop="1">
      <c r="A34" s="345"/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</row>
    <row r="35" spans="1:33" ht="12" customHeight="1">
      <c r="A35" s="345" t="s">
        <v>438</v>
      </c>
      <c r="B35" s="374" t="str">
        <f t="shared" ref="B35:AB35" si="11">B30</f>
        <v>Opening</v>
      </c>
      <c r="C35" s="374">
        <f t="shared" si="11"/>
        <v>44044</v>
      </c>
      <c r="D35" s="374">
        <f t="shared" si="11"/>
        <v>44075</v>
      </c>
      <c r="E35" s="374">
        <f t="shared" si="11"/>
        <v>44105</v>
      </c>
      <c r="F35" s="374">
        <f t="shared" si="11"/>
        <v>44136</v>
      </c>
      <c r="G35" s="374">
        <f t="shared" si="11"/>
        <v>44166</v>
      </c>
      <c r="H35" s="374">
        <f t="shared" si="11"/>
        <v>44197</v>
      </c>
      <c r="I35" s="374">
        <f t="shared" si="11"/>
        <v>44228</v>
      </c>
      <c r="J35" s="374">
        <f t="shared" si="11"/>
        <v>44256</v>
      </c>
      <c r="K35" s="374">
        <f t="shared" si="11"/>
        <v>44287</v>
      </c>
      <c r="L35" s="374">
        <f t="shared" si="11"/>
        <v>44317</v>
      </c>
      <c r="M35" s="374">
        <f t="shared" si="11"/>
        <v>44348</v>
      </c>
      <c r="N35" s="374">
        <f t="shared" si="11"/>
        <v>44378</v>
      </c>
      <c r="O35" s="374">
        <f t="shared" si="11"/>
        <v>44409</v>
      </c>
      <c r="P35" s="374">
        <f t="shared" si="11"/>
        <v>44743</v>
      </c>
      <c r="Q35" s="374">
        <f t="shared" si="11"/>
        <v>44774</v>
      </c>
      <c r="R35" s="374">
        <f t="shared" si="11"/>
        <v>44805</v>
      </c>
      <c r="S35" s="374">
        <f t="shared" si="11"/>
        <v>44835</v>
      </c>
      <c r="T35" s="374">
        <f t="shared" si="11"/>
        <v>44866</v>
      </c>
      <c r="U35" s="374">
        <f t="shared" si="11"/>
        <v>44896</v>
      </c>
      <c r="V35" s="374">
        <f t="shared" si="11"/>
        <v>44927</v>
      </c>
      <c r="W35" s="374">
        <f t="shared" si="11"/>
        <v>44958</v>
      </c>
      <c r="X35" s="374">
        <f t="shared" si="11"/>
        <v>44986</v>
      </c>
      <c r="Y35" s="374">
        <f t="shared" si="11"/>
        <v>45017</v>
      </c>
      <c r="Z35" s="374">
        <f t="shared" si="11"/>
        <v>45047</v>
      </c>
      <c r="AA35" s="374">
        <f t="shared" si="11"/>
        <v>45078</v>
      </c>
      <c r="AB35" s="374">
        <f t="shared" si="11"/>
        <v>45108</v>
      </c>
      <c r="AC35" s="374">
        <f>AC30</f>
        <v>45139</v>
      </c>
      <c r="AD35" s="374">
        <f>AD30</f>
        <v>45170</v>
      </c>
      <c r="AE35" s="374">
        <f>AE30</f>
        <v>45200</v>
      </c>
      <c r="AF35" s="374">
        <f>AF30</f>
        <v>45231</v>
      </c>
      <c r="AG35" s="374">
        <f>AG30</f>
        <v>45261</v>
      </c>
    </row>
    <row r="36" spans="1:33" ht="12" customHeight="1">
      <c r="A36" s="310" t="s">
        <v>439</v>
      </c>
      <c r="B36" s="375">
        <v>0</v>
      </c>
      <c r="C36" s="375">
        <f>B41</f>
        <v>0</v>
      </c>
      <c r="D36" s="375">
        <f t="shared" ref="D36:AB36" si="12">C41</f>
        <v>0</v>
      </c>
      <c r="E36" s="375">
        <f t="shared" si="12"/>
        <v>0</v>
      </c>
      <c r="F36" s="375">
        <f t="shared" si="12"/>
        <v>0</v>
      </c>
      <c r="G36" s="375">
        <f t="shared" si="12"/>
        <v>0</v>
      </c>
      <c r="H36" s="375">
        <f t="shared" si="12"/>
        <v>0</v>
      </c>
      <c r="I36" s="375">
        <f t="shared" si="12"/>
        <v>0</v>
      </c>
      <c r="J36" s="375">
        <f t="shared" si="12"/>
        <v>0</v>
      </c>
      <c r="K36" s="375">
        <f>J41</f>
        <v>0</v>
      </c>
      <c r="L36" s="375">
        <f t="shared" si="12"/>
        <v>0</v>
      </c>
      <c r="M36" s="375">
        <f t="shared" si="12"/>
        <v>0</v>
      </c>
      <c r="N36" s="375">
        <f t="shared" si="12"/>
        <v>0</v>
      </c>
      <c r="O36" s="375">
        <f t="shared" si="12"/>
        <v>0</v>
      </c>
      <c r="P36" s="375">
        <v>17.41</v>
      </c>
      <c r="Q36" s="375">
        <f t="shared" si="12"/>
        <v>15.41</v>
      </c>
      <c r="R36" s="375">
        <f t="shared" si="12"/>
        <v>15.41</v>
      </c>
      <c r="S36" s="375">
        <f t="shared" si="12"/>
        <v>14.387840000000001</v>
      </c>
      <c r="T36" s="375">
        <f t="shared" si="12"/>
        <v>6.9802263663460469</v>
      </c>
      <c r="U36" s="375">
        <f t="shared" si="12"/>
        <v>7.0229295543420438</v>
      </c>
      <c r="V36" s="375">
        <f t="shared" si="12"/>
        <v>1.642767453442044</v>
      </c>
      <c r="W36" s="375">
        <f t="shared" si="12"/>
        <v>-1.8813410902499612</v>
      </c>
      <c r="X36" s="375">
        <f t="shared" si="12"/>
        <v>1.0770696508020388</v>
      </c>
      <c r="Y36" s="375">
        <f t="shared" si="12"/>
        <v>-4.0452386702760634E-4</v>
      </c>
      <c r="Z36" s="375">
        <f t="shared" si="12"/>
        <v>1.1963627636049723</v>
      </c>
      <c r="AA36" s="375">
        <f t="shared" si="12"/>
        <v>0.5350104907274682</v>
      </c>
      <c r="AB36" s="375">
        <f t="shared" si="12"/>
        <v>0.68761436557546807</v>
      </c>
      <c r="AC36" s="375">
        <f>AB41</f>
        <v>1.0916114384556419E-2</v>
      </c>
      <c r="AD36" s="375">
        <f>AC41</f>
        <v>0.27023211438455652</v>
      </c>
      <c r="AE36" s="375">
        <f>AD41</f>
        <v>0.61328971438455637</v>
      </c>
      <c r="AF36" s="375">
        <f>AE41</f>
        <v>1.3154882143845565</v>
      </c>
      <c r="AG36" s="375">
        <f>AF41</f>
        <v>0.67583021438455659</v>
      </c>
    </row>
    <row r="37" spans="1:33" ht="12" customHeight="1">
      <c r="A37" s="310" t="s">
        <v>440</v>
      </c>
      <c r="B37" s="375">
        <v>34.390999999999998</v>
      </c>
      <c r="C37" s="299">
        <v>0</v>
      </c>
      <c r="D37" s="299">
        <v>0</v>
      </c>
      <c r="E37" s="299">
        <v>0</v>
      </c>
      <c r="F37" s="299">
        <v>0</v>
      </c>
      <c r="G37" s="299">
        <v>0</v>
      </c>
      <c r="H37" s="299">
        <v>0</v>
      </c>
      <c r="I37" s="299">
        <v>0</v>
      </c>
      <c r="J37" s="299">
        <v>0</v>
      </c>
      <c r="K37" s="299">
        <v>0</v>
      </c>
      <c r="L37" s="299">
        <v>0</v>
      </c>
      <c r="M37" s="299">
        <v>0</v>
      </c>
      <c r="N37" s="299">
        <v>0</v>
      </c>
      <c r="O37" s="299">
        <v>0</v>
      </c>
      <c r="P37" s="299">
        <v>0</v>
      </c>
      <c r="Q37" s="299">
        <v>0</v>
      </c>
      <c r="R37" s="299">
        <v>0</v>
      </c>
      <c r="S37" s="299">
        <v>0</v>
      </c>
      <c r="T37" s="299">
        <v>0</v>
      </c>
      <c r="U37" s="299">
        <v>0</v>
      </c>
      <c r="V37" s="299">
        <v>0</v>
      </c>
      <c r="W37" s="299">
        <v>0</v>
      </c>
      <c r="X37" s="299">
        <v>0</v>
      </c>
      <c r="Y37" s="299">
        <v>0</v>
      </c>
      <c r="Z37" s="299">
        <v>0</v>
      </c>
      <c r="AA37" s="299">
        <v>0</v>
      </c>
      <c r="AB37" s="299">
        <v>0</v>
      </c>
      <c r="AC37" s="299">
        <v>0</v>
      </c>
      <c r="AD37" s="299">
        <v>0</v>
      </c>
      <c r="AE37" s="299">
        <v>0</v>
      </c>
      <c r="AF37" s="299">
        <v>0</v>
      </c>
      <c r="AG37" s="299">
        <v>0</v>
      </c>
    </row>
    <row r="38" spans="1:33" ht="12" customHeight="1">
      <c r="A38" s="310" t="s">
        <v>441</v>
      </c>
      <c r="B38" s="375">
        <v>239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f>K40/4.1*3.1</f>
        <v>0</v>
      </c>
      <c r="L38" s="375">
        <f>L40/4.1*3.1</f>
        <v>0</v>
      </c>
      <c r="M38" s="375">
        <f>M40/4.1*3.1</f>
        <v>0</v>
      </c>
      <c r="N38" s="375">
        <f>N40/4.1*3.1</f>
        <v>0</v>
      </c>
      <c r="O38" s="375">
        <f>O40/4.1*3.1</f>
        <v>0</v>
      </c>
      <c r="P38" s="375">
        <v>0</v>
      </c>
      <c r="Q38" s="375">
        <v>0</v>
      </c>
      <c r="R38" s="375">
        <v>0</v>
      </c>
      <c r="S38" s="375">
        <v>1</v>
      </c>
      <c r="T38" s="375">
        <v>12</v>
      </c>
      <c r="U38" s="375">
        <v>0</v>
      </c>
      <c r="V38" s="375">
        <v>7</v>
      </c>
      <c r="W38" s="375">
        <v>9</v>
      </c>
      <c r="X38" s="375">
        <v>8.81</v>
      </c>
      <c r="Y38" s="375">
        <v>5</v>
      </c>
      <c r="Z38" s="375">
        <v>4</v>
      </c>
      <c r="AA38" s="375">
        <v>3</v>
      </c>
      <c r="AB38" s="375">
        <v>3</v>
      </c>
      <c r="AC38" s="375">
        <v>3</v>
      </c>
      <c r="AD38" s="375">
        <v>3</v>
      </c>
      <c r="AE38" s="375">
        <v>1.62</v>
      </c>
      <c r="AF38" s="375">
        <v>0</v>
      </c>
      <c r="AG38" s="375">
        <v>0</v>
      </c>
    </row>
    <row r="39" spans="1:33" ht="12" customHeight="1">
      <c r="A39" s="310" t="s">
        <v>442</v>
      </c>
      <c r="B39" s="375">
        <f>70.05+13.55</f>
        <v>83.6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5">
        <v>7.5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</row>
    <row r="40" spans="1:33" ht="12" customHeight="1">
      <c r="A40" s="310" t="s">
        <v>443</v>
      </c>
      <c r="B40" s="375">
        <f>SUM(B37:B39)</f>
        <v>356.99099999999999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f>'Work CF'!C11+SUM(O44:O46)</f>
        <v>0</v>
      </c>
      <c r="P40" s="375">
        <v>2</v>
      </c>
      <c r="Q40" s="375">
        <f>'R&amp;P'!C17</f>
        <v>0</v>
      </c>
      <c r="R40" s="375">
        <f>'R&amp;P'!D17</f>
        <v>1.02216</v>
      </c>
      <c r="S40" s="375">
        <f>'R&amp;P'!E17</f>
        <v>8.4076136336539538</v>
      </c>
      <c r="T40" s="375">
        <f>'R&amp;P'!F17</f>
        <v>11.957296812004001</v>
      </c>
      <c r="U40" s="375">
        <f>'R&amp;P'!G17</f>
        <v>12.8801621009</v>
      </c>
      <c r="V40" s="375">
        <f>'R&amp;P'!H17</f>
        <v>10.524108543692005</v>
      </c>
      <c r="W40" s="375">
        <f>'R&amp;P'!I17</f>
        <v>6.041589258948</v>
      </c>
      <c r="X40" s="375">
        <f>'R&amp;P'!J17</f>
        <v>9.8874741746690678</v>
      </c>
      <c r="Y40" s="375">
        <f>'R&amp;P'!K17</f>
        <v>3.8032327125280001</v>
      </c>
      <c r="Z40" s="375">
        <f>'R&amp;P'!L17</f>
        <v>4.6613522728775036</v>
      </c>
      <c r="AA40" s="375">
        <f>'R&amp;P'!M17</f>
        <v>2.8473961251520001</v>
      </c>
      <c r="AB40" s="375">
        <f>'R&amp;P'!N17</f>
        <v>3.6766982511909116</v>
      </c>
      <c r="AC40" s="375">
        <f>'R&amp;P'!O17</f>
        <v>2.7406839999999999</v>
      </c>
      <c r="AD40" s="375">
        <f>'R&amp;P'!P17</f>
        <v>2.6569424000000001</v>
      </c>
      <c r="AE40" s="375">
        <f>'R&amp;P'!Q17</f>
        <v>0.91780150000000005</v>
      </c>
      <c r="AF40" s="375">
        <f>'R&amp;P'!R17</f>
        <v>0.63965799999999995</v>
      </c>
      <c r="AG40" s="375">
        <f>'R&amp;P'!S17</f>
        <v>0.67659627300000003</v>
      </c>
    </row>
    <row r="41" spans="1:33" ht="12" customHeight="1" thickBot="1">
      <c r="A41" s="345" t="s">
        <v>444</v>
      </c>
      <c r="B41" s="379">
        <f t="shared" ref="B41:U41" si="13">SUM(B36:B39)-B40</f>
        <v>0</v>
      </c>
      <c r="C41" s="379">
        <f t="shared" si="13"/>
        <v>0</v>
      </c>
      <c r="D41" s="379">
        <f>SUM(D36:D39)-D40</f>
        <v>0</v>
      </c>
      <c r="E41" s="379">
        <f t="shared" si="13"/>
        <v>0</v>
      </c>
      <c r="F41" s="379">
        <f t="shared" si="13"/>
        <v>0</v>
      </c>
      <c r="G41" s="379">
        <f t="shared" si="13"/>
        <v>0</v>
      </c>
      <c r="H41" s="379">
        <f t="shared" si="13"/>
        <v>0</v>
      </c>
      <c r="I41" s="379">
        <f t="shared" si="13"/>
        <v>0</v>
      </c>
      <c r="J41" s="379">
        <f t="shared" si="13"/>
        <v>0</v>
      </c>
      <c r="K41" s="379">
        <f t="shared" si="13"/>
        <v>0</v>
      </c>
      <c r="L41" s="379">
        <f t="shared" si="13"/>
        <v>0</v>
      </c>
      <c r="M41" s="379">
        <f t="shared" si="13"/>
        <v>0</v>
      </c>
      <c r="N41" s="379">
        <f t="shared" si="13"/>
        <v>0</v>
      </c>
      <c r="O41" s="379">
        <f t="shared" si="13"/>
        <v>0</v>
      </c>
      <c r="P41" s="379">
        <f t="shared" si="13"/>
        <v>15.41</v>
      </c>
      <c r="Q41" s="379">
        <f t="shared" si="13"/>
        <v>15.41</v>
      </c>
      <c r="R41" s="379">
        <f t="shared" si="13"/>
        <v>14.387840000000001</v>
      </c>
      <c r="S41" s="379">
        <f t="shared" si="13"/>
        <v>6.9802263663460469</v>
      </c>
      <c r="T41" s="379">
        <f t="shared" si="13"/>
        <v>7.0229295543420438</v>
      </c>
      <c r="U41" s="379">
        <f t="shared" si="13"/>
        <v>1.642767453442044</v>
      </c>
      <c r="V41" s="379">
        <f t="shared" ref="V41:AG41" si="14">SUM(V36:V39)-V40</f>
        <v>-1.8813410902499612</v>
      </c>
      <c r="W41" s="379">
        <f t="shared" si="14"/>
        <v>1.0770696508020388</v>
      </c>
      <c r="X41" s="379">
        <f t="shared" si="14"/>
        <v>-4.0452386702760634E-4</v>
      </c>
      <c r="Y41" s="379">
        <f t="shared" si="14"/>
        <v>1.1963627636049723</v>
      </c>
      <c r="Z41" s="379">
        <f t="shared" si="14"/>
        <v>0.5350104907274682</v>
      </c>
      <c r="AA41" s="379">
        <f t="shared" si="14"/>
        <v>0.68761436557546807</v>
      </c>
      <c r="AB41" s="379">
        <f t="shared" si="14"/>
        <v>1.0916114384556419E-2</v>
      </c>
      <c r="AC41" s="379">
        <f t="shared" si="14"/>
        <v>0.27023211438455652</v>
      </c>
      <c r="AD41" s="379">
        <f t="shared" si="14"/>
        <v>0.61328971438455637</v>
      </c>
      <c r="AE41" s="379">
        <f t="shared" si="14"/>
        <v>1.3154882143845565</v>
      </c>
      <c r="AF41" s="379">
        <f t="shared" si="14"/>
        <v>0.67583021438455659</v>
      </c>
      <c r="AG41" s="379">
        <f t="shared" si="14"/>
        <v>-7.6605861544343234E-4</v>
      </c>
    </row>
    <row r="42" spans="1:33" ht="12" customHeight="1" thickTop="1">
      <c r="A42" s="345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</row>
    <row r="43" spans="1:33" ht="12" customHeight="1">
      <c r="A43" s="345"/>
      <c r="B43" s="299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</row>
    <row r="44" spans="1:33" s="342" customFormat="1">
      <c r="A44" s="310" t="s">
        <v>445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341">
        <v>0</v>
      </c>
      <c r="K44" s="341">
        <v>0</v>
      </c>
      <c r="L44" s="341">
        <v>0</v>
      </c>
      <c r="M44" s="341">
        <v>0</v>
      </c>
      <c r="N44" s="341">
        <v>0</v>
      </c>
      <c r="O44" s="341">
        <v>0</v>
      </c>
      <c r="P44" s="341">
        <v>0</v>
      </c>
      <c r="Q44" s="341">
        <v>0</v>
      </c>
      <c r="R44" s="341">
        <v>0</v>
      </c>
      <c r="S44" s="341">
        <v>0</v>
      </c>
      <c r="T44" s="341">
        <v>0</v>
      </c>
      <c r="U44" s="341">
        <v>0</v>
      </c>
      <c r="V44" s="341">
        <v>0</v>
      </c>
      <c r="W44" s="341">
        <v>0</v>
      </c>
      <c r="X44" s="341">
        <v>0</v>
      </c>
      <c r="Y44" s="341">
        <v>0</v>
      </c>
      <c r="Z44" s="341">
        <v>0</v>
      </c>
      <c r="AA44" s="341">
        <v>0</v>
      </c>
      <c r="AB44" s="341">
        <v>0</v>
      </c>
      <c r="AC44" s="341">
        <v>0</v>
      </c>
      <c r="AD44" s="341">
        <v>0</v>
      </c>
      <c r="AE44" s="341">
        <v>0</v>
      </c>
      <c r="AF44" s="341">
        <v>0</v>
      </c>
      <c r="AG44" s="341">
        <v>0</v>
      </c>
    </row>
    <row r="45" spans="1:33" s="342" customFormat="1">
      <c r="A45" s="310" t="s">
        <v>446</v>
      </c>
      <c r="B45" s="341">
        <v>0</v>
      </c>
      <c r="C45" s="341">
        <v>0</v>
      </c>
      <c r="D45" s="341">
        <v>0</v>
      </c>
      <c r="E45" s="341">
        <v>0</v>
      </c>
      <c r="F45" s="341">
        <v>0</v>
      </c>
      <c r="G45" s="341">
        <v>0</v>
      </c>
      <c r="H45" s="341">
        <v>0</v>
      </c>
      <c r="I45" s="341">
        <v>0</v>
      </c>
      <c r="J45" s="341">
        <v>0</v>
      </c>
      <c r="K45" s="341">
        <v>0</v>
      </c>
      <c r="L45" s="341">
        <v>0</v>
      </c>
      <c r="M45" s="341">
        <v>0</v>
      </c>
      <c r="N45" s="341">
        <v>0</v>
      </c>
      <c r="O45" s="341">
        <v>0</v>
      </c>
      <c r="P45" s="341">
        <v>0</v>
      </c>
      <c r="Q45" s="341">
        <v>0</v>
      </c>
      <c r="R45" s="341">
        <v>0</v>
      </c>
      <c r="S45" s="341">
        <v>0</v>
      </c>
      <c r="T45" s="341">
        <v>0</v>
      </c>
      <c r="U45" s="341">
        <v>0</v>
      </c>
      <c r="V45" s="341">
        <v>0</v>
      </c>
      <c r="W45" s="341">
        <v>0</v>
      </c>
      <c r="X45" s="341">
        <v>0</v>
      </c>
      <c r="Y45" s="341">
        <v>0</v>
      </c>
      <c r="Z45" s="341">
        <v>0</v>
      </c>
      <c r="AA45" s="341">
        <v>0</v>
      </c>
      <c r="AB45" s="341">
        <v>0</v>
      </c>
      <c r="AC45" s="341">
        <v>0</v>
      </c>
      <c r="AD45" s="341">
        <v>0</v>
      </c>
      <c r="AE45" s="341">
        <v>0</v>
      </c>
      <c r="AF45" s="341">
        <v>0</v>
      </c>
      <c r="AG45" s="341">
        <v>0</v>
      </c>
    </row>
    <row r="46" spans="1:33" ht="12" hidden="1" customHeight="1">
      <c r="A46" s="310"/>
      <c r="B46" s="376">
        <v>0</v>
      </c>
      <c r="C46" s="376">
        <v>0</v>
      </c>
      <c r="D46" s="376">
        <v>0</v>
      </c>
      <c r="E46" s="376">
        <v>0</v>
      </c>
      <c r="F46" s="376">
        <v>0</v>
      </c>
      <c r="G46" s="376">
        <v>0</v>
      </c>
      <c r="H46" s="376">
        <v>0</v>
      </c>
      <c r="I46" s="376">
        <v>0</v>
      </c>
      <c r="J46" s="376">
        <v>0</v>
      </c>
      <c r="K46" s="376">
        <v>0</v>
      </c>
      <c r="L46" s="376">
        <v>0</v>
      </c>
      <c r="M46" s="376">
        <v>0</v>
      </c>
      <c r="N46" s="376">
        <v>0</v>
      </c>
      <c r="O46" s="376">
        <f>-'Work CF'!C39</f>
        <v>0</v>
      </c>
      <c r="P46" s="376">
        <f>-'Work CF'!D39</f>
        <v>0</v>
      </c>
      <c r="Q46" s="376">
        <f>-'Work CF'!E39</f>
        <v>0</v>
      </c>
      <c r="R46" s="376">
        <f>-'Work CF'!F39</f>
        <v>0</v>
      </c>
      <c r="S46" s="376">
        <f>-'Work CF'!G39</f>
        <v>0</v>
      </c>
      <c r="T46" s="376">
        <f>-'Work CF'!H39</f>
        <v>0</v>
      </c>
      <c r="U46" s="376">
        <f>-'Work CF'!I39</f>
        <v>-4.9319971220802827</v>
      </c>
      <c r="V46" s="376">
        <f>-'Work CF'!J39</f>
        <v>-9.9492235573247925</v>
      </c>
      <c r="W46" s="376">
        <f>-'Work CF'!K39</f>
        <v>0</v>
      </c>
      <c r="X46" s="376" t="e">
        <f>-'Work CF'!#REF!</f>
        <v>#REF!</v>
      </c>
      <c r="Y46" s="376" t="e">
        <f>-'Work CF'!#REF!</f>
        <v>#REF!</v>
      </c>
      <c r="Z46" s="376" t="e">
        <f>-'Work CF'!#REF!</f>
        <v>#REF!</v>
      </c>
      <c r="AA46" s="376" t="e">
        <f>-'Work CF'!#REF!</f>
        <v>#REF!</v>
      </c>
      <c r="AB46" s="376" t="e">
        <f>-'Work CF'!#REF!</f>
        <v>#REF!</v>
      </c>
      <c r="AC46" s="376" t="e">
        <f>-'Work CF'!#REF!</f>
        <v>#REF!</v>
      </c>
      <c r="AD46" s="376" t="e">
        <f>-'Work CF'!#REF!</f>
        <v>#REF!</v>
      </c>
      <c r="AE46" s="376" t="e">
        <f>-'Work CF'!#REF!</f>
        <v>#REF!</v>
      </c>
      <c r="AF46" s="376" t="e">
        <f>-'Work CF'!#REF!</f>
        <v>#REF!</v>
      </c>
      <c r="AG46" s="376" t="e">
        <f>-'Work CF'!#REF!</f>
        <v>#REF!</v>
      </c>
    </row>
    <row r="47" spans="1:33" ht="12" customHeight="1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J23"/>
  <sheetViews>
    <sheetView showGridLines="0" workbookViewId="0">
      <selection activeCell="F11" sqref="F11"/>
    </sheetView>
  </sheetViews>
  <sheetFormatPr defaultColWidth="9.140625" defaultRowHeight="12.75" outlineLevelRow="1"/>
  <cols>
    <col min="1" max="1" width="4.85546875" style="50" customWidth="1"/>
    <col min="2" max="2" width="38" style="50" bestFit="1" customWidth="1"/>
    <col min="3" max="3" width="9.42578125" style="50" bestFit="1" customWidth="1"/>
    <col min="4" max="4" width="7.42578125" style="50" bestFit="1" customWidth="1"/>
    <col min="5" max="5" width="13.42578125" style="50" bestFit="1" customWidth="1"/>
    <col min="6" max="7" width="6.28515625" style="50" bestFit="1" customWidth="1"/>
    <col min="8" max="16384" width="9.140625" style="50"/>
  </cols>
  <sheetData>
    <row r="2" spans="2:10" ht="18.75">
      <c r="B2" s="14" t="s">
        <v>841</v>
      </c>
      <c r="C2" s="1"/>
    </row>
    <row r="3" spans="2:10" ht="15">
      <c r="B3" t="s">
        <v>32</v>
      </c>
      <c r="C3" s="1"/>
    </row>
    <row r="4" spans="2:10">
      <c r="B4" s="8" t="s">
        <v>0</v>
      </c>
      <c r="C4" s="12" t="s">
        <v>1</v>
      </c>
    </row>
    <row r="5" spans="2:10">
      <c r="B5" s="56" t="s">
        <v>31</v>
      </c>
      <c r="C5" s="57">
        <f>+DATE(2023,12,30)</f>
        <v>45290</v>
      </c>
    </row>
    <row r="6" spans="2:10">
      <c r="B6" s="51"/>
      <c r="C6" s="52"/>
    </row>
    <row r="7" spans="2:10">
      <c r="B7" s="51"/>
      <c r="C7" s="52"/>
    </row>
    <row r="8" spans="2:10">
      <c r="B8" s="67" t="s">
        <v>32</v>
      </c>
      <c r="C8" s="67"/>
      <c r="D8" s="68"/>
      <c r="E8" s="68"/>
      <c r="F8" s="68"/>
      <c r="G8" s="68"/>
    </row>
    <row r="9" spans="2:10">
      <c r="B9" s="69" t="s">
        <v>107</v>
      </c>
      <c r="C9" s="58" t="s">
        <v>108</v>
      </c>
      <c r="D9" s="58" t="s">
        <v>33</v>
      </c>
      <c r="E9" s="58" t="s">
        <v>109</v>
      </c>
      <c r="F9" s="58" t="s">
        <v>110</v>
      </c>
      <c r="G9" s="58" t="s">
        <v>111</v>
      </c>
    </row>
    <row r="10" spans="2:10">
      <c r="B10" s="70" t="s">
        <v>34</v>
      </c>
      <c r="C10" s="53"/>
      <c r="D10" s="54"/>
    </row>
    <row r="11" spans="2:10">
      <c r="B11" s="106" t="s">
        <v>35</v>
      </c>
      <c r="C11" s="133">
        <f>DCF!C29</f>
        <v>72.497517566935699</v>
      </c>
      <c r="D11" s="139">
        <v>1</v>
      </c>
      <c r="E11" s="135">
        <f>C11*D11</f>
        <v>72.497517566935699</v>
      </c>
      <c r="F11" s="135">
        <f>E11*105%</f>
        <v>76.122393445282484</v>
      </c>
      <c r="G11" s="135">
        <f>E11*95%</f>
        <v>68.872641688588914</v>
      </c>
      <c r="J11" s="135"/>
    </row>
    <row r="12" spans="2:10" hidden="1" outlineLevel="1">
      <c r="B12" s="70" t="s">
        <v>36</v>
      </c>
      <c r="C12" s="133"/>
      <c r="D12" s="134"/>
      <c r="E12" s="135"/>
      <c r="F12" s="135"/>
      <c r="G12" s="135"/>
      <c r="J12" s="135"/>
    </row>
    <row r="13" spans="2:10" hidden="1" outlineLevel="1">
      <c r="B13" s="107" t="s">
        <v>37</v>
      </c>
      <c r="C13" s="133">
        <f>Valuation_NAV!G50</f>
        <v>-72.598199999999991</v>
      </c>
      <c r="D13" s="139">
        <v>0.2</v>
      </c>
      <c r="E13" s="135">
        <f>C13*D13</f>
        <v>-14.519639999999999</v>
      </c>
      <c r="F13" s="135">
        <f>E13*105%</f>
        <v>-15.245621999999999</v>
      </c>
      <c r="G13" s="135">
        <f>E13*95%</f>
        <v>-13.793657999999999</v>
      </c>
      <c r="J13" s="135"/>
    </row>
    <row r="14" spans="2:10" collapsed="1">
      <c r="B14" s="71" t="s">
        <v>38</v>
      </c>
      <c r="C14" s="136"/>
      <c r="D14" s="136"/>
      <c r="E14" s="136">
        <f>E11</f>
        <v>72.497517566935699</v>
      </c>
      <c r="F14" s="136">
        <f t="shared" ref="F14:G14" si="0">F11</f>
        <v>76.122393445282484</v>
      </c>
      <c r="G14" s="136">
        <f t="shared" si="0"/>
        <v>68.872641688588914</v>
      </c>
    </row>
    <row r="15" spans="2:10">
      <c r="B15" s="542" t="s">
        <v>39</v>
      </c>
      <c r="C15" s="134"/>
      <c r="D15" s="134"/>
      <c r="E15" s="137">
        <v>0</v>
      </c>
      <c r="F15" s="135">
        <f>E15</f>
        <v>0</v>
      </c>
      <c r="G15" s="135">
        <f>F15</f>
        <v>0</v>
      </c>
    </row>
    <row r="16" spans="2:10">
      <c r="B16" s="71" t="s">
        <v>40</v>
      </c>
      <c r="C16" s="136"/>
      <c r="D16" s="136"/>
      <c r="E16" s="136">
        <f>E14-E$15</f>
        <v>72.497517566935699</v>
      </c>
      <c r="F16" s="136">
        <f t="shared" ref="F16:G16" si="1">F14-F$15</f>
        <v>76.122393445282484</v>
      </c>
      <c r="G16" s="136">
        <f t="shared" si="1"/>
        <v>68.872641688588914</v>
      </c>
    </row>
    <row r="17" spans="2:8">
      <c r="B17" s="287" t="s">
        <v>258</v>
      </c>
      <c r="C17" s="288"/>
      <c r="D17" s="288"/>
      <c r="E17" s="288">
        <f>Valuation_NAV!G49</f>
        <v>201.3921</v>
      </c>
      <c r="F17" s="288">
        <f t="shared" ref="F17:G19" si="2">E17</f>
        <v>201.3921</v>
      </c>
      <c r="G17" s="288">
        <f t="shared" si="2"/>
        <v>201.3921</v>
      </c>
      <c r="H17" s="66"/>
    </row>
    <row r="18" spans="2:8">
      <c r="B18" s="287" t="s">
        <v>261</v>
      </c>
      <c r="C18" s="288"/>
      <c r="D18" s="288"/>
      <c r="E18" s="288">
        <v>0</v>
      </c>
      <c r="F18" s="288">
        <f t="shared" si="2"/>
        <v>0</v>
      </c>
      <c r="G18" s="288">
        <f t="shared" si="2"/>
        <v>0</v>
      </c>
      <c r="H18" s="66"/>
    </row>
    <row r="19" spans="2:8">
      <c r="B19" s="287" t="s">
        <v>262</v>
      </c>
      <c r="C19" s="288"/>
      <c r="D19" s="288"/>
      <c r="E19" s="289">
        <v>0</v>
      </c>
      <c r="F19" s="289">
        <f t="shared" si="2"/>
        <v>0</v>
      </c>
      <c r="G19" s="289">
        <f t="shared" si="2"/>
        <v>0</v>
      </c>
      <c r="H19" s="66"/>
    </row>
    <row r="20" spans="2:8" ht="13.5" thickBot="1">
      <c r="B20" s="72" t="s">
        <v>158</v>
      </c>
      <c r="C20" s="138"/>
      <c r="D20" s="138"/>
      <c r="E20" s="138">
        <f>E16-E17-E18-E19</f>
        <v>-128.8945824330643</v>
      </c>
      <c r="F20" s="138">
        <f t="shared" ref="F20:G20" si="3">F16-F17-F18-F19</f>
        <v>-125.26970655471752</v>
      </c>
      <c r="G20" s="138">
        <f t="shared" si="3"/>
        <v>-132.51945831141109</v>
      </c>
    </row>
    <row r="21" spans="2:8">
      <c r="D21" s="54"/>
      <c r="E21" s="132"/>
    </row>
    <row r="22" spans="2:8">
      <c r="B22" s="50" t="s">
        <v>41</v>
      </c>
      <c r="C22" s="55"/>
    </row>
    <row r="23" spans="2:8">
      <c r="B23" s="50" t="s">
        <v>42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N41"/>
  <sheetViews>
    <sheetView zoomScaleNormal="100" workbookViewId="0">
      <pane xSplit="3" ySplit="2" topLeftCell="D3" activePane="bottomRight" state="frozen"/>
      <selection activeCell="U8" sqref="U8"/>
      <selection pane="topRight" activeCell="U8" sqref="U8"/>
      <selection pane="bottomLeft" activeCell="U8" sqref="U8"/>
      <selection pane="bottomRight" activeCell="D1" sqref="D1"/>
    </sheetView>
  </sheetViews>
  <sheetFormatPr defaultColWidth="11.42578125" defaultRowHeight="12"/>
  <cols>
    <col min="1" max="1" width="22.42578125" style="346" customWidth="1"/>
    <col min="2" max="3" width="6.7109375" style="342" hidden="1" customWidth="1"/>
    <col min="4" max="4" width="6.85546875" style="342" bestFit="1" customWidth="1"/>
    <col min="5" max="6" width="7.140625" style="342" bestFit="1" customWidth="1"/>
    <col min="7" max="7" width="6.7109375" style="342" customWidth="1"/>
    <col min="8" max="8" width="7.42578125" style="342" bestFit="1" customWidth="1"/>
    <col min="9" max="9" width="6.85546875" style="342" bestFit="1" customWidth="1"/>
    <col min="10" max="10" width="6.7109375" style="342" bestFit="1" customWidth="1"/>
    <col min="11" max="16384" width="11.42578125" style="342"/>
  </cols>
  <sheetData>
    <row r="1" spans="1:12" s="319" customFormat="1">
      <c r="B1" s="337"/>
      <c r="J1" s="320" t="s">
        <v>303</v>
      </c>
    </row>
    <row r="2" spans="1:12" s="339" customFormat="1">
      <c r="A2" s="345" t="s">
        <v>2</v>
      </c>
      <c r="B2" s="322" t="s">
        <v>312</v>
      </c>
      <c r="C2" s="322" t="s">
        <v>313</v>
      </c>
      <c r="D2" s="322" t="s">
        <v>314</v>
      </c>
      <c r="E2" s="322" t="s">
        <v>315</v>
      </c>
      <c r="F2" s="322" t="s">
        <v>316</v>
      </c>
      <c r="G2" s="322" t="s">
        <v>317</v>
      </c>
      <c r="H2" s="322" t="s">
        <v>318</v>
      </c>
      <c r="I2" s="322" t="s">
        <v>319</v>
      </c>
      <c r="J2" s="322" t="s">
        <v>320</v>
      </c>
    </row>
    <row r="3" spans="1:12">
      <c r="A3" s="310" t="str">
        <f>'Monthly CF'!A4</f>
        <v>Receipt from Customer</v>
      </c>
      <c r="B3" s="341">
        <f>SUMIF('Monthly CF'!$2:$2,B$2,'Monthly CF'!4:4)</f>
        <v>0</v>
      </c>
      <c r="C3" s="341">
        <f>SUMIF('Monthly CF'!$2:$2,C$2,'Monthly CF'!4:4)+30.61</f>
        <v>30.61</v>
      </c>
      <c r="D3" s="341">
        <f>SUMIF('Monthly CF'!$2:$2,D$2,'Monthly CF'!4:4)</f>
        <v>62.622774858666666</v>
      </c>
      <c r="E3" s="341">
        <f>SUMIF('Monthly CF'!$2:$2,E$2,'Monthly CF'!4:4)</f>
        <v>70.246029682053347</v>
      </c>
      <c r="F3" s="341">
        <f>SUMIF('Monthly CF'!$2:$2,F$2,'Monthly CF'!4:4)</f>
        <v>78.758188123384002</v>
      </c>
      <c r="G3" s="341">
        <f>SUMIF('Monthly CF'!$2:$2,G$2,'Monthly CF'!4:4)</f>
        <v>96.144318385037153</v>
      </c>
      <c r="H3" s="341">
        <f>SUMIF('Monthly CF'!$2:$2,H$2,'Monthly CF'!4:4)</f>
        <v>109.9950328300003</v>
      </c>
      <c r="I3" s="341">
        <f>SUMIF('Monthly CF'!$2:$2,I$2,'Monthly CF'!4:4)</f>
        <v>119.84282496508592</v>
      </c>
      <c r="J3" s="341">
        <f>SUMIF('Monthly CF'!$2:$2,J$2,'Monthly CF'!4:4)</f>
        <v>77.885733914212537</v>
      </c>
    </row>
    <row r="4" spans="1:12">
      <c r="A4" s="310" t="str">
        <f>'Monthly CF'!A5</f>
        <v>GST Claim from DJB-NOR</v>
      </c>
      <c r="B4" s="341">
        <f>SUMIF('Monthly CF'!$2:$2,B$2,'Monthly CF'!5:5)</f>
        <v>0</v>
      </c>
      <c r="C4" s="341">
        <f>SUMIF('Monthly CF'!$2:$2,C$2,'Monthly CF'!5:5)</f>
        <v>0</v>
      </c>
      <c r="D4" s="341">
        <f>SUMIF('Monthly CF'!$2:$2,D$2,'Monthly CF'!5:5)</f>
        <v>3</v>
      </c>
      <c r="E4" s="341">
        <f>SUMIF('Monthly CF'!$2:$2,E$2,'Monthly CF'!5:5)</f>
        <v>1.4049205936410669</v>
      </c>
      <c r="F4" s="341">
        <f>SUMIF('Monthly CF'!$2:$2,F$2,'Monthly CF'!5:5)</f>
        <v>1.5751637624676804</v>
      </c>
      <c r="G4" s="341">
        <f>SUMIF('Monthly CF'!$2:$2,G$2,'Monthly CF'!5:5)</f>
        <v>1.9228863677007428</v>
      </c>
      <c r="H4" s="341">
        <f>SUMIF('Monthly CF'!$2:$2,H$2,'Monthly CF'!5:5)</f>
        <v>2.1999006566000054</v>
      </c>
      <c r="I4" s="341">
        <f>SUMIF('Monthly CF'!$2:$2,I$2,'Monthly CF'!5:5)</f>
        <v>2.3968564993017183</v>
      </c>
      <c r="J4" s="341">
        <f>SUMIF('Monthly CF'!$2:$2,J$2,'Monthly CF'!5:5)</f>
        <v>1.5577146782842506</v>
      </c>
    </row>
    <row r="5" spans="1:12">
      <c r="A5" s="310" t="str">
        <f>'Monthly CF'!A6</f>
        <v>Power Incentive</v>
      </c>
      <c r="B5" s="341">
        <f>SUMIF('Monthly CF'!$2:$2,B$2,'Monthly CF'!6:6)</f>
        <v>0</v>
      </c>
      <c r="C5" s="341">
        <f>SUMIF('Monthly CF'!$2:$2,C$2,'Monthly CF'!6:6)</f>
        <v>0</v>
      </c>
      <c r="D5" s="341">
        <f>SUMIF('Monthly CF'!$2:$2,D$2,'Monthly CF'!6:6)</f>
        <v>0.43999999999999995</v>
      </c>
      <c r="E5" s="341">
        <f>SUMIF('Monthly CF'!$2:$2,E$2,'Monthly CF'!6:6)</f>
        <v>0.47999999999999993</v>
      </c>
      <c r="F5" s="341">
        <f>SUMIF('Monthly CF'!$2:$2,F$2,'Monthly CF'!6:6)</f>
        <v>0.47999999999999993</v>
      </c>
      <c r="G5" s="341">
        <f>SUMIF('Monthly CF'!$2:$2,G$2,'Monthly CF'!6:6)</f>
        <v>0.47999999999999993</v>
      </c>
      <c r="H5" s="341">
        <f>SUMIF('Monthly CF'!$2:$2,H$2,'Monthly CF'!6:6)</f>
        <v>0.47999999999999993</v>
      </c>
      <c r="I5" s="341">
        <f>SUMIF('Monthly CF'!$2:$2,I$2,'Monthly CF'!6:6)</f>
        <v>0.47999999999999993</v>
      </c>
      <c r="J5" s="341">
        <f>SUMIF('Monthly CF'!$2:$2,J$2,'Monthly CF'!6:6)</f>
        <v>0.28000000000000003</v>
      </c>
    </row>
    <row r="6" spans="1:12">
      <c r="A6" s="310" t="str">
        <f>'Monthly CF'!A7</f>
        <v>New HSC Revenue Post Capex</v>
      </c>
      <c r="B6" s="341">
        <f>SUMIF('Monthly CF'!$2:$2,B$2,'Monthly CF'!7:7)</f>
        <v>0</v>
      </c>
      <c r="C6" s="341">
        <f>SUMIF('Monthly CF'!$2:$2,C$2,'Monthly CF'!7:7)</f>
        <v>0</v>
      </c>
      <c r="D6" s="341">
        <f>SUMIF('Monthly CF'!$2:$2,D$2,'Monthly CF'!7:7)</f>
        <v>0</v>
      </c>
      <c r="E6" s="341">
        <f>SUMIF('Monthly CF'!$2:$2,E$2,'Monthly CF'!7:7)</f>
        <v>10.790167033875001</v>
      </c>
      <c r="F6" s="341">
        <f>SUMIF('Monthly CF'!$2:$2,F$2,'Monthly CF'!7:7)</f>
        <v>5.3743698000000002</v>
      </c>
      <c r="G6" s="341">
        <f>SUMIF('Monthly CF'!$2:$2,G$2,'Monthly CF'!7:7)</f>
        <v>2.6871849000000001</v>
      </c>
      <c r="H6" s="341">
        <f>SUMIF('Monthly CF'!$2:$2,H$2,'Monthly CF'!7:7)</f>
        <v>2.6871849000000001</v>
      </c>
      <c r="I6" s="341">
        <f>SUMIF('Monthly CF'!$2:$2,I$2,'Monthly CF'!7:7)</f>
        <v>2.6871849000000001</v>
      </c>
      <c r="J6" s="341">
        <f>SUMIF('Monthly CF'!$2:$2,J$2,'Monthly CF'!7:7)</f>
        <v>1.5675245250000001</v>
      </c>
    </row>
    <row r="7" spans="1:12">
      <c r="A7" s="310" t="str">
        <f>'Monthly CF'!A8</f>
        <v>Tanker Current Bills</v>
      </c>
      <c r="B7" s="341">
        <f>SUMIF('Monthly CF'!$2:$2,B$2,'Monthly CF'!8:8)</f>
        <v>0</v>
      </c>
      <c r="C7" s="341">
        <f>SUMIF('Monthly CF'!$2:$2,C$2,'Monthly CF'!8:8)+2</f>
        <v>2</v>
      </c>
      <c r="D7" s="341">
        <f>SUMIF('Monthly CF'!$2:$2,D$2,'Monthly CF'!8:8)</f>
        <v>1.47897984</v>
      </c>
      <c r="E7" s="341">
        <f>SUMIF('Monthly CF'!$2:$2,E$2,'Monthly CF'!8:8)</f>
        <v>0.48864092159999994</v>
      </c>
      <c r="F7" s="341">
        <f>SUMIF('Monthly CF'!$2:$2,F$2,'Monthly CF'!8:8)</f>
        <v>0</v>
      </c>
      <c r="G7" s="341">
        <f>SUMIF('Monthly CF'!$2:$2,G$2,'Monthly CF'!8:8)</f>
        <v>0</v>
      </c>
      <c r="H7" s="341">
        <f>SUMIF('Monthly CF'!$2:$2,H$2,'Monthly CF'!8:8)</f>
        <v>0</v>
      </c>
      <c r="I7" s="341">
        <f>SUMIF('Monthly CF'!$2:$2,I$2,'Monthly CF'!8:8)</f>
        <v>0</v>
      </c>
      <c r="J7" s="341">
        <f>SUMIF('Monthly CF'!$2:$2,J$2,'Monthly CF'!8:8)</f>
        <v>0</v>
      </c>
    </row>
    <row r="8" spans="1:12">
      <c r="A8" s="310" t="str">
        <f>'Monthly CF'!A9</f>
        <v>ACE Bill</v>
      </c>
      <c r="B8" s="341">
        <f>SUMIF('Monthly CF'!$2:$2,B$2,'Monthly CF'!9:9)</f>
        <v>0</v>
      </c>
      <c r="C8" s="341">
        <f>SUMIF('Monthly CF'!$2:$2,C$2,'Monthly CF'!9:9)</f>
        <v>0</v>
      </c>
      <c r="D8" s="341">
        <f>SUMIF('Monthly CF'!$2:$2,D$2,'Monthly CF'!9:9)</f>
        <v>0</v>
      </c>
      <c r="E8" s="341">
        <f>SUMIF('Monthly CF'!$2:$2,E$2,'Monthly CF'!9:9)</f>
        <v>0</v>
      </c>
      <c r="F8" s="341">
        <f>SUMIF('Monthly CF'!$2:$2,F$2,'Monthly CF'!9:9)</f>
        <v>0</v>
      </c>
      <c r="G8" s="341">
        <f>SUMIF('Monthly CF'!$2:$2,G$2,'Monthly CF'!9:9)</f>
        <v>0</v>
      </c>
      <c r="H8" s="341">
        <f>SUMIF('Monthly CF'!$2:$2,H$2,'Monthly CF'!9:9)</f>
        <v>0</v>
      </c>
      <c r="I8" s="341">
        <f>SUMIF('Monthly CF'!$2:$2,I$2,'Monthly CF'!9:9)</f>
        <v>0</v>
      </c>
      <c r="J8" s="341">
        <f>SUMIF('Monthly CF'!$2:$2,J$2,'Monthly CF'!9:9)</f>
        <v>0</v>
      </c>
    </row>
    <row r="9" spans="1:12">
      <c r="A9" s="310" t="str">
        <f>'Monthly CF'!A10</f>
        <v>Tanker Old Bills</v>
      </c>
      <c r="B9" s="341">
        <f>SUMIF('Monthly CF'!$2:$2,B$2,'Monthly CF'!10:10)</f>
        <v>0</v>
      </c>
      <c r="C9" s="341">
        <f>SUMIF('Monthly CF'!$2:$2,C$2,'Monthly CF'!10:10)</f>
        <v>0</v>
      </c>
      <c r="D9" s="341">
        <f>SUMIF('Monthly CF'!$2:$2,D$2,'Monthly CF'!10:10)</f>
        <v>4</v>
      </c>
      <c r="E9" s="341">
        <f>SUMIF('Monthly CF'!$2:$2,E$2,'Monthly CF'!10:10)</f>
        <v>0</v>
      </c>
      <c r="F9" s="341">
        <f>SUMIF('Monthly CF'!$2:$2,F$2,'Monthly CF'!10:10)</f>
        <v>0</v>
      </c>
      <c r="G9" s="341">
        <f>SUMIF('Monthly CF'!$2:$2,G$2,'Monthly CF'!10:10)</f>
        <v>0</v>
      </c>
      <c r="H9" s="341">
        <f>SUMIF('Monthly CF'!$2:$2,H$2,'Monthly CF'!10:10)</f>
        <v>0</v>
      </c>
      <c r="I9" s="341">
        <f>SUMIF('Monthly CF'!$2:$2,I$2,'Monthly CF'!10:10)</f>
        <v>0</v>
      </c>
      <c r="J9" s="341">
        <f>SUMIF('Monthly CF'!$2:$2,J$2,'Monthly CF'!10:10)</f>
        <v>0</v>
      </c>
    </row>
    <row r="10" spans="1:12">
      <c r="A10" s="310" t="str">
        <f>'Monthly CF'!A11</f>
        <v>Key Experts</v>
      </c>
      <c r="B10" s="341">
        <f>SUMIF('Monthly CF'!$2:$2,B$2,'Monthly CF'!11:11)</f>
        <v>0</v>
      </c>
      <c r="C10" s="341">
        <f>SUMIF('Monthly CF'!$2:$2,C$2,'Monthly CF'!11:11)</f>
        <v>0</v>
      </c>
      <c r="D10" s="341">
        <f>SUMIF('Monthly CF'!$2:$2,D$2,'Monthly CF'!11:11)</f>
        <v>0</v>
      </c>
      <c r="E10" s="341">
        <f>SUMIF('Monthly CF'!$2:$2,E$2,'Monthly CF'!11:11)</f>
        <v>0</v>
      </c>
      <c r="F10" s="341">
        <f>SUMIF('Monthly CF'!$2:$2,F$2,'Monthly CF'!11:11)</f>
        <v>0</v>
      </c>
      <c r="G10" s="341">
        <f>SUMIF('Monthly CF'!$2:$2,G$2,'Monthly CF'!11:11)</f>
        <v>0</v>
      </c>
      <c r="H10" s="341">
        <f>SUMIF('Monthly CF'!$2:$2,H$2,'Monthly CF'!11:11)</f>
        <v>0</v>
      </c>
      <c r="I10" s="341">
        <f>SUMIF('Monthly CF'!$2:$2,I$2,'Monthly CF'!11:11)</f>
        <v>0</v>
      </c>
      <c r="J10" s="341">
        <f>SUMIF('Monthly CF'!$2:$2,J$2,'Monthly CF'!11:11)</f>
        <v>0</v>
      </c>
    </row>
    <row r="11" spans="1:12">
      <c r="A11" s="310" t="str">
        <f>'Monthly CF'!A12</f>
        <v>KPIs</v>
      </c>
      <c r="B11" s="341">
        <f>SUMIF('Monthly CF'!$2:$2,B$2,'Monthly CF'!12:12)</f>
        <v>0</v>
      </c>
      <c r="C11" s="341">
        <f>SUMIF('Monthly CF'!$2:$2,C$2,'Monthly CF'!12:12)</f>
        <v>0</v>
      </c>
      <c r="D11" s="341">
        <f>SUMIF('Monthly CF'!$2:$2,D$2,'Monthly CF'!12:12)</f>
        <v>0.89</v>
      </c>
      <c r="E11" s="341">
        <f>SUMIF('Monthly CF'!$2:$2,E$2,'Monthly CF'!12:12)</f>
        <v>0</v>
      </c>
      <c r="F11" s="341">
        <f>SUMIF('Monthly CF'!$2:$2,F$2,'Monthly CF'!12:12)</f>
        <v>0</v>
      </c>
      <c r="G11" s="341">
        <f>SUMIF('Monthly CF'!$2:$2,G$2,'Monthly CF'!12:12)</f>
        <v>0</v>
      </c>
      <c r="H11" s="341">
        <f>SUMIF('Monthly CF'!$2:$2,H$2,'Monthly CF'!12:12)</f>
        <v>0</v>
      </c>
      <c r="I11" s="341">
        <f>SUMIF('Monthly CF'!$2:$2,I$2,'Monthly CF'!12:12)</f>
        <v>0</v>
      </c>
      <c r="J11" s="341">
        <f>SUMIF('Monthly CF'!$2:$2,J$2,'Monthly CF'!12:12)</f>
        <v>0</v>
      </c>
    </row>
    <row r="12" spans="1:12">
      <c r="A12" s="310" t="str">
        <f>'Monthly CF'!A13</f>
        <v>E&amp;M</v>
      </c>
      <c r="B12" s="341" t="e">
        <f>SUMIF('Monthly CF'!$2:$2,B$2,'Monthly CF'!#REF!)</f>
        <v>#REF!</v>
      </c>
      <c r="C12" s="341">
        <f>SUMIF('Monthly CF'!$2:$2,C$2,'Monthly CF'!13:13)</f>
        <v>0</v>
      </c>
      <c r="D12" s="341">
        <f>SUMIF('Monthly CF'!$2:$2,D$2,'Monthly CF'!13:13)</f>
        <v>1.5</v>
      </c>
      <c r="E12" s="341">
        <f>SUMIF('Monthly CF'!$2:$2,E$2,'Monthly CF'!13:13)</f>
        <v>0</v>
      </c>
      <c r="F12" s="341">
        <f>SUMIF('Monthly CF'!$2:$2,F$2,'Monthly CF'!13:13)</f>
        <v>0</v>
      </c>
      <c r="G12" s="341">
        <f>SUMIF('Monthly CF'!$2:$2,G$2,'Monthly CF'!13:13)</f>
        <v>0</v>
      </c>
      <c r="H12" s="341">
        <f>SUMIF('Monthly CF'!$2:$2,H$2,'Monthly CF'!13:13)</f>
        <v>0</v>
      </c>
      <c r="I12" s="341">
        <f>SUMIF('Monthly CF'!$2:$2,I$2,'Monthly CF'!13:13)</f>
        <v>0</v>
      </c>
      <c r="J12" s="341">
        <f>SUMIF('Monthly CF'!$2:$2,J$2,'Monthly CF'!13:13)</f>
        <v>0</v>
      </c>
    </row>
    <row r="13" spans="1:12">
      <c r="A13" s="310" t="s">
        <v>340</v>
      </c>
      <c r="B13" s="341"/>
      <c r="C13" s="341">
        <v>1</v>
      </c>
      <c r="D13" s="341">
        <f>SUMIF('Monthly CF'!$2:$2,D$2,'Monthly CF'!14:14)</f>
        <v>0</v>
      </c>
      <c r="E13" s="341">
        <f>SUMIF('Monthly CF'!$2:$2,E$2,'Monthly CF'!14:14)</f>
        <v>0</v>
      </c>
      <c r="F13" s="341">
        <f>SUMIF('Monthly CF'!$2:$2,F$2,'Monthly CF'!14:14)</f>
        <v>0</v>
      </c>
      <c r="G13" s="341">
        <f>SUMIF('Monthly CF'!$2:$2,G$2,'Monthly CF'!14:14)</f>
        <v>0</v>
      </c>
      <c r="H13" s="341">
        <f>SUMIF('Monthly CF'!$2:$2,H$2,'Monthly CF'!14:14)</f>
        <v>0</v>
      </c>
      <c r="I13" s="341">
        <f>SUMIF('Monthly CF'!$2:$2,I$2,'Monthly CF'!14:14)</f>
        <v>0</v>
      </c>
      <c r="J13" s="341">
        <f>SUMIF('Monthly CF'!$2:$2,J$2,'Monthly CF'!14:14)</f>
        <v>0</v>
      </c>
    </row>
    <row r="14" spans="1:12">
      <c r="A14" s="310" t="s">
        <v>287</v>
      </c>
      <c r="B14" s="341"/>
      <c r="C14" s="341">
        <f>SUMIF('Monthly CF'!$2:$2,C$2,'Monthly CF'!15:15)</f>
        <v>0</v>
      </c>
      <c r="D14" s="341">
        <f>SUMIF('Monthly CF'!$2:$2,D$2,'Monthly CF'!15:15)</f>
        <v>50</v>
      </c>
      <c r="E14" s="341">
        <f>SUMIF('Monthly CF'!$2:$2,E$2,'Monthly CF'!15:15)</f>
        <v>0</v>
      </c>
      <c r="F14" s="341">
        <f>SUMIF('Monthly CF'!$2:$2,F$2,'Monthly CF'!15:15)</f>
        <v>0</v>
      </c>
      <c r="G14" s="341">
        <f>SUMIF('Monthly CF'!$2:$2,G$2,'Monthly CF'!15:15)</f>
        <v>0</v>
      </c>
      <c r="H14" s="341">
        <f>SUMIF('Monthly CF'!$2:$2,H$2,'Monthly CF'!15:15)</f>
        <v>0</v>
      </c>
      <c r="I14" s="341">
        <f>SUMIF('Monthly CF'!$2:$2,I$2,'Monthly CF'!15:15)</f>
        <v>0</v>
      </c>
      <c r="J14" s="341">
        <f>SUMIF('Monthly CF'!$2:$2,J$2,'Monthly CF'!15:15)</f>
        <v>0</v>
      </c>
    </row>
    <row r="15" spans="1:12">
      <c r="A15" s="310" t="str">
        <f>'Monthly CF'!A16</f>
        <v>Receipt Capex</v>
      </c>
      <c r="B15" s="341">
        <f>SUMIF('Monthly CF'!$2:$2,B$2,'Monthly CF'!16:16)</f>
        <v>0</v>
      </c>
      <c r="C15" s="341">
        <f>SUMIF('Monthly CF'!$2:$2,C$2,'Monthly CF'!16:16)+20</f>
        <v>20</v>
      </c>
      <c r="D15" s="341">
        <f>SUMIF('Monthly CF'!$2:$2,D$2,'Monthly CF'!16:16)</f>
        <v>66.750404523867033</v>
      </c>
      <c r="E15" s="341">
        <f>SUMIF('Monthly CF'!$2:$2,E$2,'Monthly CF'!16:16)</f>
        <v>41.350361534748416</v>
      </c>
      <c r="F15" s="341">
        <f>SUMIF('Monthly CF'!$2:$2,F$2,'Monthly CF'!16:16)</f>
        <v>0</v>
      </c>
      <c r="G15" s="341">
        <f>SUMIF('Monthly CF'!$2:$2,G$2,'Monthly CF'!16:16)</f>
        <v>0</v>
      </c>
      <c r="H15" s="341">
        <f>SUMIF('Monthly CF'!$2:$2,H$2,'Monthly CF'!16:16)</f>
        <v>0</v>
      </c>
      <c r="I15" s="341">
        <f>SUMIF('Monthly CF'!$2:$2,I$2,'Monthly CF'!16:16)</f>
        <v>0</v>
      </c>
      <c r="J15" s="341">
        <f>SUMIF('Monthly CF'!$2:$2,J$2,'Monthly CF'!16:16)</f>
        <v>0</v>
      </c>
    </row>
    <row r="16" spans="1:12" ht="12.75" thickBot="1">
      <c r="A16" s="345" t="s">
        <v>304</v>
      </c>
      <c r="B16" s="343" t="e">
        <f t="shared" ref="B16:J16" si="0">SUM(B3:B15)</f>
        <v>#REF!</v>
      </c>
      <c r="C16" s="343">
        <f t="shared" si="0"/>
        <v>53.61</v>
      </c>
      <c r="D16" s="343">
        <f t="shared" si="0"/>
        <v>190.6821592225337</v>
      </c>
      <c r="E16" s="343">
        <f t="shared" si="0"/>
        <v>124.76011976591782</v>
      </c>
      <c r="F16" s="343">
        <f t="shared" si="0"/>
        <v>86.187721685851685</v>
      </c>
      <c r="G16" s="343">
        <f t="shared" si="0"/>
        <v>101.2343896527379</v>
      </c>
      <c r="H16" s="343">
        <f t="shared" si="0"/>
        <v>115.36211838660032</v>
      </c>
      <c r="I16" s="343">
        <f t="shared" si="0"/>
        <v>125.40686636438765</v>
      </c>
      <c r="J16" s="343">
        <f t="shared" si="0"/>
        <v>81.29097311749679</v>
      </c>
      <c r="L16" s="341">
        <f>J16*2</f>
        <v>162.58194623499358</v>
      </c>
    </row>
    <row r="17" spans="1:10" ht="12.75" thickTop="1">
      <c r="A17" s="344"/>
    </row>
    <row r="18" spans="1:10" s="339" customFormat="1">
      <c r="A18" s="380" t="s">
        <v>2</v>
      </c>
      <c r="B18" s="332" t="str">
        <f t="shared" ref="B18:J18" si="1">B2</f>
        <v>2020-21</v>
      </c>
      <c r="C18" s="332" t="str">
        <f t="shared" si="1"/>
        <v>2021-22</v>
      </c>
      <c r="D18" s="332" t="str">
        <f t="shared" si="1"/>
        <v>2022-23</v>
      </c>
      <c r="E18" s="332" t="str">
        <f t="shared" si="1"/>
        <v>2023-24</v>
      </c>
      <c r="F18" s="332" t="str">
        <f t="shared" si="1"/>
        <v>2024-25</v>
      </c>
      <c r="G18" s="332" t="str">
        <f t="shared" si="1"/>
        <v>2025-26</v>
      </c>
      <c r="H18" s="332" t="str">
        <f t="shared" si="1"/>
        <v>2026-27</v>
      </c>
      <c r="I18" s="332" t="str">
        <f t="shared" si="1"/>
        <v>2027-28</v>
      </c>
      <c r="J18" s="332" t="str">
        <f t="shared" si="1"/>
        <v>2028-29</v>
      </c>
    </row>
    <row r="19" spans="1:10">
      <c r="A19" s="310" t="str">
        <f>'Monthly CF'!A20</f>
        <v>Operation Costs</v>
      </c>
      <c r="B19" s="341">
        <f>SUMIF('Monthly CF'!$2:$2,B$2,'Monthly CF'!20:20)</f>
        <v>0</v>
      </c>
      <c r="C19" s="341">
        <f>SUMIF('Monthly CF'!$2:$2,C$2,'Monthly CF'!20:20)+12</f>
        <v>12</v>
      </c>
      <c r="D19" s="341">
        <f>SUMIF('Monthly CF'!$2:$2,D$2,'Monthly CF'!20:20)</f>
        <v>22.944346375953803</v>
      </c>
      <c r="E19" s="341">
        <f>SUMIF('Monthly CF'!$2:$2,E$2,'Monthly CF'!20:20)</f>
        <v>22.360490831226844</v>
      </c>
      <c r="F19" s="341">
        <f>SUMIF('Monthly CF'!$2:$2,F$2,'Monthly CF'!20:20)</f>
        <v>22.350940735368418</v>
      </c>
      <c r="G19" s="341">
        <f>SUMIF('Monthly CF'!$2:$2,G$2,'Monthly CF'!20:20)</f>
        <v>23.492483955674409</v>
      </c>
      <c r="H19" s="341">
        <f>SUMIF('Monthly CF'!$2:$2,H$2,'Monthly CF'!20:20)</f>
        <v>35.078702200067724</v>
      </c>
      <c r="I19" s="341">
        <f>SUMIF('Monthly CF'!$2:$2,I$2,'Monthly CF'!20:20)</f>
        <v>27.137054674910068</v>
      </c>
      <c r="J19" s="341">
        <f>SUMIF('Monthly CF'!$2:$2,J$2,'Monthly CF'!20:20)</f>
        <v>11.475355589635893</v>
      </c>
    </row>
    <row r="20" spans="1:10">
      <c r="A20" s="310" t="str">
        <f>'Monthly CF'!A21</f>
        <v>Operations Staff costs</v>
      </c>
      <c r="B20" s="341">
        <f>SUMIF('Monthly CF'!$2:$2,B$2,'Monthly CF'!21:21)</f>
        <v>0</v>
      </c>
      <c r="C20" s="341">
        <f>SUMIF('Monthly CF'!$2:$2,C$2,'Monthly CF'!21:21)+12</f>
        <v>12</v>
      </c>
      <c r="D20" s="341">
        <f>SUMIF('Monthly CF'!$2:$2,D$2,'Monthly CF'!21:21)</f>
        <v>22.87732600437252</v>
      </c>
      <c r="E20" s="341">
        <f>SUMIF('Monthly CF'!$2:$2,E$2,'Monthly CF'!21:21)</f>
        <v>24.014434054591153</v>
      </c>
      <c r="F20" s="341">
        <f>SUMIF('Monthly CF'!$2:$2,F$2,'Monthly CF'!21:21)</f>
        <v>25.208334177320708</v>
      </c>
      <c r="G20" s="341">
        <f>SUMIF('Monthly CF'!$2:$2,G$2,'Monthly CF'!21:21)</f>
        <v>26.461860456186741</v>
      </c>
      <c r="H20" s="341">
        <f>SUMIF('Monthly CF'!$2:$2,H$2,'Monthly CF'!21:21)</f>
        <v>27.777997348996088</v>
      </c>
      <c r="I20" s="341">
        <f>SUMIF('Monthly CF'!$2:$2,I$2,'Monthly CF'!21:21)</f>
        <v>29.159875986445883</v>
      </c>
      <c r="J20" s="341">
        <f>SUMIF('Monthly CF'!$2:$2,J$2,'Monthly CF'!21:21)</f>
        <v>15.305227912884083</v>
      </c>
    </row>
    <row r="21" spans="1:10">
      <c r="A21" s="310" t="s">
        <v>376</v>
      </c>
      <c r="B21" s="341">
        <f>SUMIF('Monthly CF'!$2:$2,B$2,'Monthly CF'!22:22)</f>
        <v>0</v>
      </c>
      <c r="C21" s="341">
        <f>SUMIF('Monthly CF'!$2:$2,C$2,'Monthly CF'!22:22)</f>
        <v>0</v>
      </c>
      <c r="D21" s="341">
        <f>SUMIF('Monthly CF'!$2:$2,D$2,'Monthly CF'!22:22)</f>
        <v>0</v>
      </c>
      <c r="E21" s="341">
        <f>SUMIF('Monthly CF'!$2:$2,E$2,'Monthly CF'!22:22)</f>
        <v>10.790167033875001</v>
      </c>
      <c r="F21" s="341">
        <f>SUMIF('Monthly CF'!$2:$2,F$2,'Monthly CF'!22:22)</f>
        <v>5.3743698000000002</v>
      </c>
      <c r="G21" s="341">
        <f>SUMIF('Monthly CF'!$2:$2,G$2,'Monthly CF'!22:22)</f>
        <v>2.6871849000000001</v>
      </c>
      <c r="H21" s="341">
        <f>SUMIF('Monthly CF'!$2:$2,H$2,'Monthly CF'!22:22)</f>
        <v>2.6871849000000001</v>
      </c>
      <c r="I21" s="341">
        <f>SUMIF('Monthly CF'!$2:$2,I$2,'Monthly CF'!22:22)</f>
        <v>2.6871849000000001</v>
      </c>
      <c r="J21" s="341">
        <f>SUMIF('Monthly CF'!$2:$2,J$2,'Monthly CF'!22:22)</f>
        <v>1.34359245</v>
      </c>
    </row>
    <row r="22" spans="1:10">
      <c r="A22" s="293" t="s">
        <v>377</v>
      </c>
      <c r="B22" s="341"/>
      <c r="C22" s="341"/>
      <c r="D22" s="341">
        <f>SUMIF('Monthly CF'!$2:$2,D$2,'Monthly CF'!23:23)</f>
        <v>0.35644314666666665</v>
      </c>
      <c r="E22" s="341">
        <f>SUMIF('Monthly CF'!$2:$2,E$2,'Monthly CF'!23:23)</f>
        <v>3.5674652426279998</v>
      </c>
      <c r="F22" s="341">
        <f>SUMIF('Monthly CF'!$2:$2,F$2,'Monthly CF'!23:23)</f>
        <v>3.9732585213510005</v>
      </c>
      <c r="G22" s="341">
        <f>SUMIF('Monthly CF'!$2:$2,G$2,'Monthly CF'!23:23)</f>
        <v>4.907261893317167</v>
      </c>
      <c r="H22" s="341">
        <f>SUMIF('Monthly CF'!$2:$2,H$2,'Monthly CF'!23:23)</f>
        <v>5.5800619154164002</v>
      </c>
      <c r="I22" s="341">
        <f>SUMIF('Monthly CF'!$2:$2,I$2,'Monthly CF'!23:23)</f>
        <v>6.0417573428625424</v>
      </c>
      <c r="J22" s="341">
        <f>SUMIF('Monthly CF'!$2:$2,J$2,'Monthly CF'!23:23)</f>
        <v>3.2173583327468851</v>
      </c>
    </row>
    <row r="23" spans="1:10">
      <c r="A23" s="310" t="str">
        <f>'Monthly CF'!A24</f>
        <v>Contingency-Operation</v>
      </c>
      <c r="B23" s="341">
        <f>SUMIF('Monthly CF'!$2:$2,B$2,'Monthly CF'!24:24)</f>
        <v>0</v>
      </c>
      <c r="C23" s="341">
        <f>SUMIF('Monthly CF'!$2:$2,C$2,'Monthly CF'!24:24)</f>
        <v>0</v>
      </c>
      <c r="D23" s="341">
        <f>SUMIF('Monthly CF'!$2:$2,D$2,'Monthly CF'!24:24)</f>
        <v>4.0796143091200001</v>
      </c>
      <c r="E23" s="341">
        <f>SUMIF('Monthly CF'!$2:$2,E$2,'Monthly CF'!24:24)</f>
        <v>5.0680564239051709</v>
      </c>
      <c r="F23" s="341">
        <f>SUMIF('Monthly CF'!$2:$2,F$2,'Monthly CF'!24:24)</f>
        <v>5.2145306181336242</v>
      </c>
      <c r="G23" s="341">
        <f>SUMIF('Monthly CF'!$2:$2,G$2,'Monthly CF'!24:24)</f>
        <v>6.1965196514202114</v>
      </c>
      <c r="H23" s="341">
        <f>SUMIF('Monthly CF'!$2:$2,H$2,'Monthly CF'!24:24)</f>
        <v>7.0200268784696727</v>
      </c>
      <c r="I23" s="341">
        <f>SUMIF('Monthly CF'!$2:$2,I$2,'Monthly CF'!24:24)</f>
        <v>7.5851420816637516</v>
      </c>
      <c r="J23" s="341">
        <f>SUMIF('Monthly CF'!$2:$2,J$2,'Monthly CF'!24:24)</f>
        <v>4.0330621462821865</v>
      </c>
    </row>
    <row r="24" spans="1:10">
      <c r="A24" s="310" t="str">
        <f>'Monthly CF'!A25</f>
        <v>Contingency-Works</v>
      </c>
      <c r="B24" s="341">
        <f>SUMIF('Monthly CF'!$2:$2,B$2,'Monthly CF'!25:25)</f>
        <v>0</v>
      </c>
      <c r="C24" s="341">
        <f>SUMIF('Monthly CF'!$2:$2,C$2,'Monthly CF'!25:25)</f>
        <v>0</v>
      </c>
      <c r="D24" s="341">
        <f>SUMIF('Monthly CF'!$2:$2,D$2,'Monthly CF'!25:25)</f>
        <v>2.5925060605741761</v>
      </c>
      <c r="E24" s="341">
        <f>SUMIF('Monthly CF'!$2:$2,E$2,'Monthly CF'!25:25)</f>
        <v>1.0337590383687105</v>
      </c>
      <c r="F24" s="341">
        <f>SUMIF('Monthly CF'!$2:$2,F$2,'Monthly CF'!25:25)</f>
        <v>0</v>
      </c>
      <c r="G24" s="341">
        <f>SUMIF('Monthly CF'!$2:$2,G$2,'Monthly CF'!25:25)</f>
        <v>0</v>
      </c>
      <c r="H24" s="341">
        <f>SUMIF('Monthly CF'!$2:$2,H$2,'Monthly CF'!25:25)</f>
        <v>0</v>
      </c>
      <c r="I24" s="341">
        <f>SUMIF('Monthly CF'!$2:$2,I$2,'Monthly CF'!25:25)</f>
        <v>0</v>
      </c>
      <c r="J24" s="341">
        <f>SUMIF('Monthly CF'!$2:$2,J$2,'Monthly CF'!25:25)</f>
        <v>0</v>
      </c>
    </row>
    <row r="25" spans="1:10">
      <c r="A25" s="310" t="str">
        <f>'Monthly CF'!A26</f>
        <v>Interest on Loan</v>
      </c>
      <c r="B25" s="341">
        <f>SUMIF('Monthly CF'!$2:$2,B$2,'Monthly CF'!26:26)</f>
        <v>0</v>
      </c>
      <c r="C25" s="341">
        <f>SUMIF('Monthly CF'!$2:$2,C$2,'Monthly CF'!26:26)</f>
        <v>0</v>
      </c>
      <c r="D25" s="341">
        <f>SUMIF('Monthly CF'!$2:$2,D$2,'Monthly CF'!26:26)</f>
        <v>20.604652587584802</v>
      </c>
      <c r="E25" s="341">
        <f>SUMIF('Monthly CF'!$2:$2,E$2,'Monthly CF'!26:26)</f>
        <v>15.547902046218519</v>
      </c>
      <c r="F25" s="341">
        <f>SUMIF('Monthly CF'!$2:$2,F$2,'Monthly CF'!26:26)</f>
        <v>14.536445532786459</v>
      </c>
      <c r="G25" s="341">
        <f>SUMIF('Monthly CF'!$2:$2,G$2,'Monthly CF'!26:26)</f>
        <v>12.231491747369153</v>
      </c>
      <c r="H25" s="341">
        <f>SUMIF('Monthly CF'!$2:$2,H$2,'Monthly CF'!26:26)</f>
        <v>9.420809705235822</v>
      </c>
      <c r="I25" s="341">
        <f>SUMIF('Monthly CF'!$2:$2,I$2,'Monthly CF'!26:26)</f>
        <v>5.8029075610365153</v>
      </c>
      <c r="J25" s="341">
        <f>SUMIF('Monthly CF'!$2:$2,J$2,'Monthly CF'!26:26)</f>
        <v>0.87854075365412954</v>
      </c>
    </row>
    <row r="26" spans="1:10">
      <c r="A26" s="310" t="str">
        <f>'Monthly CF'!A27</f>
        <v>Interest on Short Term Loan</v>
      </c>
      <c r="B26" s="341">
        <f>SUMIF('Monthly CF'!$2:$2,B$2,'Monthly CF'!27:27)</f>
        <v>0</v>
      </c>
      <c r="C26" s="341">
        <f>SUMIF('Monthly CF'!$2:$2,C$2,'Monthly CF'!27:27)</f>
        <v>0</v>
      </c>
      <c r="D26" s="341">
        <f>SUMIF('Monthly CF'!$2:$2,D$2,'Monthly CF'!27:27)</f>
        <v>0.32550000000000007</v>
      </c>
      <c r="E26" s="341">
        <f>SUMIF('Monthly CF'!$2:$2,E$2,'Monthly CF'!27:27)</f>
        <v>0</v>
      </c>
      <c r="F26" s="341">
        <f>SUMIF('Monthly CF'!$2:$2,F$2,'Monthly CF'!27:27)</f>
        <v>0</v>
      </c>
      <c r="G26" s="341">
        <f>SUMIF('Monthly CF'!$2:$2,G$2,'Monthly CF'!27:27)</f>
        <v>0</v>
      </c>
      <c r="H26" s="341">
        <f>SUMIF('Monthly CF'!$2:$2,H$2,'Monthly CF'!27:27)</f>
        <v>0</v>
      </c>
      <c r="I26" s="341">
        <f>SUMIF('Monthly CF'!$2:$2,I$2,'Monthly CF'!27:27)</f>
        <v>0</v>
      </c>
      <c r="J26" s="341">
        <f>SUMIF('Monthly CF'!$2:$2,J$2,'Monthly CF'!27:27)</f>
        <v>0</v>
      </c>
    </row>
    <row r="27" spans="1:10">
      <c r="A27" s="310" t="str">
        <f>'Monthly CF'!A28</f>
        <v>OCPIDs Short Term Repayment</v>
      </c>
      <c r="B27" s="341">
        <f>SUMIF('Monthly CF'!$2:$2,B$2,'Monthly CF'!28:28)</f>
        <v>0</v>
      </c>
      <c r="C27" s="341">
        <f>SUMIF('Monthly CF'!$2:$2,C$2,'Monthly CF'!28:28)</f>
        <v>0</v>
      </c>
      <c r="D27" s="341">
        <f>SUMIF('Monthly CF'!$2:$2,D$2,'Monthly CF'!28:28)</f>
        <v>0</v>
      </c>
      <c r="E27" s="341">
        <f>SUMIF('Monthly CF'!$2:$2,E$2,'Monthly CF'!28:28)</f>
        <v>0</v>
      </c>
      <c r="F27" s="341">
        <f>SUMIF('Monthly CF'!$2:$2,F$2,'Monthly CF'!28:28)</f>
        <v>0</v>
      </c>
      <c r="G27" s="341">
        <f>SUMIF('Monthly CF'!$2:$2,G$2,'Monthly CF'!28:28)</f>
        <v>0</v>
      </c>
      <c r="H27" s="341">
        <f>SUMIF('Monthly CF'!$2:$2,H$2,'Monthly CF'!28:28)</f>
        <v>0</v>
      </c>
      <c r="I27" s="341">
        <f>SUMIF('Monthly CF'!$2:$2,I$2,'Monthly CF'!28:28)</f>
        <v>0</v>
      </c>
      <c r="J27" s="341">
        <f>SUMIF('Monthly CF'!$2:$2,J$2,'Monthly CF'!28:28)</f>
        <v>0</v>
      </c>
    </row>
    <row r="28" spans="1:10">
      <c r="A28" s="310" t="str">
        <f>'Monthly CF'!A29</f>
        <v>Interest on OCPIDs Short Term</v>
      </c>
      <c r="B28" s="341">
        <f>SUMIF('Monthly CF'!$2:$2,B$2,'Monthly CF'!29:29)</f>
        <v>0</v>
      </c>
      <c r="C28" s="341">
        <f>SUMIF('Monthly CF'!$2:$2,C$2,'Monthly CF'!29:29)</f>
        <v>0</v>
      </c>
      <c r="D28" s="341">
        <f>SUMIF('Monthly CF'!$2:$2,D$2,'Monthly CF'!29:29)</f>
        <v>0</v>
      </c>
      <c r="E28" s="341">
        <f>SUMIF('Monthly CF'!$2:$2,E$2,'Monthly CF'!29:29)</f>
        <v>0</v>
      </c>
      <c r="F28" s="341">
        <f>SUMIF('Monthly CF'!$2:$2,F$2,'Monthly CF'!29:29)</f>
        <v>0</v>
      </c>
      <c r="G28" s="341">
        <f>SUMIF('Monthly CF'!$2:$2,G$2,'Monthly CF'!29:29)</f>
        <v>0</v>
      </c>
      <c r="H28" s="341">
        <f>SUMIF('Monthly CF'!$2:$2,H$2,'Monthly CF'!29:29)</f>
        <v>0</v>
      </c>
      <c r="I28" s="341">
        <f>SUMIF('Monthly CF'!$2:$2,I$2,'Monthly CF'!29:29)</f>
        <v>0</v>
      </c>
      <c r="J28" s="341">
        <f>SUMIF('Monthly CF'!$2:$2,J$2,'Monthly CF'!29:29)</f>
        <v>0</v>
      </c>
    </row>
    <row r="29" spans="1:10">
      <c r="A29" s="310" t="str">
        <f>'Monthly CF'!A30</f>
        <v>Interest on Working Capital Loan</v>
      </c>
      <c r="B29" s="341">
        <f>SUMIF('Monthly CF'!$2:$2,B$2,'Monthly CF'!30:30)</f>
        <v>0</v>
      </c>
      <c r="C29" s="341">
        <f>SUMIF('Monthly CF'!$2:$2,C$2,'Monthly CF'!30:30)</f>
        <v>0</v>
      </c>
      <c r="D29" s="341">
        <f>SUMIF('Monthly CF'!$2:$2,D$2,'Monthly CF'!30:30)</f>
        <v>0</v>
      </c>
      <c r="E29" s="341">
        <f>SUMIF('Monthly CF'!$2:$2,E$2,'Monthly CF'!30:30)</f>
        <v>0</v>
      </c>
      <c r="F29" s="341">
        <f>SUMIF('Monthly CF'!$2:$2,F$2,'Monthly CF'!30:30)</f>
        <v>0</v>
      </c>
      <c r="G29" s="341">
        <f>SUMIF('Monthly CF'!$2:$2,G$2,'Monthly CF'!30:30)</f>
        <v>0</v>
      </c>
      <c r="H29" s="341">
        <f>SUMIF('Monthly CF'!$2:$2,H$2,'Monthly CF'!30:30)</f>
        <v>0</v>
      </c>
      <c r="I29" s="341">
        <f>SUMIF('Monthly CF'!$2:$2,I$2,'Monthly CF'!30:30)</f>
        <v>0</v>
      </c>
      <c r="J29" s="341">
        <f>SUMIF('Monthly CF'!$2:$2,J$2,'Monthly CF'!30:30)</f>
        <v>0</v>
      </c>
    </row>
    <row r="30" spans="1:10">
      <c r="A30" s="310" t="str">
        <f>'Monthly CF'!A31</f>
        <v>Income Tax Payment</v>
      </c>
      <c r="B30" s="341">
        <f>SUMIF('Monthly CF'!$2:$2,B$2,'Monthly CF'!31:31)</f>
        <v>0</v>
      </c>
      <c r="C30" s="341">
        <f>SUMIF('Monthly CF'!$2:$2,C$2,'Monthly CF'!31:31)</f>
        <v>0</v>
      </c>
      <c r="D30" s="341">
        <f>SUMIF('Monthly CF'!$2:$2,D$2,'Monthly CF'!31:31)</f>
        <v>0</v>
      </c>
      <c r="E30" s="341">
        <f>SUMIF('Monthly CF'!$2:$2,E$2,'Monthly CF'!31:31)</f>
        <v>0</v>
      </c>
      <c r="F30" s="341">
        <f>SUMIF('Monthly CF'!$2:$2,F$2,'Monthly CF'!31:31)</f>
        <v>0</v>
      </c>
      <c r="G30" s="341">
        <f>SUMIF('Monthly CF'!$2:$2,G$2,'Monthly CF'!31:31)</f>
        <v>0</v>
      </c>
      <c r="H30" s="341">
        <f>SUMIF('Monthly CF'!$2:$2,H$2,'Monthly CF'!31:31)</f>
        <v>0</v>
      </c>
      <c r="I30" s="341">
        <f>SUMIF('Monthly CF'!$2:$2,I$2,'Monthly CF'!31:31)</f>
        <v>0</v>
      </c>
      <c r="J30" s="341">
        <f>SUMIF('Monthly CF'!$2:$2,J$2,'Monthly CF'!31:31)</f>
        <v>0</v>
      </c>
    </row>
    <row r="31" spans="1:10">
      <c r="A31" s="310" t="s">
        <v>340</v>
      </c>
      <c r="B31" s="341"/>
      <c r="C31" s="341">
        <f>SUMIF('Monthly CF'!$2:$2,C$2,'Monthly CF'!32:32)</f>
        <v>0</v>
      </c>
      <c r="D31" s="341">
        <f>SUMIF('Monthly CF'!$2:$2,D$2,'Monthly CF'!32:32)</f>
        <v>3</v>
      </c>
      <c r="E31" s="341">
        <f>SUMIF('Monthly CF'!$2:$2,E$2,'Monthly CF'!32:32)</f>
        <v>0</v>
      </c>
      <c r="F31" s="341">
        <f>SUMIF('Monthly CF'!$2:$2,F$2,'Monthly CF'!32:32)</f>
        <v>0</v>
      </c>
      <c r="G31" s="341">
        <f>SUMIF('Monthly CF'!$2:$2,G$2,'Monthly CF'!32:32)</f>
        <v>0</v>
      </c>
      <c r="H31" s="341">
        <f>SUMIF('Monthly CF'!$2:$2,H$2,'Monthly CF'!32:32)</f>
        <v>0</v>
      </c>
      <c r="I31" s="341">
        <f>SUMIF('Monthly CF'!$2:$2,I$2,'Monthly CF'!32:32)</f>
        <v>0</v>
      </c>
      <c r="J31" s="341">
        <f>SUMIF('Monthly CF'!$2:$2,J$2,'Monthly CF'!32:32)</f>
        <v>0</v>
      </c>
    </row>
    <row r="32" spans="1:10" s="341" customFormat="1">
      <c r="A32" s="310" t="str">
        <f>'Monthly CF'!A33</f>
        <v>Loan Repayment</v>
      </c>
      <c r="B32" s="341">
        <f>SUMIF('Monthly CF'!$2:$2,B$2,'Monthly CF'!33:33)</f>
        <v>0</v>
      </c>
      <c r="C32" s="341">
        <f>SUMIF('Monthly CF'!$2:$2,C$2,'Monthly CF'!33:33)</f>
        <v>0</v>
      </c>
      <c r="D32" s="341">
        <f>SUMIF('Monthly CF'!$2:$2,D$2,'Monthly CF'!33:33)</f>
        <v>-2.5</v>
      </c>
      <c r="E32" s="341">
        <f>SUMIF('Monthly CF'!$2:$2,E$2,'Monthly CF'!33:33)</f>
        <v>1.4690449999999999</v>
      </c>
      <c r="F32" s="341">
        <f>SUMIF('Monthly CF'!$2:$2,F$2,'Monthly CF'!33:33)</f>
        <v>19.097584999999995</v>
      </c>
      <c r="G32" s="341">
        <f>SUMIF('Monthly CF'!$2:$2,G$2,'Monthly CF'!33:33)</f>
        <v>24.606503750000002</v>
      </c>
      <c r="H32" s="341">
        <f>SUMIF('Monthly CF'!$2:$2,H$2,'Monthly CF'!33:33)</f>
        <v>27.911854999999996</v>
      </c>
      <c r="I32" s="341">
        <f>SUMIF('Monthly CF'!$2:$2,I$2,'Monthly CF'!33:33)</f>
        <v>45.540394999999997</v>
      </c>
      <c r="J32" s="341">
        <f>SUMIF('Monthly CF'!$2:$2,J$2,'Monthly CF'!33:33)</f>
        <v>28.279116249999994</v>
      </c>
    </row>
    <row r="33" spans="1:14">
      <c r="A33" s="310" t="str">
        <f>'Monthly CF'!A34</f>
        <v>Operator Capex</v>
      </c>
      <c r="B33" s="341">
        <f>SUMIF('Monthly CF'!$2:$2,B$2,'Monthly CF'!34:34)</f>
        <v>0</v>
      </c>
      <c r="C33" s="341">
        <f>SUMIF('Monthly CF'!$2:$2,C$2,'Monthly CF'!34:34)</f>
        <v>0</v>
      </c>
      <c r="D33" s="341">
        <f>SUMIF('Monthly CF'!$2:$2,D$2,'Monthly CF'!34:34)</f>
        <v>0.47999999999999993</v>
      </c>
      <c r="E33" s="341">
        <f>SUMIF('Monthly CF'!$2:$2,E$2,'Monthly CF'!34:34)</f>
        <v>0.47999999999999993</v>
      </c>
      <c r="F33" s="341">
        <f>SUMIF('Monthly CF'!$2:$2,F$2,'Monthly CF'!34:34)</f>
        <v>0.47999999999999993</v>
      </c>
      <c r="G33" s="341">
        <f>SUMIF('Monthly CF'!$2:$2,G$2,'Monthly CF'!34:34)</f>
        <v>0.47999999999999993</v>
      </c>
      <c r="H33" s="341">
        <f>SUMIF('Monthly CF'!$2:$2,H$2,'Monthly CF'!34:34)</f>
        <v>0.47999999999999993</v>
      </c>
      <c r="I33" s="341">
        <f>SUMIF('Monthly CF'!$2:$2,I$2,'Monthly CF'!34:34)</f>
        <v>0.47999999999999993</v>
      </c>
      <c r="J33" s="341">
        <f>SUMIF('Monthly CF'!$2:$2,J$2,'Monthly CF'!34:34)</f>
        <v>0.24000000000000002</v>
      </c>
    </row>
    <row r="34" spans="1:14" s="310" customFormat="1" ht="12" customHeight="1">
      <c r="A34" s="310" t="str">
        <f>'Monthly CF'!A35</f>
        <v>Payment Capex</v>
      </c>
      <c r="B34" s="341">
        <f>SUMIF('Monthly CF'!$2:$2,B$2,'Monthly CF'!35:35)</f>
        <v>0</v>
      </c>
      <c r="C34" s="341">
        <f>SUMIF('Monthly CF'!$2:$2,C$2,'Monthly CF'!35:35)+20.72</f>
        <v>20.72</v>
      </c>
      <c r="D34" s="341">
        <f>SUMIF('Monthly CF'!$2:$2,D$2,'Monthly CF'!35:35)</f>
        <v>100.37143623477249</v>
      </c>
      <c r="E34" s="341">
        <f>SUMIF('Monthly CF'!$2:$2,E$2,'Monthly CF'!35:35)</f>
        <v>50.986147946220413</v>
      </c>
      <c r="F34" s="341">
        <f>SUMIF('Monthly CF'!$2:$2,F$2,'Monthly CF'!35:35)</f>
        <v>0</v>
      </c>
      <c r="G34" s="341">
        <f>SUMIF('Monthly CF'!$2:$2,G$2,'Monthly CF'!35:35)</f>
        <v>0</v>
      </c>
      <c r="H34" s="341">
        <f>SUMIF('Monthly CF'!$2:$2,H$2,'Monthly CF'!35:35)</f>
        <v>0</v>
      </c>
      <c r="I34" s="341">
        <f>SUMIF('Monthly CF'!$2:$2,I$2,'Monthly CF'!35:35)</f>
        <v>0</v>
      </c>
      <c r="J34" s="341">
        <f>SUMIF('Monthly CF'!$2:$2,J$2,'Monthly CF'!35:35)</f>
        <v>0</v>
      </c>
    </row>
    <row r="35" spans="1:14" s="310" customFormat="1" ht="12" customHeight="1">
      <c r="A35" s="310" t="s">
        <v>447</v>
      </c>
      <c r="B35" s="341"/>
      <c r="C35" s="341"/>
      <c r="D35" s="341">
        <f>SUMIF('Monthly CF'!$2:$2,D$2,'Monthly CF'!36:36)</f>
        <v>0</v>
      </c>
      <c r="E35" s="341">
        <f>SUMIF('Monthly CF'!$2:$2,E$2,'Monthly CF'!36:36)</f>
        <v>3</v>
      </c>
      <c r="F35" s="341">
        <f>SUMIF('Monthly CF'!$2:$2,F$2,'Monthly CF'!36:36)</f>
        <v>3</v>
      </c>
      <c r="G35" s="341">
        <f>SUMIF('Monthly CF'!$2:$2,G$2,'Monthly CF'!36:36)</f>
        <v>3</v>
      </c>
      <c r="H35" s="341">
        <f>SUMIF('Monthly CF'!$2:$2,H$2,'Monthly CF'!36:36)</f>
        <v>3</v>
      </c>
      <c r="I35" s="341">
        <f>SUMIF('Monthly CF'!$2:$2,I$2,'Monthly CF'!36:36)</f>
        <v>3</v>
      </c>
      <c r="J35" s="341">
        <f>SUMIF('Monthly CF'!$2:$2,J$2,'Monthly CF'!36:36)</f>
        <v>0.75</v>
      </c>
    </row>
    <row r="36" spans="1:14" ht="12.75" thickBot="1">
      <c r="A36" s="345" t="s">
        <v>325</v>
      </c>
      <c r="B36" s="343">
        <f>SUM(B19:B34)</f>
        <v>0</v>
      </c>
      <c r="C36" s="343">
        <f>SUM(C19:C34)</f>
        <v>44.72</v>
      </c>
      <c r="D36" s="343">
        <f>SUM(D19:D35)</f>
        <v>175.13182471904446</v>
      </c>
      <c r="E36" s="343">
        <f t="shared" ref="E36:J36" si="2">SUM(E19:E35)</f>
        <v>138.31746761703383</v>
      </c>
      <c r="F36" s="343">
        <f t="shared" si="2"/>
        <v>99.23546438496021</v>
      </c>
      <c r="G36" s="343">
        <f t="shared" si="2"/>
        <v>104.06330635396769</v>
      </c>
      <c r="H36" s="343">
        <f t="shared" si="2"/>
        <v>118.9566379481857</v>
      </c>
      <c r="I36" s="343">
        <f t="shared" si="2"/>
        <v>127.43431754691876</v>
      </c>
      <c r="J36" s="343">
        <f t="shared" si="2"/>
        <v>65.522253435203154</v>
      </c>
      <c r="L36" s="341"/>
      <c r="M36" s="381"/>
    </row>
    <row r="37" spans="1:14" s="382" customFormat="1" ht="12.75" thickTop="1">
      <c r="A37" s="345" t="s">
        <v>330</v>
      </c>
      <c r="B37" s="381" t="e">
        <f t="shared" ref="B37:J37" si="3">B16-B36</f>
        <v>#REF!</v>
      </c>
      <c r="C37" s="381">
        <f t="shared" si="3"/>
        <v>8.89</v>
      </c>
      <c r="D37" s="381">
        <f t="shared" si="3"/>
        <v>15.550334503489239</v>
      </c>
      <c r="E37" s="381">
        <f t="shared" si="3"/>
        <v>-13.557347851116006</v>
      </c>
      <c r="F37" s="381">
        <f t="shared" si="3"/>
        <v>-13.047742699108525</v>
      </c>
      <c r="G37" s="381">
        <f t="shared" si="3"/>
        <v>-2.8289167012297867</v>
      </c>
      <c r="H37" s="381">
        <f t="shared" si="3"/>
        <v>-3.5945195615853862</v>
      </c>
      <c r="I37" s="381">
        <f t="shared" si="3"/>
        <v>-2.0274511825311095</v>
      </c>
      <c r="J37" s="381">
        <f t="shared" si="3"/>
        <v>15.768719682293636</v>
      </c>
      <c r="L37" s="381"/>
      <c r="M37" s="381"/>
      <c r="N37" s="381"/>
    </row>
    <row r="38" spans="1:14" s="382" customFormat="1">
      <c r="A38" s="310" t="s">
        <v>247</v>
      </c>
      <c r="B38" s="341">
        <f>'Monthly CF'!B39</f>
        <v>0</v>
      </c>
      <c r="C38" s="341">
        <v>0</v>
      </c>
      <c r="D38" s="341">
        <v>0</v>
      </c>
      <c r="E38" s="341">
        <f t="shared" ref="E38:J38" si="4">D39</f>
        <v>15.550334503489239</v>
      </c>
      <c r="F38" s="341">
        <f t="shared" si="4"/>
        <v>1.9929866523732329</v>
      </c>
      <c r="G38" s="341">
        <f t="shared" si="4"/>
        <v>-11.054756046735292</v>
      </c>
      <c r="H38" s="341">
        <f t="shared" si="4"/>
        <v>-13.883672747965079</v>
      </c>
      <c r="I38" s="341">
        <f t="shared" si="4"/>
        <v>-17.478192309550465</v>
      </c>
      <c r="J38" s="341">
        <f t="shared" si="4"/>
        <v>-19.505643492081575</v>
      </c>
      <c r="N38" s="381"/>
    </row>
    <row r="39" spans="1:14" ht="12.75" thickBot="1">
      <c r="A39" s="345" t="s">
        <v>249</v>
      </c>
      <c r="B39" s="343" t="e">
        <f>SUM(B37:B38)</f>
        <v>#REF!</v>
      </c>
      <c r="C39" s="343">
        <f t="shared" ref="C39:J39" si="5">SUM(C37:C38)</f>
        <v>8.89</v>
      </c>
      <c r="D39" s="343">
        <f t="shared" si="5"/>
        <v>15.550334503489239</v>
      </c>
      <c r="E39" s="343">
        <f t="shared" si="5"/>
        <v>1.9929866523732329</v>
      </c>
      <c r="F39" s="343">
        <f t="shared" si="5"/>
        <v>-11.054756046735292</v>
      </c>
      <c r="G39" s="343">
        <f t="shared" si="5"/>
        <v>-13.883672747965079</v>
      </c>
      <c r="H39" s="343">
        <f t="shared" si="5"/>
        <v>-17.478192309550465</v>
      </c>
      <c r="I39" s="343">
        <f t="shared" si="5"/>
        <v>-19.505643492081575</v>
      </c>
      <c r="J39" s="343">
        <f t="shared" si="5"/>
        <v>-3.7369238097879389</v>
      </c>
    </row>
    <row r="40" spans="1:14" ht="15.75" thickTop="1">
      <c r="A40" s="383"/>
      <c r="B40" s="341"/>
      <c r="C40" s="341"/>
      <c r="D40" s="341"/>
      <c r="E40" s="341"/>
      <c r="F40" s="341"/>
      <c r="G40" s="341"/>
      <c r="H40" s="341"/>
      <c r="I40" s="341"/>
      <c r="J40" s="341">
        <f>J39-'Monthly CF'!DA40</f>
        <v>8.5265128291212022E-14</v>
      </c>
    </row>
    <row r="41" spans="1:14">
      <c r="B41" s="341" t="e">
        <f>B39-BS!I21</f>
        <v>#REF!</v>
      </c>
      <c r="C41" s="341">
        <f>C39-BS!J21</f>
        <v>-8.52</v>
      </c>
      <c r="D41" s="341">
        <f>D39-BS!K21</f>
        <v>-1.0770696508020308</v>
      </c>
      <c r="E41" s="341">
        <f>E39-BS!L21</f>
        <v>-9.7355523982324765</v>
      </c>
      <c r="F41" s="341">
        <f>F39-BS!M21</f>
        <v>-13.44673127666643</v>
      </c>
      <c r="G41" s="341">
        <f>G39-BS!N21</f>
        <v>-16.354680462310512</v>
      </c>
      <c r="H41" s="341">
        <f>H39-BS!O21</f>
        <v>-29.906005255017764</v>
      </c>
      <c r="I41" s="341">
        <f>I39-BS!P21</f>
        <v>-36.74362565821832</v>
      </c>
      <c r="J41" s="341">
        <f>J39-BS!Q21</f>
        <v>8.5265128291212022E-14</v>
      </c>
    </row>
  </sheetData>
  <pageMargins left="0.75" right="0.75" top="1" bottom="1" header="0.4921259845" footer="0.4921259845"/>
  <pageSetup orientation="portrait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A43"/>
  <sheetViews>
    <sheetView topLeftCell="A16" zoomScaleNormal="100" workbookViewId="0">
      <pane xSplit="21" topLeftCell="W1" activePane="topRight" state="frozen"/>
      <selection activeCell="U8" sqref="U8"/>
      <selection pane="topRight" activeCell="W34" sqref="W34"/>
    </sheetView>
  </sheetViews>
  <sheetFormatPr defaultColWidth="11.42578125" defaultRowHeight="12" outlineLevelCol="1"/>
  <cols>
    <col min="1" max="1" width="42.85546875" style="346" bestFit="1" customWidth="1"/>
    <col min="2" max="21" width="6.7109375" style="342" hidden="1" customWidth="1"/>
    <col min="22" max="42" width="6.7109375" style="342" customWidth="1" outlineLevel="1"/>
    <col min="43" max="105" width="6.7109375" style="342" customWidth="1"/>
    <col min="106" max="16384" width="11.42578125" style="342"/>
  </cols>
  <sheetData>
    <row r="1" spans="1:105" s="319" customFormat="1">
      <c r="CU1" s="320"/>
      <c r="CV1" s="320"/>
      <c r="CW1" s="320"/>
      <c r="CX1" s="320"/>
      <c r="CY1" s="320"/>
      <c r="CZ1" s="320"/>
      <c r="DA1" s="320" t="s">
        <v>303</v>
      </c>
    </row>
    <row r="2" spans="1:105" s="384" customFormat="1" hidden="1">
      <c r="A2" s="337" t="s">
        <v>366</v>
      </c>
      <c r="B2" s="322" t="str">
        <f>'Monthly PL'!D2</f>
        <v>2020-21</v>
      </c>
      <c r="C2" s="322" t="str">
        <f>'Monthly PL'!E2</f>
        <v>2020-21</v>
      </c>
      <c r="D2" s="322" t="str">
        <f>'Monthly PL'!F2</f>
        <v>2020-21</v>
      </c>
      <c r="E2" s="322" t="str">
        <f>'Monthly PL'!G2</f>
        <v>2020-21</v>
      </c>
      <c r="F2" s="322" t="str">
        <f>'Monthly PL'!H2</f>
        <v>2020-21</v>
      </c>
      <c r="G2" s="322" t="str">
        <f>'Monthly PL'!I2</f>
        <v>2020-21</v>
      </c>
      <c r="H2" s="322" t="str">
        <f>'Monthly PL'!J2</f>
        <v>2020-21</v>
      </c>
      <c r="I2" s="322" t="str">
        <f>'Monthly PL'!K2</f>
        <v>2020-21</v>
      </c>
      <c r="J2" s="322" t="str">
        <f>'Monthly PL'!L2</f>
        <v>2021-22</v>
      </c>
      <c r="K2" s="322" t="str">
        <f>'Monthly PL'!M2</f>
        <v>2021-22</v>
      </c>
      <c r="L2" s="322" t="str">
        <f>'Monthly PL'!N2</f>
        <v>2021-22</v>
      </c>
      <c r="M2" s="322" t="str">
        <f>'Monthly PL'!O2</f>
        <v>2021-22</v>
      </c>
      <c r="N2" s="322" t="str">
        <f>'Monthly PL'!P2</f>
        <v>2021-22</v>
      </c>
      <c r="O2" s="322" t="str">
        <f>'Monthly PL'!Q2</f>
        <v>2021-22</v>
      </c>
      <c r="P2" s="322" t="str">
        <f>'Monthly PL'!R2</f>
        <v>2021-22</v>
      </c>
      <c r="Q2" s="322" t="str">
        <f>'Monthly PL'!S2</f>
        <v>2021-22</v>
      </c>
      <c r="R2" s="322" t="str">
        <f>'Monthly PL'!T2</f>
        <v>2021-22</v>
      </c>
      <c r="S2" s="322" t="str">
        <f>'Monthly PL'!U2</f>
        <v>2021-22</v>
      </c>
      <c r="T2" s="322" t="str">
        <f>'Monthly PL'!V2</f>
        <v>2021-22</v>
      </c>
      <c r="U2" s="322" t="str">
        <f>'Monthly PL'!W2</f>
        <v>2021-22</v>
      </c>
      <c r="V2" s="322" t="str">
        <f>'Monthly PL'!X2</f>
        <v>2022-23</v>
      </c>
      <c r="W2" s="322" t="str">
        <f>'Monthly PL'!Y2</f>
        <v>2022-23</v>
      </c>
      <c r="X2" s="322" t="str">
        <f>'Monthly PL'!Z2</f>
        <v>2022-23</v>
      </c>
      <c r="Y2" s="322" t="str">
        <f>'Monthly PL'!AA2</f>
        <v>2022-23</v>
      </c>
      <c r="Z2" s="322" t="str">
        <f>'Monthly PL'!AB2</f>
        <v>2022-23</v>
      </c>
      <c r="AA2" s="322" t="str">
        <f>'Monthly PL'!AC2</f>
        <v>2022-23</v>
      </c>
      <c r="AB2" s="322" t="str">
        <f>'Monthly PL'!AD2</f>
        <v>2022-23</v>
      </c>
      <c r="AC2" s="322" t="str">
        <f>'Monthly PL'!AE2</f>
        <v>2022-23</v>
      </c>
      <c r="AD2" s="322" t="str">
        <f>'Monthly PL'!AF2</f>
        <v>2022-23</v>
      </c>
      <c r="AE2" s="322" t="str">
        <f>'Monthly PL'!AG2</f>
        <v>2022-23</v>
      </c>
      <c r="AF2" s="322" t="str">
        <f>'Monthly PL'!AH2</f>
        <v>2022-23</v>
      </c>
      <c r="AG2" s="322" t="str">
        <f>'Monthly PL'!AI2</f>
        <v>2022-23</v>
      </c>
      <c r="AH2" s="322" t="str">
        <f>'Monthly PL'!AJ2</f>
        <v>2023-24</v>
      </c>
      <c r="AI2" s="322" t="str">
        <f>'Monthly PL'!AK2</f>
        <v>2023-24</v>
      </c>
      <c r="AJ2" s="322" t="str">
        <f>'Monthly PL'!AL2</f>
        <v>2023-24</v>
      </c>
      <c r="AK2" s="322" t="str">
        <f>'Monthly PL'!AM2</f>
        <v>2023-24</v>
      </c>
      <c r="AL2" s="322" t="str">
        <f>'Monthly PL'!AN2</f>
        <v>2023-24</v>
      </c>
      <c r="AM2" s="322" t="str">
        <f>'Monthly PL'!AO2</f>
        <v>2023-24</v>
      </c>
      <c r="AN2" s="322" t="str">
        <f>'Monthly PL'!AP2</f>
        <v>2023-24</v>
      </c>
      <c r="AO2" s="322" t="str">
        <f>'Monthly PL'!AQ2</f>
        <v>2023-24</v>
      </c>
      <c r="AP2" s="322" t="str">
        <f>'Monthly PL'!AR2</f>
        <v>2023-24</v>
      </c>
      <c r="AQ2" s="322" t="str">
        <f>'Monthly PL'!AS2</f>
        <v>2023-24</v>
      </c>
      <c r="AR2" s="322" t="str">
        <f>'Monthly PL'!AT2</f>
        <v>2023-24</v>
      </c>
      <c r="AS2" s="322" t="str">
        <f>'Monthly PL'!AU2</f>
        <v>2023-24</v>
      </c>
      <c r="AT2" s="322" t="str">
        <f>'Monthly PL'!AV2</f>
        <v>2024-25</v>
      </c>
      <c r="AU2" s="322" t="str">
        <f>'Monthly PL'!AW2</f>
        <v>2024-25</v>
      </c>
      <c r="AV2" s="322" t="str">
        <f>'Monthly PL'!AX2</f>
        <v>2024-25</v>
      </c>
      <c r="AW2" s="322" t="str">
        <f>'Monthly PL'!AY2</f>
        <v>2024-25</v>
      </c>
      <c r="AX2" s="322" t="str">
        <f>'Monthly PL'!AZ2</f>
        <v>2024-25</v>
      </c>
      <c r="AY2" s="322" t="str">
        <f>'Monthly PL'!BA2</f>
        <v>2024-25</v>
      </c>
      <c r="AZ2" s="322" t="str">
        <f>'Monthly PL'!BB2</f>
        <v>2024-25</v>
      </c>
      <c r="BA2" s="322" t="str">
        <f>'Monthly PL'!BC2</f>
        <v>2024-25</v>
      </c>
      <c r="BB2" s="322" t="str">
        <f>'Monthly PL'!BD2</f>
        <v>2024-25</v>
      </c>
      <c r="BC2" s="322" t="str">
        <f>'Monthly PL'!BE2</f>
        <v>2024-25</v>
      </c>
      <c r="BD2" s="322" t="str">
        <f>'Monthly PL'!BF2</f>
        <v>2024-25</v>
      </c>
      <c r="BE2" s="322" t="str">
        <f>'Monthly PL'!BG2</f>
        <v>2024-25</v>
      </c>
      <c r="BF2" s="322" t="str">
        <f>'Monthly PL'!BH2</f>
        <v>2025-26</v>
      </c>
      <c r="BG2" s="322" t="str">
        <f>'Monthly PL'!BI2</f>
        <v>2025-26</v>
      </c>
      <c r="BH2" s="322" t="str">
        <f>'Monthly PL'!BJ2</f>
        <v>2025-26</v>
      </c>
      <c r="BI2" s="322" t="str">
        <f>'Monthly PL'!BK2</f>
        <v>2025-26</v>
      </c>
      <c r="BJ2" s="322" t="str">
        <f>'Monthly PL'!BL2</f>
        <v>2025-26</v>
      </c>
      <c r="BK2" s="322" t="str">
        <f>'Monthly PL'!BM2</f>
        <v>2025-26</v>
      </c>
      <c r="BL2" s="322" t="str">
        <f>'Monthly PL'!BN2</f>
        <v>2025-26</v>
      </c>
      <c r="BM2" s="322" t="str">
        <f>'Monthly PL'!BO2</f>
        <v>2025-26</v>
      </c>
      <c r="BN2" s="322" t="str">
        <f>'Monthly PL'!BP2</f>
        <v>2025-26</v>
      </c>
      <c r="BO2" s="322" t="str">
        <f>'Monthly PL'!BQ2</f>
        <v>2025-26</v>
      </c>
      <c r="BP2" s="322" t="str">
        <f>'Monthly PL'!BR2</f>
        <v>2025-26</v>
      </c>
      <c r="BQ2" s="322" t="str">
        <f>'Monthly PL'!BS2</f>
        <v>2025-26</v>
      </c>
      <c r="BR2" s="322" t="str">
        <f>'Monthly PL'!BT2</f>
        <v>2026-27</v>
      </c>
      <c r="BS2" s="322" t="str">
        <f>'Monthly PL'!BU2</f>
        <v>2026-27</v>
      </c>
      <c r="BT2" s="322" t="str">
        <f>'Monthly PL'!BV2</f>
        <v>2026-27</v>
      </c>
      <c r="BU2" s="322" t="str">
        <f>'Monthly PL'!BW2</f>
        <v>2026-27</v>
      </c>
      <c r="BV2" s="322" t="str">
        <f>'Monthly PL'!BX2</f>
        <v>2026-27</v>
      </c>
      <c r="BW2" s="322" t="str">
        <f>'Monthly PL'!BY2</f>
        <v>2026-27</v>
      </c>
      <c r="BX2" s="322" t="str">
        <f>'Monthly PL'!BZ2</f>
        <v>2026-27</v>
      </c>
      <c r="BY2" s="322" t="str">
        <f>'Monthly PL'!CA2</f>
        <v>2026-27</v>
      </c>
      <c r="BZ2" s="322" t="str">
        <f>'Monthly PL'!CB2</f>
        <v>2026-27</v>
      </c>
      <c r="CA2" s="322" t="str">
        <f>'Monthly PL'!CC2</f>
        <v>2026-27</v>
      </c>
      <c r="CB2" s="322" t="str">
        <f>'Monthly PL'!CD2</f>
        <v>2026-27</v>
      </c>
      <c r="CC2" s="322" t="str">
        <f>'Monthly PL'!CE2</f>
        <v>2026-27</v>
      </c>
      <c r="CD2" s="322" t="str">
        <f>'Monthly PL'!CF2</f>
        <v>2027-28</v>
      </c>
      <c r="CE2" s="322" t="str">
        <f>'Monthly PL'!CG2</f>
        <v>2027-28</v>
      </c>
      <c r="CF2" s="322" t="str">
        <f>'Monthly PL'!CH2</f>
        <v>2027-28</v>
      </c>
      <c r="CG2" s="322" t="str">
        <f>'Monthly PL'!CI2</f>
        <v>2027-28</v>
      </c>
      <c r="CH2" s="322" t="str">
        <f>'Monthly PL'!CJ2</f>
        <v>2027-28</v>
      </c>
      <c r="CI2" s="322" t="str">
        <f>'Monthly PL'!CK2</f>
        <v>2027-28</v>
      </c>
      <c r="CJ2" s="322" t="str">
        <f>'Monthly PL'!CL2</f>
        <v>2027-28</v>
      </c>
      <c r="CK2" s="322" t="str">
        <f>'Monthly PL'!CM2</f>
        <v>2027-28</v>
      </c>
      <c r="CL2" s="322" t="str">
        <f>'Monthly PL'!CN2</f>
        <v>2027-28</v>
      </c>
      <c r="CM2" s="322" t="str">
        <f>'Monthly PL'!CO2</f>
        <v>2027-28</v>
      </c>
      <c r="CN2" s="322" t="str">
        <f>'Monthly PL'!CP2</f>
        <v>2027-28</v>
      </c>
      <c r="CO2" s="322" t="str">
        <f>'Monthly PL'!CQ2</f>
        <v>2027-28</v>
      </c>
      <c r="CP2" s="322" t="str">
        <f>'Monthly PL'!CR2</f>
        <v>2028-29</v>
      </c>
      <c r="CQ2" s="322" t="str">
        <f>'Monthly PL'!CS2</f>
        <v>2028-29</v>
      </c>
      <c r="CR2" s="322" t="str">
        <f>'Monthly PL'!CT2</f>
        <v>2028-29</v>
      </c>
      <c r="CS2" s="322" t="str">
        <f>'Monthly PL'!CU2</f>
        <v>2028-29</v>
      </c>
      <c r="CT2" s="322" t="str">
        <f>'Monthly PL'!CV2</f>
        <v>2028-29</v>
      </c>
      <c r="CU2" s="322" t="str">
        <f>'Monthly PL'!CW2</f>
        <v>2028-29</v>
      </c>
      <c r="CV2" s="322" t="str">
        <f>'Monthly PL'!CX2</f>
        <v>2028-29</v>
      </c>
      <c r="CW2" s="322" t="str">
        <f>'Monthly PL'!CY2</f>
        <v>2028-29</v>
      </c>
      <c r="CX2" s="322" t="str">
        <f>'Monthly PL'!CZ2</f>
        <v>2028-29</v>
      </c>
      <c r="CY2" s="322" t="str">
        <f>'Monthly PL'!DA2</f>
        <v>2028-29</v>
      </c>
      <c r="CZ2" s="322" t="str">
        <f>'Monthly PL'!DB2</f>
        <v>2028-29</v>
      </c>
      <c r="DA2" s="322" t="str">
        <f>'Monthly PL'!DC2</f>
        <v>2028-29</v>
      </c>
    </row>
    <row r="3" spans="1:105" s="339" customFormat="1">
      <c r="A3" s="345" t="s">
        <v>2</v>
      </c>
      <c r="B3" s="332">
        <v>44074</v>
      </c>
      <c r="C3" s="332">
        <v>44104</v>
      </c>
      <c r="D3" s="332">
        <v>44135</v>
      </c>
      <c r="E3" s="332">
        <v>44165</v>
      </c>
      <c r="F3" s="332">
        <v>44196</v>
      </c>
      <c r="G3" s="332">
        <v>44227</v>
      </c>
      <c r="H3" s="332">
        <v>44255</v>
      </c>
      <c r="I3" s="332">
        <v>44286</v>
      </c>
      <c r="J3" s="332">
        <v>44316</v>
      </c>
      <c r="K3" s="332">
        <v>44347</v>
      </c>
      <c r="L3" s="332">
        <v>44377</v>
      </c>
      <c r="M3" s="332">
        <v>44408</v>
      </c>
      <c r="N3" s="332">
        <v>44439</v>
      </c>
      <c r="O3" s="332">
        <v>44469</v>
      </c>
      <c r="P3" s="332">
        <v>44500</v>
      </c>
      <c r="Q3" s="332">
        <v>44530</v>
      </c>
      <c r="R3" s="332">
        <v>44561</v>
      </c>
      <c r="S3" s="332">
        <v>44592</v>
      </c>
      <c r="T3" s="332">
        <v>44620</v>
      </c>
      <c r="U3" s="332">
        <v>44651</v>
      </c>
      <c r="V3" s="332">
        <v>44681</v>
      </c>
      <c r="W3" s="332">
        <v>44712</v>
      </c>
      <c r="X3" s="332">
        <v>44742</v>
      </c>
      <c r="Y3" s="332">
        <v>44773</v>
      </c>
      <c r="Z3" s="332">
        <v>44804</v>
      </c>
      <c r="AA3" s="332">
        <v>44834</v>
      </c>
      <c r="AB3" s="332">
        <v>44865</v>
      </c>
      <c r="AC3" s="332">
        <v>44895</v>
      </c>
      <c r="AD3" s="332">
        <v>44926</v>
      </c>
      <c r="AE3" s="332">
        <v>44957</v>
      </c>
      <c r="AF3" s="332">
        <v>44985</v>
      </c>
      <c r="AG3" s="332">
        <v>45016</v>
      </c>
      <c r="AH3" s="332">
        <v>45046</v>
      </c>
      <c r="AI3" s="332">
        <v>45077</v>
      </c>
      <c r="AJ3" s="332">
        <v>45107</v>
      </c>
      <c r="AK3" s="332">
        <v>45138</v>
      </c>
      <c r="AL3" s="332">
        <v>45169</v>
      </c>
      <c r="AM3" s="332">
        <v>45199</v>
      </c>
      <c r="AN3" s="332">
        <v>45230</v>
      </c>
      <c r="AO3" s="332">
        <v>45260</v>
      </c>
      <c r="AP3" s="332">
        <v>45291</v>
      </c>
      <c r="AQ3" s="332">
        <v>45322</v>
      </c>
      <c r="AR3" s="332">
        <v>45351</v>
      </c>
      <c r="AS3" s="332">
        <v>45382</v>
      </c>
      <c r="AT3" s="332">
        <v>45412</v>
      </c>
      <c r="AU3" s="332">
        <v>45443</v>
      </c>
      <c r="AV3" s="332">
        <v>45473</v>
      </c>
      <c r="AW3" s="332">
        <v>45504</v>
      </c>
      <c r="AX3" s="332">
        <v>45535</v>
      </c>
      <c r="AY3" s="332">
        <v>45565</v>
      </c>
      <c r="AZ3" s="332">
        <v>45596</v>
      </c>
      <c r="BA3" s="332">
        <v>45626</v>
      </c>
      <c r="BB3" s="332">
        <v>45657</v>
      </c>
      <c r="BC3" s="332">
        <v>45688</v>
      </c>
      <c r="BD3" s="332">
        <v>45716</v>
      </c>
      <c r="BE3" s="332">
        <v>45747</v>
      </c>
      <c r="BF3" s="332">
        <v>45777</v>
      </c>
      <c r="BG3" s="332">
        <v>45808</v>
      </c>
      <c r="BH3" s="332">
        <v>45838</v>
      </c>
      <c r="BI3" s="332">
        <v>45869</v>
      </c>
      <c r="BJ3" s="332">
        <v>45900</v>
      </c>
      <c r="BK3" s="332">
        <v>45930</v>
      </c>
      <c r="BL3" s="332">
        <v>45961</v>
      </c>
      <c r="BM3" s="332">
        <v>45991</v>
      </c>
      <c r="BN3" s="332">
        <v>46022</v>
      </c>
      <c r="BO3" s="332">
        <v>46053</v>
      </c>
      <c r="BP3" s="332">
        <v>46081</v>
      </c>
      <c r="BQ3" s="332">
        <v>46112</v>
      </c>
      <c r="BR3" s="332">
        <v>46142</v>
      </c>
      <c r="BS3" s="332">
        <v>46173</v>
      </c>
      <c r="BT3" s="332">
        <v>46203</v>
      </c>
      <c r="BU3" s="332">
        <v>46234</v>
      </c>
      <c r="BV3" s="332">
        <v>46265</v>
      </c>
      <c r="BW3" s="332">
        <v>46295</v>
      </c>
      <c r="BX3" s="332">
        <v>46326</v>
      </c>
      <c r="BY3" s="332">
        <v>46356</v>
      </c>
      <c r="BZ3" s="332">
        <v>46387</v>
      </c>
      <c r="CA3" s="332">
        <v>46418</v>
      </c>
      <c r="CB3" s="332">
        <v>46446</v>
      </c>
      <c r="CC3" s="332">
        <v>46477</v>
      </c>
      <c r="CD3" s="332">
        <v>46507</v>
      </c>
      <c r="CE3" s="332">
        <v>46538</v>
      </c>
      <c r="CF3" s="332">
        <v>46568</v>
      </c>
      <c r="CG3" s="332">
        <v>46599</v>
      </c>
      <c r="CH3" s="332">
        <v>46630</v>
      </c>
      <c r="CI3" s="332">
        <v>46660</v>
      </c>
      <c r="CJ3" s="332">
        <v>46691</v>
      </c>
      <c r="CK3" s="332">
        <v>46721</v>
      </c>
      <c r="CL3" s="332">
        <v>46752</v>
      </c>
      <c r="CM3" s="332">
        <v>46783</v>
      </c>
      <c r="CN3" s="332">
        <v>46812</v>
      </c>
      <c r="CO3" s="332">
        <v>46843</v>
      </c>
      <c r="CP3" s="332">
        <v>46873</v>
      </c>
      <c r="CQ3" s="332">
        <v>46904</v>
      </c>
      <c r="CR3" s="332">
        <v>46934</v>
      </c>
      <c r="CS3" s="332">
        <v>46965</v>
      </c>
      <c r="CT3" s="332">
        <v>46996</v>
      </c>
      <c r="CU3" s="332">
        <v>47026</v>
      </c>
      <c r="CV3" s="332">
        <v>47056</v>
      </c>
      <c r="CW3" s="332">
        <v>47087</v>
      </c>
      <c r="CX3" s="332">
        <v>47117</v>
      </c>
      <c r="CY3" s="332">
        <v>47148</v>
      </c>
      <c r="CZ3" s="332">
        <v>47177</v>
      </c>
      <c r="DA3" s="332">
        <v>47207</v>
      </c>
    </row>
    <row r="4" spans="1:105">
      <c r="A4" s="310" t="s">
        <v>448</v>
      </c>
      <c r="B4" s="341">
        <v>0</v>
      </c>
      <c r="C4" s="341">
        <v>0</v>
      </c>
      <c r="D4" s="341">
        <v>0</v>
      </c>
      <c r="E4" s="341">
        <v>0</v>
      </c>
      <c r="F4" s="341">
        <v>0</v>
      </c>
      <c r="G4" s="341">
        <v>0</v>
      </c>
      <c r="H4" s="341">
        <v>0</v>
      </c>
      <c r="I4" s="341">
        <v>0</v>
      </c>
      <c r="J4" s="341">
        <v>0</v>
      </c>
      <c r="K4" s="341">
        <v>0</v>
      </c>
      <c r="L4" s="341">
        <v>0</v>
      </c>
      <c r="M4" s="341">
        <v>0</v>
      </c>
      <c r="N4" s="341">
        <v>0</v>
      </c>
      <c r="O4" s="341">
        <v>0</v>
      </c>
      <c r="P4" s="341">
        <v>0</v>
      </c>
      <c r="Q4" s="341">
        <v>0</v>
      </c>
      <c r="R4" s="341">
        <v>0</v>
      </c>
      <c r="S4" s="341">
        <v>0</v>
      </c>
      <c r="T4" s="341">
        <v>0</v>
      </c>
      <c r="U4" s="341">
        <v>0</v>
      </c>
      <c r="V4" s="341">
        <f>'Monthly PL'!W4</f>
        <v>6.7810989119999991</v>
      </c>
      <c r="W4" s="341">
        <f>'Monthly PL'!X4</f>
        <v>3.3228415999999998</v>
      </c>
      <c r="X4" s="341">
        <f>'Monthly PL'!Y4</f>
        <v>6.8535289599999993</v>
      </c>
      <c r="Y4" s="341">
        <f>'Monthly PL'!Z4</f>
        <v>3.3901056000000001</v>
      </c>
      <c r="Z4" s="341">
        <f>'Monthly PL'!AA4</f>
        <v>6.9914201599999997</v>
      </c>
      <c r="AA4" s="341">
        <f>'Monthly PL'!AB4</f>
        <v>3.5587140266666664</v>
      </c>
      <c r="AB4" s="341">
        <f>'Monthly PL'!AC4</f>
        <v>6.9654114133333342</v>
      </c>
      <c r="AC4" s="341">
        <f>'Monthly PL'!AD4</f>
        <v>3.5865164799999998</v>
      </c>
      <c r="AD4" s="341">
        <f>'Monthly PL'!AE4</f>
        <v>7.0196710399999995</v>
      </c>
      <c r="AE4" s="341">
        <f>'Monthly PL'!AF4</f>
        <v>3.6143189333333336</v>
      </c>
      <c r="AF4" s="341">
        <f>'Monthly PL'!AG4</f>
        <v>7.2494897066666661</v>
      </c>
      <c r="AG4" s="341">
        <f>'Monthly PL'!AH4</f>
        <v>3.2896580266666664</v>
      </c>
      <c r="AH4" s="341">
        <f>'Monthly PL'!AI4</f>
        <v>7.1288629333333331</v>
      </c>
      <c r="AI4" s="341">
        <f>'Monthly PL'!AJ4</f>
        <v>3.7432416000000006</v>
      </c>
      <c r="AJ4" s="341">
        <f>'Monthly PL'!AK4</f>
        <v>7.7174341439999994</v>
      </c>
      <c r="AK4" s="341">
        <f>'Monthly PL'!AL4</f>
        <v>3.7997433600000003</v>
      </c>
      <c r="AL4" s="341">
        <f>'Monthly PL'!AM4</f>
        <v>7.8332627520000013</v>
      </c>
      <c r="AM4" s="341">
        <f>'Monthly PL'!AN4</f>
        <v>3.9847866240000003</v>
      </c>
      <c r="AN4" s="341">
        <f>'Monthly PL'!AO4</f>
        <v>7.8191373120000005</v>
      </c>
      <c r="AO4" s="341">
        <f>'Monthly PL'!AP4</f>
        <v>4.0431717759999994</v>
      </c>
      <c r="AP4" s="341">
        <f>'Monthly PL'!AQ4</f>
        <v>7.9330825279999999</v>
      </c>
      <c r="AQ4" s="341">
        <f>'Monthly PL'!AR4</f>
        <v>4.1015569279999999</v>
      </c>
      <c r="AR4" s="341">
        <f>'Monthly PL'!AS4</f>
        <v>8.248927954960001</v>
      </c>
      <c r="AS4" s="341">
        <f>'Monthly PL'!AT4</f>
        <v>3.8928217697599998</v>
      </c>
      <c r="AT4" s="341">
        <f>'Monthly PL'!AU4</f>
        <v>8.2321381038399988</v>
      </c>
      <c r="AU4" s="341">
        <f>'Monthly PL'!AV4</f>
        <v>4.2729049893599997</v>
      </c>
      <c r="AV4" s="341">
        <f>'Monthly PL'!AW4</f>
        <v>8.7824443817880002</v>
      </c>
      <c r="AW4" s="341">
        <f>'Monthly PL'!AX4</f>
        <v>4.3025684133600004</v>
      </c>
      <c r="AX4" s="341">
        <f>'Monthly PL'!AY4</f>
        <v>8.8432544009880001</v>
      </c>
      <c r="AY4" s="341">
        <f>'Monthly PL'!AZ4</f>
        <v>4.4766395652720004</v>
      </c>
      <c r="AZ4" s="341">
        <f>'Monthly PL'!BA4</f>
        <v>8.7589151066759996</v>
      </c>
      <c r="BA4" s="341">
        <f>'Monthly PL'!BB4</f>
        <v>4.5072917700720003</v>
      </c>
      <c r="BB4" s="341">
        <f>'Monthly PL'!BC4</f>
        <v>8.818736345076001</v>
      </c>
      <c r="BC4" s="341">
        <f>'Monthly PL'!BD4</f>
        <v>4.5379439748719994</v>
      </c>
      <c r="BD4" s="341">
        <f>'Monthly PL'!BE4</f>
        <v>9.0988771033439999</v>
      </c>
      <c r="BE4" s="341">
        <f>'Monthly PL'!BF4</f>
        <v>4.1264739687360006</v>
      </c>
      <c r="BF4" s="341">
        <f>'Monthly PL'!BG4</f>
        <v>8.9391204074760005</v>
      </c>
      <c r="BG4" s="341">
        <f>'Monthly PL'!BH4</f>
        <v>5.3290392982151067</v>
      </c>
      <c r="BH4" s="341">
        <f>'Monthly PL'!BI4</f>
        <v>10.93831597137666</v>
      </c>
      <c r="BI4" s="341">
        <f>'Monthly PL'!BJ4</f>
        <v>5.3468269240676065</v>
      </c>
      <c r="BJ4" s="341">
        <f>'Monthly PL'!BK4</f>
        <v>10.974780604374281</v>
      </c>
      <c r="BK4" s="341">
        <f>'Monthly PL'!BL4</f>
        <v>5.5434350349174437</v>
      </c>
      <c r="BL4" s="341">
        <f>'Monthly PL'!BM4</f>
        <v>10.831980061728258</v>
      </c>
      <c r="BM4" s="341">
        <f>'Monthly PL'!BN4</f>
        <v>5.5618155816316941</v>
      </c>
      <c r="BN4" s="341">
        <f>'Monthly PL'!BO4</f>
        <v>10.867851773864135</v>
      </c>
      <c r="BO4" s="341">
        <f>'Monthly PL'!BP4</f>
        <v>5.5801961283459445</v>
      </c>
      <c r="BP4" s="341">
        <f>'Monthly PL'!BQ4</f>
        <v>11.174177666727577</v>
      </c>
      <c r="BQ4" s="341">
        <f>'Monthly PL'!BR4</f>
        <v>5.0567789323124339</v>
      </c>
      <c r="BR4" s="341">
        <f>'Monthly PL'!BS4</f>
        <v>10.940039888782195</v>
      </c>
      <c r="BS4" s="341">
        <f>'Monthly PL'!BT4</f>
        <v>6.0432917357611187</v>
      </c>
      <c r="BT4" s="341">
        <f>'Monthly PL'!BU4</f>
        <v>12.404074190644092</v>
      </c>
      <c r="BU4" s="341">
        <f>'Monthly PL'!BV4</f>
        <v>6.0630673903853696</v>
      </c>
      <c r="BV4" s="341">
        <f>'Monthly PL'!BW4</f>
        <v>12.444614282623803</v>
      </c>
      <c r="BW4" s="341">
        <f>'Monthly PL'!BX4</f>
        <v>6.2856044798432738</v>
      </c>
      <c r="BX4" s="341">
        <f>'Monthly PL'!BY4</f>
        <v>12.281898548404255</v>
      </c>
      <c r="BY4" s="341">
        <f>'Monthly PL'!BZ4</f>
        <v>6.3060393229549998</v>
      </c>
      <c r="BZ4" s="341">
        <f>'Monthly PL'!CA4</f>
        <v>12.321779451896489</v>
      </c>
      <c r="CA4" s="341">
        <f>'Monthly PL'!CB4</f>
        <v>6.3264741660667241</v>
      </c>
      <c r="CB4" s="341">
        <f>'Monthly PL'!CC4</f>
        <v>12.77879815494903</v>
      </c>
      <c r="CC4" s="341">
        <f>'Monthly PL'!CD4</f>
        <v>5.799351217688935</v>
      </c>
      <c r="CD4" s="341">
        <f>'Monthly PL'!CE4</f>
        <v>12.546245367109904</v>
      </c>
      <c r="CE4" s="341">
        <f>'Monthly PL'!CF4</f>
        <v>6.5452760042015079</v>
      </c>
      <c r="CF4" s="341">
        <f>'Monthly PL'!CG4</f>
        <v>13.43409536894672</v>
      </c>
      <c r="CG4" s="341">
        <f>'Monthly PL'!CH4</f>
        <v>6.5662818885029646</v>
      </c>
      <c r="CH4" s="341">
        <f>'Monthly PL'!CI4</f>
        <v>13.477157431764708</v>
      </c>
      <c r="CI4" s="341">
        <f>'Monthly PL'!CJ4</f>
        <v>6.8068640318979012</v>
      </c>
      <c r="CJ4" s="341">
        <f>'Monthly PL'!CK4</f>
        <v>13.300118088381673</v>
      </c>
      <c r="CK4" s="341">
        <f>'Monthly PL'!CL4</f>
        <v>6.8285701123427387</v>
      </c>
      <c r="CL4" s="341">
        <f>'Monthly PL'!CM4</f>
        <v>13.342479955056277</v>
      </c>
      <c r="CM4" s="341">
        <f>'Monthly PL'!CN4</f>
        <v>6.850276192787577</v>
      </c>
      <c r="CN4" s="341">
        <f>'Monthly PL'!CO4</f>
        <v>13.716831945908785</v>
      </c>
      <c r="CO4" s="341">
        <f>'Monthly PL'!CP4</f>
        <v>6.4286285781851644</v>
      </c>
      <c r="CP4" s="341">
        <f>'Monthly PL'!CQ4</f>
        <v>13.538567259274835</v>
      </c>
      <c r="CQ4" s="341">
        <f>'Monthly PL'!CR4</f>
        <v>7.0048768755107584</v>
      </c>
      <c r="CR4" s="341">
        <f>'Monthly PL'!CS4</f>
        <v>14.377091133147365</v>
      </c>
      <c r="CS4" s="341">
        <f>'Monthly PL'!CT4</f>
        <v>7.0269330540272881</v>
      </c>
      <c r="CT4" s="341">
        <f>'Monthly PL'!CU4</f>
        <v>14.422306299106246</v>
      </c>
      <c r="CU4" s="341">
        <f>'Monthly PL'!CV4+'Monthly PL'!CW4</f>
        <v>21.515959293146036</v>
      </c>
      <c r="CV4" s="341">
        <v>0</v>
      </c>
      <c r="CW4" s="341">
        <v>0</v>
      </c>
      <c r="CX4" s="341">
        <v>0</v>
      </c>
      <c r="CY4" s="341">
        <v>0</v>
      </c>
      <c r="CZ4" s="341">
        <v>0</v>
      </c>
      <c r="DA4" s="341">
        <v>0</v>
      </c>
    </row>
    <row r="5" spans="1:105" s="382" customFormat="1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0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f>'Monthly PL'!W5</f>
        <v>0</v>
      </c>
      <c r="W5" s="341">
        <f>'Monthly PL'!X5</f>
        <v>0</v>
      </c>
      <c r="X5" s="341">
        <f>'Monthly PL'!Y5</f>
        <v>0</v>
      </c>
      <c r="Y5" s="341">
        <f>'Monthly PL'!Z5</f>
        <v>0</v>
      </c>
      <c r="Z5" s="341">
        <f>'Monthly PL'!AA5</f>
        <v>0</v>
      </c>
      <c r="AA5" s="341">
        <f>'Monthly PL'!AB5</f>
        <v>0</v>
      </c>
      <c r="AB5" s="341">
        <f>'Monthly PL'!AC5</f>
        <v>0</v>
      </c>
      <c r="AC5" s="341">
        <f>'Monthly PL'!AD5</f>
        <v>0</v>
      </c>
      <c r="AD5" s="341">
        <f>'Monthly PL'!AE5</f>
        <v>0</v>
      </c>
      <c r="AE5" s="341">
        <f>'Monthly PL'!AF5</f>
        <v>0</v>
      </c>
      <c r="AF5" s="341">
        <f>'Monthly PL'!AG5</f>
        <v>0</v>
      </c>
      <c r="AG5" s="341">
        <f>'Monthly PL'!AH5</f>
        <v>3</v>
      </c>
      <c r="AH5" s="341">
        <f>'Monthly PL'!AI5</f>
        <v>0.14257725866666668</v>
      </c>
      <c r="AI5" s="341">
        <f>'Monthly PL'!AJ5</f>
        <v>7.486483200000002E-2</v>
      </c>
      <c r="AJ5" s="341">
        <f>'Monthly PL'!AK5</f>
        <v>0.15434868288</v>
      </c>
      <c r="AK5" s="341">
        <f>'Monthly PL'!AL5</f>
        <v>7.599486720000001E-2</v>
      </c>
      <c r="AL5" s="341">
        <f>'Monthly PL'!AM5</f>
        <v>0.15666525504000003</v>
      </c>
      <c r="AM5" s="341">
        <f>'Monthly PL'!AN5</f>
        <v>7.9695732480000003E-2</v>
      </c>
      <c r="AN5" s="341">
        <f>'Monthly PL'!AO5</f>
        <v>0.15638274624000001</v>
      </c>
      <c r="AO5" s="341">
        <f>'Monthly PL'!AP5</f>
        <v>8.0863435519999985E-2</v>
      </c>
      <c r="AP5" s="341">
        <f>'Monthly PL'!AQ5</f>
        <v>0.15866165056000001</v>
      </c>
      <c r="AQ5" s="341">
        <f>'Monthly PL'!AR5</f>
        <v>8.2031138559999994E-2</v>
      </c>
      <c r="AR5" s="341">
        <f>'Monthly PL'!AS5</f>
        <v>0.16497855909920003</v>
      </c>
      <c r="AS5" s="341">
        <f>'Monthly PL'!AT5</f>
        <v>7.7856435395199999E-2</v>
      </c>
      <c r="AT5" s="341">
        <f>'Monthly PL'!AU5</f>
        <v>0.16464276207679998</v>
      </c>
      <c r="AU5" s="341">
        <f>'Monthly PL'!AV5</f>
        <v>8.5458099787199995E-2</v>
      </c>
      <c r="AV5" s="341">
        <f>'Monthly PL'!AW5</f>
        <v>0.17564888763576</v>
      </c>
      <c r="AW5" s="341">
        <f>'Monthly PL'!AX5</f>
        <v>8.6051368267200015E-2</v>
      </c>
      <c r="AX5" s="341">
        <f>'Monthly PL'!AY5</f>
        <v>0.17686508801976</v>
      </c>
      <c r="AY5" s="341">
        <f>'Monthly PL'!AZ5</f>
        <v>8.9532791305440007E-2</v>
      </c>
      <c r="AZ5" s="341">
        <f>'Monthly PL'!BA5</f>
        <v>0.17517830213352001</v>
      </c>
      <c r="BA5" s="341">
        <f>'Monthly PL'!BB5</f>
        <v>9.0145835401440014E-2</v>
      </c>
      <c r="BB5" s="341">
        <f>'Monthly PL'!BC5</f>
        <v>0.17637472690152003</v>
      </c>
      <c r="BC5" s="341">
        <f>'Monthly PL'!BD5</f>
        <v>9.0758879497439993E-2</v>
      </c>
      <c r="BD5" s="341">
        <f>'Monthly PL'!BE5</f>
        <v>0.18197754206687999</v>
      </c>
      <c r="BE5" s="341">
        <f>'Monthly PL'!BF5</f>
        <v>8.2529479374720008E-2</v>
      </c>
      <c r="BF5" s="341">
        <f>'Monthly PL'!BG5</f>
        <v>0.17878240814952001</v>
      </c>
      <c r="BG5" s="341">
        <f>'Monthly PL'!BH5</f>
        <v>0.10658078596430214</v>
      </c>
      <c r="BH5" s="341">
        <f>'Monthly PL'!BI5</f>
        <v>0.21876631942753322</v>
      </c>
      <c r="BI5" s="341">
        <f>'Monthly PL'!BJ5</f>
        <v>0.10693653848135214</v>
      </c>
      <c r="BJ5" s="341">
        <f>'Monthly PL'!BK5</f>
        <v>0.21949561208748564</v>
      </c>
      <c r="BK5" s="341">
        <f>'Monthly PL'!BL5</f>
        <v>0.11086870069834888</v>
      </c>
      <c r="BL5" s="341">
        <f>'Monthly PL'!BM5</f>
        <v>0.21663960123456516</v>
      </c>
      <c r="BM5" s="341">
        <f>'Monthly PL'!BN5</f>
        <v>0.11123631163263388</v>
      </c>
      <c r="BN5" s="341">
        <f>'Monthly PL'!BO5</f>
        <v>0.21735703547728272</v>
      </c>
      <c r="BO5" s="341">
        <f>'Monthly PL'!BP5</f>
        <v>0.1116039225669189</v>
      </c>
      <c r="BP5" s="341">
        <f>'Monthly PL'!BQ5</f>
        <v>0.22348355333455153</v>
      </c>
      <c r="BQ5" s="341">
        <f>'Monthly PL'!BR5</f>
        <v>0.10113557864624868</v>
      </c>
      <c r="BR5" s="341">
        <f>'Monthly PL'!BS5</f>
        <v>0.2188007977756439</v>
      </c>
      <c r="BS5" s="341">
        <f>'Monthly PL'!BT5</f>
        <v>0.12086583471522237</v>
      </c>
      <c r="BT5" s="341">
        <f>'Monthly PL'!BU5</f>
        <v>0.24808148381288184</v>
      </c>
      <c r="BU5" s="341">
        <f>'Monthly PL'!BV5</f>
        <v>0.12126134780770739</v>
      </c>
      <c r="BV5" s="341">
        <f>'Monthly PL'!BW5</f>
        <v>0.24889228565247606</v>
      </c>
      <c r="BW5" s="341">
        <f>'Monthly PL'!BX5</f>
        <v>0.12571208959686547</v>
      </c>
      <c r="BX5" s="341">
        <f>'Monthly PL'!BY5</f>
        <v>0.24563797096808512</v>
      </c>
      <c r="BY5" s="341">
        <f>'Monthly PL'!BZ5</f>
        <v>0.12612078645909999</v>
      </c>
      <c r="BZ5" s="341">
        <f>'Monthly PL'!CA5</f>
        <v>0.24643558903792978</v>
      </c>
      <c r="CA5" s="341">
        <f>'Monthly PL'!CB5</f>
        <v>0.12652948332133448</v>
      </c>
      <c r="CB5" s="341">
        <f>'Monthly PL'!CC5</f>
        <v>0.25557596309898062</v>
      </c>
      <c r="CC5" s="341">
        <f>'Monthly PL'!CD5</f>
        <v>0.11598702435377871</v>
      </c>
      <c r="CD5" s="341">
        <f>'Monthly PL'!CE5</f>
        <v>0.25092490734219808</v>
      </c>
      <c r="CE5" s="341">
        <f>'Monthly PL'!CF5</f>
        <v>0.13090552008403017</v>
      </c>
      <c r="CF5" s="341">
        <f>'Monthly PL'!CG5</f>
        <v>0.26868190737893438</v>
      </c>
      <c r="CG5" s="341">
        <f>'Monthly PL'!CH5</f>
        <v>0.13132563777005929</v>
      </c>
      <c r="CH5" s="341">
        <f>'Monthly PL'!CI5</f>
        <v>0.26954314863529416</v>
      </c>
      <c r="CI5" s="341">
        <f>'Monthly PL'!CJ5</f>
        <v>0.13613728063795802</v>
      </c>
      <c r="CJ5" s="341">
        <f>'Monthly PL'!CK5</f>
        <v>0.26600236176763348</v>
      </c>
      <c r="CK5" s="341">
        <f>'Monthly PL'!CL5</f>
        <v>0.13657140224685477</v>
      </c>
      <c r="CL5" s="341">
        <f>'Monthly PL'!CM5</f>
        <v>0.26684959910112555</v>
      </c>
      <c r="CM5" s="341">
        <f>'Monthly PL'!CN5</f>
        <v>0.13700552385575154</v>
      </c>
      <c r="CN5" s="341">
        <f>'Monthly PL'!CO5</f>
        <v>0.27433663891817572</v>
      </c>
      <c r="CO5" s="341">
        <f>'Monthly PL'!CP5</f>
        <v>0.1285725715637033</v>
      </c>
      <c r="CP5" s="341">
        <f>'Monthly PL'!CQ5</f>
        <v>0.27077134518549673</v>
      </c>
      <c r="CQ5" s="341">
        <f>'Monthly PL'!CR5</f>
        <v>0.14009753751021517</v>
      </c>
      <c r="CR5" s="341">
        <f>'Monthly PL'!CS5</f>
        <v>0.28754182266294731</v>
      </c>
      <c r="CS5" s="341">
        <f>'Monthly PL'!CT5</f>
        <v>0.14053866108054577</v>
      </c>
      <c r="CT5" s="341">
        <f>'Monthly PL'!CU5</f>
        <v>0.28844612598212493</v>
      </c>
      <c r="CU5" s="341">
        <f>'Monthly PL'!CV5+'Monthly PL'!CW5</f>
        <v>0.43031918586292073</v>
      </c>
      <c r="CV5" s="341">
        <v>0</v>
      </c>
      <c r="CW5" s="341">
        <v>0</v>
      </c>
      <c r="CX5" s="341">
        <v>0</v>
      </c>
      <c r="CY5" s="341">
        <v>0</v>
      </c>
      <c r="CZ5" s="341">
        <v>0</v>
      </c>
      <c r="DA5" s="341">
        <v>0</v>
      </c>
    </row>
    <row r="6" spans="1:105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f>'Monthly PL'!W6</f>
        <v>0</v>
      </c>
      <c r="W6" s="341">
        <f>'Monthly PL'!X6</f>
        <v>0.04</v>
      </c>
      <c r="X6" s="341">
        <f>'Monthly PL'!Y6</f>
        <v>0.04</v>
      </c>
      <c r="Y6" s="341">
        <f>'Monthly PL'!Z6</f>
        <v>0.04</v>
      </c>
      <c r="Z6" s="341">
        <f>'Monthly PL'!AA6</f>
        <v>0.04</v>
      </c>
      <c r="AA6" s="341">
        <f>'Monthly PL'!AB6</f>
        <v>0.04</v>
      </c>
      <c r="AB6" s="341">
        <f>'Monthly PL'!AC6</f>
        <v>0.04</v>
      </c>
      <c r="AC6" s="341">
        <f>'Monthly PL'!AD6</f>
        <v>0.04</v>
      </c>
      <c r="AD6" s="341">
        <f>'Monthly PL'!AE6</f>
        <v>0.04</v>
      </c>
      <c r="AE6" s="341">
        <f>'Monthly PL'!AF6</f>
        <v>0.04</v>
      </c>
      <c r="AF6" s="341">
        <f>'Monthly PL'!AG6</f>
        <v>0.04</v>
      </c>
      <c r="AG6" s="341">
        <f>'Monthly PL'!AH6</f>
        <v>0.04</v>
      </c>
      <c r="AH6" s="341">
        <f>'Monthly PL'!AI6</f>
        <v>0.04</v>
      </c>
      <c r="AI6" s="341">
        <f>'Monthly PL'!AJ6</f>
        <v>0.04</v>
      </c>
      <c r="AJ6" s="341">
        <f>'Monthly PL'!AK6</f>
        <v>0.04</v>
      </c>
      <c r="AK6" s="341">
        <f>'Monthly PL'!AL6</f>
        <v>0.04</v>
      </c>
      <c r="AL6" s="341">
        <f>'Monthly PL'!AM6</f>
        <v>0.04</v>
      </c>
      <c r="AM6" s="341">
        <f>'Monthly PL'!AN6</f>
        <v>0.04</v>
      </c>
      <c r="AN6" s="341">
        <f>'Monthly PL'!AO6</f>
        <v>0.04</v>
      </c>
      <c r="AO6" s="341">
        <f>'Monthly PL'!AP6</f>
        <v>0.04</v>
      </c>
      <c r="AP6" s="341">
        <f>'Monthly PL'!AQ6</f>
        <v>0.04</v>
      </c>
      <c r="AQ6" s="341">
        <f>'Monthly PL'!AR6</f>
        <v>0.04</v>
      </c>
      <c r="AR6" s="341">
        <f>'Monthly PL'!AS6</f>
        <v>0.04</v>
      </c>
      <c r="AS6" s="341">
        <f>'Monthly PL'!AT6</f>
        <v>0.04</v>
      </c>
      <c r="AT6" s="341">
        <f>'Monthly PL'!AU6</f>
        <v>0.04</v>
      </c>
      <c r="AU6" s="341">
        <f>'Monthly PL'!AV6</f>
        <v>0.04</v>
      </c>
      <c r="AV6" s="341">
        <f>'Monthly PL'!AW6</f>
        <v>0.04</v>
      </c>
      <c r="AW6" s="341">
        <f>'Monthly PL'!AX6</f>
        <v>0.04</v>
      </c>
      <c r="AX6" s="341">
        <f>'Monthly PL'!AY6</f>
        <v>0.04</v>
      </c>
      <c r="AY6" s="341">
        <f>'Monthly PL'!AZ6</f>
        <v>0.04</v>
      </c>
      <c r="AZ6" s="341">
        <f>'Monthly PL'!BA6</f>
        <v>0.04</v>
      </c>
      <c r="BA6" s="341">
        <f>'Monthly PL'!BB6</f>
        <v>0.04</v>
      </c>
      <c r="BB6" s="341">
        <f>'Monthly PL'!BC6</f>
        <v>0.04</v>
      </c>
      <c r="BC6" s="341">
        <f>'Monthly PL'!BD6</f>
        <v>0.04</v>
      </c>
      <c r="BD6" s="341">
        <f>'Monthly PL'!BE6</f>
        <v>0.04</v>
      </c>
      <c r="BE6" s="341">
        <f>'Monthly PL'!BF6</f>
        <v>0.04</v>
      </c>
      <c r="BF6" s="341">
        <f>'Monthly PL'!BG6</f>
        <v>0.04</v>
      </c>
      <c r="BG6" s="341">
        <f>'Monthly PL'!BH6</f>
        <v>0.04</v>
      </c>
      <c r="BH6" s="341">
        <f>'Monthly PL'!BI6</f>
        <v>0.04</v>
      </c>
      <c r="BI6" s="341">
        <f>'Monthly PL'!BJ6</f>
        <v>0.04</v>
      </c>
      <c r="BJ6" s="341">
        <f>'Monthly PL'!BK6</f>
        <v>0.04</v>
      </c>
      <c r="BK6" s="341">
        <f>'Monthly PL'!BL6</f>
        <v>0.04</v>
      </c>
      <c r="BL6" s="341">
        <f>'Monthly PL'!BM6</f>
        <v>0.04</v>
      </c>
      <c r="BM6" s="341">
        <f>'Monthly PL'!BN6</f>
        <v>0.04</v>
      </c>
      <c r="BN6" s="341">
        <f>'Monthly PL'!BO6</f>
        <v>0.04</v>
      </c>
      <c r="BO6" s="341">
        <f>'Monthly PL'!BP6</f>
        <v>0.04</v>
      </c>
      <c r="BP6" s="341">
        <f>'Monthly PL'!BQ6</f>
        <v>0.04</v>
      </c>
      <c r="BQ6" s="341">
        <f>'Monthly PL'!BR6</f>
        <v>0.04</v>
      </c>
      <c r="BR6" s="341">
        <f>'Monthly PL'!BS6</f>
        <v>0.04</v>
      </c>
      <c r="BS6" s="341">
        <f>'Monthly PL'!BT6</f>
        <v>0.04</v>
      </c>
      <c r="BT6" s="341">
        <f>'Monthly PL'!BU6</f>
        <v>0.04</v>
      </c>
      <c r="BU6" s="341">
        <f>'Monthly PL'!BV6</f>
        <v>0.04</v>
      </c>
      <c r="BV6" s="341">
        <f>'Monthly PL'!BW6</f>
        <v>0.04</v>
      </c>
      <c r="BW6" s="341">
        <f>'Monthly PL'!BX6</f>
        <v>0.04</v>
      </c>
      <c r="BX6" s="341">
        <f>'Monthly PL'!BY6</f>
        <v>0.04</v>
      </c>
      <c r="BY6" s="341">
        <f>'Monthly PL'!BZ6</f>
        <v>0.04</v>
      </c>
      <c r="BZ6" s="341">
        <f>'Monthly PL'!CA6</f>
        <v>0.04</v>
      </c>
      <c r="CA6" s="341">
        <f>'Monthly PL'!CB6</f>
        <v>0.04</v>
      </c>
      <c r="CB6" s="341">
        <f>'Monthly PL'!CC6</f>
        <v>0.04</v>
      </c>
      <c r="CC6" s="341">
        <f>'Monthly PL'!CD6</f>
        <v>0.04</v>
      </c>
      <c r="CD6" s="341">
        <f>'Monthly PL'!CE6</f>
        <v>0.04</v>
      </c>
      <c r="CE6" s="341">
        <f>'Monthly PL'!CF6</f>
        <v>0.04</v>
      </c>
      <c r="CF6" s="341">
        <f>'Monthly PL'!CG6</f>
        <v>0.04</v>
      </c>
      <c r="CG6" s="341">
        <f>'Monthly PL'!CH6</f>
        <v>0.04</v>
      </c>
      <c r="CH6" s="341">
        <f>'Monthly PL'!CI6</f>
        <v>0.04</v>
      </c>
      <c r="CI6" s="341">
        <f>'Monthly PL'!CJ6</f>
        <v>0.04</v>
      </c>
      <c r="CJ6" s="341">
        <f>'Monthly PL'!CK6</f>
        <v>0.04</v>
      </c>
      <c r="CK6" s="341">
        <f>'Monthly PL'!CL6</f>
        <v>0.04</v>
      </c>
      <c r="CL6" s="341">
        <f>'Monthly PL'!CM6</f>
        <v>0.04</v>
      </c>
      <c r="CM6" s="341">
        <f>'Monthly PL'!CN6</f>
        <v>0.04</v>
      </c>
      <c r="CN6" s="341">
        <f>'Monthly PL'!CO6</f>
        <v>0.04</v>
      </c>
      <c r="CO6" s="341">
        <f>'Monthly PL'!CP6</f>
        <v>0.04</v>
      </c>
      <c r="CP6" s="341">
        <f>'Monthly PL'!CQ6</f>
        <v>0.04</v>
      </c>
      <c r="CQ6" s="341">
        <f>'Monthly PL'!CR6</f>
        <v>0.04</v>
      </c>
      <c r="CR6" s="341">
        <f>'Monthly PL'!CS6</f>
        <v>0.04</v>
      </c>
      <c r="CS6" s="341">
        <f>'Monthly PL'!CT6</f>
        <v>0.04</v>
      </c>
      <c r="CT6" s="341">
        <f>'Monthly PL'!CU6</f>
        <v>0.04</v>
      </c>
      <c r="CU6" s="341">
        <f>'Monthly PL'!CV6+'Monthly PL'!CW6</f>
        <v>0.08</v>
      </c>
      <c r="CV6" s="341">
        <v>0</v>
      </c>
      <c r="CW6" s="341">
        <v>0</v>
      </c>
      <c r="CX6" s="341">
        <v>0</v>
      </c>
      <c r="CY6" s="341">
        <v>0</v>
      </c>
      <c r="CZ6" s="341">
        <v>0</v>
      </c>
      <c r="DA6" s="341">
        <v>0</v>
      </c>
    </row>
    <row r="7" spans="1:105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f>'Monthly PL'!W7</f>
        <v>0</v>
      </c>
      <c r="W7" s="341">
        <f>'Monthly PL'!X7</f>
        <v>0</v>
      </c>
      <c r="X7" s="341">
        <f>'Monthly PL'!Y7</f>
        <v>0</v>
      </c>
      <c r="Y7" s="341">
        <f>'Monthly PL'!Z7</f>
        <v>0</v>
      </c>
      <c r="Z7" s="341">
        <f>'Monthly PL'!AB7</f>
        <v>0</v>
      </c>
      <c r="AA7" s="341">
        <f>'Monthly PL'!AC7</f>
        <v>0</v>
      </c>
      <c r="AB7" s="341">
        <f>'Monthly PL'!AD7</f>
        <v>0</v>
      </c>
      <c r="AC7" s="341">
        <f>'Monthly PL'!AE7</f>
        <v>0</v>
      </c>
      <c r="AD7" s="341">
        <f>'Monthly PL'!AF7</f>
        <v>0</v>
      </c>
      <c r="AE7" s="341">
        <f>'Monthly PL'!AG7</f>
        <v>0</v>
      </c>
      <c r="AF7" s="341">
        <f>'Monthly PL'!AH7</f>
        <v>0</v>
      </c>
      <c r="AG7" s="341">
        <f>'Monthly PL'!AI7</f>
        <v>0</v>
      </c>
      <c r="AH7" s="341">
        <f>'Monthly PL'!AJ7</f>
        <v>0.89572830000000003</v>
      </c>
      <c r="AI7" s="341">
        <f>'Monthly PL'!AK7</f>
        <v>0.89572830000000003</v>
      </c>
      <c r="AJ7" s="341">
        <f>'Monthly PL'!AL7</f>
        <v>0.89572830000000003</v>
      </c>
      <c r="AK7" s="341">
        <f>'Monthly PL'!AM7</f>
        <v>0.89572830000000003</v>
      </c>
      <c r="AL7" s="341">
        <f>'Monthly PL'!AN7</f>
        <v>0.89572830000000003</v>
      </c>
      <c r="AM7" s="341">
        <f>'Monthly PL'!AO7</f>
        <v>0.89572830000000003</v>
      </c>
      <c r="AN7" s="341">
        <f>'Monthly PL'!AP7</f>
        <v>0.89572830000000003</v>
      </c>
      <c r="AO7" s="341">
        <f>'Monthly PL'!AQ7</f>
        <v>0.89572830000000003</v>
      </c>
      <c r="AP7" s="341">
        <f>'Monthly PL'!AR7</f>
        <v>0.89572830000000003</v>
      </c>
      <c r="AQ7" s="533">
        <f>'Monthly PL'!AS7</f>
        <v>0.93715573387499995</v>
      </c>
      <c r="AR7" s="341">
        <f>'Monthly PL'!AT7</f>
        <v>0.89572830000000003</v>
      </c>
      <c r="AS7" s="341">
        <f>'Monthly PL'!AU7</f>
        <v>0.89572830000000003</v>
      </c>
      <c r="AT7" s="341">
        <f>'Monthly PL'!AV7</f>
        <v>0.44786415000000002</v>
      </c>
      <c r="AU7" s="341">
        <f>'Monthly PL'!AW7</f>
        <v>0.44786415000000002</v>
      </c>
      <c r="AV7" s="341">
        <f>'Monthly PL'!AX7</f>
        <v>0.44786415000000002</v>
      </c>
      <c r="AW7" s="341">
        <f>'Monthly PL'!AY7</f>
        <v>0.44786415000000002</v>
      </c>
      <c r="AX7" s="341">
        <f>'Monthly PL'!AZ7</f>
        <v>0.44786415000000002</v>
      </c>
      <c r="AY7" s="341">
        <f>'Monthly PL'!BA7</f>
        <v>0.44786415000000002</v>
      </c>
      <c r="AZ7" s="341">
        <f>'Monthly PL'!BB7</f>
        <v>0.44786415000000002</v>
      </c>
      <c r="BA7" s="341">
        <f>'Monthly PL'!BC7</f>
        <v>0.44786415000000002</v>
      </c>
      <c r="BB7" s="341">
        <f>'Monthly PL'!BD7</f>
        <v>0.44786415000000002</v>
      </c>
      <c r="BC7" s="341">
        <f>'Monthly PL'!BE7</f>
        <v>0.44786415000000002</v>
      </c>
      <c r="BD7" s="341">
        <f>'Monthly PL'!BF7</f>
        <v>0.44786415000000002</v>
      </c>
      <c r="BE7" s="341">
        <f>'Monthly PL'!BG7</f>
        <v>0.44786415000000002</v>
      </c>
      <c r="BF7" s="341">
        <f>'Monthly PL'!BH7</f>
        <v>0.22393207500000001</v>
      </c>
      <c r="BG7" s="341">
        <f>'Monthly PL'!BI7</f>
        <v>0.22393207500000001</v>
      </c>
      <c r="BH7" s="341">
        <f>'Monthly PL'!BJ7</f>
        <v>0.22393207500000001</v>
      </c>
      <c r="BI7" s="341">
        <f>'Monthly PL'!BK7</f>
        <v>0.22393207500000001</v>
      </c>
      <c r="BJ7" s="341">
        <f>'Monthly PL'!BL7</f>
        <v>0.22393207500000001</v>
      </c>
      <c r="BK7" s="341">
        <f>'Monthly PL'!BM7</f>
        <v>0.22393207500000001</v>
      </c>
      <c r="BL7" s="341">
        <f>'Monthly PL'!BN7</f>
        <v>0.22393207500000001</v>
      </c>
      <c r="BM7" s="341">
        <f>'Monthly PL'!BO7</f>
        <v>0.22393207500000001</v>
      </c>
      <c r="BN7" s="341">
        <f>'Monthly PL'!BP7</f>
        <v>0.22393207500000001</v>
      </c>
      <c r="BO7" s="341">
        <f>'Monthly PL'!BQ7</f>
        <v>0.22393207500000001</v>
      </c>
      <c r="BP7" s="341">
        <f>'Monthly PL'!BR7</f>
        <v>0.22393207500000001</v>
      </c>
      <c r="BQ7" s="341">
        <f>'Monthly PL'!BS7</f>
        <v>0.22393207500000001</v>
      </c>
      <c r="BR7" s="341">
        <f>'Monthly PL'!BT7</f>
        <v>0.22393207500000001</v>
      </c>
      <c r="BS7" s="341">
        <f>'Monthly PL'!BU7</f>
        <v>0.22393207500000001</v>
      </c>
      <c r="BT7" s="341">
        <f>'Monthly PL'!BV7</f>
        <v>0.22393207500000001</v>
      </c>
      <c r="BU7" s="341">
        <f>'Monthly PL'!BW7</f>
        <v>0.22393207500000001</v>
      </c>
      <c r="BV7" s="341">
        <f>'Monthly PL'!BX7</f>
        <v>0.22393207500000001</v>
      </c>
      <c r="BW7" s="341">
        <f>'Monthly PL'!BY7</f>
        <v>0.22393207500000001</v>
      </c>
      <c r="BX7" s="341">
        <f>'Monthly PL'!BZ7</f>
        <v>0.22393207500000001</v>
      </c>
      <c r="BY7" s="341">
        <f>'Monthly PL'!CA7</f>
        <v>0.22393207500000001</v>
      </c>
      <c r="BZ7" s="341">
        <f>'Monthly PL'!CB7</f>
        <v>0.22393207500000001</v>
      </c>
      <c r="CA7" s="341">
        <f>'Monthly PL'!CC7</f>
        <v>0.22393207500000001</v>
      </c>
      <c r="CB7" s="341">
        <f>'Monthly PL'!CD7</f>
        <v>0.22393207500000001</v>
      </c>
      <c r="CC7" s="341">
        <f>'Monthly PL'!CE7</f>
        <v>0.22393207500000001</v>
      </c>
      <c r="CD7" s="341">
        <f>'Monthly PL'!CF7</f>
        <v>0.22393207500000001</v>
      </c>
      <c r="CE7" s="341">
        <f>'Monthly PL'!CG7</f>
        <v>0.22393207500000001</v>
      </c>
      <c r="CF7" s="341">
        <f>'Monthly PL'!CH7</f>
        <v>0.22393207500000001</v>
      </c>
      <c r="CG7" s="341">
        <f>'Monthly PL'!CI7</f>
        <v>0.22393207500000001</v>
      </c>
      <c r="CH7" s="341">
        <f>'Monthly PL'!CJ7</f>
        <v>0.22393207500000001</v>
      </c>
      <c r="CI7" s="341">
        <f>'Monthly PL'!CK7</f>
        <v>0.22393207500000001</v>
      </c>
      <c r="CJ7" s="341">
        <f>'Monthly PL'!CL7</f>
        <v>0.22393207500000001</v>
      </c>
      <c r="CK7" s="341">
        <f>'Monthly PL'!CM7</f>
        <v>0.22393207500000001</v>
      </c>
      <c r="CL7" s="341">
        <f>'Monthly PL'!CN7</f>
        <v>0.22393207500000001</v>
      </c>
      <c r="CM7" s="341">
        <f>'Monthly PL'!CO7</f>
        <v>0.22393207500000001</v>
      </c>
      <c r="CN7" s="341">
        <f>'Monthly PL'!CP7</f>
        <v>0.22393207500000001</v>
      </c>
      <c r="CO7" s="341">
        <f>'Monthly PL'!CQ7</f>
        <v>0.22393207500000001</v>
      </c>
      <c r="CP7" s="341">
        <f>'Monthly PL'!CR7</f>
        <v>0.22393207500000001</v>
      </c>
      <c r="CQ7" s="341">
        <f>'Monthly PL'!CS7</f>
        <v>0.22393207500000001</v>
      </c>
      <c r="CR7" s="341">
        <f>'Monthly PL'!CT7</f>
        <v>0.22393207500000001</v>
      </c>
      <c r="CS7" s="341">
        <f>'Monthly PL'!CU7</f>
        <v>0.22393207500000001</v>
      </c>
      <c r="CT7" s="341">
        <f>'Monthly PL'!CV7</f>
        <v>0.22393207500000001</v>
      </c>
      <c r="CU7" s="341">
        <f>'Monthly PL'!CV7+'Monthly PL'!CW7</f>
        <v>0.44786415000000002</v>
      </c>
      <c r="CV7" s="341">
        <v>0</v>
      </c>
      <c r="CW7" s="341">
        <v>0</v>
      </c>
      <c r="CX7" s="341">
        <v>0</v>
      </c>
      <c r="CY7" s="341">
        <v>0</v>
      </c>
      <c r="CZ7" s="341">
        <v>0</v>
      </c>
      <c r="DA7" s="341">
        <v>0</v>
      </c>
    </row>
    <row r="8" spans="1:105">
      <c r="A8" s="310" t="s">
        <v>371</v>
      </c>
      <c r="B8" s="341">
        <v>0</v>
      </c>
      <c r="C8" s="341">
        <v>0</v>
      </c>
      <c r="D8" s="341">
        <v>0</v>
      </c>
      <c r="E8" s="341">
        <v>0</v>
      </c>
      <c r="F8" s="341">
        <v>0</v>
      </c>
      <c r="G8" s="341">
        <v>0</v>
      </c>
      <c r="H8" s="341">
        <v>0</v>
      </c>
      <c r="I8" s="341">
        <v>0</v>
      </c>
      <c r="J8" s="341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f>'Monthly PL'!W8</f>
        <v>0.14601600000000001</v>
      </c>
      <c r="W8" s="341">
        <f>'Monthly PL'!X8</f>
        <v>0.15185664000000001</v>
      </c>
      <c r="X8" s="341">
        <f>'Monthly PL'!Y8</f>
        <v>0.15185664000000001</v>
      </c>
      <c r="Y8" s="341">
        <f>'Monthly PL'!Z8</f>
        <v>0.15185664000000001</v>
      </c>
      <c r="Z8" s="341">
        <f>'Monthly PL'!AA8</f>
        <v>0.15185664000000001</v>
      </c>
      <c r="AA8" s="341">
        <f>'Monthly PL'!AB8</f>
        <v>0.15185664000000001</v>
      </c>
      <c r="AB8" s="341">
        <f>'Monthly PL'!AC8</f>
        <v>0.15185664000000001</v>
      </c>
      <c r="AC8" s="341">
        <f>'Monthly PL'!AD8</f>
        <v>0.15185664000000001</v>
      </c>
      <c r="AD8" s="341">
        <f>'Monthly PL'!AE8</f>
        <v>6.7491839999999997E-2</v>
      </c>
      <c r="AE8" s="341">
        <f>'Monthly PL'!AF8</f>
        <v>6.7491839999999997E-2</v>
      </c>
      <c r="AF8" s="341">
        <f>'Monthly PL'!AG8</f>
        <v>6.7491839999999997E-2</v>
      </c>
      <c r="AG8" s="341">
        <f>'Monthly PL'!AH8</f>
        <v>6.7491839999999997E-2</v>
      </c>
      <c r="AH8" s="341">
        <f>'Monthly PL'!AI8</f>
        <v>6.7491839999999997E-2</v>
      </c>
      <c r="AI8" s="341">
        <f>'Monthly PL'!AJ8</f>
        <v>7.0191513600000005E-2</v>
      </c>
      <c r="AJ8" s="341">
        <f>'Monthly PL'!AK8</f>
        <v>7.0191513600000005E-2</v>
      </c>
      <c r="AK8" s="341">
        <f>'Monthly PL'!AL8</f>
        <v>7.0191513600000005E-2</v>
      </c>
      <c r="AL8" s="341">
        <f>'Monthly PL'!AM8</f>
        <v>7.0191513600000005E-2</v>
      </c>
      <c r="AM8" s="341">
        <f>'Monthly PL'!AN8</f>
        <v>7.0191513600000005E-2</v>
      </c>
      <c r="AN8" s="341">
        <f>'Monthly PL'!AO8</f>
        <v>7.0191513600000005E-2</v>
      </c>
      <c r="AO8" s="341">
        <f>'Monthly PL'!AP8</f>
        <v>0</v>
      </c>
      <c r="AP8" s="341">
        <f>'Monthly PL'!AQ8</f>
        <v>0</v>
      </c>
      <c r="AQ8" s="341">
        <f>'Monthly PL'!AR8</f>
        <v>0</v>
      </c>
      <c r="AR8" s="341">
        <f>'Monthly PL'!AS8</f>
        <v>0</v>
      </c>
      <c r="AS8" s="341">
        <f>'Monthly PL'!AT8</f>
        <v>0</v>
      </c>
      <c r="AT8" s="341">
        <f>'Monthly PL'!AU8</f>
        <v>0</v>
      </c>
      <c r="AU8" s="341">
        <f>'Monthly PL'!AV8</f>
        <v>0</v>
      </c>
      <c r="AV8" s="341">
        <f>'Monthly PL'!AW8</f>
        <v>0</v>
      </c>
      <c r="AW8" s="341">
        <f>'Monthly PL'!AX8</f>
        <v>0</v>
      </c>
      <c r="AX8" s="341">
        <f>'Monthly PL'!AY8</f>
        <v>0</v>
      </c>
      <c r="AY8" s="341">
        <f>'Monthly PL'!AZ8</f>
        <v>0</v>
      </c>
      <c r="AZ8" s="341">
        <f>'Monthly PL'!BA8</f>
        <v>0</v>
      </c>
      <c r="BA8" s="341">
        <f>'Monthly PL'!BB8</f>
        <v>0</v>
      </c>
      <c r="BB8" s="341">
        <f>'Monthly PL'!BC8</f>
        <v>0</v>
      </c>
      <c r="BC8" s="341">
        <f>'Monthly PL'!BD8</f>
        <v>0</v>
      </c>
      <c r="BD8" s="341">
        <f>'Monthly PL'!BE8</f>
        <v>0</v>
      </c>
      <c r="BE8" s="341">
        <f>'Monthly PL'!BF8</f>
        <v>0</v>
      </c>
      <c r="BF8" s="341">
        <f>'Monthly PL'!BG8</f>
        <v>0</v>
      </c>
      <c r="BG8" s="341">
        <f>'Monthly PL'!BH8</f>
        <v>0</v>
      </c>
      <c r="BH8" s="341">
        <f>'Monthly PL'!BI8</f>
        <v>0</v>
      </c>
      <c r="BI8" s="341">
        <f>'Monthly PL'!BJ8</f>
        <v>0</v>
      </c>
      <c r="BJ8" s="341">
        <f>'Monthly PL'!BK8</f>
        <v>0</v>
      </c>
      <c r="BK8" s="341">
        <f>'Monthly PL'!BL8</f>
        <v>0</v>
      </c>
      <c r="BL8" s="341">
        <f>'Monthly PL'!BM8</f>
        <v>0</v>
      </c>
      <c r="BM8" s="341">
        <f>'Monthly PL'!BN8</f>
        <v>0</v>
      </c>
      <c r="BN8" s="341">
        <f>'Monthly PL'!BO8</f>
        <v>0</v>
      </c>
      <c r="BO8" s="341">
        <f>'Monthly PL'!BP8</f>
        <v>0</v>
      </c>
      <c r="BP8" s="341">
        <f>'Monthly PL'!BQ8</f>
        <v>0</v>
      </c>
      <c r="BQ8" s="341">
        <f>'Monthly PL'!BR8</f>
        <v>0</v>
      </c>
      <c r="BR8" s="341">
        <f>'Monthly PL'!BS8</f>
        <v>0</v>
      </c>
      <c r="BS8" s="341">
        <f>'Monthly PL'!BT8</f>
        <v>0</v>
      </c>
      <c r="BT8" s="341">
        <f>'Monthly PL'!BU8</f>
        <v>0</v>
      </c>
      <c r="BU8" s="341">
        <f>'Monthly PL'!BV8</f>
        <v>0</v>
      </c>
      <c r="BV8" s="341">
        <f>'Monthly PL'!BW8</f>
        <v>0</v>
      </c>
      <c r="BW8" s="341">
        <f>'Monthly PL'!BX8</f>
        <v>0</v>
      </c>
      <c r="BX8" s="341">
        <f>'Monthly PL'!BY8</f>
        <v>0</v>
      </c>
      <c r="BY8" s="341">
        <f>'Monthly PL'!BZ8</f>
        <v>0</v>
      </c>
      <c r="BZ8" s="341">
        <f>'Monthly PL'!CA8</f>
        <v>0</v>
      </c>
      <c r="CA8" s="341">
        <f>'Monthly PL'!CB8</f>
        <v>0</v>
      </c>
      <c r="CB8" s="341">
        <f>'Monthly PL'!CC8</f>
        <v>0</v>
      </c>
      <c r="CC8" s="341">
        <f>'Monthly PL'!CD8</f>
        <v>0</v>
      </c>
      <c r="CD8" s="341">
        <f>'Monthly PL'!CE8</f>
        <v>0</v>
      </c>
      <c r="CE8" s="341">
        <f>'Monthly PL'!CF8</f>
        <v>0</v>
      </c>
      <c r="CF8" s="341">
        <f>'Monthly PL'!CG8</f>
        <v>0</v>
      </c>
      <c r="CG8" s="341">
        <f>'Monthly PL'!CH8</f>
        <v>0</v>
      </c>
      <c r="CH8" s="341">
        <f>'Monthly PL'!CI8</f>
        <v>0</v>
      </c>
      <c r="CI8" s="341">
        <f>'Monthly PL'!CJ8</f>
        <v>0</v>
      </c>
      <c r="CJ8" s="341">
        <f>'Monthly PL'!CK8</f>
        <v>0</v>
      </c>
      <c r="CK8" s="341">
        <f>'Monthly PL'!CL8</f>
        <v>0</v>
      </c>
      <c r="CL8" s="341">
        <f>'Monthly PL'!CM8</f>
        <v>0</v>
      </c>
      <c r="CM8" s="341">
        <f>'Monthly PL'!CN8</f>
        <v>0</v>
      </c>
      <c r="CN8" s="341">
        <f>'Monthly PL'!CO8</f>
        <v>0</v>
      </c>
      <c r="CO8" s="341">
        <f>'Monthly PL'!CP8</f>
        <v>0</v>
      </c>
      <c r="CP8" s="341">
        <f>'Monthly PL'!CQ8</f>
        <v>0</v>
      </c>
      <c r="CQ8" s="341">
        <f>'Monthly PL'!CR8</f>
        <v>0</v>
      </c>
      <c r="CR8" s="341">
        <f>'Monthly PL'!CS8</f>
        <v>0</v>
      </c>
      <c r="CS8" s="341">
        <f>'Monthly PL'!CT8</f>
        <v>0</v>
      </c>
      <c r="CT8" s="341">
        <f>'Monthly PL'!CU8</f>
        <v>0</v>
      </c>
      <c r="CU8" s="341">
        <f>'Monthly PL'!CV8</f>
        <v>0</v>
      </c>
      <c r="CV8" s="341">
        <f>'Monthly PL'!CW8</f>
        <v>0</v>
      </c>
      <c r="CW8" s="341">
        <f>'Monthly PL'!CX8</f>
        <v>0</v>
      </c>
      <c r="CX8" s="341">
        <f>'Monthly PL'!CY8</f>
        <v>0</v>
      </c>
      <c r="CY8" s="341">
        <f>'Monthly PL'!CZ8</f>
        <v>0</v>
      </c>
      <c r="CZ8" s="341">
        <f>'Monthly PL'!DA8</f>
        <v>0</v>
      </c>
      <c r="DA8" s="341">
        <f>'Monthly PL'!DB8</f>
        <v>0</v>
      </c>
    </row>
    <row r="9" spans="1:105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f>'Monthly PL'!W9</f>
        <v>0</v>
      </c>
      <c r="W9" s="341">
        <f>'Monthly PL'!X9</f>
        <v>0</v>
      </c>
      <c r="X9" s="341">
        <f>'Monthly PL'!Y9</f>
        <v>0</v>
      </c>
      <c r="Y9" s="341">
        <f>'Monthly PL'!Z9</f>
        <v>0</v>
      </c>
      <c r="Z9" s="341">
        <f>'Monthly PL'!AA9</f>
        <v>0</v>
      </c>
      <c r="AA9" s="341">
        <f>'Monthly PL'!AB9</f>
        <v>0</v>
      </c>
      <c r="AB9" s="341">
        <f>'Monthly PL'!AC9</f>
        <v>0</v>
      </c>
      <c r="AC9" s="341">
        <f>'Monthly PL'!AD9</f>
        <v>0</v>
      </c>
      <c r="AD9" s="341">
        <f>'Monthly PL'!AE9</f>
        <v>0</v>
      </c>
      <c r="AE9" s="341">
        <f>'Monthly PL'!AF9</f>
        <v>0</v>
      </c>
      <c r="AF9" s="341">
        <f>'Monthly PL'!AG9</f>
        <v>0</v>
      </c>
      <c r="AG9" s="341">
        <v>0</v>
      </c>
      <c r="AH9" s="341">
        <f>'Monthly PL'!AI9</f>
        <v>0</v>
      </c>
      <c r="AI9" s="341">
        <f>'Monthly PL'!AJ9</f>
        <v>0</v>
      </c>
      <c r="AJ9" s="341">
        <f>'Monthly PL'!AK9</f>
        <v>0</v>
      </c>
      <c r="AK9" s="341">
        <f>'Monthly PL'!AL9</f>
        <v>0</v>
      </c>
      <c r="AL9" s="341">
        <f>'Monthly PL'!AM9</f>
        <v>0</v>
      </c>
      <c r="AM9" s="341">
        <f>'Monthly PL'!AN9</f>
        <v>0</v>
      </c>
      <c r="AN9" s="341">
        <f>'Monthly PL'!AO9</f>
        <v>0</v>
      </c>
      <c r="AO9" s="341">
        <f>'Monthly PL'!AP9</f>
        <v>0</v>
      </c>
      <c r="AP9" s="341">
        <f>'Monthly PL'!AQ9</f>
        <v>0</v>
      </c>
      <c r="AQ9" s="341">
        <f>'Monthly PL'!AR9</f>
        <v>0</v>
      </c>
      <c r="AR9" s="341">
        <f>'Monthly PL'!AS9</f>
        <v>0</v>
      </c>
      <c r="AS9" s="341">
        <f>'Monthly PL'!AT9</f>
        <v>0</v>
      </c>
      <c r="AT9" s="341">
        <f>'Monthly PL'!AU9</f>
        <v>0</v>
      </c>
      <c r="AU9" s="341">
        <f>'Monthly PL'!AV9</f>
        <v>0</v>
      </c>
      <c r="AV9" s="341">
        <f>'Monthly PL'!AW9</f>
        <v>0</v>
      </c>
      <c r="AW9" s="341">
        <f>'Monthly PL'!AX9</f>
        <v>0</v>
      </c>
      <c r="AX9" s="341">
        <f>'Monthly PL'!AY9</f>
        <v>0</v>
      </c>
      <c r="AY9" s="341">
        <f>'Monthly PL'!AZ9</f>
        <v>0</v>
      </c>
      <c r="AZ9" s="341">
        <f>'Monthly PL'!BA9</f>
        <v>0</v>
      </c>
      <c r="BA9" s="341">
        <f>'Monthly PL'!BB9</f>
        <v>0</v>
      </c>
      <c r="BB9" s="341">
        <f>'Monthly PL'!BC9</f>
        <v>0</v>
      </c>
      <c r="BC9" s="341">
        <f>'Monthly PL'!BD9</f>
        <v>0</v>
      </c>
      <c r="BD9" s="341">
        <f>'Monthly PL'!BE9</f>
        <v>0</v>
      </c>
      <c r="BE9" s="341">
        <f>'Monthly PL'!BF9</f>
        <v>0</v>
      </c>
      <c r="BF9" s="341">
        <f>'Monthly PL'!BG9</f>
        <v>0</v>
      </c>
      <c r="BG9" s="341">
        <f>'Monthly PL'!BH9</f>
        <v>0</v>
      </c>
      <c r="BH9" s="341">
        <f>'Monthly PL'!BI9</f>
        <v>0</v>
      </c>
      <c r="BI9" s="341">
        <f>'Monthly PL'!BJ9</f>
        <v>0</v>
      </c>
      <c r="BJ9" s="341">
        <f>'Monthly PL'!BK9</f>
        <v>0</v>
      </c>
      <c r="BK9" s="341">
        <f>'Monthly PL'!BL9</f>
        <v>0</v>
      </c>
      <c r="BL9" s="341">
        <f>'Monthly PL'!BM9</f>
        <v>0</v>
      </c>
      <c r="BM9" s="341">
        <f>'Monthly PL'!BN9</f>
        <v>0</v>
      </c>
      <c r="BN9" s="341">
        <f>'Monthly PL'!BO9</f>
        <v>0</v>
      </c>
      <c r="BO9" s="341">
        <f>'Monthly PL'!BP9</f>
        <v>0</v>
      </c>
      <c r="BP9" s="341">
        <f>'Monthly PL'!BQ9</f>
        <v>0</v>
      </c>
      <c r="BQ9" s="341">
        <f>'Monthly PL'!BR9</f>
        <v>0</v>
      </c>
      <c r="BR9" s="341">
        <f>'Monthly PL'!BS9</f>
        <v>0</v>
      </c>
      <c r="BS9" s="341">
        <f>'Monthly PL'!BT9</f>
        <v>0</v>
      </c>
      <c r="BT9" s="341">
        <f>'Monthly PL'!BU9</f>
        <v>0</v>
      </c>
      <c r="BU9" s="341">
        <f>'Monthly PL'!BV9</f>
        <v>0</v>
      </c>
      <c r="BV9" s="341">
        <f>'Monthly PL'!BW9</f>
        <v>0</v>
      </c>
      <c r="BW9" s="341">
        <f>'Monthly PL'!BX9</f>
        <v>0</v>
      </c>
      <c r="BX9" s="341">
        <f>'Monthly PL'!BY9</f>
        <v>0</v>
      </c>
      <c r="BY9" s="341">
        <f>'Monthly PL'!BZ9</f>
        <v>0</v>
      </c>
      <c r="BZ9" s="341">
        <f>'Monthly PL'!CA9</f>
        <v>0</v>
      </c>
      <c r="CA9" s="341">
        <f>'Monthly PL'!CB9</f>
        <v>0</v>
      </c>
      <c r="CB9" s="341">
        <f>'Monthly PL'!CC9</f>
        <v>0</v>
      </c>
      <c r="CC9" s="341">
        <f>'Monthly PL'!CD9</f>
        <v>0</v>
      </c>
      <c r="CD9" s="341">
        <f>'Monthly PL'!CE9</f>
        <v>0</v>
      </c>
      <c r="CE9" s="341">
        <f>'Monthly PL'!CF9</f>
        <v>0</v>
      </c>
      <c r="CF9" s="341">
        <f>'Monthly PL'!CG9</f>
        <v>0</v>
      </c>
      <c r="CG9" s="341">
        <f>'Monthly PL'!CH9</f>
        <v>0</v>
      </c>
      <c r="CH9" s="341">
        <f>'Monthly PL'!CI9</f>
        <v>0</v>
      </c>
      <c r="CI9" s="341">
        <f>'Monthly PL'!CJ9</f>
        <v>0</v>
      </c>
      <c r="CJ9" s="341">
        <f>'Monthly PL'!CK9</f>
        <v>0</v>
      </c>
      <c r="CK9" s="341">
        <f>'Monthly PL'!CL9</f>
        <v>0</v>
      </c>
      <c r="CL9" s="341">
        <f>'Monthly PL'!CM9</f>
        <v>0</v>
      </c>
      <c r="CM9" s="341">
        <f>'Monthly PL'!CN9</f>
        <v>0</v>
      </c>
      <c r="CN9" s="341">
        <f>'Monthly PL'!CO9</f>
        <v>0</v>
      </c>
      <c r="CO9" s="341">
        <f>'Monthly PL'!CP9</f>
        <v>0</v>
      </c>
      <c r="CP9" s="341">
        <f>'Monthly PL'!CQ9</f>
        <v>0</v>
      </c>
      <c r="CQ9" s="341">
        <f>'Monthly PL'!CR9</f>
        <v>0</v>
      </c>
      <c r="CR9" s="341">
        <f>'Monthly PL'!CS9</f>
        <v>0</v>
      </c>
      <c r="CS9" s="341">
        <f>'Monthly PL'!CT9</f>
        <v>0</v>
      </c>
      <c r="CT9" s="341">
        <f>'Monthly PL'!CU9</f>
        <v>0</v>
      </c>
      <c r="CU9" s="341">
        <f>'Monthly PL'!CV9</f>
        <v>0</v>
      </c>
      <c r="CV9" s="341">
        <f>'Monthly PL'!CW9</f>
        <v>0</v>
      </c>
      <c r="CW9" s="341">
        <f>'Monthly PL'!CX9</f>
        <v>0</v>
      </c>
      <c r="CX9" s="341">
        <f>'Monthly PL'!CY9</f>
        <v>0</v>
      </c>
      <c r="CY9" s="341">
        <f>'Monthly PL'!CZ9</f>
        <v>0</v>
      </c>
      <c r="CZ9" s="341">
        <f>'Monthly PL'!DA9</f>
        <v>0</v>
      </c>
      <c r="DA9" s="341">
        <f>'Monthly PL'!DB9</f>
        <v>0</v>
      </c>
    </row>
    <row r="10" spans="1:105">
      <c r="A10" s="310" t="s">
        <v>449</v>
      </c>
      <c r="B10" s="341">
        <v>0</v>
      </c>
      <c r="C10" s="341">
        <v>0</v>
      </c>
      <c r="D10" s="341">
        <v>0</v>
      </c>
      <c r="E10" s="341">
        <v>0</v>
      </c>
      <c r="F10" s="341">
        <v>0</v>
      </c>
      <c r="G10" s="341">
        <v>0</v>
      </c>
      <c r="H10" s="341">
        <v>0</v>
      </c>
      <c r="I10" s="341">
        <v>0</v>
      </c>
      <c r="J10" s="341">
        <v>0</v>
      </c>
      <c r="K10" s="341">
        <v>0</v>
      </c>
      <c r="L10" s="341">
        <v>0</v>
      </c>
      <c r="M10" s="341">
        <v>0</v>
      </c>
      <c r="N10" s="341">
        <v>0</v>
      </c>
      <c r="O10" s="341">
        <v>0</v>
      </c>
      <c r="P10" s="341">
        <v>0</v>
      </c>
      <c r="Q10" s="341">
        <v>0</v>
      </c>
      <c r="R10" s="341">
        <v>0</v>
      </c>
      <c r="S10" s="341">
        <v>0</v>
      </c>
      <c r="T10" s="341">
        <v>0</v>
      </c>
      <c r="U10" s="341">
        <v>0</v>
      </c>
      <c r="V10" s="341">
        <v>0</v>
      </c>
      <c r="W10" s="341">
        <v>0</v>
      </c>
      <c r="X10" s="341">
        <v>0</v>
      </c>
      <c r="Y10" s="341">
        <v>0</v>
      </c>
      <c r="Z10" s="341">
        <v>0</v>
      </c>
      <c r="AA10" s="341">
        <v>0</v>
      </c>
      <c r="AB10" s="341">
        <v>0</v>
      </c>
      <c r="AC10" s="341">
        <v>0</v>
      </c>
      <c r="AD10" s="341">
        <v>0</v>
      </c>
      <c r="AE10" s="341">
        <v>0</v>
      </c>
      <c r="AF10" s="341">
        <v>0</v>
      </c>
      <c r="AG10" s="341">
        <v>4</v>
      </c>
      <c r="AH10" s="341">
        <v>0</v>
      </c>
      <c r="AI10" s="341">
        <v>0</v>
      </c>
      <c r="AJ10" s="341">
        <v>0</v>
      </c>
      <c r="AK10" s="341">
        <v>0</v>
      </c>
      <c r="AL10" s="341">
        <v>0</v>
      </c>
      <c r="AM10" s="341">
        <v>0</v>
      </c>
      <c r="AN10" s="341">
        <v>0</v>
      </c>
      <c r="AO10" s="341">
        <v>0</v>
      </c>
      <c r="AP10" s="341">
        <v>0</v>
      </c>
      <c r="AQ10" s="341">
        <v>0</v>
      </c>
      <c r="AR10" s="341">
        <v>0</v>
      </c>
      <c r="AS10" s="341">
        <v>0</v>
      </c>
      <c r="AT10" s="341">
        <v>0</v>
      </c>
      <c r="AU10" s="341">
        <v>0</v>
      </c>
      <c r="AV10" s="341">
        <v>0</v>
      </c>
      <c r="AW10" s="341">
        <v>0</v>
      </c>
      <c r="AX10" s="341">
        <v>0</v>
      </c>
      <c r="AY10" s="341">
        <v>0</v>
      </c>
      <c r="AZ10" s="341">
        <v>0</v>
      </c>
      <c r="BA10" s="341">
        <v>0</v>
      </c>
      <c r="BB10" s="341">
        <v>0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>
        <v>0</v>
      </c>
      <c r="BM10" s="341">
        <v>0</v>
      </c>
      <c r="BN10" s="341">
        <v>0</v>
      </c>
      <c r="BO10" s="341">
        <v>0</v>
      </c>
      <c r="BP10" s="341">
        <v>0</v>
      </c>
      <c r="BQ10" s="341">
        <v>0</v>
      </c>
      <c r="BR10" s="341">
        <v>0</v>
      </c>
      <c r="BS10" s="341">
        <v>0</v>
      </c>
      <c r="BT10" s="341">
        <v>0</v>
      </c>
      <c r="BU10" s="341">
        <v>0</v>
      </c>
      <c r="BV10" s="341">
        <v>0</v>
      </c>
      <c r="BW10" s="341">
        <v>0</v>
      </c>
      <c r="BX10" s="341">
        <v>0</v>
      </c>
      <c r="BY10" s="341">
        <v>0</v>
      </c>
      <c r="BZ10" s="341">
        <v>0</v>
      </c>
      <c r="CA10" s="341">
        <v>0</v>
      </c>
      <c r="CB10" s="341">
        <v>0</v>
      </c>
      <c r="CC10" s="341">
        <v>0</v>
      </c>
      <c r="CD10" s="341">
        <v>0</v>
      </c>
      <c r="CE10" s="341">
        <v>0</v>
      </c>
      <c r="CF10" s="341">
        <v>0</v>
      </c>
      <c r="CG10" s="341">
        <v>0</v>
      </c>
      <c r="CH10" s="341">
        <v>0</v>
      </c>
      <c r="CI10" s="341">
        <v>0</v>
      </c>
      <c r="CJ10" s="341">
        <v>0</v>
      </c>
      <c r="CK10" s="341">
        <v>0</v>
      </c>
      <c r="CL10" s="341">
        <v>0</v>
      </c>
      <c r="CM10" s="341">
        <v>0</v>
      </c>
      <c r="CN10" s="341">
        <v>0</v>
      </c>
      <c r="CO10" s="341">
        <v>0</v>
      </c>
      <c r="CP10" s="341">
        <v>0</v>
      </c>
      <c r="CQ10" s="341">
        <v>0</v>
      </c>
      <c r="CR10" s="341">
        <v>0</v>
      </c>
      <c r="CS10" s="341">
        <v>0</v>
      </c>
      <c r="CT10" s="341">
        <v>0</v>
      </c>
      <c r="CU10" s="341">
        <v>0</v>
      </c>
      <c r="CV10" s="341">
        <v>0</v>
      </c>
      <c r="CW10" s="341">
        <v>0</v>
      </c>
      <c r="CX10" s="341">
        <v>0</v>
      </c>
      <c r="CY10" s="341">
        <v>0</v>
      </c>
      <c r="CZ10" s="341">
        <v>0</v>
      </c>
      <c r="DA10" s="341">
        <v>0</v>
      </c>
    </row>
    <row r="11" spans="1:105">
      <c r="A11" s="310" t="s">
        <v>450</v>
      </c>
      <c r="B11" s="341">
        <v>0</v>
      </c>
      <c r="C11" s="341">
        <v>0</v>
      </c>
      <c r="D11" s="341">
        <v>0</v>
      </c>
      <c r="E11" s="341">
        <v>0</v>
      </c>
      <c r="F11" s="341">
        <v>0</v>
      </c>
      <c r="G11" s="341">
        <v>0</v>
      </c>
      <c r="H11" s="341">
        <v>0</v>
      </c>
      <c r="I11" s="341">
        <v>0</v>
      </c>
      <c r="J11" s="341">
        <v>0</v>
      </c>
      <c r="K11" s="341">
        <v>0</v>
      </c>
      <c r="L11" s="341">
        <v>0</v>
      </c>
      <c r="M11" s="341">
        <v>0</v>
      </c>
      <c r="N11" s="341">
        <v>0</v>
      </c>
      <c r="O11" s="341">
        <v>0</v>
      </c>
      <c r="P11" s="341">
        <v>0</v>
      </c>
      <c r="Q11" s="341">
        <v>0</v>
      </c>
      <c r="R11" s="341">
        <v>0</v>
      </c>
      <c r="S11" s="341">
        <v>0</v>
      </c>
      <c r="T11" s="341">
        <v>0</v>
      </c>
      <c r="U11" s="341">
        <v>0</v>
      </c>
      <c r="V11" s="341">
        <v>0</v>
      </c>
      <c r="W11" s="341">
        <v>0</v>
      </c>
      <c r="X11" s="341">
        <v>0</v>
      </c>
      <c r="Y11" s="341">
        <v>0</v>
      </c>
      <c r="Z11" s="341">
        <v>0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  <c r="CW11" s="341">
        <v>0</v>
      </c>
      <c r="CX11" s="341">
        <v>0</v>
      </c>
      <c r="CY11" s="341">
        <v>0</v>
      </c>
      <c r="CZ11" s="341">
        <v>0</v>
      </c>
      <c r="DA11" s="341">
        <v>0</v>
      </c>
    </row>
    <row r="12" spans="1:105">
      <c r="A12" s="310" t="s">
        <v>451</v>
      </c>
      <c r="B12" s="341">
        <v>0</v>
      </c>
      <c r="C12" s="341">
        <v>0</v>
      </c>
      <c r="D12" s="341">
        <v>0</v>
      </c>
      <c r="E12" s="341">
        <v>0</v>
      </c>
      <c r="F12" s="341">
        <v>0</v>
      </c>
      <c r="G12" s="341">
        <v>0</v>
      </c>
      <c r="H12" s="341">
        <v>0</v>
      </c>
      <c r="I12" s="341">
        <v>0</v>
      </c>
      <c r="J12" s="341">
        <v>0</v>
      </c>
      <c r="K12" s="341">
        <v>0</v>
      </c>
      <c r="L12" s="341">
        <v>0</v>
      </c>
      <c r="M12" s="341">
        <v>0</v>
      </c>
      <c r="N12" s="341">
        <v>0</v>
      </c>
      <c r="O12" s="341">
        <v>0</v>
      </c>
      <c r="P12" s="341">
        <v>0</v>
      </c>
      <c r="Q12" s="341">
        <v>0</v>
      </c>
      <c r="R12" s="341">
        <v>0</v>
      </c>
      <c r="S12" s="341">
        <v>0</v>
      </c>
      <c r="T12" s="341">
        <v>0</v>
      </c>
      <c r="U12" s="341">
        <v>0</v>
      </c>
      <c r="V12" s="341">
        <v>0</v>
      </c>
      <c r="W12" s="341">
        <v>0</v>
      </c>
      <c r="X12" s="341">
        <v>0</v>
      </c>
      <c r="Y12" s="341">
        <v>0</v>
      </c>
      <c r="Z12" s="341">
        <v>0</v>
      </c>
      <c r="AA12" s="341">
        <v>0</v>
      </c>
      <c r="AB12" s="341">
        <v>0</v>
      </c>
      <c r="AC12" s="341">
        <v>0</v>
      </c>
      <c r="AD12" s="341">
        <v>0</v>
      </c>
      <c r="AE12" s="341">
        <v>0</v>
      </c>
      <c r="AF12" s="341">
        <v>0</v>
      </c>
      <c r="AG12" s="341">
        <v>0.89</v>
      </c>
      <c r="AH12" s="341">
        <v>0</v>
      </c>
      <c r="AI12" s="341">
        <v>0</v>
      </c>
      <c r="AJ12" s="341">
        <v>0</v>
      </c>
      <c r="AK12" s="341">
        <v>0</v>
      </c>
      <c r="AL12" s="341">
        <v>0</v>
      </c>
      <c r="AM12" s="341">
        <v>0</v>
      </c>
      <c r="AN12" s="341">
        <v>0</v>
      </c>
      <c r="AO12" s="341">
        <v>0</v>
      </c>
      <c r="AP12" s="341">
        <v>0</v>
      </c>
      <c r="AQ12" s="341">
        <v>0</v>
      </c>
      <c r="AR12" s="341">
        <v>0</v>
      </c>
      <c r="AS12" s="341">
        <v>0</v>
      </c>
      <c r="AT12" s="341">
        <v>0</v>
      </c>
      <c r="AU12" s="341">
        <v>0</v>
      </c>
      <c r="AV12" s="341">
        <v>0</v>
      </c>
      <c r="AW12" s="341">
        <v>0</v>
      </c>
      <c r="AX12" s="341">
        <v>0</v>
      </c>
      <c r="AY12" s="341">
        <v>0</v>
      </c>
      <c r="AZ12" s="341">
        <v>0</v>
      </c>
      <c r="BA12" s="341">
        <v>0</v>
      </c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>
        <v>0</v>
      </c>
      <c r="BM12" s="341">
        <v>0</v>
      </c>
      <c r="BN12" s="341">
        <v>0</v>
      </c>
      <c r="BO12" s="341">
        <v>0</v>
      </c>
      <c r="BP12" s="341">
        <v>0</v>
      </c>
      <c r="BQ12" s="341">
        <v>0</v>
      </c>
      <c r="BR12" s="341">
        <v>0</v>
      </c>
      <c r="BS12" s="341">
        <v>0</v>
      </c>
      <c r="BT12" s="341">
        <v>0</v>
      </c>
      <c r="BU12" s="341">
        <v>0</v>
      </c>
      <c r="BV12" s="341">
        <v>0</v>
      </c>
      <c r="BW12" s="341">
        <v>0</v>
      </c>
      <c r="BX12" s="341">
        <v>0</v>
      </c>
      <c r="BY12" s="341">
        <v>0</v>
      </c>
      <c r="BZ12" s="341">
        <v>0</v>
      </c>
      <c r="CA12" s="341">
        <v>0</v>
      </c>
      <c r="CB12" s="341">
        <v>0</v>
      </c>
      <c r="CC12" s="341">
        <v>0</v>
      </c>
      <c r="CD12" s="341">
        <v>0</v>
      </c>
      <c r="CE12" s="341">
        <v>0</v>
      </c>
      <c r="CF12" s="341">
        <v>0</v>
      </c>
      <c r="CG12" s="341">
        <v>0</v>
      </c>
      <c r="CH12" s="341">
        <v>0</v>
      </c>
      <c r="CI12" s="341">
        <v>0</v>
      </c>
      <c r="CJ12" s="341">
        <v>0</v>
      </c>
      <c r="CK12" s="341">
        <v>0</v>
      </c>
      <c r="CL12" s="341">
        <v>0</v>
      </c>
      <c r="CM12" s="341">
        <v>0</v>
      </c>
      <c r="CN12" s="341">
        <v>0</v>
      </c>
      <c r="CO12" s="341">
        <v>0</v>
      </c>
      <c r="CP12" s="341">
        <v>0</v>
      </c>
      <c r="CQ12" s="341">
        <v>0</v>
      </c>
      <c r="CR12" s="341">
        <v>0</v>
      </c>
      <c r="CS12" s="341">
        <v>0</v>
      </c>
      <c r="CT12" s="341">
        <v>0</v>
      </c>
      <c r="CU12" s="341">
        <v>0</v>
      </c>
      <c r="CV12" s="341">
        <v>0</v>
      </c>
      <c r="CW12" s="341">
        <v>0</v>
      </c>
      <c r="CX12" s="341">
        <v>0</v>
      </c>
      <c r="CY12" s="341">
        <v>0</v>
      </c>
      <c r="CZ12" s="341">
        <v>0</v>
      </c>
      <c r="DA12" s="341">
        <v>0</v>
      </c>
    </row>
    <row r="13" spans="1:105">
      <c r="A13" s="310" t="s">
        <v>452</v>
      </c>
      <c r="B13" s="341">
        <v>0</v>
      </c>
      <c r="C13" s="341">
        <v>0</v>
      </c>
      <c r="D13" s="341">
        <v>0</v>
      </c>
      <c r="E13" s="341">
        <v>0</v>
      </c>
      <c r="F13" s="341">
        <v>0</v>
      </c>
      <c r="G13" s="341">
        <v>0</v>
      </c>
      <c r="H13" s="341">
        <v>0</v>
      </c>
      <c r="I13" s="341">
        <v>0</v>
      </c>
      <c r="J13" s="341">
        <v>0</v>
      </c>
      <c r="K13" s="341">
        <v>0</v>
      </c>
      <c r="L13" s="341">
        <v>0</v>
      </c>
      <c r="M13" s="341">
        <v>0</v>
      </c>
      <c r="N13" s="341">
        <v>0</v>
      </c>
      <c r="O13" s="341">
        <v>0</v>
      </c>
      <c r="P13" s="341">
        <v>0</v>
      </c>
      <c r="Q13" s="341">
        <v>0</v>
      </c>
      <c r="R13" s="341">
        <v>0</v>
      </c>
      <c r="S13" s="341">
        <v>0</v>
      </c>
      <c r="T13" s="341">
        <v>0</v>
      </c>
      <c r="U13" s="341">
        <v>0</v>
      </c>
      <c r="V13" s="341">
        <v>0</v>
      </c>
      <c r="W13" s="341">
        <v>0</v>
      </c>
      <c r="X13" s="341">
        <v>0</v>
      </c>
      <c r="Y13" s="341">
        <v>0</v>
      </c>
      <c r="Z13" s="341">
        <v>0</v>
      </c>
      <c r="AA13" s="341">
        <v>0</v>
      </c>
      <c r="AB13" s="341">
        <v>0</v>
      </c>
      <c r="AC13" s="341">
        <v>0</v>
      </c>
      <c r="AD13" s="341">
        <v>0</v>
      </c>
      <c r="AE13" s="341">
        <v>0</v>
      </c>
      <c r="AF13" s="341">
        <v>0</v>
      </c>
      <c r="AG13" s="341">
        <v>1.5</v>
      </c>
      <c r="AH13" s="341">
        <v>0</v>
      </c>
      <c r="AI13" s="341">
        <v>0</v>
      </c>
      <c r="AJ13" s="341">
        <v>0</v>
      </c>
      <c r="AK13" s="341">
        <v>0</v>
      </c>
      <c r="AL13" s="341">
        <v>0</v>
      </c>
      <c r="AM13" s="341">
        <v>0</v>
      </c>
      <c r="AN13" s="341">
        <v>0</v>
      </c>
      <c r="AO13" s="341">
        <v>0</v>
      </c>
      <c r="AP13" s="341">
        <v>0</v>
      </c>
      <c r="AQ13" s="341">
        <v>0</v>
      </c>
      <c r="AR13" s="341">
        <v>0</v>
      </c>
      <c r="AS13" s="341">
        <v>0</v>
      </c>
      <c r="AT13" s="341">
        <v>0</v>
      </c>
      <c r="AU13" s="341">
        <v>0</v>
      </c>
      <c r="AV13" s="341">
        <v>0</v>
      </c>
      <c r="AW13" s="341">
        <v>0</v>
      </c>
      <c r="AX13" s="341">
        <v>0</v>
      </c>
      <c r="AY13" s="341">
        <v>0</v>
      </c>
      <c r="AZ13" s="341">
        <v>0</v>
      </c>
      <c r="BA13" s="341">
        <v>0</v>
      </c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>
        <v>0</v>
      </c>
      <c r="BM13" s="341">
        <v>0</v>
      </c>
      <c r="BN13" s="341">
        <v>0</v>
      </c>
      <c r="BO13" s="341">
        <v>0</v>
      </c>
      <c r="BP13" s="341">
        <v>0</v>
      </c>
      <c r="BQ13" s="341">
        <v>0</v>
      </c>
      <c r="BR13" s="341">
        <v>0</v>
      </c>
      <c r="BS13" s="341">
        <v>0</v>
      </c>
      <c r="BT13" s="341">
        <v>0</v>
      </c>
      <c r="BU13" s="341">
        <v>0</v>
      </c>
      <c r="BV13" s="341">
        <v>0</v>
      </c>
      <c r="BW13" s="341">
        <v>0</v>
      </c>
      <c r="BX13" s="341">
        <v>0</v>
      </c>
      <c r="BY13" s="341">
        <v>0</v>
      </c>
      <c r="BZ13" s="341">
        <v>0</v>
      </c>
      <c r="CA13" s="341">
        <v>0</v>
      </c>
      <c r="CB13" s="341">
        <v>0</v>
      </c>
      <c r="CC13" s="341">
        <v>0</v>
      </c>
      <c r="CD13" s="341">
        <v>0</v>
      </c>
      <c r="CE13" s="341">
        <v>0</v>
      </c>
      <c r="CF13" s="341">
        <v>0</v>
      </c>
      <c r="CG13" s="341">
        <v>0</v>
      </c>
      <c r="CH13" s="341">
        <v>0</v>
      </c>
      <c r="CI13" s="341">
        <v>0</v>
      </c>
      <c r="CJ13" s="341">
        <v>0</v>
      </c>
      <c r="CK13" s="341">
        <v>0</v>
      </c>
      <c r="CL13" s="341">
        <v>0</v>
      </c>
      <c r="CM13" s="341">
        <v>0</v>
      </c>
      <c r="CN13" s="341">
        <v>0</v>
      </c>
      <c r="CO13" s="341">
        <v>0</v>
      </c>
      <c r="CP13" s="341">
        <v>0</v>
      </c>
      <c r="CQ13" s="341">
        <v>0</v>
      </c>
      <c r="CR13" s="341">
        <v>0</v>
      </c>
      <c r="CS13" s="341">
        <v>0</v>
      </c>
      <c r="CT13" s="341">
        <v>0</v>
      </c>
      <c r="CU13" s="341">
        <v>0</v>
      </c>
      <c r="CV13" s="341">
        <v>0</v>
      </c>
      <c r="CW13" s="341">
        <v>0</v>
      </c>
      <c r="CX13" s="341">
        <v>0</v>
      </c>
      <c r="CY13" s="341">
        <v>0</v>
      </c>
      <c r="CZ13" s="341">
        <v>0</v>
      </c>
      <c r="DA13" s="341">
        <v>0</v>
      </c>
    </row>
    <row r="14" spans="1:105">
      <c r="A14" s="310" t="s">
        <v>340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>
        <v>0</v>
      </c>
      <c r="L14" s="341">
        <v>0</v>
      </c>
      <c r="M14" s="341">
        <v>0</v>
      </c>
      <c r="N14" s="341">
        <v>0</v>
      </c>
      <c r="O14" s="341">
        <v>0</v>
      </c>
      <c r="P14" s="341">
        <v>0</v>
      </c>
      <c r="Q14" s="341">
        <v>0</v>
      </c>
      <c r="R14" s="341">
        <v>0</v>
      </c>
      <c r="S14" s="341">
        <v>0</v>
      </c>
      <c r="T14" s="341">
        <v>0</v>
      </c>
      <c r="U14" s="341">
        <v>0</v>
      </c>
      <c r="V14" s="341">
        <v>0</v>
      </c>
      <c r="W14" s="341">
        <v>0</v>
      </c>
      <c r="X14" s="341">
        <v>0</v>
      </c>
      <c r="Y14" s="341">
        <v>0</v>
      </c>
      <c r="Z14" s="341">
        <v>0</v>
      </c>
      <c r="AA14" s="341">
        <v>0</v>
      </c>
      <c r="AB14" s="341">
        <v>0</v>
      </c>
      <c r="AC14" s="341">
        <v>0</v>
      </c>
      <c r="AD14" s="341">
        <v>0</v>
      </c>
      <c r="AE14" s="341">
        <v>0</v>
      </c>
      <c r="AF14" s="341">
        <v>0</v>
      </c>
      <c r="AG14" s="341">
        <v>0</v>
      </c>
      <c r="AH14" s="341">
        <v>0</v>
      </c>
      <c r="AI14" s="341">
        <v>0</v>
      </c>
      <c r="AJ14" s="341">
        <v>0</v>
      </c>
      <c r="AK14" s="341">
        <v>0</v>
      </c>
      <c r="AL14" s="341">
        <v>0</v>
      </c>
      <c r="AM14" s="341">
        <v>0</v>
      </c>
      <c r="AN14" s="341">
        <v>0</v>
      </c>
      <c r="AO14" s="341">
        <v>0</v>
      </c>
      <c r="AP14" s="341">
        <v>0</v>
      </c>
      <c r="AQ14" s="341">
        <v>0</v>
      </c>
      <c r="AR14" s="341">
        <v>0</v>
      </c>
      <c r="AS14" s="341">
        <v>0</v>
      </c>
      <c r="AT14" s="341">
        <v>0</v>
      </c>
      <c r="AU14" s="341">
        <v>0</v>
      </c>
      <c r="AV14" s="341">
        <v>0</v>
      </c>
      <c r="AW14" s="341">
        <v>0</v>
      </c>
      <c r="AX14" s="341">
        <v>0</v>
      </c>
      <c r="AY14" s="341">
        <v>0</v>
      </c>
      <c r="AZ14" s="341">
        <v>0</v>
      </c>
      <c r="BA14" s="341">
        <v>0</v>
      </c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>
        <v>0</v>
      </c>
      <c r="BM14" s="341">
        <v>0</v>
      </c>
      <c r="BN14" s="341">
        <v>0</v>
      </c>
      <c r="BO14" s="341">
        <v>0</v>
      </c>
      <c r="BP14" s="341">
        <v>0</v>
      </c>
      <c r="BQ14" s="341">
        <v>0</v>
      </c>
      <c r="BR14" s="341">
        <v>0</v>
      </c>
      <c r="BS14" s="341">
        <v>0</v>
      </c>
      <c r="BT14" s="341">
        <v>0</v>
      </c>
      <c r="BU14" s="341">
        <v>0</v>
      </c>
      <c r="BV14" s="341">
        <v>0</v>
      </c>
      <c r="BW14" s="341">
        <v>0</v>
      </c>
      <c r="BX14" s="341">
        <v>0</v>
      </c>
      <c r="BY14" s="341">
        <v>0</v>
      </c>
      <c r="BZ14" s="341">
        <v>0</v>
      </c>
      <c r="CA14" s="341">
        <v>0</v>
      </c>
      <c r="CB14" s="341">
        <v>0</v>
      </c>
      <c r="CC14" s="341">
        <v>0</v>
      </c>
      <c r="CD14" s="341">
        <v>0</v>
      </c>
      <c r="CE14" s="341">
        <v>0</v>
      </c>
      <c r="CF14" s="341">
        <v>0</v>
      </c>
      <c r="CG14" s="341">
        <v>0</v>
      </c>
      <c r="CH14" s="341">
        <v>0</v>
      </c>
      <c r="CI14" s="341">
        <v>0</v>
      </c>
      <c r="CJ14" s="341">
        <v>0</v>
      </c>
      <c r="CK14" s="341">
        <v>0</v>
      </c>
      <c r="CL14" s="341">
        <v>0</v>
      </c>
      <c r="CM14" s="341">
        <v>0</v>
      </c>
      <c r="CN14" s="341">
        <v>0</v>
      </c>
      <c r="CO14" s="341">
        <v>0</v>
      </c>
      <c r="CP14" s="341">
        <v>0</v>
      </c>
      <c r="CQ14" s="341">
        <v>0</v>
      </c>
      <c r="CR14" s="341">
        <v>0</v>
      </c>
      <c r="CS14" s="341">
        <v>0</v>
      </c>
      <c r="CT14" s="341">
        <v>0</v>
      </c>
      <c r="CU14" s="341">
        <v>0</v>
      </c>
      <c r="CV14" s="341">
        <v>0</v>
      </c>
      <c r="CW14" s="341">
        <v>0</v>
      </c>
      <c r="CX14" s="341">
        <v>0</v>
      </c>
      <c r="CY14" s="341">
        <v>0</v>
      </c>
      <c r="CZ14" s="341">
        <v>0</v>
      </c>
      <c r="DA14" s="341">
        <v>0</v>
      </c>
    </row>
    <row r="15" spans="1:105">
      <c r="A15" s="310" t="s">
        <v>287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>
        <v>0</v>
      </c>
      <c r="R15" s="341">
        <v>0</v>
      </c>
      <c r="S15" s="341">
        <v>0</v>
      </c>
      <c r="T15" s="341">
        <v>0</v>
      </c>
      <c r="U15" s="341">
        <v>0</v>
      </c>
      <c r="V15" s="341">
        <v>0</v>
      </c>
      <c r="W15" s="341">
        <v>0</v>
      </c>
      <c r="X15" s="341">
        <v>0</v>
      </c>
      <c r="Y15" s="341">
        <v>0</v>
      </c>
      <c r="Z15" s="341">
        <f>'CF Capex'!Q11</f>
        <v>50</v>
      </c>
      <c r="AA15" s="341">
        <v>0</v>
      </c>
      <c r="AB15" s="341">
        <v>0</v>
      </c>
      <c r="AC15" s="341">
        <v>0</v>
      </c>
      <c r="AD15" s="341">
        <v>0</v>
      </c>
      <c r="AE15" s="341">
        <v>0</v>
      </c>
      <c r="AF15" s="341">
        <v>0</v>
      </c>
      <c r="AG15" s="341">
        <v>0</v>
      </c>
      <c r="AH15" s="341">
        <v>0</v>
      </c>
      <c r="AI15" s="341">
        <v>0</v>
      </c>
      <c r="AJ15" s="341">
        <v>0</v>
      </c>
      <c r="AK15" s="341">
        <v>0</v>
      </c>
      <c r="AL15" s="341">
        <v>0</v>
      </c>
      <c r="AM15" s="341">
        <v>0</v>
      </c>
      <c r="AN15" s="341">
        <v>0</v>
      </c>
      <c r="AO15" s="341">
        <v>0</v>
      </c>
      <c r="AP15" s="341">
        <v>0</v>
      </c>
      <c r="AQ15" s="341">
        <v>0</v>
      </c>
      <c r="AR15" s="341">
        <v>0</v>
      </c>
      <c r="AS15" s="341">
        <v>0</v>
      </c>
      <c r="AT15" s="341">
        <v>0</v>
      </c>
      <c r="AU15" s="341">
        <v>0</v>
      </c>
      <c r="AV15" s="341">
        <v>0</v>
      </c>
      <c r="AW15" s="341">
        <v>0</v>
      </c>
      <c r="AX15" s="341">
        <v>0</v>
      </c>
      <c r="AY15" s="341">
        <v>0</v>
      </c>
      <c r="AZ15" s="341">
        <v>0</v>
      </c>
      <c r="BA15" s="341">
        <v>0</v>
      </c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>
        <v>0</v>
      </c>
      <c r="BM15" s="341">
        <v>0</v>
      </c>
      <c r="BN15" s="341">
        <v>0</v>
      </c>
      <c r="BO15" s="341">
        <v>0</v>
      </c>
      <c r="BP15" s="341">
        <v>0</v>
      </c>
      <c r="BQ15" s="341">
        <v>0</v>
      </c>
      <c r="BR15" s="341">
        <v>0</v>
      </c>
      <c r="BS15" s="341">
        <v>0</v>
      </c>
      <c r="BT15" s="341">
        <v>0</v>
      </c>
      <c r="BU15" s="341">
        <v>0</v>
      </c>
      <c r="BV15" s="341">
        <v>0</v>
      </c>
      <c r="BW15" s="341">
        <v>0</v>
      </c>
      <c r="BX15" s="341">
        <v>0</v>
      </c>
      <c r="BY15" s="341">
        <v>0</v>
      </c>
      <c r="BZ15" s="341">
        <v>0</v>
      </c>
      <c r="CA15" s="341">
        <v>0</v>
      </c>
      <c r="CB15" s="341">
        <v>0</v>
      </c>
      <c r="CC15" s="341">
        <v>0</v>
      </c>
      <c r="CD15" s="341">
        <v>0</v>
      </c>
      <c r="CE15" s="341">
        <v>0</v>
      </c>
      <c r="CF15" s="341">
        <v>0</v>
      </c>
      <c r="CG15" s="341">
        <v>0</v>
      </c>
      <c r="CH15" s="341">
        <v>0</v>
      </c>
      <c r="CI15" s="341">
        <v>0</v>
      </c>
      <c r="CJ15" s="341">
        <v>0</v>
      </c>
      <c r="CK15" s="341">
        <v>0</v>
      </c>
      <c r="CL15" s="341">
        <v>0</v>
      </c>
      <c r="CM15" s="341">
        <v>0</v>
      </c>
      <c r="CN15" s="341">
        <v>0</v>
      </c>
      <c r="CO15" s="341">
        <v>0</v>
      </c>
      <c r="CP15" s="341">
        <v>0</v>
      </c>
      <c r="CQ15" s="341">
        <v>0</v>
      </c>
      <c r="CR15" s="341">
        <v>0</v>
      </c>
      <c r="CS15" s="341">
        <v>0</v>
      </c>
      <c r="CT15" s="341">
        <v>0</v>
      </c>
      <c r="CU15" s="341">
        <v>0</v>
      </c>
      <c r="CV15" s="341">
        <v>0</v>
      </c>
      <c r="CW15" s="341">
        <v>0</v>
      </c>
      <c r="CX15" s="341">
        <v>0</v>
      </c>
      <c r="CY15" s="341">
        <v>0</v>
      </c>
      <c r="CZ15" s="341">
        <v>0</v>
      </c>
      <c r="DA15" s="341">
        <v>0</v>
      </c>
    </row>
    <row r="16" spans="1:105">
      <c r="A16" s="310" t="s">
        <v>453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f>'CF Capex'!P13-'CF Capex'!P11</f>
        <v>2.67</v>
      </c>
      <c r="Z16" s="341">
        <f>'CF Capex'!Q13-'CF Capex'!Q11</f>
        <v>0.17000000000000171</v>
      </c>
      <c r="AA16" s="341">
        <f>'CF Capex'!R13-'CF Capex'!R11</f>
        <v>1.1921599999999999</v>
      </c>
      <c r="AB16" s="341">
        <f>'CF Capex'!S13-'CF Capex'!S11</f>
        <v>8.5776136336539537</v>
      </c>
      <c r="AC16" s="341">
        <f>'CF Capex'!T13-'CF Capex'!T11</f>
        <v>10.127296812004001</v>
      </c>
      <c r="AD16" s="341">
        <f>'CF Capex'!U13-'CF Capex'!U11</f>
        <v>13.0501621009</v>
      </c>
      <c r="AE16" s="341">
        <f>'CF Capex'!V13-'CF Capex'!V11</f>
        <v>10.694108543692005</v>
      </c>
      <c r="AF16" s="341">
        <f>'CF Capex'!W13-'CF Capex'!W11</f>
        <v>10.211589258947999</v>
      </c>
      <c r="AG16" s="341">
        <f>'CF Capex'!X13-'CF Capex'!X11</f>
        <v>10.057474174669068</v>
      </c>
      <c r="AH16" s="341">
        <f>'CF Capex'!Y13-'CF Capex'!Y11</f>
        <v>3.973232712528</v>
      </c>
      <c r="AI16" s="341">
        <f>'CF Capex'!Z13-'CF Capex'!Z11</f>
        <v>4.8313522728775036</v>
      </c>
      <c r="AJ16" s="341">
        <f>'CF Capex'!AA13-'CF Capex'!AA11</f>
        <v>3.0173961251520001</v>
      </c>
      <c r="AK16" s="341">
        <f>'CF Capex'!AB13-'CF Capex'!AB11</f>
        <v>3.8466982511909116</v>
      </c>
      <c r="AL16" s="341">
        <f>'CF Capex'!AC13-'CF Capex'!AC11</f>
        <v>2.9106839999999998</v>
      </c>
      <c r="AM16" s="341">
        <f>'CF Capex'!AD13-'CF Capex'!AD11</f>
        <v>18.026942399999999</v>
      </c>
      <c r="AN16" s="341">
        <f>'CF Capex'!AE13-'CF Capex'!AE11</f>
        <v>1.0878015000000001</v>
      </c>
      <c r="AO16" s="341">
        <f>'CF Capex'!AF13-'CF Capex'!AF11</f>
        <v>0.80965799999999999</v>
      </c>
      <c r="AP16" s="341">
        <f>'CF Capex'!AG13-'CF Capex'!AG11</f>
        <v>2.8465962730000003</v>
      </c>
      <c r="AQ16" s="341">
        <f>'CF Capex'!AH13-'CF Capex'!AH11</f>
        <v>0</v>
      </c>
      <c r="AR16" s="341">
        <f>'CF Capex'!AI13-'CF Capex'!AI11</f>
        <v>0</v>
      </c>
      <c r="AS16" s="341">
        <f>'CF Capex'!AJ13-'CF Capex'!AJ11</f>
        <v>0</v>
      </c>
      <c r="AT16" s="341">
        <f>'CF Capex'!AK13-'CF Capex'!AK11</f>
        <v>0</v>
      </c>
      <c r="AU16" s="341">
        <f>'CF Capex'!AL13-'CF Capex'!AL11</f>
        <v>0</v>
      </c>
      <c r="AV16" s="341">
        <f>'CF Capex'!AM13-'CF Capex'!AM11</f>
        <v>0</v>
      </c>
      <c r="AW16" s="341">
        <f>'CF Capex'!AN13-'CF Capex'!AN11</f>
        <v>0</v>
      </c>
      <c r="AX16" s="341">
        <f>'CF Capex'!AO13-'CF Capex'!AO11</f>
        <v>0</v>
      </c>
      <c r="AY16" s="341">
        <f>'CF Capex'!AP13-'CF Capex'!AP11</f>
        <v>0</v>
      </c>
      <c r="AZ16" s="341">
        <f>'CF Capex'!AQ13-'CF Capex'!AQ11</f>
        <v>0</v>
      </c>
      <c r="BA16" s="341">
        <f>'CF Capex'!AR13-'CF Capex'!AR11</f>
        <v>0</v>
      </c>
      <c r="BB16" s="341">
        <f>'CF Capex'!AS13-'CF Capex'!AS11</f>
        <v>0</v>
      </c>
      <c r="BC16" s="341">
        <f>'CF Capex'!AT13-'CF Capex'!AT11</f>
        <v>0</v>
      </c>
      <c r="BD16" s="341">
        <f>'CF Capex'!AU13-'CF Capex'!AU11</f>
        <v>0</v>
      </c>
      <c r="BE16" s="341">
        <f>'CF Capex'!AV13-'CF Capex'!AV11</f>
        <v>0</v>
      </c>
      <c r="BF16" s="341">
        <f>'CF Capex'!AW13-'CF Capex'!AW11</f>
        <v>0</v>
      </c>
      <c r="BG16" s="341">
        <f>'CF Capex'!AX13-'CF Capex'!AX11</f>
        <v>0</v>
      </c>
      <c r="BH16" s="341">
        <f>'CF Capex'!AY13-'CF Capex'!AY11</f>
        <v>0</v>
      </c>
      <c r="BI16" s="341">
        <f>'CF Capex'!AZ13-'CF Capex'!AZ11</f>
        <v>0</v>
      </c>
      <c r="BJ16" s="341">
        <f>'CF Capex'!BA13-'CF Capex'!BA11</f>
        <v>0</v>
      </c>
      <c r="BK16" s="341">
        <f>'CF Capex'!BB13-'CF Capex'!BB11</f>
        <v>0</v>
      </c>
      <c r="BL16" s="341">
        <f>'CF Capex'!BC13-'CF Capex'!BC11</f>
        <v>0</v>
      </c>
      <c r="BM16" s="341">
        <f>'CF Capex'!BD13-'CF Capex'!BD11</f>
        <v>0</v>
      </c>
      <c r="BN16" s="341">
        <f>'CF Capex'!BE13-'CF Capex'!BE11</f>
        <v>0</v>
      </c>
      <c r="BO16" s="341">
        <f>'CF Capex'!BF13-'CF Capex'!BF11</f>
        <v>0</v>
      </c>
      <c r="BP16" s="341">
        <f>'CF Capex'!BG13-'CF Capex'!BG11</f>
        <v>0</v>
      </c>
      <c r="BQ16" s="341">
        <f>'CF Capex'!BH13-'CF Capex'!BH11</f>
        <v>0</v>
      </c>
      <c r="BR16" s="341">
        <f>'CF Capex'!BI13-'CF Capex'!BI11</f>
        <v>0</v>
      </c>
      <c r="BS16" s="341">
        <f>'CF Capex'!BJ13-'CF Capex'!BJ11</f>
        <v>0</v>
      </c>
      <c r="BT16" s="341">
        <f>'CF Capex'!BK13-'CF Capex'!BK11</f>
        <v>0</v>
      </c>
      <c r="BU16" s="341">
        <f>'CF Capex'!BL13-'CF Capex'!BL11</f>
        <v>0</v>
      </c>
      <c r="BV16" s="341">
        <f>'CF Capex'!BM13-'CF Capex'!BM11</f>
        <v>0</v>
      </c>
      <c r="BW16" s="341">
        <f>'CF Capex'!BN13-'CF Capex'!BN11</f>
        <v>0</v>
      </c>
      <c r="BX16" s="341">
        <f>'CF Capex'!BO13-'CF Capex'!BO11</f>
        <v>0</v>
      </c>
      <c r="BY16" s="341">
        <f>'CF Capex'!BP13-'CF Capex'!BP11</f>
        <v>0</v>
      </c>
      <c r="BZ16" s="341">
        <f>'CF Capex'!BQ13-'CF Capex'!BQ11</f>
        <v>0</v>
      </c>
      <c r="CA16" s="341">
        <f>'CF Capex'!BR13-'CF Capex'!BR11</f>
        <v>0</v>
      </c>
      <c r="CB16" s="341">
        <f>'CF Capex'!BS13-'CF Capex'!BS11</f>
        <v>0</v>
      </c>
      <c r="CC16" s="341">
        <f>'CF Capex'!BT13-'CF Capex'!BT11</f>
        <v>0</v>
      </c>
      <c r="CD16" s="341">
        <f>'CF Capex'!BU13-'CF Capex'!BU11</f>
        <v>0</v>
      </c>
      <c r="CE16" s="341">
        <f>'CF Capex'!BV13-'CF Capex'!BV11</f>
        <v>0</v>
      </c>
      <c r="CF16" s="341">
        <f>'CF Capex'!BW13-'CF Capex'!BW11</f>
        <v>0</v>
      </c>
      <c r="CG16" s="341">
        <f>'CF Capex'!BX13-'CF Capex'!BX11</f>
        <v>0</v>
      </c>
      <c r="CH16" s="341">
        <f>'CF Capex'!BY13-'CF Capex'!BY11</f>
        <v>0</v>
      </c>
      <c r="CI16" s="341">
        <f>'CF Capex'!BZ13-'CF Capex'!BZ11</f>
        <v>0</v>
      </c>
      <c r="CJ16" s="341">
        <f>'CF Capex'!CA13-'CF Capex'!CA11</f>
        <v>0</v>
      </c>
      <c r="CK16" s="341">
        <f>'CF Capex'!CB13-'CF Capex'!CB11</f>
        <v>0</v>
      </c>
      <c r="CL16" s="341">
        <f>'CF Capex'!CC13-'CF Capex'!CC11</f>
        <v>0</v>
      </c>
      <c r="CM16" s="341">
        <f>'CF Capex'!CD13-'CF Capex'!CD11</f>
        <v>0</v>
      </c>
      <c r="CN16" s="341">
        <f>'CF Capex'!CE13-'CF Capex'!CE11</f>
        <v>0</v>
      </c>
      <c r="CO16" s="341">
        <f>'CF Capex'!CF13-'CF Capex'!CF11</f>
        <v>0</v>
      </c>
      <c r="CP16" s="341">
        <f>'CF Capex'!CG13-'CF Capex'!CG11</f>
        <v>0</v>
      </c>
      <c r="CQ16" s="341">
        <f>'CF Capex'!CH13-'CF Capex'!CH11</f>
        <v>0</v>
      </c>
      <c r="CR16" s="341">
        <f>'CF Capex'!CI13-'CF Capex'!CI11</f>
        <v>0</v>
      </c>
      <c r="CS16" s="341">
        <f>'CF Capex'!CJ13-'CF Capex'!CJ11</f>
        <v>0</v>
      </c>
      <c r="CT16" s="341">
        <f>'CF Capex'!CK13-'CF Capex'!CK11</f>
        <v>0</v>
      </c>
      <c r="CU16" s="341">
        <f>'CF Capex'!CL13-'CF Capex'!CL11</f>
        <v>0</v>
      </c>
      <c r="CV16" s="341">
        <f>'CF Capex'!CM13-'CF Capex'!CM11</f>
        <v>0</v>
      </c>
      <c r="CW16" s="341">
        <f>'CF Capex'!CN13-'CF Capex'!CN11</f>
        <v>0</v>
      </c>
      <c r="CX16" s="341">
        <f>'CF Capex'!CO13-'CF Capex'!CO11</f>
        <v>0</v>
      </c>
      <c r="CY16" s="341">
        <f>'CF Capex'!CP13-'CF Capex'!CP11</f>
        <v>0</v>
      </c>
      <c r="CZ16" s="341">
        <f>'CF Capex'!CQ13-'CF Capex'!CQ11</f>
        <v>0</v>
      </c>
      <c r="DA16" s="341">
        <f>'CF Capex'!CR13-'CF Capex'!CR11</f>
        <v>0</v>
      </c>
    </row>
    <row r="17" spans="1:105" ht="12.75" thickBot="1">
      <c r="A17" s="345" t="s">
        <v>304</v>
      </c>
      <c r="B17" s="343">
        <f t="shared" ref="B17:AG17" si="0">SUM(B4:B16)</f>
        <v>0</v>
      </c>
      <c r="C17" s="343">
        <f t="shared" si="0"/>
        <v>0</v>
      </c>
      <c r="D17" s="343">
        <f t="shared" si="0"/>
        <v>0</v>
      </c>
      <c r="E17" s="343">
        <f t="shared" si="0"/>
        <v>0</v>
      </c>
      <c r="F17" s="343">
        <f t="shared" si="0"/>
        <v>0</v>
      </c>
      <c r="G17" s="343">
        <f t="shared" si="0"/>
        <v>0</v>
      </c>
      <c r="H17" s="343">
        <f t="shared" si="0"/>
        <v>0</v>
      </c>
      <c r="I17" s="343">
        <f t="shared" si="0"/>
        <v>0</v>
      </c>
      <c r="J17" s="343">
        <f t="shared" si="0"/>
        <v>0</v>
      </c>
      <c r="K17" s="343">
        <f t="shared" si="0"/>
        <v>0</v>
      </c>
      <c r="L17" s="343">
        <f t="shared" si="0"/>
        <v>0</v>
      </c>
      <c r="M17" s="343">
        <f t="shared" si="0"/>
        <v>0</v>
      </c>
      <c r="N17" s="343">
        <f t="shared" si="0"/>
        <v>0</v>
      </c>
      <c r="O17" s="343">
        <f t="shared" si="0"/>
        <v>0</v>
      </c>
      <c r="P17" s="343">
        <f t="shared" si="0"/>
        <v>0</v>
      </c>
      <c r="Q17" s="343">
        <f t="shared" si="0"/>
        <v>0</v>
      </c>
      <c r="R17" s="343">
        <f t="shared" si="0"/>
        <v>0</v>
      </c>
      <c r="S17" s="343">
        <f t="shared" si="0"/>
        <v>0</v>
      </c>
      <c r="T17" s="343">
        <f t="shared" si="0"/>
        <v>0</v>
      </c>
      <c r="U17" s="343">
        <f t="shared" si="0"/>
        <v>0</v>
      </c>
      <c r="V17" s="343">
        <f t="shared" si="0"/>
        <v>6.9271149119999995</v>
      </c>
      <c r="W17" s="343">
        <f t="shared" si="0"/>
        <v>3.51469824</v>
      </c>
      <c r="X17" s="343">
        <f t="shared" si="0"/>
        <v>7.0453855999999995</v>
      </c>
      <c r="Y17" s="343">
        <f t="shared" si="0"/>
        <v>6.2519622400000001</v>
      </c>
      <c r="Z17" s="343">
        <f t="shared" si="0"/>
        <v>57.353276800000003</v>
      </c>
      <c r="AA17" s="343">
        <f t="shared" si="0"/>
        <v>4.9427306666666659</v>
      </c>
      <c r="AB17" s="343">
        <f t="shared" si="0"/>
        <v>15.734881686987288</v>
      </c>
      <c r="AC17" s="343">
        <f t="shared" si="0"/>
        <v>13.905669932004001</v>
      </c>
      <c r="AD17" s="343">
        <f t="shared" si="0"/>
        <v>20.1773249809</v>
      </c>
      <c r="AE17" s="343">
        <f t="shared" si="0"/>
        <v>14.415919317025338</v>
      </c>
      <c r="AF17" s="343">
        <f t="shared" si="0"/>
        <v>17.568570805614666</v>
      </c>
      <c r="AG17" s="343">
        <f t="shared" si="0"/>
        <v>22.844624041335734</v>
      </c>
      <c r="AH17" s="343">
        <f t="shared" ref="AH17:CS17" si="1">SUM(AH4:AH16)</f>
        <v>12.247893044528002</v>
      </c>
      <c r="AI17" s="343">
        <f t="shared" si="1"/>
        <v>9.6553785184775052</v>
      </c>
      <c r="AJ17" s="343">
        <f t="shared" si="1"/>
        <v>11.895098765632</v>
      </c>
      <c r="AK17" s="343">
        <f t="shared" si="1"/>
        <v>8.728356291990913</v>
      </c>
      <c r="AL17" s="343">
        <f t="shared" si="1"/>
        <v>11.90653182064</v>
      </c>
      <c r="AM17" s="343">
        <f t="shared" si="1"/>
        <v>23.097344570080001</v>
      </c>
      <c r="AN17" s="343">
        <f t="shared" si="1"/>
        <v>10.069241371839999</v>
      </c>
      <c r="AO17" s="343">
        <f t="shared" si="1"/>
        <v>5.8694215115199997</v>
      </c>
      <c r="AP17" s="343">
        <f t="shared" si="1"/>
        <v>11.874068751559999</v>
      </c>
      <c r="AQ17" s="343">
        <f t="shared" si="1"/>
        <v>5.1607438004349993</v>
      </c>
      <c r="AR17" s="343">
        <f t="shared" si="1"/>
        <v>9.3496348140592005</v>
      </c>
      <c r="AS17" s="343">
        <f t="shared" si="1"/>
        <v>4.9064065051551999</v>
      </c>
      <c r="AT17" s="343">
        <f t="shared" si="1"/>
        <v>8.8846450159167993</v>
      </c>
      <c r="AU17" s="343">
        <f t="shared" si="1"/>
        <v>4.8462272391471997</v>
      </c>
      <c r="AV17" s="343">
        <f t="shared" si="1"/>
        <v>9.4459574194237597</v>
      </c>
      <c r="AW17" s="343">
        <f t="shared" si="1"/>
        <v>4.8764839316272006</v>
      </c>
      <c r="AX17" s="343">
        <f t="shared" si="1"/>
        <v>9.5079836390077581</v>
      </c>
      <c r="AY17" s="343">
        <f t="shared" si="1"/>
        <v>5.0540365065774404</v>
      </c>
      <c r="AZ17" s="343">
        <f t="shared" si="1"/>
        <v>9.4219575588095203</v>
      </c>
      <c r="BA17" s="343">
        <f t="shared" si="1"/>
        <v>5.0853017554734405</v>
      </c>
      <c r="BB17" s="343">
        <f t="shared" si="1"/>
        <v>9.4829752219775187</v>
      </c>
      <c r="BC17" s="343">
        <f t="shared" si="1"/>
        <v>5.1165670043694398</v>
      </c>
      <c r="BD17" s="343">
        <f t="shared" si="1"/>
        <v>9.7687187954108801</v>
      </c>
      <c r="BE17" s="343">
        <f t="shared" si="1"/>
        <v>4.6968675981107211</v>
      </c>
      <c r="BF17" s="343">
        <f t="shared" si="1"/>
        <v>9.3818348906255196</v>
      </c>
      <c r="BG17" s="343">
        <f t="shared" si="1"/>
        <v>5.6995521591794081</v>
      </c>
      <c r="BH17" s="343">
        <f t="shared" si="1"/>
        <v>11.421014365804194</v>
      </c>
      <c r="BI17" s="343">
        <f t="shared" si="1"/>
        <v>5.7176955375489591</v>
      </c>
      <c r="BJ17" s="343">
        <f t="shared" si="1"/>
        <v>11.458208291461766</v>
      </c>
      <c r="BK17" s="343">
        <f t="shared" si="1"/>
        <v>5.9182358106157924</v>
      </c>
      <c r="BL17" s="343">
        <f t="shared" si="1"/>
        <v>11.312551737962822</v>
      </c>
      <c r="BM17" s="343">
        <f t="shared" si="1"/>
        <v>5.9369839682643288</v>
      </c>
      <c r="BN17" s="343">
        <f t="shared" si="1"/>
        <v>11.349140884341418</v>
      </c>
      <c r="BO17" s="343">
        <f t="shared" si="1"/>
        <v>5.9557321259128635</v>
      </c>
      <c r="BP17" s="343">
        <f t="shared" si="1"/>
        <v>11.661593295062127</v>
      </c>
      <c r="BQ17" s="343">
        <f t="shared" si="1"/>
        <v>5.4218465859586829</v>
      </c>
      <c r="BR17" s="343">
        <f t="shared" si="1"/>
        <v>11.422772761557839</v>
      </c>
      <c r="BS17" s="343">
        <f t="shared" si="1"/>
        <v>6.4280896454763408</v>
      </c>
      <c r="BT17" s="343">
        <f t="shared" si="1"/>
        <v>12.916087749456974</v>
      </c>
      <c r="BU17" s="343">
        <f t="shared" si="1"/>
        <v>6.4482608131930768</v>
      </c>
      <c r="BV17" s="343">
        <f t="shared" si="1"/>
        <v>12.957438643276278</v>
      </c>
      <c r="BW17" s="343">
        <f t="shared" si="1"/>
        <v>6.6752486444401384</v>
      </c>
      <c r="BX17" s="343">
        <f t="shared" si="1"/>
        <v>12.79146859437234</v>
      </c>
      <c r="BY17" s="343">
        <f t="shared" si="1"/>
        <v>6.6960921844141001</v>
      </c>
      <c r="BZ17" s="343">
        <f t="shared" si="1"/>
        <v>12.832147115934418</v>
      </c>
      <c r="CA17" s="343">
        <f t="shared" si="1"/>
        <v>6.7169357243880583</v>
      </c>
      <c r="CB17" s="343">
        <f t="shared" si="1"/>
        <v>13.29830619304801</v>
      </c>
      <c r="CC17" s="343">
        <f t="shared" si="1"/>
        <v>6.1792703170427146</v>
      </c>
      <c r="CD17" s="343">
        <f t="shared" si="1"/>
        <v>13.061102349452101</v>
      </c>
      <c r="CE17" s="343">
        <f t="shared" si="1"/>
        <v>6.9401135992855387</v>
      </c>
      <c r="CF17" s="343">
        <f t="shared" si="1"/>
        <v>13.966709351325653</v>
      </c>
      <c r="CG17" s="343">
        <f t="shared" si="1"/>
        <v>6.9615396012730244</v>
      </c>
      <c r="CH17" s="343">
        <f t="shared" si="1"/>
        <v>14.010632655400002</v>
      </c>
      <c r="CI17" s="343">
        <f t="shared" si="1"/>
        <v>7.2069333875358588</v>
      </c>
      <c r="CJ17" s="343">
        <f t="shared" si="1"/>
        <v>13.830052525149306</v>
      </c>
      <c r="CK17" s="343">
        <f t="shared" si="1"/>
        <v>7.2290735895895928</v>
      </c>
      <c r="CL17" s="343">
        <f t="shared" si="1"/>
        <v>13.873261629157401</v>
      </c>
      <c r="CM17" s="343">
        <f t="shared" si="1"/>
        <v>7.2512137916433286</v>
      </c>
      <c r="CN17" s="343">
        <f t="shared" si="1"/>
        <v>14.25510065982696</v>
      </c>
      <c r="CO17" s="343">
        <f t="shared" si="1"/>
        <v>6.8211332247488681</v>
      </c>
      <c r="CP17" s="343">
        <f t="shared" si="1"/>
        <v>14.073270679460331</v>
      </c>
      <c r="CQ17" s="343">
        <f t="shared" si="1"/>
        <v>7.408906488020973</v>
      </c>
      <c r="CR17" s="343">
        <f t="shared" si="1"/>
        <v>14.928565030810311</v>
      </c>
      <c r="CS17" s="343">
        <f t="shared" si="1"/>
        <v>7.4314037901078347</v>
      </c>
      <c r="CT17" s="343">
        <f t="shared" ref="CT17:DA17" si="2">SUM(CT4:CT16)</f>
        <v>14.974684500088371</v>
      </c>
      <c r="CU17" s="343">
        <f t="shared" si="2"/>
        <v>22.474142629008956</v>
      </c>
      <c r="CV17" s="343">
        <f t="shared" si="2"/>
        <v>0</v>
      </c>
      <c r="CW17" s="343">
        <f t="shared" si="2"/>
        <v>0</v>
      </c>
      <c r="CX17" s="343">
        <f t="shared" si="2"/>
        <v>0</v>
      </c>
      <c r="CY17" s="343">
        <f t="shared" si="2"/>
        <v>0</v>
      </c>
      <c r="CZ17" s="343">
        <f t="shared" si="2"/>
        <v>0</v>
      </c>
      <c r="DA17" s="343">
        <f t="shared" si="2"/>
        <v>0</v>
      </c>
    </row>
    <row r="18" spans="1:105" ht="12.75" thickTop="1">
      <c r="A18" s="344"/>
      <c r="C18" s="341"/>
      <c r="D18" s="341"/>
      <c r="E18" s="341"/>
      <c r="F18" s="341"/>
    </row>
    <row r="19" spans="1:105" s="339" customFormat="1">
      <c r="A19" s="345" t="s">
        <v>2</v>
      </c>
      <c r="B19" s="332">
        <f t="shared" ref="B19:BM19" si="3">B3</f>
        <v>44074</v>
      </c>
      <c r="C19" s="332">
        <f t="shared" si="3"/>
        <v>44104</v>
      </c>
      <c r="D19" s="332">
        <f t="shared" si="3"/>
        <v>44135</v>
      </c>
      <c r="E19" s="332">
        <f t="shared" si="3"/>
        <v>44165</v>
      </c>
      <c r="F19" s="332">
        <f t="shared" si="3"/>
        <v>44196</v>
      </c>
      <c r="G19" s="332">
        <f t="shared" si="3"/>
        <v>44227</v>
      </c>
      <c r="H19" s="332">
        <f t="shared" si="3"/>
        <v>44255</v>
      </c>
      <c r="I19" s="332">
        <f t="shared" si="3"/>
        <v>44286</v>
      </c>
      <c r="J19" s="332">
        <f t="shared" si="3"/>
        <v>44316</v>
      </c>
      <c r="K19" s="332">
        <f t="shared" si="3"/>
        <v>44347</v>
      </c>
      <c r="L19" s="332">
        <f t="shared" si="3"/>
        <v>44377</v>
      </c>
      <c r="M19" s="332">
        <f t="shared" si="3"/>
        <v>44408</v>
      </c>
      <c r="N19" s="332">
        <f t="shared" si="3"/>
        <v>44439</v>
      </c>
      <c r="O19" s="332">
        <f t="shared" si="3"/>
        <v>44469</v>
      </c>
      <c r="P19" s="332">
        <f t="shared" si="3"/>
        <v>44500</v>
      </c>
      <c r="Q19" s="332">
        <f t="shared" si="3"/>
        <v>44530</v>
      </c>
      <c r="R19" s="332">
        <f t="shared" si="3"/>
        <v>44561</v>
      </c>
      <c r="S19" s="332">
        <f t="shared" si="3"/>
        <v>44592</v>
      </c>
      <c r="T19" s="332">
        <f t="shared" si="3"/>
        <v>44620</v>
      </c>
      <c r="U19" s="332">
        <f t="shared" si="3"/>
        <v>44651</v>
      </c>
      <c r="V19" s="332">
        <f t="shared" si="3"/>
        <v>44681</v>
      </c>
      <c r="W19" s="332">
        <f t="shared" si="3"/>
        <v>44712</v>
      </c>
      <c r="X19" s="332">
        <f t="shared" si="3"/>
        <v>44742</v>
      </c>
      <c r="Y19" s="332">
        <f t="shared" si="3"/>
        <v>44773</v>
      </c>
      <c r="Z19" s="332">
        <f t="shared" si="3"/>
        <v>44804</v>
      </c>
      <c r="AA19" s="332">
        <f t="shared" si="3"/>
        <v>44834</v>
      </c>
      <c r="AB19" s="332">
        <f t="shared" si="3"/>
        <v>44865</v>
      </c>
      <c r="AC19" s="332">
        <f t="shared" si="3"/>
        <v>44895</v>
      </c>
      <c r="AD19" s="332">
        <f t="shared" si="3"/>
        <v>44926</v>
      </c>
      <c r="AE19" s="332">
        <f t="shared" si="3"/>
        <v>44957</v>
      </c>
      <c r="AF19" s="332">
        <f t="shared" si="3"/>
        <v>44985</v>
      </c>
      <c r="AG19" s="332">
        <f t="shared" si="3"/>
        <v>45016</v>
      </c>
      <c r="AH19" s="332">
        <f t="shared" si="3"/>
        <v>45046</v>
      </c>
      <c r="AI19" s="332">
        <f t="shared" si="3"/>
        <v>45077</v>
      </c>
      <c r="AJ19" s="332">
        <f t="shared" si="3"/>
        <v>45107</v>
      </c>
      <c r="AK19" s="332">
        <f t="shared" si="3"/>
        <v>45138</v>
      </c>
      <c r="AL19" s="332">
        <f t="shared" si="3"/>
        <v>45169</v>
      </c>
      <c r="AM19" s="332">
        <f t="shared" si="3"/>
        <v>45199</v>
      </c>
      <c r="AN19" s="332">
        <f t="shared" si="3"/>
        <v>45230</v>
      </c>
      <c r="AO19" s="332">
        <f t="shared" si="3"/>
        <v>45260</v>
      </c>
      <c r="AP19" s="332">
        <f t="shared" si="3"/>
        <v>45291</v>
      </c>
      <c r="AQ19" s="332">
        <f t="shared" si="3"/>
        <v>45322</v>
      </c>
      <c r="AR19" s="332">
        <f t="shared" si="3"/>
        <v>45351</v>
      </c>
      <c r="AS19" s="332">
        <f t="shared" si="3"/>
        <v>45382</v>
      </c>
      <c r="AT19" s="332">
        <f t="shared" si="3"/>
        <v>45412</v>
      </c>
      <c r="AU19" s="332">
        <f t="shared" si="3"/>
        <v>45443</v>
      </c>
      <c r="AV19" s="332">
        <f t="shared" si="3"/>
        <v>45473</v>
      </c>
      <c r="AW19" s="332">
        <f t="shared" si="3"/>
        <v>45504</v>
      </c>
      <c r="AX19" s="332">
        <f t="shared" si="3"/>
        <v>45535</v>
      </c>
      <c r="AY19" s="332">
        <f t="shared" si="3"/>
        <v>45565</v>
      </c>
      <c r="AZ19" s="332">
        <f t="shared" si="3"/>
        <v>45596</v>
      </c>
      <c r="BA19" s="332">
        <f t="shared" si="3"/>
        <v>45626</v>
      </c>
      <c r="BB19" s="332">
        <f t="shared" si="3"/>
        <v>45657</v>
      </c>
      <c r="BC19" s="332">
        <f t="shared" si="3"/>
        <v>45688</v>
      </c>
      <c r="BD19" s="332">
        <f t="shared" si="3"/>
        <v>45716</v>
      </c>
      <c r="BE19" s="332">
        <f t="shared" si="3"/>
        <v>45747</v>
      </c>
      <c r="BF19" s="332">
        <f t="shared" si="3"/>
        <v>45777</v>
      </c>
      <c r="BG19" s="332">
        <f t="shared" si="3"/>
        <v>45808</v>
      </c>
      <c r="BH19" s="332">
        <f t="shared" si="3"/>
        <v>45838</v>
      </c>
      <c r="BI19" s="332">
        <f t="shared" si="3"/>
        <v>45869</v>
      </c>
      <c r="BJ19" s="332">
        <f t="shared" si="3"/>
        <v>45900</v>
      </c>
      <c r="BK19" s="332">
        <f t="shared" si="3"/>
        <v>45930</v>
      </c>
      <c r="BL19" s="332">
        <f t="shared" si="3"/>
        <v>45961</v>
      </c>
      <c r="BM19" s="332">
        <f t="shared" si="3"/>
        <v>45991</v>
      </c>
      <c r="BN19" s="332">
        <f t="shared" ref="BN19:DA19" si="4">BN3</f>
        <v>46022</v>
      </c>
      <c r="BO19" s="332">
        <f t="shared" si="4"/>
        <v>46053</v>
      </c>
      <c r="BP19" s="332">
        <f t="shared" si="4"/>
        <v>46081</v>
      </c>
      <c r="BQ19" s="332">
        <f t="shared" si="4"/>
        <v>46112</v>
      </c>
      <c r="BR19" s="332">
        <f t="shared" si="4"/>
        <v>46142</v>
      </c>
      <c r="BS19" s="332">
        <f t="shared" si="4"/>
        <v>46173</v>
      </c>
      <c r="BT19" s="332">
        <f t="shared" si="4"/>
        <v>46203</v>
      </c>
      <c r="BU19" s="332">
        <f t="shared" si="4"/>
        <v>46234</v>
      </c>
      <c r="BV19" s="332">
        <f t="shared" si="4"/>
        <v>46265</v>
      </c>
      <c r="BW19" s="332">
        <f t="shared" si="4"/>
        <v>46295</v>
      </c>
      <c r="BX19" s="332">
        <f t="shared" si="4"/>
        <v>46326</v>
      </c>
      <c r="BY19" s="332">
        <f t="shared" si="4"/>
        <v>46356</v>
      </c>
      <c r="BZ19" s="332">
        <f t="shared" si="4"/>
        <v>46387</v>
      </c>
      <c r="CA19" s="332">
        <f t="shared" si="4"/>
        <v>46418</v>
      </c>
      <c r="CB19" s="332">
        <f t="shared" si="4"/>
        <v>46446</v>
      </c>
      <c r="CC19" s="332">
        <f t="shared" si="4"/>
        <v>46477</v>
      </c>
      <c r="CD19" s="332">
        <f t="shared" si="4"/>
        <v>46507</v>
      </c>
      <c r="CE19" s="332">
        <f t="shared" si="4"/>
        <v>46538</v>
      </c>
      <c r="CF19" s="332">
        <f t="shared" si="4"/>
        <v>46568</v>
      </c>
      <c r="CG19" s="332">
        <f t="shared" si="4"/>
        <v>46599</v>
      </c>
      <c r="CH19" s="332">
        <f t="shared" si="4"/>
        <v>46630</v>
      </c>
      <c r="CI19" s="332">
        <f t="shared" si="4"/>
        <v>46660</v>
      </c>
      <c r="CJ19" s="332">
        <f t="shared" si="4"/>
        <v>46691</v>
      </c>
      <c r="CK19" s="332">
        <f t="shared" si="4"/>
        <v>46721</v>
      </c>
      <c r="CL19" s="332">
        <f t="shared" si="4"/>
        <v>46752</v>
      </c>
      <c r="CM19" s="332">
        <f t="shared" si="4"/>
        <v>46783</v>
      </c>
      <c r="CN19" s="332">
        <f t="shared" si="4"/>
        <v>46812</v>
      </c>
      <c r="CO19" s="332">
        <f t="shared" si="4"/>
        <v>46843</v>
      </c>
      <c r="CP19" s="332">
        <f t="shared" si="4"/>
        <v>46873</v>
      </c>
      <c r="CQ19" s="332">
        <f t="shared" si="4"/>
        <v>46904</v>
      </c>
      <c r="CR19" s="332">
        <f t="shared" si="4"/>
        <v>46934</v>
      </c>
      <c r="CS19" s="332">
        <f t="shared" si="4"/>
        <v>46965</v>
      </c>
      <c r="CT19" s="332">
        <f t="shared" si="4"/>
        <v>46996</v>
      </c>
      <c r="CU19" s="332">
        <f t="shared" si="4"/>
        <v>47026</v>
      </c>
      <c r="CV19" s="332">
        <f t="shared" si="4"/>
        <v>47056</v>
      </c>
      <c r="CW19" s="332">
        <f t="shared" si="4"/>
        <v>47087</v>
      </c>
      <c r="CX19" s="332">
        <f t="shared" si="4"/>
        <v>47117</v>
      </c>
      <c r="CY19" s="332">
        <f t="shared" si="4"/>
        <v>47148</v>
      </c>
      <c r="CZ19" s="332">
        <f t="shared" si="4"/>
        <v>47177</v>
      </c>
      <c r="DA19" s="332">
        <f t="shared" si="4"/>
        <v>47207</v>
      </c>
    </row>
    <row r="20" spans="1:105">
      <c r="A20" s="310" t="s">
        <v>374</v>
      </c>
      <c r="B20" s="385">
        <v>0</v>
      </c>
      <c r="C20" s="385">
        <v>0</v>
      </c>
      <c r="D20" s="385">
        <v>0</v>
      </c>
      <c r="E20" s="385">
        <v>0</v>
      </c>
      <c r="F20" s="385">
        <v>0</v>
      </c>
      <c r="G20" s="385">
        <v>0</v>
      </c>
      <c r="H20" s="385">
        <v>0</v>
      </c>
      <c r="I20" s="385">
        <v>0</v>
      </c>
      <c r="J20" s="385">
        <v>0</v>
      </c>
      <c r="K20" s="385">
        <v>0</v>
      </c>
      <c r="L20" s="385">
        <v>0</v>
      </c>
      <c r="M20" s="385">
        <v>0</v>
      </c>
      <c r="N20" s="385">
        <v>0</v>
      </c>
      <c r="O20" s="385">
        <v>0</v>
      </c>
      <c r="P20" s="385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85">
        <f>'Monthly PL'!X14</f>
        <v>1.8805417646439362</v>
      </c>
      <c r="W20" s="385">
        <f>'Monthly PL'!Y14</f>
        <v>2.2561153323094092</v>
      </c>
      <c r="X20" s="385">
        <f>'Monthly PL'!Z14</f>
        <v>2.0127280446330214</v>
      </c>
      <c r="Y20" s="385">
        <f>'Monthly PL'!AA14</f>
        <v>1.8307174872684493</v>
      </c>
      <c r="Z20" s="385">
        <f>'Monthly PL'!AB14</f>
        <v>1.8145528911845246</v>
      </c>
      <c r="AA20" s="385">
        <f>'Monthly PL'!AC14</f>
        <v>1.9919760803452502</v>
      </c>
      <c r="AB20" s="385">
        <f>'Monthly PL'!AD14</f>
        <v>2.0913729399978118</v>
      </c>
      <c r="AC20" s="385">
        <f>'Monthly PL'!AE14</f>
        <v>1.7308974067525926</v>
      </c>
      <c r="AD20" s="385">
        <f>'Monthly PL'!AF14</f>
        <v>2.0844528266631852</v>
      </c>
      <c r="AE20" s="385">
        <f>'Monthly PL'!AG14</f>
        <v>1.7495042040264051</v>
      </c>
      <c r="AF20" s="385">
        <f>'Monthly PL'!AH14</f>
        <v>1.7566641275986679</v>
      </c>
      <c r="AG20" s="385">
        <f>'Monthly PL'!AI14</f>
        <v>1.7448232705305506</v>
      </c>
      <c r="AH20" s="385">
        <f>'Monthly PL'!AJ14</f>
        <v>1.8391451426450365</v>
      </c>
      <c r="AI20" s="385">
        <f>'Monthly PL'!AK14</f>
        <v>2.2147446334792757</v>
      </c>
      <c r="AJ20" s="385">
        <f>'Monthly PL'!AL14</f>
        <v>1.9749688367876832</v>
      </c>
      <c r="AK20" s="385">
        <f>'Monthly PL'!AM14</f>
        <v>1.7893128416585393</v>
      </c>
      <c r="AL20" s="385">
        <f>'Monthly PL'!AN14</f>
        <v>1.7723550483079213</v>
      </c>
      <c r="AM20" s="385">
        <f>'Monthly PL'!AO14</f>
        <v>1.9541194596669205</v>
      </c>
      <c r="AN20" s="385">
        <f>'Monthly PL'!AP14</f>
        <v>1.9728077924011729</v>
      </c>
      <c r="AO20" s="385">
        <f>'Monthly PL'!AQ14</f>
        <v>1.6856476225940762</v>
      </c>
      <c r="AP20" s="385">
        <f>'Monthly PL'!AR14</f>
        <v>2.0402602541500006</v>
      </c>
      <c r="AQ20" s="385">
        <f>'Monthly PL'!AS14</f>
        <v>1.7049886835463064</v>
      </c>
      <c r="AR20" s="385">
        <f>'Monthly PL'!AT14</f>
        <v>1.7124300030983712</v>
      </c>
      <c r="AS20" s="385">
        <f>'Monthly PL'!AU14</f>
        <v>1.6997105128915397</v>
      </c>
      <c r="AT20" s="385">
        <f>'Monthly PL'!AV14</f>
        <v>1.7929505249691595</v>
      </c>
      <c r="AU20" s="385">
        <f>'Monthly PL'!AW14</f>
        <v>2.168577197488017</v>
      </c>
      <c r="AV20" s="385">
        <f>'Monthly PL'!AX14</f>
        <v>1.9325575731135562</v>
      </c>
      <c r="AW20" s="385">
        <f>'Monthly PL'!AY14</f>
        <v>1.7431105445064787</v>
      </c>
      <c r="AX20" s="385">
        <f>'Monthly PL'!AZ14</f>
        <v>1.7253280479004318</v>
      </c>
      <c r="AY20" s="385">
        <f>'Monthly PL'!BA14</f>
        <v>1.9116243229527137</v>
      </c>
      <c r="AZ20" s="385">
        <f>'Monthly PL'!BB14</f>
        <v>2.025364369484588</v>
      </c>
      <c r="BA20" s="385">
        <f>'Monthly PL'!BC14</f>
        <v>1.7267130078718274</v>
      </c>
      <c r="BB20" s="385">
        <f>'Monthly PL'!BD14</f>
        <v>2.0824253618640527</v>
      </c>
      <c r="BC20" s="385">
        <f>'Monthly PL'!BE14</f>
        <v>1.746818147806833</v>
      </c>
      <c r="BD20" s="385">
        <f>'Monthly PL'!BF14</f>
        <v>1.7545523417173139</v>
      </c>
      <c r="BE20" s="385">
        <f>'Monthly PL'!BG14</f>
        <v>1.7409192956934438</v>
      </c>
      <c r="BF20" s="385">
        <f>'Monthly PL'!BH14</f>
        <v>1.836574852518067</v>
      </c>
      <c r="BG20" s="385">
        <f>'Monthly PL'!BI14</f>
        <v>2.212234933519774</v>
      </c>
      <c r="BH20" s="385">
        <f>'Monthly PL'!BJ14</f>
        <v>1.9801268679951338</v>
      </c>
      <c r="BI20" s="385">
        <f>'Monthly PL'!BK14</f>
        <v>1.5242423043206192</v>
      </c>
      <c r="BJ20" s="385">
        <f>'Monthly PL'!BL14</f>
        <v>1.5056072561886085</v>
      </c>
      <c r="BK20" s="385">
        <f>'Monthly PL'!BM14</f>
        <v>1.6966402571121137</v>
      </c>
      <c r="BL20" s="385">
        <f>'Monthly PL'!BN14</f>
        <v>1.9229902583947105</v>
      </c>
      <c r="BM20" s="385">
        <f>'Monthly PL'!BO14</f>
        <v>1.6123931974967038</v>
      </c>
      <c r="BN20" s="385">
        <f>'Monthly PL'!BP14</f>
        <v>1.9692544031272412</v>
      </c>
      <c r="BO20" s="385">
        <f>'Monthly PL'!BQ14</f>
        <v>1.6333032602952942</v>
      </c>
      <c r="BP20" s="385">
        <f>'Monthly PL'!BR14</f>
        <v>3.7623471840683154</v>
      </c>
      <c r="BQ20" s="385">
        <f>'Monthly PL'!BS14</f>
        <v>1.8367691806378308</v>
      </c>
      <c r="BR20" s="385">
        <f>'Monthly PL'!BT14</f>
        <v>2.6174654919144205</v>
      </c>
      <c r="BS20" s="385">
        <f>'Monthly PL'!BU14</f>
        <v>3.2556603452761195</v>
      </c>
      <c r="BT20" s="385">
        <f>'Monthly PL'!BV14</f>
        <v>3.0276203286078616</v>
      </c>
      <c r="BU20" s="385">
        <f>'Monthly PL'!BW14</f>
        <v>2.8316107562310013</v>
      </c>
      <c r="BV20" s="385">
        <f>'Monthly PL'!BX14</f>
        <v>2.8160790823954756</v>
      </c>
      <c r="BW20" s="385">
        <f>'Monthly PL'!BY14</f>
        <v>3.0132135986507209</v>
      </c>
      <c r="BX20" s="385">
        <f>'Monthly PL'!BZ14</f>
        <v>3.1411129809904033</v>
      </c>
      <c r="BY20" s="385">
        <f>'Monthly PL'!CA14</f>
        <v>2.8177774210692261</v>
      </c>
      <c r="BZ20" s="385">
        <f>'Monthly PL'!CB14</f>
        <v>3.1732084607547328</v>
      </c>
      <c r="CA20" s="385">
        <f>'Monthly PL'!CC14</f>
        <v>2.7951117070892484</v>
      </c>
      <c r="CB20" s="385">
        <f>'Monthly PL'!CD14</f>
        <v>2.8034777785071867</v>
      </c>
      <c r="CC20" s="385">
        <f>'Monthly PL'!CE14</f>
        <v>2.7863642485813185</v>
      </c>
      <c r="CD20" s="385">
        <f>'Monthly PL'!CF14</f>
        <v>2.8872080712196446</v>
      </c>
      <c r="CE20" s="385">
        <f>'Monthly PL'!CG14</f>
        <v>3.262939116782452</v>
      </c>
      <c r="CF20" s="385">
        <f>'Monthly PL'!CH14</f>
        <v>2.1975149885126806</v>
      </c>
      <c r="CG20" s="385">
        <f>'Monthly PL'!CI14</f>
        <v>1.9973915477532995</v>
      </c>
      <c r="CH20" s="385">
        <f>'Monthly PL'!CJ14</f>
        <v>1.9769478124961768</v>
      </c>
      <c r="CI20" s="385">
        <f>'Monthly PL'!CK14</f>
        <v>2.1764791443177391</v>
      </c>
      <c r="CJ20" s="385">
        <f>'Monthly PL'!CL14</f>
        <v>2.3155894239910877</v>
      </c>
      <c r="CK20" s="385">
        <f>'Monthly PL'!CM14</f>
        <v>1.9796484547637769</v>
      </c>
      <c r="CL20" s="385">
        <f>'Monthly PL'!CN14</f>
        <v>2.3373322401885948</v>
      </c>
      <c r="CM20" s="385">
        <f>'Monthly PL'!CO14</f>
        <v>2.002266417550739</v>
      </c>
      <c r="CN20" s="385">
        <f>'Monthly PL'!CP14</f>
        <v>2.0109675525698787</v>
      </c>
      <c r="CO20" s="385">
        <f>'Monthly PL'!CQ14</f>
        <v>1.9927699047640051</v>
      </c>
      <c r="CP20" s="385">
        <f>'Monthly PL'!CR14</f>
        <v>2.0964280463502916</v>
      </c>
      <c r="CQ20" s="385">
        <f>'Monthly PL'!CS14</f>
        <v>2.2597967622299349</v>
      </c>
      <c r="CR20" s="385">
        <f>'Monthly PL'!CT14</f>
        <v>1.847608099928534</v>
      </c>
      <c r="CS20" s="385">
        <f>'Monthly PL'!CU14</f>
        <v>1.7316201552536308</v>
      </c>
      <c r="CT20" s="385">
        <f>'Monthly PL'!CV14</f>
        <v>1.7102175069276653</v>
      </c>
      <c r="CU20" s="385">
        <f>'Monthly PL'!CW14</f>
        <v>1.8296850189458369</v>
      </c>
      <c r="CV20" s="385">
        <v>0</v>
      </c>
      <c r="CW20" s="385">
        <v>0</v>
      </c>
      <c r="CX20" s="385">
        <v>0</v>
      </c>
      <c r="CY20" s="385">
        <v>0</v>
      </c>
      <c r="CZ20" s="385">
        <v>0</v>
      </c>
      <c r="DA20" s="385">
        <v>0</v>
      </c>
    </row>
    <row r="21" spans="1:105">
      <c r="A21" s="310" t="s">
        <v>454</v>
      </c>
      <c r="B21" s="385">
        <v>0</v>
      </c>
      <c r="C21" s="385">
        <v>0</v>
      </c>
      <c r="D21" s="385">
        <v>0</v>
      </c>
      <c r="E21" s="385">
        <v>0</v>
      </c>
      <c r="F21" s="385">
        <v>0</v>
      </c>
      <c r="G21" s="385">
        <v>0</v>
      </c>
      <c r="H21" s="385">
        <v>0</v>
      </c>
      <c r="I21" s="385">
        <v>0</v>
      </c>
      <c r="J21" s="385">
        <v>0</v>
      </c>
      <c r="K21" s="385">
        <v>0</v>
      </c>
      <c r="L21" s="385">
        <v>0</v>
      </c>
      <c r="M21" s="385">
        <v>0</v>
      </c>
      <c r="N21" s="385">
        <v>0</v>
      </c>
      <c r="O21" s="385">
        <v>0</v>
      </c>
      <c r="P21" s="385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85">
        <f>'Monthly PL'!X15</f>
        <v>1.9063933836977101</v>
      </c>
      <c r="W21" s="385">
        <f>'Monthly PL'!Y15</f>
        <v>1.9064026836977097</v>
      </c>
      <c r="X21" s="385">
        <f>'Monthly PL'!Z15</f>
        <v>1.9064116836977099</v>
      </c>
      <c r="Y21" s="385">
        <f>'Monthly PL'!AA15</f>
        <v>1.9064209836977097</v>
      </c>
      <c r="Z21" s="385">
        <f>'Monthly PL'!AB15</f>
        <v>1.9064302836977098</v>
      </c>
      <c r="AA21" s="385">
        <f>'Monthly PL'!AC15</f>
        <v>1.9064392836977098</v>
      </c>
      <c r="AB21" s="385">
        <f>'Monthly PL'!AD15</f>
        <v>1.9064485836977099</v>
      </c>
      <c r="AC21" s="385">
        <f>'Monthly PL'!AE15</f>
        <v>1.9064575836977098</v>
      </c>
      <c r="AD21" s="385">
        <f>'Monthly PL'!AF15</f>
        <v>1.9064668836977099</v>
      </c>
      <c r="AE21" s="385">
        <f>'Monthly PL'!AG15</f>
        <v>1.90647618369771</v>
      </c>
      <c r="AF21" s="385">
        <f>'Monthly PL'!AH15</f>
        <v>1.90648458369771</v>
      </c>
      <c r="AG21" s="385">
        <f>'Monthly PL'!AI15</f>
        <v>1.9064938836977097</v>
      </c>
      <c r="AH21" s="385">
        <f>'Monthly PL'!AJ15</f>
        <v>2.0011523378825959</v>
      </c>
      <c r="AI21" s="385">
        <f>'Monthly PL'!AK15</f>
        <v>2.0011616378825958</v>
      </c>
      <c r="AJ21" s="385">
        <f>'Monthly PL'!AL15</f>
        <v>2.0011706378825957</v>
      </c>
      <c r="AK21" s="385">
        <f>'Monthly PL'!AM15</f>
        <v>2.0011799378825961</v>
      </c>
      <c r="AL21" s="385">
        <f>'Monthly PL'!AN15</f>
        <v>2.001189237882596</v>
      </c>
      <c r="AM21" s="385">
        <f>'Monthly PL'!AO15</f>
        <v>2.0011982378825959</v>
      </c>
      <c r="AN21" s="385">
        <f>'Monthly PL'!AP15</f>
        <v>2.0012075378825958</v>
      </c>
      <c r="AO21" s="385">
        <f>'Monthly PL'!AQ15</f>
        <v>2.0012165378825957</v>
      </c>
      <c r="AP21" s="385">
        <f>'Monthly PL'!AR15</f>
        <v>2.001225837882596</v>
      </c>
      <c r="AQ21" s="385">
        <f>'Monthly PL'!AS15</f>
        <v>2.0012351378825959</v>
      </c>
      <c r="AR21" s="385">
        <f>'Monthly PL'!AT15</f>
        <v>2.0012438378825959</v>
      </c>
      <c r="AS21" s="385">
        <f>'Monthly PL'!AU15</f>
        <v>2.0012531378825957</v>
      </c>
      <c r="AT21" s="385">
        <f>'Monthly PL'!AV15</f>
        <v>2.1006440647767257</v>
      </c>
      <c r="AU21" s="385">
        <f>'Monthly PL'!AW15</f>
        <v>2.1006533647767256</v>
      </c>
      <c r="AV21" s="385">
        <f>'Monthly PL'!AX15</f>
        <v>2.1006623647767255</v>
      </c>
      <c r="AW21" s="385">
        <f>'Monthly PL'!AY15</f>
        <v>2.1006716647767258</v>
      </c>
      <c r="AX21" s="385">
        <f>'Monthly PL'!AZ15</f>
        <v>2.1006809647767257</v>
      </c>
      <c r="AY21" s="385">
        <f>'Monthly PL'!BA15</f>
        <v>2.1006899647767256</v>
      </c>
      <c r="AZ21" s="385">
        <f>'Monthly PL'!BB15</f>
        <v>2.100699264776726</v>
      </c>
      <c r="BA21" s="385">
        <f>'Monthly PL'!BC15</f>
        <v>2.1007082647767259</v>
      </c>
      <c r="BB21" s="385">
        <f>'Monthly PL'!BD15</f>
        <v>2.1007175647767258</v>
      </c>
      <c r="BC21" s="385">
        <f>'Monthly PL'!BE15</f>
        <v>2.1007268647767257</v>
      </c>
      <c r="BD21" s="385">
        <f>'Monthly PL'!BF15</f>
        <v>2.1007352647767261</v>
      </c>
      <c r="BE21" s="385">
        <f>'Monthly PL'!BG15</f>
        <v>2.1007445647767256</v>
      </c>
      <c r="BF21" s="385">
        <f>'Monthly PL'!BH15</f>
        <v>2.205104588015562</v>
      </c>
      <c r="BG21" s="385">
        <f>'Monthly PL'!BI15</f>
        <v>2.2051138880155619</v>
      </c>
      <c r="BH21" s="385">
        <f>'Monthly PL'!BJ15</f>
        <v>2.2051228880155618</v>
      </c>
      <c r="BI21" s="385">
        <f>'Monthly PL'!BK15</f>
        <v>2.2051321880155621</v>
      </c>
      <c r="BJ21" s="385">
        <f>'Monthly PL'!BL15</f>
        <v>2.2051414880155615</v>
      </c>
      <c r="BK21" s="385">
        <f>'Monthly PL'!BM15</f>
        <v>2.2051504880155619</v>
      </c>
      <c r="BL21" s="385">
        <f>'Monthly PL'!BN15</f>
        <v>2.2051597880155618</v>
      </c>
      <c r="BM21" s="385">
        <f>'Monthly PL'!BO15</f>
        <v>2.2051687880155617</v>
      </c>
      <c r="BN21" s="385">
        <f>'Monthly PL'!BP15</f>
        <v>2.205178088015562</v>
      </c>
      <c r="BO21" s="385">
        <f>'Monthly PL'!BQ15</f>
        <v>2.2051873880155619</v>
      </c>
      <c r="BP21" s="385">
        <f>'Monthly PL'!BR15</f>
        <v>2.2051957880155619</v>
      </c>
      <c r="BQ21" s="385">
        <f>'Monthly PL'!BS15</f>
        <v>2.2052050880155618</v>
      </c>
      <c r="BR21" s="385">
        <f>'Monthly PL'!BT15</f>
        <v>2.3147826624163406</v>
      </c>
      <c r="BS21" s="385">
        <f>'Monthly PL'!BU15</f>
        <v>2.3147919624163404</v>
      </c>
      <c r="BT21" s="385">
        <f>'Monthly PL'!BV15</f>
        <v>2.3148009624163404</v>
      </c>
      <c r="BU21" s="385">
        <f>'Monthly PL'!BW15</f>
        <v>2.3148102624163407</v>
      </c>
      <c r="BV21" s="385">
        <f>'Monthly PL'!BX15</f>
        <v>2.3148195624163406</v>
      </c>
      <c r="BW21" s="385">
        <f>'Monthly PL'!BY15</f>
        <v>2.3148285624163405</v>
      </c>
      <c r="BX21" s="385">
        <f>'Monthly PL'!BZ15</f>
        <v>2.3148378624163408</v>
      </c>
      <c r="BY21" s="385">
        <f>'Monthly PL'!CA15</f>
        <v>2.3148468624163403</v>
      </c>
      <c r="BZ21" s="385">
        <f>'Monthly PL'!CB15</f>
        <v>2.3148561624163406</v>
      </c>
      <c r="CA21" s="385">
        <f>'Monthly PL'!CC15</f>
        <v>2.3148654624163405</v>
      </c>
      <c r="CB21" s="385">
        <f>'Monthly PL'!CD15</f>
        <v>2.3148738624163405</v>
      </c>
      <c r="CC21" s="385">
        <f>'Monthly PL'!CE15</f>
        <v>2.3148831624163404</v>
      </c>
      <c r="CD21" s="385">
        <f>'Monthly PL'!CF15</f>
        <v>2.4299391655371565</v>
      </c>
      <c r="CE21" s="385">
        <f>'Monthly PL'!CG15</f>
        <v>2.4299484655371568</v>
      </c>
      <c r="CF21" s="385">
        <f>'Monthly PL'!CH15</f>
        <v>2.4299574655371567</v>
      </c>
      <c r="CG21" s="385">
        <f>'Monthly PL'!CI15</f>
        <v>2.4299667655371566</v>
      </c>
      <c r="CH21" s="385">
        <f>'Monthly PL'!CJ15</f>
        <v>2.4299760655371565</v>
      </c>
      <c r="CI21" s="385">
        <f>'Monthly PL'!CK15</f>
        <v>2.4299850655371564</v>
      </c>
      <c r="CJ21" s="385">
        <f>'Monthly PL'!CL15</f>
        <v>2.4299943655371568</v>
      </c>
      <c r="CK21" s="385">
        <f>'Monthly PL'!CM15</f>
        <v>2.4300033655371567</v>
      </c>
      <c r="CL21" s="385">
        <f>'Monthly PL'!CN15</f>
        <v>2.4300126655371566</v>
      </c>
      <c r="CM21" s="385">
        <f>'Monthly PL'!CO15</f>
        <v>2.4300219655371569</v>
      </c>
      <c r="CN21" s="385">
        <f>'Monthly PL'!CP15</f>
        <v>2.4300306655371564</v>
      </c>
      <c r="CO21" s="385">
        <f>'Monthly PL'!CQ15</f>
        <v>2.4300399655371567</v>
      </c>
      <c r="CP21" s="385">
        <f>'Monthly PL'!CR15</f>
        <v>2.5508483188140136</v>
      </c>
      <c r="CQ21" s="385">
        <f>'Monthly PL'!CS15</f>
        <v>2.550857618814014</v>
      </c>
      <c r="CR21" s="385">
        <f>'Monthly PL'!CT15</f>
        <v>2.5508666188140139</v>
      </c>
      <c r="CS21" s="385">
        <f>'Monthly PL'!CU15</f>
        <v>2.5508759188140138</v>
      </c>
      <c r="CT21" s="385">
        <f>'Monthly PL'!CV15</f>
        <v>2.5508852188140141</v>
      </c>
      <c r="CU21" s="385">
        <f>'Monthly PL'!CW15</f>
        <v>2.550894218814014</v>
      </c>
      <c r="CV21" s="385">
        <v>0</v>
      </c>
      <c r="CW21" s="385">
        <v>0</v>
      </c>
      <c r="CX21" s="385">
        <v>0</v>
      </c>
      <c r="CY21" s="385">
        <v>0</v>
      </c>
      <c r="CZ21" s="385">
        <v>0</v>
      </c>
      <c r="DA21" s="385">
        <v>0</v>
      </c>
    </row>
    <row r="22" spans="1:105">
      <c r="A22" s="310" t="s">
        <v>376</v>
      </c>
      <c r="B22" s="385">
        <v>0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0</v>
      </c>
      <c r="N22" s="385">
        <v>0</v>
      </c>
      <c r="O22" s="385">
        <v>0</v>
      </c>
      <c r="P22" s="385">
        <v>0</v>
      </c>
      <c r="Q22" s="341">
        <v>0</v>
      </c>
      <c r="R22" s="341">
        <v>0</v>
      </c>
      <c r="S22" s="341">
        <v>0</v>
      </c>
      <c r="T22" s="341">
        <v>0</v>
      </c>
      <c r="U22" s="341">
        <v>0</v>
      </c>
      <c r="V22" s="341">
        <v>0</v>
      </c>
      <c r="W22" s="341">
        <v>0</v>
      </c>
      <c r="X22" s="341">
        <v>0</v>
      </c>
      <c r="Y22" s="341">
        <f>'Monthly PL'!Z16</f>
        <v>0</v>
      </c>
      <c r="Z22" s="341">
        <f>'Monthly PL'!AB16</f>
        <v>0</v>
      </c>
      <c r="AA22" s="341">
        <f>'Monthly PL'!AC16</f>
        <v>0</v>
      </c>
      <c r="AB22" s="341">
        <f>'Monthly PL'!AD16</f>
        <v>0</v>
      </c>
      <c r="AC22" s="341">
        <f>'Monthly PL'!AE16</f>
        <v>0</v>
      </c>
      <c r="AD22" s="341">
        <f>'Monthly PL'!AF16</f>
        <v>0</v>
      </c>
      <c r="AE22" s="341">
        <f>'Monthly PL'!AG16</f>
        <v>0</v>
      </c>
      <c r="AF22" s="341">
        <f>'Monthly PL'!AH16</f>
        <v>0</v>
      </c>
      <c r="AG22" s="341">
        <f>'Monthly PL'!AI16</f>
        <v>0</v>
      </c>
      <c r="AH22" s="341">
        <f>'Monthly PL'!AJ16</f>
        <v>0.89572830000000003</v>
      </c>
      <c r="AI22" s="341">
        <f>'Monthly PL'!AK16</f>
        <v>0.89572830000000003</v>
      </c>
      <c r="AJ22" s="341">
        <f>'Monthly PL'!AL16</f>
        <v>0.89572830000000003</v>
      </c>
      <c r="AK22" s="341">
        <f>'Monthly PL'!AM16</f>
        <v>0.89572830000000003</v>
      </c>
      <c r="AL22" s="341">
        <f>'Monthly PL'!AN16</f>
        <v>0.89572830000000003</v>
      </c>
      <c r="AM22" s="341">
        <f>'Monthly PL'!AO16</f>
        <v>0.89572830000000003</v>
      </c>
      <c r="AN22" s="341">
        <f>'Monthly PL'!AP16</f>
        <v>0.89572830000000003</v>
      </c>
      <c r="AO22" s="341">
        <f>'Monthly PL'!AQ16</f>
        <v>0.89572830000000003</v>
      </c>
      <c r="AP22" s="341">
        <f>'Monthly PL'!AR16</f>
        <v>0.89572830000000003</v>
      </c>
      <c r="AQ22" s="341">
        <f>'Monthly PL'!AS16</f>
        <v>0.93715573387499995</v>
      </c>
      <c r="AR22" s="341">
        <f>'Monthly PL'!AT16</f>
        <v>0.89572830000000003</v>
      </c>
      <c r="AS22" s="341">
        <f>'Monthly PL'!AU16</f>
        <v>0.89572830000000003</v>
      </c>
      <c r="AT22" s="341">
        <f>'Monthly PL'!AV16</f>
        <v>0.44786415000000002</v>
      </c>
      <c r="AU22" s="341">
        <f>'Monthly PL'!AW16</f>
        <v>0.44786415000000002</v>
      </c>
      <c r="AV22" s="341">
        <f>'Monthly PL'!AX16</f>
        <v>0.44786415000000002</v>
      </c>
      <c r="AW22" s="341">
        <f>'Monthly PL'!AY16</f>
        <v>0.44786415000000002</v>
      </c>
      <c r="AX22" s="341">
        <f>'Monthly PL'!AZ16</f>
        <v>0.44786415000000002</v>
      </c>
      <c r="AY22" s="341">
        <f>'Monthly PL'!BA16</f>
        <v>0.44786415000000002</v>
      </c>
      <c r="AZ22" s="341">
        <f>'Monthly PL'!BB16</f>
        <v>0.44786415000000002</v>
      </c>
      <c r="BA22" s="341">
        <f>'Monthly PL'!BC16</f>
        <v>0.44786415000000002</v>
      </c>
      <c r="BB22" s="341">
        <f>'Monthly PL'!BD16</f>
        <v>0.44786415000000002</v>
      </c>
      <c r="BC22" s="341">
        <f>'Monthly PL'!BE16</f>
        <v>0.44786415000000002</v>
      </c>
      <c r="BD22" s="341">
        <f>'Monthly PL'!BF16</f>
        <v>0.44786415000000002</v>
      </c>
      <c r="BE22" s="341">
        <f>'Monthly PL'!BG16</f>
        <v>0.44786415000000002</v>
      </c>
      <c r="BF22" s="341">
        <f>'Monthly PL'!BH16</f>
        <v>0.22393207500000001</v>
      </c>
      <c r="BG22" s="341">
        <f>'Monthly PL'!BI16</f>
        <v>0.22393207500000001</v>
      </c>
      <c r="BH22" s="341">
        <f>'Monthly PL'!BJ16</f>
        <v>0.22393207500000001</v>
      </c>
      <c r="BI22" s="341">
        <f>'Monthly PL'!BK16</f>
        <v>0.22393207500000001</v>
      </c>
      <c r="BJ22" s="341">
        <f>'Monthly PL'!BL16</f>
        <v>0.22393207500000001</v>
      </c>
      <c r="BK22" s="341">
        <f>'Monthly PL'!BM16</f>
        <v>0.22393207500000001</v>
      </c>
      <c r="BL22" s="341">
        <f>'Monthly PL'!BN16</f>
        <v>0.22393207500000001</v>
      </c>
      <c r="BM22" s="341">
        <f>'Monthly PL'!BO16</f>
        <v>0.22393207500000001</v>
      </c>
      <c r="BN22" s="341">
        <f>'Monthly PL'!BP16</f>
        <v>0.22393207500000001</v>
      </c>
      <c r="BO22" s="341">
        <f>'Monthly PL'!BQ16</f>
        <v>0.22393207500000001</v>
      </c>
      <c r="BP22" s="341">
        <f>'Monthly PL'!BR16</f>
        <v>0.22393207500000001</v>
      </c>
      <c r="BQ22" s="341">
        <f>'Monthly PL'!BS16</f>
        <v>0.22393207500000001</v>
      </c>
      <c r="BR22" s="341">
        <f>'Monthly PL'!BT16</f>
        <v>0.22393207500000001</v>
      </c>
      <c r="BS22" s="341">
        <f>'Monthly PL'!BU16</f>
        <v>0.22393207500000001</v>
      </c>
      <c r="BT22" s="341">
        <f>'Monthly PL'!BV16</f>
        <v>0.22393207500000001</v>
      </c>
      <c r="BU22" s="341">
        <f>'Monthly PL'!BW16</f>
        <v>0.22393207500000001</v>
      </c>
      <c r="BV22" s="341">
        <f>'Monthly PL'!BX16</f>
        <v>0.22393207500000001</v>
      </c>
      <c r="BW22" s="341">
        <f>'Monthly PL'!BY16</f>
        <v>0.22393207500000001</v>
      </c>
      <c r="BX22" s="341">
        <f>'Monthly PL'!BZ16</f>
        <v>0.22393207500000001</v>
      </c>
      <c r="BY22" s="341">
        <f>'Monthly PL'!CA16</f>
        <v>0.22393207500000001</v>
      </c>
      <c r="BZ22" s="341">
        <f>'Monthly PL'!CB16</f>
        <v>0.22393207500000001</v>
      </c>
      <c r="CA22" s="341">
        <f>'Monthly PL'!CC16</f>
        <v>0.22393207500000001</v>
      </c>
      <c r="CB22" s="341">
        <f>'Monthly PL'!CD16</f>
        <v>0.22393207500000001</v>
      </c>
      <c r="CC22" s="341">
        <f>'Monthly PL'!CE16</f>
        <v>0.22393207500000001</v>
      </c>
      <c r="CD22" s="341">
        <f>'Monthly PL'!CF16</f>
        <v>0.22393207500000001</v>
      </c>
      <c r="CE22" s="341">
        <f>'Monthly PL'!CG16</f>
        <v>0.22393207500000001</v>
      </c>
      <c r="CF22" s="341">
        <f>'Monthly PL'!CH16</f>
        <v>0.22393207500000001</v>
      </c>
      <c r="CG22" s="341">
        <f>'Monthly PL'!CI16</f>
        <v>0.22393207500000001</v>
      </c>
      <c r="CH22" s="341">
        <f>'Monthly PL'!CJ16</f>
        <v>0.22393207500000001</v>
      </c>
      <c r="CI22" s="341">
        <f>'Monthly PL'!CK16</f>
        <v>0.22393207500000001</v>
      </c>
      <c r="CJ22" s="341">
        <f>'Monthly PL'!CL16</f>
        <v>0.22393207500000001</v>
      </c>
      <c r="CK22" s="341">
        <f>'Monthly PL'!CM16</f>
        <v>0.22393207500000001</v>
      </c>
      <c r="CL22" s="341">
        <f>'Monthly PL'!CN16</f>
        <v>0.22393207500000001</v>
      </c>
      <c r="CM22" s="341">
        <f>'Monthly PL'!CO16</f>
        <v>0.22393207500000001</v>
      </c>
      <c r="CN22" s="341">
        <f>'Monthly PL'!CP16</f>
        <v>0.22393207500000001</v>
      </c>
      <c r="CO22" s="341">
        <f>'Monthly PL'!CQ16</f>
        <v>0.22393207500000001</v>
      </c>
      <c r="CP22" s="341">
        <f>'Monthly PL'!CR16</f>
        <v>0.22393207500000001</v>
      </c>
      <c r="CQ22" s="341">
        <f>'Monthly PL'!CS16</f>
        <v>0.22393207500000001</v>
      </c>
      <c r="CR22" s="341">
        <f>'Monthly PL'!CT16</f>
        <v>0.22393207500000001</v>
      </c>
      <c r="CS22" s="341">
        <f>'Monthly PL'!CU16</f>
        <v>0.22393207500000001</v>
      </c>
      <c r="CT22" s="341">
        <f>'Monthly PL'!CV16</f>
        <v>0.22393207500000001</v>
      </c>
      <c r="CU22" s="341">
        <f>'Monthly PL'!CW16</f>
        <v>0.22393207500000001</v>
      </c>
      <c r="CV22" s="385">
        <v>0</v>
      </c>
      <c r="CW22" s="385">
        <v>0</v>
      </c>
      <c r="CX22" s="385">
        <v>0</v>
      </c>
      <c r="CY22" s="385">
        <v>0</v>
      </c>
      <c r="CZ22" s="385">
        <v>0</v>
      </c>
      <c r="DA22" s="385">
        <v>0</v>
      </c>
    </row>
    <row r="23" spans="1:105">
      <c r="A23" s="293" t="s">
        <v>377</v>
      </c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41"/>
      <c r="R23" s="341"/>
      <c r="S23" s="341"/>
      <c r="T23" s="341"/>
      <c r="U23" s="341"/>
      <c r="V23" s="341">
        <v>0</v>
      </c>
      <c r="W23" s="341">
        <v>0</v>
      </c>
      <c r="X23" s="341">
        <v>0</v>
      </c>
      <c r="Y23" s="341">
        <f>'Monthly PL'!Z17</f>
        <v>0</v>
      </c>
      <c r="Z23" s="341">
        <f>'Monthly PL'!AB17</f>
        <v>0</v>
      </c>
      <c r="AA23" s="341">
        <f>'Monthly PL'!AC17</f>
        <v>0</v>
      </c>
      <c r="AB23" s="341">
        <f>'Monthly PL'!AD17</f>
        <v>0</v>
      </c>
      <c r="AC23" s="341">
        <f>'Monthly PL'!AE17</f>
        <v>0</v>
      </c>
      <c r="AD23" s="341">
        <f>'Monthly PL'!AF17</f>
        <v>0</v>
      </c>
      <c r="AE23" s="341">
        <f>'Monthly PL'!AG17</f>
        <v>0</v>
      </c>
      <c r="AF23" s="341">
        <f>'Monthly PL'!AH17</f>
        <v>0</v>
      </c>
      <c r="AG23" s="341">
        <f>'Monthly PL'!AI17</f>
        <v>0.35644314666666665</v>
      </c>
      <c r="AH23" s="341">
        <f>'Monthly PL'!AJ17</f>
        <v>0.18716208000000004</v>
      </c>
      <c r="AI23" s="341">
        <f>'Monthly PL'!AK17</f>
        <v>0.38587170719999997</v>
      </c>
      <c r="AJ23" s="341">
        <f>'Monthly PL'!AL17</f>
        <v>0.18998716800000004</v>
      </c>
      <c r="AK23" s="341">
        <f>'Monthly PL'!AM17</f>
        <v>0.3916631376000001</v>
      </c>
      <c r="AL23" s="341">
        <f>'Monthly PL'!AN17</f>
        <v>0.19923933120000004</v>
      </c>
      <c r="AM23" s="341">
        <f>'Monthly PL'!AO17</f>
        <v>0.39095686560000004</v>
      </c>
      <c r="AN23" s="341">
        <f>'Monthly PL'!AP17</f>
        <v>0.20215858879999998</v>
      </c>
      <c r="AO23" s="341">
        <f>'Monthly PL'!AQ17</f>
        <v>0.39665412640000003</v>
      </c>
      <c r="AP23" s="341">
        <f>'Monthly PL'!AR17</f>
        <v>0.20507784640000001</v>
      </c>
      <c r="AQ23" s="341">
        <f>'Monthly PL'!AS17</f>
        <v>0.41244639774800007</v>
      </c>
      <c r="AR23" s="341">
        <f>'Monthly PL'!AT17</f>
        <v>0.19464108848799999</v>
      </c>
      <c r="AS23" s="341">
        <f>'Monthly PL'!AU17</f>
        <v>0.41160690519199994</v>
      </c>
      <c r="AT23" s="341">
        <f>'Monthly PL'!AV17</f>
        <v>0.21364524946800001</v>
      </c>
      <c r="AU23" s="341">
        <f>'Monthly PL'!AW17</f>
        <v>0.43912221908940002</v>
      </c>
      <c r="AV23" s="341">
        <f>'Monthly PL'!AX17</f>
        <v>0.21512842066800003</v>
      </c>
      <c r="AW23" s="341">
        <f>'Monthly PL'!AY17</f>
        <v>0.44216272004940005</v>
      </c>
      <c r="AX23" s="341">
        <f>'Monthly PL'!AZ17</f>
        <v>0.22383197826360002</v>
      </c>
      <c r="AY23" s="341">
        <f>'Monthly PL'!BA17</f>
        <v>0.43794575533379998</v>
      </c>
      <c r="AZ23" s="341">
        <f>'Monthly PL'!BB17</f>
        <v>0.22536458850360003</v>
      </c>
      <c r="BA23" s="341">
        <f>'Monthly PL'!BC17</f>
        <v>0.44093681725380007</v>
      </c>
      <c r="BB23" s="341">
        <f>'Monthly PL'!BD17</f>
        <v>0.22689719874359998</v>
      </c>
      <c r="BC23" s="341">
        <f>'Monthly PL'!BE17</f>
        <v>0.45494385516720004</v>
      </c>
      <c r="BD23" s="341">
        <f>'Monthly PL'!BF17</f>
        <v>0.20632369843680004</v>
      </c>
      <c r="BE23" s="341">
        <f>'Monthly PL'!BG17</f>
        <v>0.44695602037380006</v>
      </c>
      <c r="BF23" s="341">
        <f>'Monthly PL'!BH17</f>
        <v>0.26645196491075535</v>
      </c>
      <c r="BG23" s="341">
        <f>'Monthly PL'!BI17</f>
        <v>0.54691579856883299</v>
      </c>
      <c r="BH23" s="341">
        <f>'Monthly PL'!BJ17</f>
        <v>0.26734134620338035</v>
      </c>
      <c r="BI23" s="341">
        <f>'Monthly PL'!BK17</f>
        <v>0.54873903021871406</v>
      </c>
      <c r="BJ23" s="341">
        <f>'Monthly PL'!BL17</f>
        <v>0.27717175174587222</v>
      </c>
      <c r="BK23" s="341">
        <f>'Monthly PL'!BM17</f>
        <v>0.54159900308641296</v>
      </c>
      <c r="BL23" s="341">
        <f>'Monthly PL'!BN17</f>
        <v>0.27809077908158469</v>
      </c>
      <c r="BM23" s="341">
        <f>'Monthly PL'!BO17</f>
        <v>0.54339258869320683</v>
      </c>
      <c r="BN23" s="341">
        <f>'Monthly PL'!BP17</f>
        <v>0.27900980641729722</v>
      </c>
      <c r="BO23" s="341">
        <f>'Monthly PL'!BQ17</f>
        <v>0.5587088833363788</v>
      </c>
      <c r="BP23" s="341">
        <f>'Monthly PL'!BR17</f>
        <v>0.25283894661562173</v>
      </c>
      <c r="BQ23" s="341">
        <f>'Monthly PL'!BS17</f>
        <v>0.5470019944391098</v>
      </c>
      <c r="BR23" s="341">
        <f>'Monthly PL'!BT17</f>
        <v>0.30216458678805597</v>
      </c>
      <c r="BS23" s="341">
        <f>'Monthly PL'!BU17</f>
        <v>0.62020370953220461</v>
      </c>
      <c r="BT23" s="341">
        <f>'Monthly PL'!BV17</f>
        <v>0.30315336951926852</v>
      </c>
      <c r="BU23" s="341">
        <f>'Monthly PL'!BW17</f>
        <v>0.62223071413119024</v>
      </c>
      <c r="BV23" s="341">
        <f>'Monthly PL'!BX17</f>
        <v>0.31428022399216371</v>
      </c>
      <c r="BW23" s="341">
        <f>'Monthly PL'!BY17</f>
        <v>0.61409492742021277</v>
      </c>
      <c r="BX23" s="341">
        <f>'Monthly PL'!BZ17</f>
        <v>0.31530196614775002</v>
      </c>
      <c r="BY23" s="341">
        <f>'Monthly PL'!CA17</f>
        <v>0.61608897259482454</v>
      </c>
      <c r="BZ23" s="341">
        <f>'Monthly PL'!CB17</f>
        <v>0.31632370830333623</v>
      </c>
      <c r="CA23" s="341">
        <f>'Monthly PL'!CC17</f>
        <v>0.63893990774745157</v>
      </c>
      <c r="CB23" s="341">
        <f>'Monthly PL'!CD17</f>
        <v>0.28996756088444675</v>
      </c>
      <c r="CC23" s="341">
        <f>'Monthly PL'!CE17</f>
        <v>0.62731226835549525</v>
      </c>
      <c r="CD23" s="341">
        <f>'Monthly PL'!CF17</f>
        <v>0.3272638002100754</v>
      </c>
      <c r="CE23" s="341">
        <f>'Monthly PL'!CG17</f>
        <v>0.67170476844733606</v>
      </c>
      <c r="CF23" s="341">
        <f>'Monthly PL'!CH17</f>
        <v>0.32831409442514825</v>
      </c>
      <c r="CG23" s="341">
        <f>'Monthly PL'!CI17</f>
        <v>0.6738578715882354</v>
      </c>
      <c r="CH23" s="341">
        <f>'Monthly PL'!CJ17</f>
        <v>0.34034320159489506</v>
      </c>
      <c r="CI23" s="341">
        <f>'Monthly PL'!CK17</f>
        <v>0.66500590441908369</v>
      </c>
      <c r="CJ23" s="341">
        <f>'Monthly PL'!CL17</f>
        <v>0.34142850561713695</v>
      </c>
      <c r="CK23" s="341">
        <f>'Monthly PL'!CM17</f>
        <v>0.66712399775281384</v>
      </c>
      <c r="CL23" s="341">
        <f>'Monthly PL'!CN17</f>
        <v>0.34251380963937889</v>
      </c>
      <c r="CM23" s="341">
        <f>'Monthly PL'!CO17</f>
        <v>0.68584159729543925</v>
      </c>
      <c r="CN23" s="341">
        <f>'Monthly PL'!CP17</f>
        <v>0.32143142890925824</v>
      </c>
      <c r="CO23" s="341">
        <f>'Monthly PL'!CQ17</f>
        <v>0.67692836296374181</v>
      </c>
      <c r="CP23" s="341">
        <f>'Monthly PL'!CR17</f>
        <v>0.35024384377553797</v>
      </c>
      <c r="CQ23" s="341">
        <f>'Monthly PL'!CS17</f>
        <v>0.7188545566573683</v>
      </c>
      <c r="CR23" s="341">
        <f>'Monthly PL'!CT17</f>
        <v>0.35134665270136445</v>
      </c>
      <c r="CS23" s="341">
        <f>'Monthly PL'!CU17</f>
        <v>0.72111531495531234</v>
      </c>
      <c r="CT23" s="341">
        <f>'Monthly PL'!CV17</f>
        <v>0.36419777701476391</v>
      </c>
      <c r="CU23" s="341">
        <f>'Monthly PL'!CW17</f>
        <v>0.71160018764253796</v>
      </c>
      <c r="CV23" s="341">
        <f>'Monthly PL'!CX17</f>
        <v>0</v>
      </c>
      <c r="CW23" s="341">
        <f>'Monthly PL'!CY17</f>
        <v>0</v>
      </c>
      <c r="CX23" s="341">
        <f>'Monthly PL'!CZ17</f>
        <v>0</v>
      </c>
      <c r="CY23" s="341">
        <f>'Monthly PL'!DA17</f>
        <v>0</v>
      </c>
      <c r="CZ23" s="341">
        <f>'Monthly PL'!DB17</f>
        <v>0</v>
      </c>
      <c r="DA23" s="341">
        <f>'Monthly PL'!DC17</f>
        <v>0</v>
      </c>
    </row>
    <row r="24" spans="1:105">
      <c r="A24" s="310" t="s">
        <v>378</v>
      </c>
      <c r="B24" s="385">
        <v>0</v>
      </c>
      <c r="C24" s="385">
        <v>0</v>
      </c>
      <c r="D24" s="385">
        <v>0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0</v>
      </c>
      <c r="P24" s="385">
        <v>0</v>
      </c>
      <c r="Q24" s="341">
        <v>0</v>
      </c>
      <c r="R24" s="341">
        <v>0</v>
      </c>
      <c r="S24" s="341">
        <v>0</v>
      </c>
      <c r="T24" s="341">
        <v>0</v>
      </c>
      <c r="U24" s="341">
        <v>0</v>
      </c>
      <c r="V24" s="385">
        <f>'Monthly PL'!X18</f>
        <v>0.21088189439999999</v>
      </c>
      <c r="W24" s="385">
        <f>'Monthly PL'!Y18</f>
        <v>0.42272313599999994</v>
      </c>
      <c r="X24" s="385">
        <f>'Monthly PL'!Z18</f>
        <v>0.2149177344</v>
      </c>
      <c r="Y24" s="385">
        <f>'Monthly PL'!AA18</f>
        <v>0.43099660800000006</v>
      </c>
      <c r="Z24" s="385">
        <f>'Monthly PL'!AB18</f>
        <v>0.22503423999999997</v>
      </c>
      <c r="AA24" s="385">
        <f>'Monthly PL'!AC18</f>
        <v>0.42943608320000004</v>
      </c>
      <c r="AB24" s="385">
        <f>'Monthly PL'!AD18</f>
        <v>0.22670238719999999</v>
      </c>
      <c r="AC24" s="385">
        <f>'Monthly PL'!AE18</f>
        <v>0.42762977279999992</v>
      </c>
      <c r="AD24" s="385">
        <f>'Monthly PL'!AF18</f>
        <v>0.22330864640000003</v>
      </c>
      <c r="AE24" s="385">
        <f>'Monthly PL'!AG18</f>
        <v>0.44141889279999996</v>
      </c>
      <c r="AF24" s="385">
        <f>'Monthly PL'!AH18</f>
        <v>0.38382899199999998</v>
      </c>
      <c r="AG24" s="385">
        <f>'Monthly PL'!AI18</f>
        <v>0.44273592192</v>
      </c>
      <c r="AH24" s="385">
        <f>'Monthly PL'!AJ18</f>
        <v>0.28944157473600002</v>
      </c>
      <c r="AI24" s="385">
        <f>'Monthly PL'!AK18</f>
        <v>0.53266215842879994</v>
      </c>
      <c r="AJ24" s="385">
        <f>'Monthly PL'!AL18</f>
        <v>0.29289948244800001</v>
      </c>
      <c r="AK24" s="385">
        <f>'Monthly PL'!AM18</f>
        <v>0.53975086923839999</v>
      </c>
      <c r="AL24" s="385">
        <f>'Monthly PL'!AN18</f>
        <v>0.30422413020479999</v>
      </c>
      <c r="AM24" s="385">
        <f>'Monthly PL'!AO18</f>
        <v>0.53888639231039992</v>
      </c>
      <c r="AN24" s="385">
        <f>'Monthly PL'!AP18</f>
        <v>0.3035858106912</v>
      </c>
      <c r="AO24" s="385">
        <f>'Monthly PL'!AQ18</f>
        <v>0.5416483487135999</v>
      </c>
      <c r="AP24" s="385">
        <f>'Monthly PL'!AR18</f>
        <v>0.30715898199359998</v>
      </c>
      <c r="AQ24" s="385">
        <f>'Monthly PL'!AS18</f>
        <v>0.56346373487605206</v>
      </c>
      <c r="AR24" s="385">
        <f>'Monthly PL'!AT18</f>
        <v>0.29438439030931196</v>
      </c>
      <c r="AS24" s="385">
        <f>'Monthly PL'!AU18</f>
        <v>0.55995054995500793</v>
      </c>
      <c r="AT24" s="385">
        <f>'Monthly PL'!AV18</f>
        <v>0.29077363434883197</v>
      </c>
      <c r="AU24" s="385">
        <f>'Monthly PL'!AW18</f>
        <v>0.56675744516542559</v>
      </c>
      <c r="AV24" s="385">
        <f>'Monthly PL'!AX18</f>
        <v>0.29258903589763202</v>
      </c>
      <c r="AW24" s="385">
        <f>'Monthly PL'!AY18</f>
        <v>0.57047901834046544</v>
      </c>
      <c r="AX24" s="385">
        <f>'Monthly PL'!AZ18</f>
        <v>0.30324219039464639</v>
      </c>
      <c r="AY24" s="385">
        <f>'Monthly PL'!BA18</f>
        <v>0.56531745352857121</v>
      </c>
      <c r="AZ24" s="385">
        <f>'Monthly PL'!BB18</f>
        <v>0.30511810532840644</v>
      </c>
      <c r="BA24" s="385">
        <f>'Monthly PL'!BC18</f>
        <v>0.56897851331865112</v>
      </c>
      <c r="BB24" s="385">
        <f>'Monthly PL'!BD18</f>
        <v>0.30699402026216638</v>
      </c>
      <c r="BC24" s="385">
        <f>'Monthly PL'!BE18</f>
        <v>0.5861231277246528</v>
      </c>
      <c r="BD24" s="385">
        <f>'Monthly PL'!BF18</f>
        <v>0.28181205588664326</v>
      </c>
      <c r="BE24" s="385">
        <f>'Monthly PL'!BG18</f>
        <v>0.57634601793753115</v>
      </c>
      <c r="BF24" s="385">
        <f>'Monthly PL'!BH18</f>
        <v>0.34197312955076448</v>
      </c>
      <c r="BG24" s="385">
        <f>'Monthly PL'!BI18</f>
        <v>0.68526086194825164</v>
      </c>
      <c r="BH24" s="385">
        <f>'Monthly PL'!BJ18</f>
        <v>0.34306173225293751</v>
      </c>
      <c r="BI24" s="385">
        <f>'Monthly PL'!BK18</f>
        <v>0.68749249748770591</v>
      </c>
      <c r="BJ24" s="385">
        <f>'Monthly PL'!BL18</f>
        <v>0.35509414863694755</v>
      </c>
      <c r="BK24" s="385">
        <f>'Monthly PL'!BM18</f>
        <v>0.67875310427776936</v>
      </c>
      <c r="BL24" s="385">
        <f>'Monthly PL'!BN18</f>
        <v>0.3562190380958597</v>
      </c>
      <c r="BM24" s="385">
        <f>'Monthly PL'!BO18</f>
        <v>0.68094845306048501</v>
      </c>
      <c r="BN24" s="385">
        <f>'Monthly PL'!BP18</f>
        <v>0.35734392755477179</v>
      </c>
      <c r="BO24" s="385">
        <f>'Monthly PL'!BQ18</f>
        <v>0.69969559770372758</v>
      </c>
      <c r="BP24" s="385">
        <f>'Monthly PL'!BR18</f>
        <v>0.32531079515752098</v>
      </c>
      <c r="BQ24" s="385">
        <f>'Monthly PL'!BS18</f>
        <v>0.68536636569347031</v>
      </c>
      <c r="BR24" s="385">
        <f>'Monthly PL'!BT18</f>
        <v>0.38568537872858044</v>
      </c>
      <c r="BS24" s="385">
        <f>'Monthly PL'!BU18</f>
        <v>0.77496526496741835</v>
      </c>
      <c r="BT24" s="385">
        <f>'Monthly PL'!BV18</f>
        <v>0.38689564879158461</v>
      </c>
      <c r="BU24" s="385">
        <f>'Monthly PL'!BW18</f>
        <v>0.77744631859657665</v>
      </c>
      <c r="BV24" s="385">
        <f>'Monthly PL'!BX18</f>
        <v>0.40051491866640831</v>
      </c>
      <c r="BW24" s="385">
        <f>'Monthly PL'!BY18</f>
        <v>0.76748811566234032</v>
      </c>
      <c r="BX24" s="385">
        <f>'Monthly PL'!BZ18</f>
        <v>0.40176553106484597</v>
      </c>
      <c r="BY24" s="385">
        <f>'Monthly PL'!CA18</f>
        <v>0.76992882695606513</v>
      </c>
      <c r="BZ24" s="385">
        <f>'Monthly PL'!CB18</f>
        <v>0.40301614346328346</v>
      </c>
      <c r="CA24" s="385">
        <f>'Monthly PL'!CC18</f>
        <v>0.79789837158288057</v>
      </c>
      <c r="CB24" s="385">
        <f>'Monthly PL'!CD18</f>
        <v>0.37075621902256284</v>
      </c>
      <c r="CC24" s="385">
        <f>'Monthly PL'!CE18</f>
        <v>0.78366614096712606</v>
      </c>
      <c r="CD24" s="385">
        <f>'Monthly PL'!CF18</f>
        <v>0.4164068159571323</v>
      </c>
      <c r="CE24" s="385">
        <f>'Monthly PL'!CG18</f>
        <v>0.83800256107953919</v>
      </c>
      <c r="CF24" s="385">
        <f>'Monthly PL'!CH18</f>
        <v>0.41769237607638143</v>
      </c>
      <c r="CG24" s="385">
        <f>'Monthly PL'!CI18</f>
        <v>0.84063795932400009</v>
      </c>
      <c r="CH24" s="385">
        <f>'Monthly PL'!CJ18</f>
        <v>0.43241600325215152</v>
      </c>
      <c r="CI24" s="385">
        <f>'Monthly PL'!CK18</f>
        <v>0.82980315150895834</v>
      </c>
      <c r="CJ24" s="385">
        <f>'Monthly PL'!CL18</f>
        <v>0.43374441537537556</v>
      </c>
      <c r="CK24" s="385">
        <f>'Monthly PL'!CM18</f>
        <v>0.832395697749444</v>
      </c>
      <c r="CL24" s="385">
        <f>'Monthly PL'!CN18</f>
        <v>0.43507282749859971</v>
      </c>
      <c r="CM24" s="385">
        <f>'Monthly PL'!CO18</f>
        <v>0.85530603958961759</v>
      </c>
      <c r="CN24" s="385">
        <f>'Monthly PL'!CP18</f>
        <v>0.40926799348493209</v>
      </c>
      <c r="CO24" s="385">
        <f>'Monthly PL'!CQ18</f>
        <v>0.84439624076761977</v>
      </c>
      <c r="CP24" s="385">
        <f>'Monthly PL'!CR18</f>
        <v>0.44453438928125838</v>
      </c>
      <c r="CQ24" s="385">
        <f>'Monthly PL'!CS18</f>
        <v>0.89571390184861865</v>
      </c>
      <c r="CR24" s="385">
        <f>'Monthly PL'!CT18</f>
        <v>0.44588422740647005</v>
      </c>
      <c r="CS24" s="385">
        <f>'Monthly PL'!CU18</f>
        <v>0.8984810700053022</v>
      </c>
      <c r="CT24" s="385">
        <f>'Monthly PL'!CV18</f>
        <v>0.46161400356607096</v>
      </c>
      <c r="CU24" s="385">
        <f>'Monthly PL'!CW18</f>
        <v>0.88683455417446633</v>
      </c>
      <c r="CV24" s="385">
        <v>0</v>
      </c>
      <c r="CW24" s="385">
        <v>0</v>
      </c>
      <c r="CX24" s="385">
        <v>0</v>
      </c>
      <c r="CY24" s="385">
        <v>0</v>
      </c>
      <c r="CZ24" s="385">
        <v>0</v>
      </c>
      <c r="DA24" s="385">
        <v>0</v>
      </c>
    </row>
    <row r="25" spans="1:105">
      <c r="A25" s="310" t="s">
        <v>379</v>
      </c>
      <c r="B25" s="385">
        <v>0</v>
      </c>
      <c r="C25" s="385">
        <v>0</v>
      </c>
      <c r="D25" s="385">
        <v>0</v>
      </c>
      <c r="E25" s="385">
        <v>0</v>
      </c>
      <c r="F25" s="385">
        <v>0</v>
      </c>
      <c r="G25" s="385">
        <v>0</v>
      </c>
      <c r="H25" s="385">
        <v>0</v>
      </c>
      <c r="I25" s="385">
        <v>0</v>
      </c>
      <c r="J25" s="385">
        <v>0</v>
      </c>
      <c r="K25" s="385">
        <v>0</v>
      </c>
      <c r="L25" s="385">
        <v>0</v>
      </c>
      <c r="M25" s="385">
        <v>0</v>
      </c>
      <c r="N25" s="385">
        <v>0</v>
      </c>
      <c r="O25" s="385">
        <v>0</v>
      </c>
      <c r="P25" s="385">
        <v>0</v>
      </c>
      <c r="Q25" s="341">
        <v>0</v>
      </c>
      <c r="R25" s="341">
        <v>0</v>
      </c>
      <c r="S25" s="341">
        <v>0</v>
      </c>
      <c r="T25" s="341">
        <v>0</v>
      </c>
      <c r="U25" s="341">
        <v>0</v>
      </c>
      <c r="V25" s="385">
        <f>'Monthly PL'!X19</f>
        <v>0</v>
      </c>
      <c r="W25" s="385">
        <f>'Monthly PL'!Y19</f>
        <v>0</v>
      </c>
      <c r="X25" s="385">
        <f>'Monthly PL'!Z19</f>
        <v>0</v>
      </c>
      <c r="Y25" s="385">
        <f>'Monthly PL'!AA19</f>
        <v>6.6750000000000004E-2</v>
      </c>
      <c r="Z25" s="385">
        <f>'Monthly PL'!AB19</f>
        <v>1.2542500000000001</v>
      </c>
      <c r="AA25" s="385">
        <f>'Monthly PL'!AC19</f>
        <v>2.9803999999999997E-2</v>
      </c>
      <c r="AB25" s="385">
        <f>'Monthly PL'!AD19</f>
        <v>0.21444034084134886</v>
      </c>
      <c r="AC25" s="385">
        <f>'Monthly PL'!AE19</f>
        <v>0.25318242030010002</v>
      </c>
      <c r="AD25" s="385">
        <v>0</v>
      </c>
      <c r="AE25" s="385">
        <f>'Monthly PL'!AG19</f>
        <v>0.26735271359230012</v>
      </c>
      <c r="AF25" s="385">
        <f>'Monthly PL'!AH19</f>
        <v>0.25528973147369999</v>
      </c>
      <c r="AG25" s="385">
        <f>'Monthly PL'!AI19</f>
        <v>0.25143685436672669</v>
      </c>
      <c r="AH25" s="385">
        <f>'Monthly PL'!AJ19</f>
        <v>9.9330817813200009E-2</v>
      </c>
      <c r="AI25" s="385">
        <f>'Monthly PL'!AK19</f>
        <v>0.12078380682193759</v>
      </c>
      <c r="AJ25" s="385">
        <f>'Monthly PL'!AL19</f>
        <v>7.543490312880001E-2</v>
      </c>
      <c r="AK25" s="385">
        <f>'Monthly PL'!AM19</f>
        <v>9.6167456279772801E-2</v>
      </c>
      <c r="AL25" s="385">
        <f>'Monthly PL'!AN19</f>
        <v>7.2767100000000001E-2</v>
      </c>
      <c r="AM25" s="385">
        <f>'Monthly PL'!AO19</f>
        <v>0.45067356000000003</v>
      </c>
      <c r="AN25" s="385">
        <f>'Monthly PL'!AP19</f>
        <v>2.7195037500000005E-2</v>
      </c>
      <c r="AO25" s="385">
        <f>'Monthly PL'!AQ19</f>
        <v>2.0241450000000001E-2</v>
      </c>
      <c r="AP25" s="385">
        <f>'Monthly PL'!AR19</f>
        <v>7.1164906825000013E-2</v>
      </c>
      <c r="AQ25" s="385">
        <f>'Monthly PL'!AS19</f>
        <v>0</v>
      </c>
      <c r="AR25" s="385">
        <f>'Monthly PL'!AT19</f>
        <v>0</v>
      </c>
      <c r="AS25" s="385">
        <f>'Monthly PL'!AU19</f>
        <v>0</v>
      </c>
      <c r="AT25" s="385">
        <f>'Monthly PL'!AV19</f>
        <v>0</v>
      </c>
      <c r="AU25" s="385">
        <f>'Monthly PL'!AW19</f>
        <v>0</v>
      </c>
      <c r="AV25" s="385">
        <f>'Monthly PL'!AX19</f>
        <v>0</v>
      </c>
      <c r="AW25" s="385">
        <f>'Monthly PL'!AY19</f>
        <v>0</v>
      </c>
      <c r="AX25" s="385">
        <f>'Monthly PL'!AZ19</f>
        <v>0</v>
      </c>
      <c r="AY25" s="385">
        <f>'Monthly PL'!BA19</f>
        <v>0</v>
      </c>
      <c r="AZ25" s="385">
        <f>'Monthly PL'!BB19</f>
        <v>0</v>
      </c>
      <c r="BA25" s="385">
        <f>'Monthly PL'!BC19</f>
        <v>0</v>
      </c>
      <c r="BB25" s="385">
        <f>'Monthly PL'!BD19</f>
        <v>0</v>
      </c>
      <c r="BC25" s="385">
        <f>'Monthly PL'!BE19</f>
        <v>0</v>
      </c>
      <c r="BD25" s="385">
        <f>'Monthly PL'!BF19</f>
        <v>0</v>
      </c>
      <c r="BE25" s="385">
        <f>'Monthly PL'!BG19</f>
        <v>0</v>
      </c>
      <c r="BF25" s="385">
        <f>'Monthly PL'!BH19</f>
        <v>0</v>
      </c>
      <c r="BG25" s="385">
        <f>'Monthly PL'!BI19</f>
        <v>0</v>
      </c>
      <c r="BH25" s="385">
        <f>'Monthly PL'!BJ19</f>
        <v>0</v>
      </c>
      <c r="BI25" s="385">
        <f>'Monthly PL'!BK19</f>
        <v>0</v>
      </c>
      <c r="BJ25" s="385">
        <f>'Monthly PL'!BL19</f>
        <v>0</v>
      </c>
      <c r="BK25" s="385">
        <f>'Monthly PL'!BM19</f>
        <v>0</v>
      </c>
      <c r="BL25" s="385">
        <f>'Monthly PL'!BN19</f>
        <v>0</v>
      </c>
      <c r="BM25" s="385">
        <f>'Monthly PL'!BO19</f>
        <v>0</v>
      </c>
      <c r="BN25" s="385">
        <f>'Monthly PL'!BP19</f>
        <v>0</v>
      </c>
      <c r="BO25" s="385">
        <f>'Monthly PL'!BQ19</f>
        <v>0</v>
      </c>
      <c r="BP25" s="385">
        <f>'Monthly PL'!BR19</f>
        <v>0</v>
      </c>
      <c r="BQ25" s="385">
        <f>'Monthly PL'!BS19</f>
        <v>0</v>
      </c>
      <c r="BR25" s="385">
        <f>'Monthly PL'!BT19</f>
        <v>0</v>
      </c>
      <c r="BS25" s="385">
        <f>'Monthly PL'!BU19</f>
        <v>0</v>
      </c>
      <c r="BT25" s="385">
        <f>'Monthly PL'!BV19</f>
        <v>0</v>
      </c>
      <c r="BU25" s="385">
        <f>'Monthly PL'!BW19</f>
        <v>0</v>
      </c>
      <c r="BV25" s="385">
        <f>'Monthly PL'!BX19</f>
        <v>0</v>
      </c>
      <c r="BW25" s="385">
        <f>'Monthly PL'!BY19</f>
        <v>0</v>
      </c>
      <c r="BX25" s="385">
        <f>'Monthly PL'!BZ19</f>
        <v>0</v>
      </c>
      <c r="BY25" s="385">
        <f>'Monthly PL'!CA19</f>
        <v>0</v>
      </c>
      <c r="BZ25" s="385">
        <f>'Monthly PL'!CB19</f>
        <v>0</v>
      </c>
      <c r="CA25" s="385">
        <f>'Monthly PL'!CC19</f>
        <v>0</v>
      </c>
      <c r="CB25" s="385">
        <f>'Monthly PL'!CD19</f>
        <v>0</v>
      </c>
      <c r="CC25" s="385">
        <f>'Monthly PL'!CE19</f>
        <v>0</v>
      </c>
      <c r="CD25" s="385">
        <f>'Monthly PL'!CF19</f>
        <v>0</v>
      </c>
      <c r="CE25" s="385">
        <f>'Monthly PL'!CG19</f>
        <v>0</v>
      </c>
      <c r="CF25" s="385">
        <f>'Monthly PL'!CH19</f>
        <v>0</v>
      </c>
      <c r="CG25" s="385">
        <f>'Monthly PL'!CI19</f>
        <v>0</v>
      </c>
      <c r="CH25" s="385">
        <f>'Monthly PL'!CJ19</f>
        <v>0</v>
      </c>
      <c r="CI25" s="385">
        <f>'Monthly PL'!CK19</f>
        <v>0</v>
      </c>
      <c r="CJ25" s="385">
        <f>'Monthly PL'!CL19</f>
        <v>0</v>
      </c>
      <c r="CK25" s="385">
        <f>'Monthly PL'!CM19</f>
        <v>0</v>
      </c>
      <c r="CL25" s="385">
        <f>'Monthly PL'!CN19</f>
        <v>0</v>
      </c>
      <c r="CM25" s="385">
        <f>'Monthly PL'!CO19</f>
        <v>0</v>
      </c>
      <c r="CN25" s="385">
        <f>'Monthly PL'!CP19</f>
        <v>0</v>
      </c>
      <c r="CO25" s="385">
        <f>'Monthly PL'!CQ19</f>
        <v>0</v>
      </c>
      <c r="CP25" s="385">
        <f>'Monthly PL'!CR19</f>
        <v>0</v>
      </c>
      <c r="CQ25" s="385">
        <f>'Monthly PL'!CS19</f>
        <v>0</v>
      </c>
      <c r="CR25" s="385">
        <f>'Monthly PL'!CT19</f>
        <v>0</v>
      </c>
      <c r="CS25" s="385">
        <f>'Monthly PL'!CU19</f>
        <v>0</v>
      </c>
      <c r="CT25" s="385">
        <f>'Monthly PL'!CV19</f>
        <v>0</v>
      </c>
      <c r="CU25" s="385">
        <f>'Monthly PL'!CW19</f>
        <v>0</v>
      </c>
      <c r="CV25" s="385">
        <v>0</v>
      </c>
      <c r="CW25" s="385">
        <v>0</v>
      </c>
      <c r="CX25" s="385">
        <v>0</v>
      </c>
      <c r="CY25" s="385">
        <v>0</v>
      </c>
      <c r="CZ25" s="385">
        <v>0</v>
      </c>
      <c r="DA25" s="385">
        <v>0</v>
      </c>
    </row>
    <row r="26" spans="1:105">
      <c r="A26" s="310" t="s">
        <v>335</v>
      </c>
      <c r="B26" s="385">
        <v>0</v>
      </c>
      <c r="C26" s="385">
        <v>0</v>
      </c>
      <c r="D26" s="385">
        <v>0</v>
      </c>
      <c r="E26" s="385">
        <v>0</v>
      </c>
      <c r="F26" s="385">
        <v>0</v>
      </c>
      <c r="G26" s="385">
        <v>0</v>
      </c>
      <c r="H26" s="385">
        <v>0</v>
      </c>
      <c r="I26" s="385">
        <v>0</v>
      </c>
      <c r="J26" s="385">
        <v>0</v>
      </c>
      <c r="K26" s="385">
        <v>0</v>
      </c>
      <c r="L26" s="385">
        <v>0</v>
      </c>
      <c r="M26" s="385">
        <v>0</v>
      </c>
      <c r="N26" s="385">
        <v>0</v>
      </c>
      <c r="O26" s="385">
        <v>0</v>
      </c>
      <c r="P26" s="385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85">
        <f>'Monthly PL'!X24</f>
        <v>2.2975608469164337</v>
      </c>
      <c r="W26" s="385">
        <f>'Monthly PL'!Y24</f>
        <v>2.2975608469164337</v>
      </c>
      <c r="X26" s="385">
        <f>'Monthly PL'!Z24</f>
        <v>2.2837706276777627</v>
      </c>
      <c r="Y26" s="385">
        <f>'Monthly PL'!AA24</f>
        <v>2.2837706276777627</v>
      </c>
      <c r="Z26" s="385">
        <f>'Monthly PL'!AB24</f>
        <v>1.069067440171005</v>
      </c>
      <c r="AA26" s="385">
        <f>'Monthly PL'!AC24</f>
        <v>1.6206762097178293</v>
      </c>
      <c r="AB26" s="385">
        <f>'Monthly PL'!AD24</f>
        <v>1.6206762097178293</v>
      </c>
      <c r="AC26" s="385">
        <f>'Monthly PL'!AE24</f>
        <v>1.6206762097178293</v>
      </c>
      <c r="AD26" s="385">
        <f>'Monthly PL'!AF24</f>
        <v>1.6206762097178293</v>
      </c>
      <c r="AE26" s="385">
        <f>'Monthly PL'!AG24</f>
        <v>1.2967391197846974</v>
      </c>
      <c r="AF26" s="385">
        <f>'Monthly PL'!AH24</f>
        <v>1.2967391197846974</v>
      </c>
      <c r="AG26" s="385">
        <f>'Monthly PL'!AI24</f>
        <v>1.2967391197846974</v>
      </c>
      <c r="AH26" s="385">
        <f>'Monthly PL'!AJ24</f>
        <v>1.2967391197846974</v>
      </c>
      <c r="AI26" s="385">
        <f>'Monthly PL'!AK24</f>
        <v>1.2967391197846974</v>
      </c>
      <c r="AJ26" s="385">
        <f>'Monthly PL'!AL24</f>
        <v>1.2967391197846974</v>
      </c>
      <c r="AK26" s="385">
        <f>'Monthly PL'!AM24</f>
        <v>1.2967391197846974</v>
      </c>
      <c r="AL26" s="385">
        <f>'Monthly PL'!AN24</f>
        <v>1.2967391197846974</v>
      </c>
      <c r="AM26" s="385">
        <f>'Monthly PL'!AO24</f>
        <v>1.2967391197846974</v>
      </c>
      <c r="AN26" s="385">
        <f>'Monthly PL'!AP24</f>
        <v>1.2967391197846974</v>
      </c>
      <c r="AO26" s="385">
        <f>'Monthly PL'!AQ24</f>
        <v>1.2967391197846974</v>
      </c>
      <c r="AP26" s="385">
        <f>'Monthly PL'!AR24</f>
        <v>1.2967391197846974</v>
      </c>
      <c r="AQ26" s="385">
        <f>'Monthly PL'!AS24</f>
        <v>1.2967391197846974</v>
      </c>
      <c r="AR26" s="385">
        <f>'Monthly PL'!AT24</f>
        <v>1.2967391197846974</v>
      </c>
      <c r="AS26" s="385">
        <f>'Monthly PL'!AU24</f>
        <v>1.2837717285868508</v>
      </c>
      <c r="AT26" s="385">
        <f>'Monthly PL'!AV24</f>
        <v>1.2837717285868508</v>
      </c>
      <c r="AU26" s="385">
        <f>'Monthly PL'!AW24</f>
        <v>1.2837717285868508</v>
      </c>
      <c r="AV26" s="385">
        <f>'Monthly PL'!AX24</f>
        <v>1.2448695549933095</v>
      </c>
      <c r="AW26" s="385">
        <f>'Monthly PL'!AY24</f>
        <v>1.2448695549933095</v>
      </c>
      <c r="AX26" s="385">
        <f>'Monthly PL'!AZ24</f>
        <v>1.2448695549933095</v>
      </c>
      <c r="AY26" s="385">
        <f>'Monthly PL'!BA24</f>
        <v>1.2059673813997684</v>
      </c>
      <c r="AZ26" s="385">
        <f>'Monthly PL'!BB24</f>
        <v>1.2059673813997684</v>
      </c>
      <c r="BA26" s="385">
        <f>'Monthly PL'!BC24</f>
        <v>1.2059673813997684</v>
      </c>
      <c r="BB26" s="385">
        <f>'Monthly PL'!BD24</f>
        <v>1.1670652078062276</v>
      </c>
      <c r="BC26" s="385">
        <f>'Monthly PL'!BE24</f>
        <v>1.1670652078062276</v>
      </c>
      <c r="BD26" s="385">
        <f>'Monthly PL'!BF24</f>
        <v>1.1670652078062276</v>
      </c>
      <c r="BE26" s="385">
        <f>'Monthly PL'!BG24</f>
        <v>1.1151956430148398</v>
      </c>
      <c r="BF26" s="385">
        <f>'Monthly PL'!BH24</f>
        <v>1.1151956430148398</v>
      </c>
      <c r="BG26" s="385">
        <f>'Monthly PL'!BI24</f>
        <v>1.1151956430148398</v>
      </c>
      <c r="BH26" s="385">
        <f>'Monthly PL'!BJ24</f>
        <v>1.0633260782234517</v>
      </c>
      <c r="BI26" s="385">
        <f>'Monthly PL'!BK24</f>
        <v>1.0633260782234517</v>
      </c>
      <c r="BJ26" s="385">
        <f>'Monthly PL'!BL24</f>
        <v>1.0633260782234517</v>
      </c>
      <c r="BK26" s="385">
        <f>'Monthly PL'!BM24</f>
        <v>1.0114565134320637</v>
      </c>
      <c r="BL26" s="385">
        <f>'Monthly PL'!BN24</f>
        <v>1.0114565134320637</v>
      </c>
      <c r="BM26" s="385">
        <f>'Monthly PL'!BO24</f>
        <v>1.0114565134320637</v>
      </c>
      <c r="BN26" s="385">
        <f>'Monthly PL'!BP24</f>
        <v>0.95958694864067573</v>
      </c>
      <c r="BO26" s="385">
        <f>'Monthly PL'!BQ24</f>
        <v>0.95958694864067573</v>
      </c>
      <c r="BP26" s="385">
        <f>'Monthly PL'!BR24</f>
        <v>0.95958694864067573</v>
      </c>
      <c r="BQ26" s="385">
        <f>'Monthly PL'!BS24</f>
        <v>0.89799184045090263</v>
      </c>
      <c r="BR26" s="385">
        <f>'Monthly PL'!BT24</f>
        <v>0.89799184045090263</v>
      </c>
      <c r="BS26" s="385">
        <f>'Monthly PL'!BU24</f>
        <v>0.89799184045090263</v>
      </c>
      <c r="BT26" s="385">
        <f>'Monthly PL'!BV24</f>
        <v>0.83639673226112943</v>
      </c>
      <c r="BU26" s="385">
        <f>'Monthly PL'!BW24</f>
        <v>0.83639673226112943</v>
      </c>
      <c r="BV26" s="385">
        <f>'Monthly PL'!BX24</f>
        <v>0.83639673226112943</v>
      </c>
      <c r="BW26" s="385">
        <f>'Monthly PL'!BY24</f>
        <v>0.77480162407135622</v>
      </c>
      <c r="BX26" s="385">
        <f>'Monthly PL'!BZ24</f>
        <v>0.77480162407135622</v>
      </c>
      <c r="BY26" s="385">
        <f>'Monthly PL'!CA24</f>
        <v>0.77480162407135622</v>
      </c>
      <c r="BZ26" s="385">
        <f>'Monthly PL'!CB24</f>
        <v>0.71320651588158324</v>
      </c>
      <c r="CA26" s="385">
        <f>'Monthly PL'!CC24</f>
        <v>0.71320651588158324</v>
      </c>
      <c r="CB26" s="385">
        <f>'Monthly PL'!CD24</f>
        <v>0.71320651588158324</v>
      </c>
      <c r="CC26" s="385">
        <f>'Monthly PL'!CE24</f>
        <v>0.65161140769181003</v>
      </c>
      <c r="CD26" s="385">
        <f>'Monthly PL'!CF24</f>
        <v>0.65161140769181003</v>
      </c>
      <c r="CE26" s="385">
        <f>'Monthly PL'!CG24</f>
        <v>0.65161140769181003</v>
      </c>
      <c r="CF26" s="385">
        <f>'Monthly PL'!CH24</f>
        <v>0.56732336490580471</v>
      </c>
      <c r="CG26" s="385">
        <f>'Monthly PL'!CI24</f>
        <v>0.56732336490580471</v>
      </c>
      <c r="CH26" s="385">
        <f>'Monthly PL'!CJ24</f>
        <v>0.56732336490580471</v>
      </c>
      <c r="CI26" s="385">
        <f>'Monthly PL'!CK24</f>
        <v>0.48303532211979927</v>
      </c>
      <c r="CJ26" s="385">
        <f>'Monthly PL'!CL24</f>
        <v>0.48303532211979927</v>
      </c>
      <c r="CK26" s="385">
        <f>'Monthly PL'!CM24</f>
        <v>0.48303532211979927</v>
      </c>
      <c r="CL26" s="385">
        <f>'Monthly PL'!CN24</f>
        <v>0.36632880133917656</v>
      </c>
      <c r="CM26" s="385">
        <f>'Monthly PL'!CO24</f>
        <v>0.36632880133917656</v>
      </c>
      <c r="CN26" s="385">
        <f>'Monthly PL'!CP24</f>
        <v>0.36632880133917656</v>
      </c>
      <c r="CO26" s="385">
        <f>'Monthly PL'!CQ24</f>
        <v>0.24962228055855379</v>
      </c>
      <c r="CP26" s="385">
        <f>'Monthly PL'!CR24</f>
        <v>0.24962228055855379</v>
      </c>
      <c r="CQ26" s="385">
        <f>'Monthly PL'!CS24</f>
        <v>0.24962228055855379</v>
      </c>
      <c r="CR26" s="385">
        <f>'Monthly PL'!CT24</f>
        <v>0.12643206417900749</v>
      </c>
      <c r="CS26" s="385">
        <f>'Monthly PL'!CU24</f>
        <v>0.12643206417900749</v>
      </c>
      <c r="CT26" s="385">
        <f>'Monthly PL'!CV24</f>
        <v>0.12643206417900749</v>
      </c>
      <c r="CU26" s="385">
        <f>'Monthly PL'!CW24</f>
        <v>-5.1744198675646075E-16</v>
      </c>
      <c r="CV26" s="385">
        <f>'Monthly PL'!CX24</f>
        <v>0</v>
      </c>
      <c r="CW26" s="385">
        <f>'Monthly PL'!CY24</f>
        <v>0</v>
      </c>
      <c r="CX26" s="385">
        <f>'Monthly PL'!CZ24</f>
        <v>0</v>
      </c>
      <c r="CY26" s="385">
        <f>'Monthly PL'!DA24</f>
        <v>0</v>
      </c>
      <c r="CZ26" s="385">
        <f>'Monthly PL'!DB24</f>
        <v>0</v>
      </c>
      <c r="DA26" s="385">
        <f>'Monthly PL'!DC24</f>
        <v>0</v>
      </c>
    </row>
    <row r="27" spans="1:105">
      <c r="A27" s="310" t="s">
        <v>382</v>
      </c>
      <c r="B27" s="385">
        <v>0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341">
        <v>0</v>
      </c>
      <c r="R27" s="341">
        <v>0</v>
      </c>
      <c r="S27" s="341">
        <v>0</v>
      </c>
      <c r="T27" s="341">
        <v>0</v>
      </c>
      <c r="U27" s="341">
        <v>0</v>
      </c>
      <c r="V27" s="385">
        <f>'Monthly PL'!X25</f>
        <v>2.7125E-2</v>
      </c>
      <c r="W27" s="385">
        <f>'Monthly PL'!Y25</f>
        <v>2.7125E-2</v>
      </c>
      <c r="X27" s="385">
        <f>'Monthly PL'!Z25</f>
        <v>2.7125E-2</v>
      </c>
      <c r="Y27" s="385">
        <f>'Monthly PL'!AA25</f>
        <v>2.7125E-2</v>
      </c>
      <c r="Z27" s="385">
        <f>'Monthly PL'!AB25</f>
        <v>2.7125E-2</v>
      </c>
      <c r="AA27" s="385">
        <f>'Monthly PL'!AC25</f>
        <v>2.7125E-2</v>
      </c>
      <c r="AB27" s="385">
        <f>'Monthly PL'!AD25</f>
        <v>2.7125E-2</v>
      </c>
      <c r="AC27" s="385">
        <f>'Monthly PL'!AE25</f>
        <v>2.7125E-2</v>
      </c>
      <c r="AD27" s="385">
        <f>'Monthly PL'!AF25</f>
        <v>2.7125E-2</v>
      </c>
      <c r="AE27" s="385">
        <f>'Monthly PL'!AG25</f>
        <v>2.7125E-2</v>
      </c>
      <c r="AF27" s="385">
        <f>'Monthly PL'!AH25</f>
        <v>2.7125E-2</v>
      </c>
      <c r="AG27" s="385">
        <f>'Monthly PL'!AI25</f>
        <v>2.7125E-2</v>
      </c>
      <c r="AH27" s="385">
        <f>'Monthly PL'!AJ25</f>
        <v>0</v>
      </c>
      <c r="AI27" s="385">
        <f>'Monthly PL'!AK25</f>
        <v>0</v>
      </c>
      <c r="AJ27" s="385">
        <f>'Monthly PL'!AL25</f>
        <v>0</v>
      </c>
      <c r="AK27" s="385">
        <f>'Monthly PL'!AM25</f>
        <v>0</v>
      </c>
      <c r="AL27" s="385">
        <f>'Monthly PL'!AN25</f>
        <v>0</v>
      </c>
      <c r="AM27" s="385">
        <f>'Monthly PL'!AO25</f>
        <v>0</v>
      </c>
      <c r="AN27" s="385">
        <f>'Monthly PL'!AP25</f>
        <v>0</v>
      </c>
      <c r="AO27" s="385">
        <f>'Monthly PL'!AQ25</f>
        <v>0</v>
      </c>
      <c r="AP27" s="385">
        <f>'Monthly PL'!AR25</f>
        <v>0</v>
      </c>
      <c r="AQ27" s="385">
        <f>'Monthly PL'!AS25</f>
        <v>0</v>
      </c>
      <c r="AR27" s="385">
        <f>'Monthly PL'!AT25</f>
        <v>0</v>
      </c>
      <c r="AS27" s="385">
        <f>'Monthly PL'!AU25</f>
        <v>0</v>
      </c>
      <c r="AT27" s="385">
        <f>'Monthly PL'!AV25</f>
        <v>0</v>
      </c>
      <c r="AU27" s="385">
        <f>'Monthly PL'!AW25</f>
        <v>0</v>
      </c>
      <c r="AV27" s="385">
        <f>'Monthly PL'!AX25</f>
        <v>0</v>
      </c>
      <c r="AW27" s="385">
        <f>'Monthly PL'!AY25</f>
        <v>0</v>
      </c>
      <c r="AX27" s="385">
        <f>'Monthly PL'!AZ25</f>
        <v>0</v>
      </c>
      <c r="AY27" s="385">
        <f>'Monthly PL'!BA25</f>
        <v>0</v>
      </c>
      <c r="AZ27" s="385">
        <f>'Monthly PL'!BB25</f>
        <v>0</v>
      </c>
      <c r="BA27" s="385">
        <f>'Monthly PL'!BC25</f>
        <v>0</v>
      </c>
      <c r="BB27" s="385">
        <f>'Monthly PL'!BD25</f>
        <v>0</v>
      </c>
      <c r="BC27" s="385">
        <f>'Monthly PL'!BE25</f>
        <v>0</v>
      </c>
      <c r="BD27" s="385">
        <f>'Monthly PL'!BF25</f>
        <v>0</v>
      </c>
      <c r="BE27" s="385">
        <f>'Monthly PL'!BG25</f>
        <v>0</v>
      </c>
      <c r="BF27" s="385">
        <f>'Monthly PL'!BH25</f>
        <v>0</v>
      </c>
      <c r="BG27" s="385">
        <f>'Monthly PL'!BI25</f>
        <v>0</v>
      </c>
      <c r="BH27" s="385">
        <f>'Monthly PL'!BJ25</f>
        <v>0</v>
      </c>
      <c r="BI27" s="385">
        <f>'Monthly PL'!BK25</f>
        <v>0</v>
      </c>
      <c r="BJ27" s="385">
        <f>'Monthly PL'!BL25</f>
        <v>0</v>
      </c>
      <c r="BK27" s="385">
        <f>'Monthly PL'!BM25</f>
        <v>0</v>
      </c>
      <c r="BL27" s="385">
        <f>'Monthly PL'!BN25</f>
        <v>0</v>
      </c>
      <c r="BM27" s="385">
        <f>'Monthly PL'!BO25</f>
        <v>0</v>
      </c>
      <c r="BN27" s="385">
        <f>'Monthly PL'!BP25</f>
        <v>0</v>
      </c>
      <c r="BO27" s="385">
        <f>'Monthly PL'!BQ25</f>
        <v>0</v>
      </c>
      <c r="BP27" s="385">
        <f>'Monthly PL'!BR25</f>
        <v>0</v>
      </c>
      <c r="BQ27" s="385">
        <f>'Monthly PL'!BS25</f>
        <v>0</v>
      </c>
      <c r="BR27" s="385">
        <f>'Monthly PL'!BT25</f>
        <v>0</v>
      </c>
      <c r="BS27" s="385">
        <f>'Monthly PL'!BU25</f>
        <v>0</v>
      </c>
      <c r="BT27" s="385">
        <f>'Monthly PL'!BV25</f>
        <v>0</v>
      </c>
      <c r="BU27" s="385">
        <f>'Monthly PL'!BW25</f>
        <v>0</v>
      </c>
      <c r="BV27" s="385">
        <f>'Monthly PL'!BX25</f>
        <v>0</v>
      </c>
      <c r="BW27" s="385">
        <f>'Monthly PL'!BY25</f>
        <v>0</v>
      </c>
      <c r="BX27" s="385">
        <f>'Monthly PL'!BZ25</f>
        <v>0</v>
      </c>
      <c r="BY27" s="385">
        <f>'Monthly PL'!CA25</f>
        <v>0</v>
      </c>
      <c r="BZ27" s="385">
        <f>'Monthly PL'!CB25</f>
        <v>0</v>
      </c>
      <c r="CA27" s="385">
        <f>'Monthly PL'!CC25</f>
        <v>0</v>
      </c>
      <c r="CB27" s="385">
        <f>'Monthly PL'!CD25</f>
        <v>0</v>
      </c>
      <c r="CC27" s="385">
        <f>'Monthly PL'!CE25</f>
        <v>0</v>
      </c>
      <c r="CD27" s="385">
        <f>'Monthly PL'!CF25</f>
        <v>0</v>
      </c>
      <c r="CE27" s="385">
        <f>'Monthly PL'!CG25</f>
        <v>0</v>
      </c>
      <c r="CF27" s="385">
        <f>'Monthly PL'!CH25</f>
        <v>0</v>
      </c>
      <c r="CG27" s="385">
        <f>'Monthly PL'!CI25</f>
        <v>0</v>
      </c>
      <c r="CH27" s="385">
        <f>'Monthly PL'!CJ25</f>
        <v>0</v>
      </c>
      <c r="CI27" s="385">
        <f>'Monthly PL'!CK25</f>
        <v>0</v>
      </c>
      <c r="CJ27" s="385">
        <f>'Monthly PL'!CL25</f>
        <v>0</v>
      </c>
      <c r="CK27" s="385">
        <f>'Monthly PL'!CM25</f>
        <v>0</v>
      </c>
      <c r="CL27" s="385">
        <f>'Monthly PL'!CN25</f>
        <v>0</v>
      </c>
      <c r="CM27" s="385">
        <f>'Monthly PL'!CO25</f>
        <v>0</v>
      </c>
      <c r="CN27" s="385">
        <f>'Monthly PL'!CP25</f>
        <v>0</v>
      </c>
      <c r="CO27" s="385">
        <f>'Monthly PL'!CQ25</f>
        <v>0</v>
      </c>
      <c r="CP27" s="385">
        <f>'Monthly PL'!CR25</f>
        <v>0</v>
      </c>
      <c r="CQ27" s="385">
        <f>'Monthly PL'!CS25</f>
        <v>0</v>
      </c>
      <c r="CR27" s="385">
        <f>'Monthly PL'!CT25</f>
        <v>0</v>
      </c>
      <c r="CS27" s="385">
        <f>'Monthly PL'!CU25</f>
        <v>0</v>
      </c>
      <c r="CT27" s="385">
        <f>'Monthly PL'!CV25</f>
        <v>0</v>
      </c>
      <c r="CU27" s="385">
        <f>'Monthly PL'!CW25</f>
        <v>0</v>
      </c>
      <c r="CV27" s="385">
        <f>'Monthly PL'!CX25</f>
        <v>0</v>
      </c>
      <c r="CW27" s="385">
        <f>'Monthly PL'!CY25</f>
        <v>0</v>
      </c>
      <c r="CX27" s="385">
        <f>'Monthly PL'!CZ25</f>
        <v>0</v>
      </c>
      <c r="CY27" s="385">
        <f>'Monthly PL'!DA25</f>
        <v>0</v>
      </c>
      <c r="CZ27" s="385">
        <f>'Monthly PL'!DB25</f>
        <v>0</v>
      </c>
      <c r="DA27" s="385">
        <f>'Monthly PL'!DC25</f>
        <v>0</v>
      </c>
    </row>
    <row r="28" spans="1:105">
      <c r="A28" s="310" t="s">
        <v>455</v>
      </c>
      <c r="B28" s="385">
        <v>0</v>
      </c>
      <c r="C28" s="385">
        <v>0</v>
      </c>
      <c r="D28" s="385">
        <v>0</v>
      </c>
      <c r="E28" s="385">
        <v>0</v>
      </c>
      <c r="F28" s="385">
        <v>0</v>
      </c>
      <c r="G28" s="385">
        <v>0</v>
      </c>
      <c r="H28" s="385">
        <v>0</v>
      </c>
      <c r="I28" s="385">
        <v>0</v>
      </c>
      <c r="J28" s="385">
        <v>0</v>
      </c>
      <c r="K28" s="385">
        <v>0</v>
      </c>
      <c r="L28" s="385">
        <v>0</v>
      </c>
      <c r="M28" s="385">
        <v>0</v>
      </c>
      <c r="N28" s="385">
        <v>0</v>
      </c>
      <c r="O28" s="385">
        <v>0</v>
      </c>
      <c r="P28" s="385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85">
        <v>0</v>
      </c>
      <c r="W28" s="385">
        <v>0</v>
      </c>
      <c r="X28" s="385">
        <v>0</v>
      </c>
      <c r="Y28" s="385">
        <v>0</v>
      </c>
      <c r="Z28" s="385">
        <v>0</v>
      </c>
      <c r="AA28" s="385">
        <v>0</v>
      </c>
      <c r="AB28" s="385">
        <v>0</v>
      </c>
      <c r="AC28" s="385">
        <v>0</v>
      </c>
      <c r="AD28" s="385">
        <v>0</v>
      </c>
      <c r="AE28" s="385">
        <v>0</v>
      </c>
      <c r="AF28" s="385">
        <v>0</v>
      </c>
      <c r="AG28" s="385">
        <v>0</v>
      </c>
      <c r="AH28" s="385">
        <v>0</v>
      </c>
      <c r="AI28" s="385">
        <v>0</v>
      </c>
      <c r="AJ28" s="385">
        <v>0</v>
      </c>
      <c r="AK28" s="385">
        <v>0</v>
      </c>
      <c r="AL28" s="385">
        <v>0</v>
      </c>
      <c r="AM28" s="385">
        <v>0</v>
      </c>
      <c r="AN28" s="385">
        <v>0</v>
      </c>
      <c r="AO28" s="385">
        <v>0</v>
      </c>
      <c r="AP28" s="385">
        <v>0</v>
      </c>
      <c r="AQ28" s="385">
        <v>0</v>
      </c>
      <c r="AR28" s="385">
        <v>0</v>
      </c>
      <c r="AS28" s="385">
        <v>0</v>
      </c>
      <c r="AT28" s="385">
        <v>0</v>
      </c>
      <c r="AU28" s="385">
        <v>0</v>
      </c>
      <c r="AV28" s="385">
        <v>0</v>
      </c>
      <c r="AW28" s="385">
        <v>0</v>
      </c>
      <c r="AX28" s="385">
        <v>0</v>
      </c>
      <c r="AY28" s="385">
        <v>0</v>
      </c>
      <c r="AZ28" s="385">
        <v>0</v>
      </c>
      <c r="BA28" s="385">
        <v>0</v>
      </c>
      <c r="BB28" s="385">
        <v>0</v>
      </c>
      <c r="BC28" s="385">
        <v>0</v>
      </c>
      <c r="BD28" s="385">
        <v>0</v>
      </c>
      <c r="BE28" s="385">
        <v>0</v>
      </c>
      <c r="BF28" s="385">
        <v>0</v>
      </c>
      <c r="BG28" s="385">
        <v>0</v>
      </c>
      <c r="BH28" s="385">
        <v>0</v>
      </c>
      <c r="BI28" s="385">
        <v>0</v>
      </c>
      <c r="BJ28" s="385">
        <v>0</v>
      </c>
      <c r="BK28" s="385">
        <v>0</v>
      </c>
      <c r="BL28" s="385">
        <v>0</v>
      </c>
      <c r="BM28" s="385">
        <v>0</v>
      </c>
      <c r="BN28" s="385">
        <v>0</v>
      </c>
      <c r="BO28" s="385">
        <v>0</v>
      </c>
      <c r="BP28" s="385">
        <v>0</v>
      </c>
      <c r="BQ28" s="385">
        <v>0</v>
      </c>
      <c r="BR28" s="385">
        <v>0</v>
      </c>
      <c r="BS28" s="385">
        <v>0</v>
      </c>
      <c r="BT28" s="385">
        <v>0</v>
      </c>
      <c r="BU28" s="385">
        <v>0</v>
      </c>
      <c r="BV28" s="385">
        <v>0</v>
      </c>
      <c r="BW28" s="385">
        <v>0</v>
      </c>
      <c r="BX28" s="385">
        <v>0</v>
      </c>
      <c r="BY28" s="385">
        <v>0</v>
      </c>
      <c r="BZ28" s="385">
        <v>0</v>
      </c>
      <c r="CA28" s="385">
        <v>0</v>
      </c>
      <c r="CB28" s="385">
        <v>0</v>
      </c>
      <c r="CC28" s="385">
        <v>0</v>
      </c>
      <c r="CD28" s="385">
        <v>0</v>
      </c>
      <c r="CE28" s="385">
        <v>0</v>
      </c>
      <c r="CF28" s="385">
        <v>0</v>
      </c>
      <c r="CG28" s="385">
        <v>0</v>
      </c>
      <c r="CH28" s="385">
        <v>0</v>
      </c>
      <c r="CI28" s="385">
        <v>0</v>
      </c>
      <c r="CJ28" s="385">
        <v>0</v>
      </c>
      <c r="CK28" s="385">
        <v>0</v>
      </c>
      <c r="CL28" s="385">
        <v>0</v>
      </c>
      <c r="CM28" s="385">
        <v>0</v>
      </c>
      <c r="CN28" s="385">
        <v>0</v>
      </c>
      <c r="CO28" s="385">
        <v>0</v>
      </c>
      <c r="CP28" s="385">
        <v>0</v>
      </c>
      <c r="CQ28" s="385">
        <v>0</v>
      </c>
      <c r="CR28" s="385">
        <v>0</v>
      </c>
      <c r="CS28" s="385">
        <v>0</v>
      </c>
      <c r="CT28" s="385">
        <v>0</v>
      </c>
      <c r="CU28" s="385">
        <v>0</v>
      </c>
      <c r="CV28" s="385">
        <v>0</v>
      </c>
      <c r="CW28" s="385">
        <v>0</v>
      </c>
      <c r="CX28" s="385">
        <v>0</v>
      </c>
      <c r="CY28" s="385">
        <v>0</v>
      </c>
      <c r="CZ28" s="385">
        <v>0</v>
      </c>
      <c r="DA28" s="385">
        <v>0</v>
      </c>
    </row>
    <row r="29" spans="1:105">
      <c r="A29" s="310" t="s">
        <v>383</v>
      </c>
      <c r="B29" s="385">
        <v>0</v>
      </c>
      <c r="C29" s="385">
        <v>0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0</v>
      </c>
      <c r="P29" s="385">
        <v>0</v>
      </c>
      <c r="Q29" s="341">
        <v>0</v>
      </c>
      <c r="R29" s="341">
        <v>0</v>
      </c>
      <c r="S29" s="341">
        <v>0</v>
      </c>
      <c r="T29" s="341">
        <v>0</v>
      </c>
      <c r="U29" s="341">
        <v>0</v>
      </c>
      <c r="V29" s="385">
        <f>'Monthly PL'!X26</f>
        <v>0</v>
      </c>
      <c r="W29" s="385">
        <f>'Monthly PL'!Y26</f>
        <v>0</v>
      </c>
      <c r="X29" s="385">
        <f>'Monthly PL'!Z26</f>
        <v>0</v>
      </c>
      <c r="Y29" s="385">
        <f>'Monthly PL'!AA26</f>
        <v>0</v>
      </c>
      <c r="Z29" s="385">
        <f>'Monthly PL'!AB26</f>
        <v>0</v>
      </c>
      <c r="AA29" s="385">
        <f>'Monthly PL'!AC26</f>
        <v>0</v>
      </c>
      <c r="AB29" s="385">
        <f>'Monthly PL'!AD26</f>
        <v>0</v>
      </c>
      <c r="AC29" s="385">
        <f>'Monthly PL'!AE26</f>
        <v>0</v>
      </c>
      <c r="AD29" s="385">
        <f>'Monthly PL'!AF26</f>
        <v>0</v>
      </c>
      <c r="AE29" s="385">
        <f>'Monthly PL'!AG26</f>
        <v>0</v>
      </c>
      <c r="AF29" s="385">
        <f>'Monthly PL'!AH26</f>
        <v>0</v>
      </c>
      <c r="AG29" s="385">
        <f>'Monthly PL'!AI26</f>
        <v>0</v>
      </c>
      <c r="AH29" s="385">
        <f>'Monthly PL'!AJ26</f>
        <v>0</v>
      </c>
      <c r="AI29" s="385">
        <f>'Monthly PL'!AK26</f>
        <v>0</v>
      </c>
      <c r="AJ29" s="385">
        <f>'Monthly PL'!AL26</f>
        <v>0</v>
      </c>
      <c r="AK29" s="385">
        <f>'Monthly PL'!AM26</f>
        <v>0</v>
      </c>
      <c r="AL29" s="385">
        <f>'Monthly PL'!AN26</f>
        <v>0</v>
      </c>
      <c r="AM29" s="385">
        <f>'Monthly PL'!AO26</f>
        <v>0</v>
      </c>
      <c r="AN29" s="385">
        <f>'Monthly PL'!AP26</f>
        <v>0</v>
      </c>
      <c r="AO29" s="385">
        <f>'Monthly PL'!AQ26</f>
        <v>0</v>
      </c>
      <c r="AP29" s="385">
        <f>'Monthly PL'!AR26</f>
        <v>0</v>
      </c>
      <c r="AQ29" s="385">
        <f>'Monthly PL'!AS26</f>
        <v>0</v>
      </c>
      <c r="AR29" s="385">
        <f>'Monthly PL'!AT26</f>
        <v>0</v>
      </c>
      <c r="AS29" s="385">
        <f>'Monthly PL'!AU26</f>
        <v>0</v>
      </c>
      <c r="AT29" s="385">
        <f>'Monthly PL'!AV26</f>
        <v>0</v>
      </c>
      <c r="AU29" s="385">
        <f>'Monthly PL'!AW26</f>
        <v>0</v>
      </c>
      <c r="AV29" s="385">
        <f>'Monthly PL'!AX26</f>
        <v>0</v>
      </c>
      <c r="AW29" s="385">
        <f>'Monthly PL'!AY26</f>
        <v>0</v>
      </c>
      <c r="AX29" s="385">
        <f>'Monthly PL'!AZ26</f>
        <v>0</v>
      </c>
      <c r="AY29" s="385">
        <f>'Monthly PL'!BA26</f>
        <v>0</v>
      </c>
      <c r="AZ29" s="385">
        <f>'Monthly PL'!BB26</f>
        <v>0</v>
      </c>
      <c r="BA29" s="385">
        <f>'Monthly PL'!BC26</f>
        <v>0</v>
      </c>
      <c r="BB29" s="385">
        <f>'Monthly PL'!BD26</f>
        <v>0</v>
      </c>
      <c r="BC29" s="385">
        <f>'Monthly PL'!BE26</f>
        <v>0</v>
      </c>
      <c r="BD29" s="385">
        <f>'Monthly PL'!BF26</f>
        <v>0</v>
      </c>
      <c r="BE29" s="385">
        <f>'Monthly PL'!BG26</f>
        <v>0</v>
      </c>
      <c r="BF29" s="385">
        <f>'Monthly PL'!BH26</f>
        <v>0</v>
      </c>
      <c r="BG29" s="385">
        <f>'Monthly PL'!BI26</f>
        <v>0</v>
      </c>
      <c r="BH29" s="385">
        <f>'Monthly PL'!BJ26</f>
        <v>0</v>
      </c>
      <c r="BI29" s="385">
        <f>'Monthly PL'!BK26</f>
        <v>0</v>
      </c>
      <c r="BJ29" s="385">
        <f>'Monthly PL'!BL26</f>
        <v>0</v>
      </c>
      <c r="BK29" s="385">
        <f>'Monthly PL'!BM26</f>
        <v>0</v>
      </c>
      <c r="BL29" s="385">
        <f>'Monthly PL'!BN26</f>
        <v>0</v>
      </c>
      <c r="BM29" s="385">
        <f>'Monthly PL'!BO26</f>
        <v>0</v>
      </c>
      <c r="BN29" s="385">
        <f>'Monthly PL'!BP26</f>
        <v>0</v>
      </c>
      <c r="BO29" s="385">
        <f>'Monthly PL'!BQ26</f>
        <v>0</v>
      </c>
      <c r="BP29" s="385">
        <f>'Monthly PL'!BR26</f>
        <v>0</v>
      </c>
      <c r="BQ29" s="385">
        <f>'Monthly PL'!BS26</f>
        <v>0</v>
      </c>
      <c r="BR29" s="385">
        <f>'Monthly PL'!BT26</f>
        <v>0</v>
      </c>
      <c r="BS29" s="385">
        <f>'Monthly PL'!BU26</f>
        <v>0</v>
      </c>
      <c r="BT29" s="385">
        <f>'Monthly PL'!BV26</f>
        <v>0</v>
      </c>
      <c r="BU29" s="385">
        <f>'Monthly PL'!BW26</f>
        <v>0</v>
      </c>
      <c r="BV29" s="385">
        <f>'Monthly PL'!BX26</f>
        <v>0</v>
      </c>
      <c r="BW29" s="385">
        <f>'Monthly PL'!BY26</f>
        <v>0</v>
      </c>
      <c r="BX29" s="385">
        <f>'Monthly PL'!BZ26</f>
        <v>0</v>
      </c>
      <c r="BY29" s="385">
        <f>'Monthly PL'!CA26</f>
        <v>0</v>
      </c>
      <c r="BZ29" s="385">
        <f>'Monthly PL'!CB26</f>
        <v>0</v>
      </c>
      <c r="CA29" s="385">
        <f>'Monthly PL'!CC26</f>
        <v>0</v>
      </c>
      <c r="CB29" s="385">
        <f>'Monthly PL'!CD26</f>
        <v>0</v>
      </c>
      <c r="CC29" s="385">
        <f>'Monthly PL'!CE26</f>
        <v>0</v>
      </c>
      <c r="CD29" s="385">
        <f>'Monthly PL'!CF26</f>
        <v>0</v>
      </c>
      <c r="CE29" s="385">
        <f>'Monthly PL'!CG26</f>
        <v>0</v>
      </c>
      <c r="CF29" s="385">
        <f>'Monthly PL'!CH26</f>
        <v>0</v>
      </c>
      <c r="CG29" s="385">
        <f>'Monthly PL'!CI26</f>
        <v>0</v>
      </c>
      <c r="CH29" s="385">
        <f>'Monthly PL'!CJ26</f>
        <v>0</v>
      </c>
      <c r="CI29" s="385">
        <f>'Monthly PL'!CK26</f>
        <v>0</v>
      </c>
      <c r="CJ29" s="385">
        <f>'Monthly PL'!CL26</f>
        <v>0</v>
      </c>
      <c r="CK29" s="385">
        <f>'Monthly PL'!CM26</f>
        <v>0</v>
      </c>
      <c r="CL29" s="385">
        <f>'Monthly PL'!CN26</f>
        <v>0</v>
      </c>
      <c r="CM29" s="385">
        <f>'Monthly PL'!CO26</f>
        <v>0</v>
      </c>
      <c r="CN29" s="385">
        <f>'Monthly PL'!CP26</f>
        <v>0</v>
      </c>
      <c r="CO29" s="385">
        <f>'Monthly PL'!CQ26</f>
        <v>0</v>
      </c>
      <c r="CP29" s="385">
        <f>'Monthly PL'!CR26</f>
        <v>0</v>
      </c>
      <c r="CQ29" s="385">
        <f>'Monthly PL'!CS26</f>
        <v>0</v>
      </c>
      <c r="CR29" s="385">
        <f>'Monthly PL'!CT26</f>
        <v>0</v>
      </c>
      <c r="CS29" s="385">
        <f>'Monthly PL'!CU26</f>
        <v>0</v>
      </c>
      <c r="CT29" s="385">
        <f>'Monthly PL'!CV26</f>
        <v>0</v>
      </c>
      <c r="CU29" s="385">
        <f>'Monthly PL'!DC26</f>
        <v>0</v>
      </c>
      <c r="CV29" s="385">
        <f>'Monthly PL'!CX26</f>
        <v>0</v>
      </c>
      <c r="CW29" s="385">
        <f>'Monthly PL'!CY26</f>
        <v>0</v>
      </c>
      <c r="CX29" s="385">
        <f>'Monthly PL'!CZ26</f>
        <v>0</v>
      </c>
      <c r="CY29" s="385">
        <f>'Monthly PL'!DA26</f>
        <v>0</v>
      </c>
      <c r="CZ29" s="385">
        <f>'Monthly PL'!DB26</f>
        <v>0</v>
      </c>
      <c r="DA29" s="385">
        <v>0</v>
      </c>
    </row>
    <row r="30" spans="1:105" s="341" customFormat="1">
      <c r="A30" s="310" t="s">
        <v>384</v>
      </c>
      <c r="B30" s="385">
        <v>0</v>
      </c>
      <c r="C30" s="385">
        <v>0</v>
      </c>
      <c r="D30" s="385">
        <v>0</v>
      </c>
      <c r="E30" s="385"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v>0</v>
      </c>
      <c r="K30" s="385">
        <v>0</v>
      </c>
      <c r="L30" s="385">
        <v>0</v>
      </c>
      <c r="M30" s="385">
        <v>0</v>
      </c>
      <c r="N30" s="385">
        <v>0</v>
      </c>
      <c r="O30" s="385">
        <v>0</v>
      </c>
      <c r="P30" s="385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85">
        <f>'Monthly PL'!X27</f>
        <v>0</v>
      </c>
      <c r="W30" s="385">
        <f>'Monthly PL'!Y27</f>
        <v>0</v>
      </c>
      <c r="X30" s="385">
        <f>'Monthly PL'!Z27</f>
        <v>0</v>
      </c>
      <c r="Y30" s="385">
        <f>'Monthly PL'!AA27</f>
        <v>0</v>
      </c>
      <c r="Z30" s="385">
        <f>'Monthly PL'!AB27</f>
        <v>0</v>
      </c>
      <c r="AA30" s="385">
        <f>'Monthly PL'!AC27</f>
        <v>0</v>
      </c>
      <c r="AB30" s="385">
        <f>'Monthly PL'!AD27</f>
        <v>0</v>
      </c>
      <c r="AC30" s="385">
        <f>'Monthly PL'!AE27</f>
        <v>0</v>
      </c>
      <c r="AD30" s="385">
        <f>'Monthly PL'!AF27</f>
        <v>0</v>
      </c>
      <c r="AE30" s="385">
        <f>'Monthly PL'!AG27</f>
        <v>0</v>
      </c>
      <c r="AF30" s="385">
        <f>'Monthly PL'!AH27</f>
        <v>0</v>
      </c>
      <c r="AG30" s="385">
        <f>'Monthly PL'!AI27</f>
        <v>0</v>
      </c>
      <c r="AH30" s="385">
        <f>'Monthly PL'!AJ27</f>
        <v>0</v>
      </c>
      <c r="AI30" s="385">
        <f>'Monthly PL'!AK27</f>
        <v>0</v>
      </c>
      <c r="AJ30" s="385">
        <f>'Monthly PL'!AL27</f>
        <v>0</v>
      </c>
      <c r="AK30" s="385">
        <f>'Monthly PL'!AM27</f>
        <v>0</v>
      </c>
      <c r="AL30" s="385">
        <f>'Monthly PL'!AN27</f>
        <v>0</v>
      </c>
      <c r="AM30" s="385">
        <f>'Monthly PL'!AO27</f>
        <v>0</v>
      </c>
      <c r="AN30" s="385">
        <f>'Monthly PL'!AP27</f>
        <v>0</v>
      </c>
      <c r="AO30" s="385">
        <f>'Monthly PL'!AQ27</f>
        <v>0</v>
      </c>
      <c r="AP30" s="385">
        <f>'Monthly PL'!AR27</f>
        <v>0</v>
      </c>
      <c r="AQ30" s="385">
        <f>'Monthly PL'!AS27</f>
        <v>0</v>
      </c>
      <c r="AR30" s="385">
        <f>'Monthly PL'!AT27</f>
        <v>0</v>
      </c>
      <c r="AS30" s="385">
        <f>'Monthly PL'!AU27</f>
        <v>0</v>
      </c>
      <c r="AT30" s="385">
        <f>'Monthly PL'!AV27</f>
        <v>0</v>
      </c>
      <c r="AU30" s="385">
        <f>'Monthly PL'!AW27</f>
        <v>0</v>
      </c>
      <c r="AV30" s="385">
        <f>'Monthly PL'!AX27</f>
        <v>0</v>
      </c>
      <c r="AW30" s="385">
        <f>'Monthly PL'!AY27</f>
        <v>0</v>
      </c>
      <c r="AX30" s="385">
        <f>'Monthly PL'!AZ27</f>
        <v>0</v>
      </c>
      <c r="AY30" s="385">
        <f>'Monthly PL'!BA27</f>
        <v>0</v>
      </c>
      <c r="AZ30" s="385">
        <f>'Monthly PL'!BB27</f>
        <v>0</v>
      </c>
      <c r="BA30" s="385">
        <f>'Monthly PL'!BC27</f>
        <v>0</v>
      </c>
      <c r="BB30" s="385">
        <f>'Monthly PL'!BD27</f>
        <v>0</v>
      </c>
      <c r="BC30" s="385">
        <f>'Monthly PL'!BE27</f>
        <v>0</v>
      </c>
      <c r="BD30" s="385">
        <f>'Monthly PL'!BF27</f>
        <v>0</v>
      </c>
      <c r="BE30" s="385">
        <f>'Monthly PL'!BG27</f>
        <v>0</v>
      </c>
      <c r="BF30" s="385">
        <f>'Monthly PL'!BH27</f>
        <v>0</v>
      </c>
      <c r="BG30" s="385">
        <f>'Monthly PL'!BI27</f>
        <v>0</v>
      </c>
      <c r="BH30" s="385">
        <f>'Monthly PL'!BJ27</f>
        <v>0</v>
      </c>
      <c r="BI30" s="385">
        <f>'Monthly PL'!BK27</f>
        <v>0</v>
      </c>
      <c r="BJ30" s="385">
        <f>'Monthly PL'!BL27</f>
        <v>0</v>
      </c>
      <c r="BK30" s="385">
        <f>'Monthly PL'!BM27</f>
        <v>0</v>
      </c>
      <c r="BL30" s="385">
        <f>'Monthly PL'!BN27</f>
        <v>0</v>
      </c>
      <c r="BM30" s="385">
        <f>'Monthly PL'!BO27</f>
        <v>0</v>
      </c>
      <c r="BN30" s="385">
        <f>'Monthly PL'!BP27</f>
        <v>0</v>
      </c>
      <c r="BO30" s="385">
        <f>'Monthly PL'!BQ27</f>
        <v>0</v>
      </c>
      <c r="BP30" s="385">
        <f>'Monthly PL'!BR27</f>
        <v>0</v>
      </c>
      <c r="BQ30" s="385">
        <f>'Monthly PL'!BS27</f>
        <v>0</v>
      </c>
      <c r="BR30" s="385">
        <f>'Monthly PL'!BT27</f>
        <v>0</v>
      </c>
      <c r="BS30" s="385">
        <f>'Monthly PL'!BU27</f>
        <v>0</v>
      </c>
      <c r="BT30" s="385">
        <f>'Monthly PL'!BV27</f>
        <v>0</v>
      </c>
      <c r="BU30" s="385">
        <f>'Monthly PL'!BW27</f>
        <v>0</v>
      </c>
      <c r="BV30" s="385">
        <f>'Monthly PL'!BX27</f>
        <v>0</v>
      </c>
      <c r="BW30" s="385">
        <f>'Monthly PL'!BY27</f>
        <v>0</v>
      </c>
      <c r="BX30" s="385">
        <f>'Monthly PL'!BZ27</f>
        <v>0</v>
      </c>
      <c r="BY30" s="385">
        <f>'Monthly PL'!CA27</f>
        <v>0</v>
      </c>
      <c r="BZ30" s="385">
        <f>'Monthly PL'!CB27</f>
        <v>0</v>
      </c>
      <c r="CA30" s="385">
        <f>'Monthly PL'!CC27</f>
        <v>0</v>
      </c>
      <c r="CB30" s="385">
        <f>'Monthly PL'!CD27</f>
        <v>0</v>
      </c>
      <c r="CC30" s="385">
        <f>'Monthly PL'!CE27</f>
        <v>0</v>
      </c>
      <c r="CD30" s="385">
        <f>'Monthly PL'!CF27</f>
        <v>0</v>
      </c>
      <c r="CE30" s="385">
        <f>'Monthly PL'!CG27</f>
        <v>0</v>
      </c>
      <c r="CF30" s="385">
        <f>'Monthly PL'!CH27</f>
        <v>0</v>
      </c>
      <c r="CG30" s="385">
        <f>'Monthly PL'!CI27</f>
        <v>0</v>
      </c>
      <c r="CH30" s="385">
        <f>'Monthly PL'!CJ27</f>
        <v>0</v>
      </c>
      <c r="CI30" s="385">
        <f>'Monthly PL'!CK27</f>
        <v>0</v>
      </c>
      <c r="CJ30" s="385">
        <f>'Monthly PL'!CL27</f>
        <v>0</v>
      </c>
      <c r="CK30" s="385">
        <f>'Monthly PL'!CM27</f>
        <v>0</v>
      </c>
      <c r="CL30" s="385">
        <f>'Monthly PL'!CN27</f>
        <v>0</v>
      </c>
      <c r="CM30" s="385">
        <f>'Monthly PL'!CO27</f>
        <v>0</v>
      </c>
      <c r="CN30" s="385">
        <f>'Monthly PL'!CP27</f>
        <v>0</v>
      </c>
      <c r="CO30" s="385">
        <f>'Monthly PL'!CQ27</f>
        <v>0</v>
      </c>
      <c r="CP30" s="385">
        <f>'Monthly PL'!CR27</f>
        <v>0</v>
      </c>
      <c r="CQ30" s="385">
        <f>'Monthly PL'!CS27</f>
        <v>0</v>
      </c>
      <c r="CR30" s="385">
        <f>'Monthly PL'!CT27</f>
        <v>0</v>
      </c>
      <c r="CS30" s="385">
        <f>'Monthly PL'!CU27</f>
        <v>0</v>
      </c>
      <c r="CT30" s="385">
        <f>'Monthly PL'!CV27</f>
        <v>0</v>
      </c>
      <c r="CU30" s="385">
        <f>'Monthly PL'!CW27</f>
        <v>0</v>
      </c>
      <c r="CV30" s="385">
        <f>'Monthly PL'!CX27</f>
        <v>0</v>
      </c>
      <c r="CW30" s="385">
        <f>'Monthly PL'!CY27</f>
        <v>0</v>
      </c>
      <c r="CX30" s="385">
        <f>'Monthly PL'!CZ27</f>
        <v>0</v>
      </c>
      <c r="CY30" s="385">
        <f>'Monthly PL'!DA27</f>
        <v>0</v>
      </c>
      <c r="CZ30" s="385">
        <f>'Monthly PL'!DB27</f>
        <v>0</v>
      </c>
      <c r="DA30" s="385">
        <f>'Monthly PL'!DC27</f>
        <v>0</v>
      </c>
    </row>
    <row r="31" spans="1:105" s="341" customFormat="1">
      <c r="A31" s="310" t="s">
        <v>456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v>0</v>
      </c>
      <c r="K31" s="385">
        <v>0</v>
      </c>
      <c r="L31" s="385">
        <v>0</v>
      </c>
      <c r="M31" s="385">
        <v>0</v>
      </c>
      <c r="N31" s="385">
        <v>0</v>
      </c>
      <c r="O31" s="385">
        <v>0</v>
      </c>
      <c r="P31" s="385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85">
        <f>'Monthly PL'!X30</f>
        <v>0</v>
      </c>
      <c r="W31" s="385">
        <f>'Monthly PL'!Y30</f>
        <v>0</v>
      </c>
      <c r="X31" s="385">
        <f>'Monthly PL'!Z30</f>
        <v>0</v>
      </c>
      <c r="Y31" s="385">
        <f>'Monthly PL'!AA30</f>
        <v>0</v>
      </c>
      <c r="Z31" s="385">
        <f>'Monthly PL'!AB30</f>
        <v>0</v>
      </c>
      <c r="AA31" s="385">
        <f>'Monthly PL'!AC30</f>
        <v>0</v>
      </c>
      <c r="AB31" s="385">
        <f>'Monthly PL'!AD30</f>
        <v>0</v>
      </c>
      <c r="AC31" s="385">
        <f>'Monthly PL'!AE30</f>
        <v>0</v>
      </c>
      <c r="AD31" s="385">
        <f>'Monthly PL'!AF30</f>
        <v>0</v>
      </c>
      <c r="AE31" s="385">
        <f>'Monthly PL'!AG30</f>
        <v>0</v>
      </c>
      <c r="AF31" s="385">
        <f>'Monthly PL'!AH30</f>
        <v>0</v>
      </c>
      <c r="AG31" s="385">
        <f>'Monthly PL'!AI30</f>
        <v>0</v>
      </c>
      <c r="AH31" s="385">
        <f>'Monthly PL'!AJ30</f>
        <v>0</v>
      </c>
      <c r="AI31" s="385">
        <f>'Monthly PL'!AK30</f>
        <v>0</v>
      </c>
      <c r="AJ31" s="385">
        <f>'Monthly PL'!AL30</f>
        <v>0</v>
      </c>
      <c r="AK31" s="385">
        <f>'Monthly PL'!AM30</f>
        <v>0</v>
      </c>
      <c r="AL31" s="385">
        <f>'Monthly PL'!AN30</f>
        <v>0</v>
      </c>
      <c r="AM31" s="385">
        <f>'Monthly PL'!AO30</f>
        <v>0</v>
      </c>
      <c r="AN31" s="385">
        <f>'Monthly PL'!AP30</f>
        <v>0</v>
      </c>
      <c r="AO31" s="385">
        <f>'Monthly PL'!AQ30</f>
        <v>0</v>
      </c>
      <c r="AP31" s="385">
        <f>'Monthly PL'!AR30</f>
        <v>0</v>
      </c>
      <c r="AQ31" s="385">
        <f>'Monthly PL'!AS30</f>
        <v>0</v>
      </c>
      <c r="AR31" s="385">
        <f>'Monthly PL'!AT30</f>
        <v>0</v>
      </c>
      <c r="AS31" s="385">
        <f>'Monthly PL'!AU30</f>
        <v>0</v>
      </c>
      <c r="AT31" s="385">
        <f>'Monthly PL'!AV30</f>
        <v>0</v>
      </c>
      <c r="AU31" s="385">
        <f>'Monthly PL'!AW30</f>
        <v>0</v>
      </c>
      <c r="AV31" s="385">
        <f>'Monthly PL'!AX30</f>
        <v>0</v>
      </c>
      <c r="AW31" s="385">
        <f>'Monthly PL'!AY30</f>
        <v>0</v>
      </c>
      <c r="AX31" s="385">
        <f>'Monthly PL'!AZ30</f>
        <v>0</v>
      </c>
      <c r="AY31" s="385">
        <f>'Monthly PL'!BA30</f>
        <v>0</v>
      </c>
      <c r="AZ31" s="385">
        <f>'Monthly PL'!BB30</f>
        <v>0</v>
      </c>
      <c r="BA31" s="385">
        <f>'Monthly PL'!BC30</f>
        <v>0</v>
      </c>
      <c r="BB31" s="385">
        <f>'Monthly PL'!BD30</f>
        <v>0</v>
      </c>
      <c r="BC31" s="385">
        <f>'Monthly PL'!BE30</f>
        <v>0</v>
      </c>
      <c r="BD31" s="385">
        <f>'Monthly PL'!BF30</f>
        <v>0</v>
      </c>
      <c r="BE31" s="385">
        <f>'Monthly PL'!BG30</f>
        <v>0</v>
      </c>
      <c r="BF31" s="385">
        <f>'Monthly PL'!BH30</f>
        <v>0</v>
      </c>
      <c r="BG31" s="385">
        <f>'Monthly PL'!BI30</f>
        <v>0</v>
      </c>
      <c r="BH31" s="385">
        <f>'Monthly PL'!BJ30</f>
        <v>0</v>
      </c>
      <c r="BI31" s="385">
        <f>'Monthly PL'!BK30</f>
        <v>0</v>
      </c>
      <c r="BJ31" s="385">
        <f>'Monthly PL'!BL30</f>
        <v>0</v>
      </c>
      <c r="BK31" s="385">
        <f>'Monthly PL'!BM30</f>
        <v>0</v>
      </c>
      <c r="BL31" s="385">
        <f>'Monthly PL'!BN30</f>
        <v>0</v>
      </c>
      <c r="BM31" s="385">
        <f>'Monthly PL'!BO30</f>
        <v>0</v>
      </c>
      <c r="BN31" s="385">
        <f>'Monthly PL'!BP30</f>
        <v>0</v>
      </c>
      <c r="BO31" s="385">
        <f>'Monthly PL'!BQ30</f>
        <v>0</v>
      </c>
      <c r="BP31" s="385">
        <f>'Monthly PL'!BR30</f>
        <v>0</v>
      </c>
      <c r="BQ31" s="385">
        <f>'Monthly PL'!BS30</f>
        <v>0</v>
      </c>
      <c r="BR31" s="385">
        <f>'Monthly PL'!BT30</f>
        <v>0</v>
      </c>
      <c r="BS31" s="385">
        <f>'Monthly PL'!BU30</f>
        <v>0</v>
      </c>
      <c r="BT31" s="385">
        <f>'Monthly PL'!BV30</f>
        <v>0</v>
      </c>
      <c r="BU31" s="385">
        <f>'Monthly PL'!BW30</f>
        <v>0</v>
      </c>
      <c r="BV31" s="385">
        <f>'Monthly PL'!BX30</f>
        <v>0</v>
      </c>
      <c r="BW31" s="385">
        <f>'Monthly PL'!BY30</f>
        <v>0</v>
      </c>
      <c r="BX31" s="385">
        <f>'Monthly PL'!BZ30</f>
        <v>0</v>
      </c>
      <c r="BY31" s="385">
        <f>'Monthly PL'!CA30</f>
        <v>0</v>
      </c>
      <c r="BZ31" s="385">
        <f>'Monthly PL'!CB30</f>
        <v>0</v>
      </c>
      <c r="CA31" s="385">
        <f>'Monthly PL'!CC30</f>
        <v>0</v>
      </c>
      <c r="CB31" s="385">
        <f>'Monthly PL'!CD30</f>
        <v>0</v>
      </c>
      <c r="CC31" s="385">
        <f>'Monthly PL'!CE30</f>
        <v>0</v>
      </c>
      <c r="CD31" s="385">
        <f>'Monthly PL'!CF30</f>
        <v>0</v>
      </c>
      <c r="CE31" s="385">
        <f>'Monthly PL'!CG30</f>
        <v>0</v>
      </c>
      <c r="CF31" s="385">
        <f>'Monthly PL'!CH30</f>
        <v>0</v>
      </c>
      <c r="CG31" s="385">
        <f>'Monthly PL'!CI30</f>
        <v>0</v>
      </c>
      <c r="CH31" s="385">
        <f>'Monthly PL'!CJ30</f>
        <v>0</v>
      </c>
      <c r="CI31" s="385">
        <f>'Monthly PL'!CK30</f>
        <v>0</v>
      </c>
      <c r="CJ31" s="385">
        <f>'Monthly PL'!CL30</f>
        <v>0</v>
      </c>
      <c r="CK31" s="385">
        <f>'Monthly PL'!CM30</f>
        <v>0</v>
      </c>
      <c r="CL31" s="385">
        <f>'Monthly PL'!CN30</f>
        <v>0</v>
      </c>
      <c r="CM31" s="385">
        <f>'Monthly PL'!CO30</f>
        <v>0</v>
      </c>
      <c r="CN31" s="385">
        <f>'Monthly PL'!CP30</f>
        <v>0</v>
      </c>
      <c r="CO31" s="385">
        <f>'Monthly PL'!CQ30</f>
        <v>0</v>
      </c>
      <c r="CP31" s="385">
        <f>'Monthly PL'!CR30</f>
        <v>0</v>
      </c>
      <c r="CQ31" s="385">
        <f>'Monthly PL'!CS30</f>
        <v>0</v>
      </c>
      <c r="CR31" s="385">
        <f>'Monthly PL'!CT30</f>
        <v>0</v>
      </c>
      <c r="CS31" s="385">
        <f>'Monthly PL'!CU30</f>
        <v>0</v>
      </c>
      <c r="CT31" s="385">
        <f>'Monthly PL'!CV30</f>
        <v>0</v>
      </c>
      <c r="CU31" s="385">
        <f>'Monthly PL'!CW30</f>
        <v>0</v>
      </c>
      <c r="CV31" s="385">
        <f>'Monthly PL'!CX30</f>
        <v>0</v>
      </c>
      <c r="CW31" s="385">
        <f>'Monthly PL'!CY30</f>
        <v>0</v>
      </c>
      <c r="CX31" s="385">
        <f>'Monthly PL'!CZ30</f>
        <v>0</v>
      </c>
      <c r="CY31" s="385">
        <f>'Monthly PL'!DA30</f>
        <v>0</v>
      </c>
      <c r="CZ31" s="385">
        <f>'Monthly PL'!DB30</f>
        <v>0</v>
      </c>
      <c r="DA31" s="385">
        <f>'Monthly PL'!DC30</f>
        <v>0</v>
      </c>
    </row>
    <row r="32" spans="1:105">
      <c r="A32" s="310" t="s">
        <v>340</v>
      </c>
      <c r="B32" s="385">
        <v>0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41">
        <v>0</v>
      </c>
      <c r="R32" s="341">
        <v>0</v>
      </c>
      <c r="S32" s="341">
        <v>0</v>
      </c>
      <c r="T32" s="341">
        <v>0</v>
      </c>
      <c r="U32" s="341">
        <v>0</v>
      </c>
      <c r="V32" s="341">
        <v>0</v>
      </c>
      <c r="W32" s="341">
        <v>0</v>
      </c>
      <c r="X32" s="341">
        <v>0</v>
      </c>
      <c r="Y32" s="341">
        <v>0</v>
      </c>
      <c r="Z32" s="341">
        <v>0</v>
      </c>
      <c r="AA32" s="341">
        <v>0</v>
      </c>
      <c r="AB32" s="341">
        <v>0</v>
      </c>
      <c r="AC32" s="341">
        <v>0</v>
      </c>
      <c r="AD32" s="341">
        <v>0</v>
      </c>
      <c r="AE32" s="341">
        <v>0</v>
      </c>
      <c r="AF32" s="341">
        <v>0</v>
      </c>
      <c r="AG32" s="341">
        <v>3</v>
      </c>
      <c r="AH32" s="341">
        <v>0</v>
      </c>
      <c r="AI32" s="341">
        <v>0</v>
      </c>
      <c r="AJ32" s="341">
        <v>0</v>
      </c>
      <c r="AK32" s="341">
        <v>0</v>
      </c>
      <c r="AL32" s="341">
        <v>0</v>
      </c>
      <c r="AM32" s="341">
        <v>0</v>
      </c>
      <c r="AN32" s="341">
        <v>0</v>
      </c>
      <c r="AO32" s="341">
        <v>0</v>
      </c>
      <c r="AP32" s="341">
        <v>0</v>
      </c>
      <c r="AQ32" s="341">
        <v>0</v>
      </c>
      <c r="AR32" s="341">
        <v>0</v>
      </c>
      <c r="AS32" s="341">
        <v>0</v>
      </c>
      <c r="AT32" s="341">
        <v>0</v>
      </c>
      <c r="AU32" s="341">
        <v>0</v>
      </c>
      <c r="AV32" s="341">
        <v>0</v>
      </c>
      <c r="AW32" s="341">
        <v>0</v>
      </c>
      <c r="AX32" s="341">
        <v>0</v>
      </c>
      <c r="AY32" s="341">
        <v>0</v>
      </c>
      <c r="AZ32" s="341">
        <v>0</v>
      </c>
      <c r="BA32" s="341">
        <v>0</v>
      </c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>
        <v>0</v>
      </c>
      <c r="BM32" s="341">
        <v>0</v>
      </c>
      <c r="BN32" s="341">
        <v>0</v>
      </c>
      <c r="BO32" s="341">
        <v>0</v>
      </c>
      <c r="BP32" s="341">
        <v>0</v>
      </c>
      <c r="BQ32" s="341">
        <v>0</v>
      </c>
      <c r="BR32" s="341">
        <v>0</v>
      </c>
      <c r="BS32" s="341">
        <v>0</v>
      </c>
      <c r="BT32" s="341">
        <v>0</v>
      </c>
      <c r="BU32" s="341">
        <v>0</v>
      </c>
      <c r="BV32" s="341">
        <v>0</v>
      </c>
      <c r="BW32" s="341">
        <v>0</v>
      </c>
      <c r="BX32" s="341">
        <v>0</v>
      </c>
      <c r="BY32" s="341">
        <v>0</v>
      </c>
      <c r="BZ32" s="341">
        <v>0</v>
      </c>
      <c r="CA32" s="341">
        <v>0</v>
      </c>
      <c r="CB32" s="341">
        <v>0</v>
      </c>
      <c r="CC32" s="341">
        <v>0</v>
      </c>
      <c r="CD32" s="341">
        <v>0</v>
      </c>
      <c r="CE32" s="341">
        <v>0</v>
      </c>
      <c r="CF32" s="341">
        <v>0</v>
      </c>
      <c r="CG32" s="341">
        <v>0</v>
      </c>
      <c r="CH32" s="341">
        <v>0</v>
      </c>
      <c r="CI32" s="341">
        <v>0</v>
      </c>
      <c r="CJ32" s="341">
        <v>0</v>
      </c>
      <c r="CK32" s="341">
        <v>0</v>
      </c>
      <c r="CL32" s="341">
        <v>0</v>
      </c>
      <c r="CM32" s="341">
        <v>0</v>
      </c>
      <c r="CN32" s="341">
        <v>0</v>
      </c>
      <c r="CO32" s="341">
        <v>0</v>
      </c>
      <c r="CP32" s="341">
        <v>0</v>
      </c>
      <c r="CQ32" s="341">
        <v>0</v>
      </c>
      <c r="CR32" s="341">
        <v>0</v>
      </c>
      <c r="CS32" s="341">
        <v>0</v>
      </c>
      <c r="CT32" s="341">
        <v>0</v>
      </c>
      <c r="CU32" s="341">
        <v>0</v>
      </c>
      <c r="CV32" s="341">
        <v>0</v>
      </c>
      <c r="CW32" s="341">
        <v>0</v>
      </c>
      <c r="CX32" s="341">
        <v>0</v>
      </c>
      <c r="CY32" s="341">
        <v>0</v>
      </c>
      <c r="CZ32" s="341">
        <v>0</v>
      </c>
      <c r="DA32" s="341">
        <v>0</v>
      </c>
    </row>
    <row r="33" spans="1:105">
      <c r="A33" s="310" t="s">
        <v>457</v>
      </c>
      <c r="B33" s="385">
        <v>0</v>
      </c>
      <c r="C33" s="385">
        <v>0</v>
      </c>
      <c r="D33" s="385">
        <v>0</v>
      </c>
      <c r="E33" s="385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0</v>
      </c>
      <c r="K33" s="385">
        <v>0</v>
      </c>
      <c r="L33" s="385">
        <v>0</v>
      </c>
      <c r="M33" s="385">
        <v>0</v>
      </c>
      <c r="N33" s="385">
        <v>0</v>
      </c>
      <c r="O33" s="385">
        <v>0</v>
      </c>
      <c r="P33" s="385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85">
        <f>'Debt (2)'!W13</f>
        <v>0</v>
      </c>
      <c r="W33" s="385">
        <f>'Debt (2)'!X13</f>
        <v>0</v>
      </c>
      <c r="X33" s="385">
        <v>1.25</v>
      </c>
      <c r="Y33" s="385">
        <f>'Debt (2)'!Z13</f>
        <v>0</v>
      </c>
      <c r="Z33" s="385">
        <v>-3.75</v>
      </c>
      <c r="AA33" s="385">
        <f>'Debt (2)'!AB13</f>
        <v>0</v>
      </c>
      <c r="AB33" s="385">
        <f>'Debt (2)'!AC13</f>
        <v>0</v>
      </c>
      <c r="AC33" s="385">
        <f>'Debt (2)'!AD13</f>
        <v>0</v>
      </c>
      <c r="AD33" s="385">
        <f>'Debt (2)'!AE13</f>
        <v>0</v>
      </c>
      <c r="AE33" s="385">
        <f>'Debt (2)'!AF13</f>
        <v>0</v>
      </c>
      <c r="AF33" s="385">
        <f>'Debt (2)'!AG13</f>
        <v>0</v>
      </c>
      <c r="AG33" s="385">
        <f>'Debt (2)'!AH13</f>
        <v>0</v>
      </c>
      <c r="AH33" s="385">
        <f>'Debt (2)'!AI13</f>
        <v>0</v>
      </c>
      <c r="AI33" s="385">
        <f>'Debt (2)'!AJ13</f>
        <v>0</v>
      </c>
      <c r="AJ33" s="385">
        <f>'Debt (2)'!AK13</f>
        <v>0</v>
      </c>
      <c r="AK33" s="385">
        <f>'Debt (2)'!AL13</f>
        <v>0</v>
      </c>
      <c r="AL33" s="385">
        <f>'Debt (2)'!AM13</f>
        <v>0</v>
      </c>
      <c r="AM33" s="385">
        <f>'Debt (2)'!AN13</f>
        <v>0</v>
      </c>
      <c r="AN33" s="385">
        <f>'Debt (2)'!AO13</f>
        <v>0</v>
      </c>
      <c r="AO33" s="385">
        <f>'Debt (2)'!AP13</f>
        <v>0</v>
      </c>
      <c r="AP33" s="385">
        <f>'Debt (2)'!AQ13</f>
        <v>0</v>
      </c>
      <c r="AQ33" s="385">
        <f>'Debt (2)'!AR13</f>
        <v>0</v>
      </c>
      <c r="AR33" s="385">
        <f>'Debt (2)'!AS13</f>
        <v>0</v>
      </c>
      <c r="AS33" s="385">
        <f>'Debt (2)'!AT13</f>
        <v>1.4690449999999999</v>
      </c>
      <c r="AT33" s="385">
        <f>'Debt (2)'!AU13</f>
        <v>0</v>
      </c>
      <c r="AU33" s="385">
        <f>'Debt (2)'!AV13</f>
        <v>0</v>
      </c>
      <c r="AV33" s="385">
        <f>'Debt (2)'!AW13</f>
        <v>4.4071349999999994</v>
      </c>
      <c r="AW33" s="385">
        <f>'Debt (2)'!AX13</f>
        <v>0</v>
      </c>
      <c r="AX33" s="385">
        <f>'Debt (2)'!AY13</f>
        <v>0</v>
      </c>
      <c r="AY33" s="385">
        <f>'Debt (2)'!AZ13</f>
        <v>4.4071349999999994</v>
      </c>
      <c r="AZ33" s="385">
        <f>'Debt (2)'!BA13</f>
        <v>0</v>
      </c>
      <c r="BA33" s="385">
        <f>'Debt (2)'!BB13</f>
        <v>0</v>
      </c>
      <c r="BB33" s="385">
        <f>'Debt (2)'!BC13</f>
        <v>4.4071349999999994</v>
      </c>
      <c r="BC33" s="385">
        <f>'Debt (2)'!BD13</f>
        <v>0</v>
      </c>
      <c r="BD33" s="385">
        <f>'Debt (2)'!BE13</f>
        <v>0</v>
      </c>
      <c r="BE33" s="385">
        <f>'Debt (2)'!BF13</f>
        <v>5.8761799999999997</v>
      </c>
      <c r="BF33" s="385">
        <f>'Debt (2)'!BG13</f>
        <v>0</v>
      </c>
      <c r="BG33" s="385">
        <f>'Debt (2)'!BH13</f>
        <v>0</v>
      </c>
      <c r="BH33" s="385">
        <f>'Debt (2)'!BI13</f>
        <v>5.8761799999999997</v>
      </c>
      <c r="BI33" s="385">
        <f>'Debt (2)'!BJ13</f>
        <v>0</v>
      </c>
      <c r="BJ33" s="385">
        <f>'Debt (2)'!BK13</f>
        <v>0</v>
      </c>
      <c r="BK33" s="385">
        <f>'Debt (2)'!BL13</f>
        <v>5.8761799999999997</v>
      </c>
      <c r="BL33" s="385">
        <f>'Debt (2)'!BM13</f>
        <v>0</v>
      </c>
      <c r="BM33" s="385">
        <f>'Debt (2)'!BN13</f>
        <v>0</v>
      </c>
      <c r="BN33" s="385">
        <f>'Debt (2)'!BO13</f>
        <v>5.8761799999999997</v>
      </c>
      <c r="BO33" s="385">
        <f>'Debt (2)'!BP13</f>
        <v>0</v>
      </c>
      <c r="BP33" s="385">
        <f>'Debt (2)'!BQ13</f>
        <v>0</v>
      </c>
      <c r="BQ33" s="385">
        <f>'Debt (2)'!BR13</f>
        <v>6.9779637499999989</v>
      </c>
      <c r="BR33" s="385">
        <f>'Debt (2)'!BS13</f>
        <v>0</v>
      </c>
      <c r="BS33" s="385">
        <f>'Debt (2)'!BT13</f>
        <v>0</v>
      </c>
      <c r="BT33" s="385">
        <f>'Debt (2)'!BU13</f>
        <v>6.9779637499999989</v>
      </c>
      <c r="BU33" s="385">
        <f>'Debt (2)'!BV13</f>
        <v>0</v>
      </c>
      <c r="BV33" s="385">
        <f>'Debt (2)'!BW13</f>
        <v>0</v>
      </c>
      <c r="BW33" s="385">
        <f>'Debt (2)'!BX13</f>
        <v>6.9779637499999989</v>
      </c>
      <c r="BX33" s="385">
        <f>'Debt (2)'!BY13</f>
        <v>0</v>
      </c>
      <c r="BY33" s="385">
        <f>'Debt (2)'!BZ13</f>
        <v>0</v>
      </c>
      <c r="BZ33" s="385">
        <f>'Debt (2)'!CA13</f>
        <v>6.9779637499999989</v>
      </c>
      <c r="CA33" s="385">
        <f>'Debt (2)'!CB13</f>
        <v>0</v>
      </c>
      <c r="CB33" s="385">
        <f>'Debt (2)'!CC13</f>
        <v>0</v>
      </c>
      <c r="CC33" s="385">
        <f>'Debt (2)'!CD13</f>
        <v>6.9779637499999989</v>
      </c>
      <c r="CD33" s="385">
        <f>'Debt (2)'!CE13</f>
        <v>0</v>
      </c>
      <c r="CE33" s="385">
        <f>'Debt (2)'!CF13</f>
        <v>0</v>
      </c>
      <c r="CF33" s="385">
        <f>'Debt (2)'!CG13</f>
        <v>9.5487924999999994</v>
      </c>
      <c r="CG33" s="385">
        <f>'Debt (2)'!CH13</f>
        <v>0</v>
      </c>
      <c r="CH33" s="385">
        <f>'Debt (2)'!CI13</f>
        <v>0</v>
      </c>
      <c r="CI33" s="385">
        <f>'Debt (2)'!CJ13</f>
        <v>9.5487924999999994</v>
      </c>
      <c r="CJ33" s="385">
        <f>'Debt (2)'!CK13</f>
        <v>0</v>
      </c>
      <c r="CK33" s="385">
        <f>'Debt (2)'!CL13</f>
        <v>0</v>
      </c>
      <c r="CL33" s="385">
        <f>'Debt (2)'!CM13</f>
        <v>13.221404999999999</v>
      </c>
      <c r="CM33" s="385">
        <f>'Debt (2)'!CN13</f>
        <v>0</v>
      </c>
      <c r="CN33" s="385">
        <f>'Debt (2)'!CO13</f>
        <v>0</v>
      </c>
      <c r="CO33" s="385">
        <f>'Debt (2)'!CP13</f>
        <v>13.221404999999999</v>
      </c>
      <c r="CP33" s="385">
        <f>'Debt (2)'!CQ13</f>
        <v>0</v>
      </c>
      <c r="CQ33" s="385">
        <f>'Debt (2)'!CR13</f>
        <v>0</v>
      </c>
      <c r="CR33" s="385">
        <f>'Debt (2)'!CS13</f>
        <v>13.955927499999998</v>
      </c>
      <c r="CS33" s="385">
        <f>'Debt (2)'!CT13</f>
        <v>0</v>
      </c>
      <c r="CT33" s="385">
        <f>'Debt (2)'!CU13</f>
        <v>0</v>
      </c>
      <c r="CU33" s="385">
        <f>'Debt (2)'!CV13</f>
        <v>14.323188749999998</v>
      </c>
      <c r="CV33" s="385">
        <f>'Debt (2)'!CW13</f>
        <v>0</v>
      </c>
      <c r="CW33" s="385">
        <f>'Debt (2)'!CX13</f>
        <v>0</v>
      </c>
      <c r="CX33" s="385">
        <f>'Debt (2)'!CY13</f>
        <v>0</v>
      </c>
      <c r="CY33" s="385">
        <f>'Debt (2)'!CZ13</f>
        <v>0</v>
      </c>
      <c r="CZ33" s="385">
        <f>'Debt (2)'!DA13</f>
        <v>0</v>
      </c>
      <c r="DA33" s="385">
        <f>'Debt (2)'!DB13</f>
        <v>0</v>
      </c>
    </row>
    <row r="34" spans="1:105" s="341" customFormat="1">
      <c r="A34" s="310" t="s">
        <v>432</v>
      </c>
      <c r="B34" s="385">
        <v>0</v>
      </c>
      <c r="C34" s="385">
        <v>0</v>
      </c>
      <c r="D34" s="385">
        <v>0</v>
      </c>
      <c r="E34" s="385"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v>0</v>
      </c>
      <c r="K34" s="385">
        <v>0</v>
      </c>
      <c r="L34" s="385">
        <v>0</v>
      </c>
      <c r="M34" s="385">
        <v>0</v>
      </c>
      <c r="N34" s="385">
        <v>0</v>
      </c>
      <c r="O34" s="385">
        <v>0</v>
      </c>
      <c r="P34" s="385">
        <v>0</v>
      </c>
      <c r="Q34" s="341">
        <v>0</v>
      </c>
      <c r="R34" s="341">
        <v>0</v>
      </c>
      <c r="S34" s="341">
        <v>0</v>
      </c>
      <c r="T34" s="341">
        <v>0</v>
      </c>
      <c r="U34" s="341">
        <v>0</v>
      </c>
      <c r="V34" s="385">
        <v>0.04</v>
      </c>
      <c r="W34" s="385">
        <v>0.04</v>
      </c>
      <c r="X34" s="385">
        <v>0.04</v>
      </c>
      <c r="Y34" s="385">
        <v>0.04</v>
      </c>
      <c r="Z34" s="385">
        <v>0.04</v>
      </c>
      <c r="AA34" s="385">
        <v>0.04</v>
      </c>
      <c r="AB34" s="385">
        <v>0.04</v>
      </c>
      <c r="AC34" s="385">
        <v>0.04</v>
      </c>
      <c r="AD34" s="385">
        <v>0.04</v>
      </c>
      <c r="AE34" s="385">
        <v>0.04</v>
      </c>
      <c r="AF34" s="385">
        <v>0.04</v>
      </c>
      <c r="AG34" s="385">
        <v>0.04</v>
      </c>
      <c r="AH34" s="385">
        <v>0.04</v>
      </c>
      <c r="AI34" s="385">
        <v>0.04</v>
      </c>
      <c r="AJ34" s="385">
        <v>0.04</v>
      </c>
      <c r="AK34" s="385">
        <v>0.04</v>
      </c>
      <c r="AL34" s="385">
        <v>0.04</v>
      </c>
      <c r="AM34" s="385">
        <v>0.04</v>
      </c>
      <c r="AN34" s="385">
        <v>0.04</v>
      </c>
      <c r="AO34" s="385">
        <v>0.04</v>
      </c>
      <c r="AP34" s="385">
        <v>0.04</v>
      </c>
      <c r="AQ34" s="385">
        <v>0.04</v>
      </c>
      <c r="AR34" s="385">
        <v>0.04</v>
      </c>
      <c r="AS34" s="385">
        <v>0.04</v>
      </c>
      <c r="AT34" s="385">
        <v>0.04</v>
      </c>
      <c r="AU34" s="385">
        <v>0.04</v>
      </c>
      <c r="AV34" s="385">
        <v>0.04</v>
      </c>
      <c r="AW34" s="385">
        <v>0.04</v>
      </c>
      <c r="AX34" s="385">
        <v>0.04</v>
      </c>
      <c r="AY34" s="385">
        <v>0.04</v>
      </c>
      <c r="AZ34" s="385">
        <v>0.04</v>
      </c>
      <c r="BA34" s="385">
        <v>0.04</v>
      </c>
      <c r="BB34" s="385">
        <v>0.04</v>
      </c>
      <c r="BC34" s="385">
        <v>0.04</v>
      </c>
      <c r="BD34" s="385">
        <v>0.04</v>
      </c>
      <c r="BE34" s="385">
        <v>0.04</v>
      </c>
      <c r="BF34" s="385">
        <v>0.04</v>
      </c>
      <c r="BG34" s="385">
        <v>0.04</v>
      </c>
      <c r="BH34" s="385">
        <v>0.04</v>
      </c>
      <c r="BI34" s="385">
        <v>0.04</v>
      </c>
      <c r="BJ34" s="385">
        <v>0.04</v>
      </c>
      <c r="BK34" s="385">
        <v>0.04</v>
      </c>
      <c r="BL34" s="385">
        <v>0.04</v>
      </c>
      <c r="BM34" s="385">
        <v>0.04</v>
      </c>
      <c r="BN34" s="385">
        <v>0.04</v>
      </c>
      <c r="BO34" s="385">
        <v>0.04</v>
      </c>
      <c r="BP34" s="385">
        <v>0.04</v>
      </c>
      <c r="BQ34" s="385">
        <v>0.04</v>
      </c>
      <c r="BR34" s="385">
        <v>0.04</v>
      </c>
      <c r="BS34" s="385">
        <v>0.04</v>
      </c>
      <c r="BT34" s="385">
        <v>0.04</v>
      </c>
      <c r="BU34" s="385">
        <v>0.04</v>
      </c>
      <c r="BV34" s="385">
        <v>0.04</v>
      </c>
      <c r="BW34" s="385">
        <v>0.04</v>
      </c>
      <c r="BX34" s="385">
        <v>0.04</v>
      </c>
      <c r="BY34" s="385">
        <v>0.04</v>
      </c>
      <c r="BZ34" s="385">
        <v>0.04</v>
      </c>
      <c r="CA34" s="385">
        <v>0.04</v>
      </c>
      <c r="CB34" s="385">
        <v>0.04</v>
      </c>
      <c r="CC34" s="385">
        <v>0.04</v>
      </c>
      <c r="CD34" s="385">
        <v>0.04</v>
      </c>
      <c r="CE34" s="385">
        <v>0.04</v>
      </c>
      <c r="CF34" s="385">
        <v>0.04</v>
      </c>
      <c r="CG34" s="385">
        <v>0.04</v>
      </c>
      <c r="CH34" s="385">
        <v>0.04</v>
      </c>
      <c r="CI34" s="385">
        <v>0.04</v>
      </c>
      <c r="CJ34" s="385">
        <v>0.04</v>
      </c>
      <c r="CK34" s="385">
        <v>0.04</v>
      </c>
      <c r="CL34" s="385">
        <v>0.04</v>
      </c>
      <c r="CM34" s="385">
        <v>0.04</v>
      </c>
      <c r="CN34" s="385">
        <v>0.04</v>
      </c>
      <c r="CO34" s="385">
        <v>0.04</v>
      </c>
      <c r="CP34" s="385">
        <v>0.04</v>
      </c>
      <c r="CQ34" s="385">
        <v>0.04</v>
      </c>
      <c r="CR34" s="385">
        <v>0.04</v>
      </c>
      <c r="CS34" s="385">
        <v>0.04</v>
      </c>
      <c r="CT34" s="385">
        <v>0.04</v>
      </c>
      <c r="CU34" s="385">
        <v>0.04</v>
      </c>
      <c r="CV34" s="385">
        <f>'Debt (2)'!CW14</f>
        <v>0</v>
      </c>
      <c r="CW34" s="385">
        <f>'Debt (2)'!CX14</f>
        <v>0</v>
      </c>
      <c r="CX34" s="385">
        <f>'Debt (2)'!CY14</f>
        <v>0</v>
      </c>
      <c r="CY34" s="385">
        <f>'Debt (2)'!CZ14</f>
        <v>0</v>
      </c>
      <c r="CZ34" s="385">
        <f>'Debt (2)'!DA14</f>
        <v>0</v>
      </c>
      <c r="DA34" s="385">
        <f>'Debt (2)'!DB14</f>
        <v>0</v>
      </c>
    </row>
    <row r="35" spans="1:105" s="310" customFormat="1" ht="12" customHeight="1">
      <c r="A35" s="310" t="s">
        <v>458</v>
      </c>
      <c r="B35" s="385">
        <v>0</v>
      </c>
      <c r="C35" s="385">
        <v>0</v>
      </c>
      <c r="D35" s="385">
        <v>0</v>
      </c>
      <c r="E35" s="385"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v>0</v>
      </c>
      <c r="K35" s="385">
        <v>0</v>
      </c>
      <c r="L35" s="385">
        <v>0</v>
      </c>
      <c r="M35" s="385">
        <v>0</v>
      </c>
      <c r="N35" s="385">
        <v>0</v>
      </c>
      <c r="O35" s="385">
        <v>0</v>
      </c>
      <c r="P35" s="385">
        <v>0</v>
      </c>
      <c r="Q35" s="341">
        <v>0</v>
      </c>
      <c r="R35" s="341">
        <v>0</v>
      </c>
      <c r="S35" s="341">
        <v>0</v>
      </c>
      <c r="T35" s="341">
        <v>0</v>
      </c>
      <c r="U35" s="341">
        <v>0</v>
      </c>
      <c r="V35" s="385">
        <v>0</v>
      </c>
      <c r="W35" s="385">
        <v>0</v>
      </c>
      <c r="X35" s="385">
        <v>0</v>
      </c>
      <c r="Y35" s="385">
        <f>'CF Capex'!P25</f>
        <v>3.4933591148214287</v>
      </c>
      <c r="Z35" s="385">
        <f>'CF Capex'!Q25</f>
        <v>2.2409182308214288</v>
      </c>
      <c r="AA35" s="385">
        <f>'CF Capex'!R25</f>
        <v>9.0824201207296689</v>
      </c>
      <c r="AB35" s="385">
        <f>'CF Capex'!S25</f>
        <v>14.628746178428116</v>
      </c>
      <c r="AC35" s="385">
        <f>'CF Capex'!T25</f>
        <v>12.652692739735715</v>
      </c>
      <c r="AD35" s="385">
        <f>'CF Capex'!U25</f>
        <v>16.958333117733766</v>
      </c>
      <c r="AE35" s="385">
        <f>'CF Capex'!V25</f>
        <v>16.656724835853858</v>
      </c>
      <c r="AF35" s="385">
        <f>'CF Capex'!W25</f>
        <v>15.235048693825716</v>
      </c>
      <c r="AG35" s="385">
        <f>'CF Capex'!X25</f>
        <v>9.423193202822798</v>
      </c>
      <c r="AH35" s="385">
        <f>'CF Capex'!Y25</f>
        <v>8.256697952877504</v>
      </c>
      <c r="AI35" s="385">
        <f>'CF Capex'!Z25</f>
        <v>7.2510802751519998</v>
      </c>
      <c r="AJ35" s="385">
        <f>'CF Capex'!AA25</f>
        <v>7.403342971190912</v>
      </c>
      <c r="AK35" s="385">
        <f>'CF Capex'!AB25</f>
        <v>6.98336969</v>
      </c>
      <c r="AL35" s="385">
        <f>'CF Capex'!AC25</f>
        <v>6.3094256800000004</v>
      </c>
      <c r="AM35" s="385">
        <f>'CF Capex'!AD25</f>
        <v>4.3412425499999996</v>
      </c>
      <c r="AN35" s="385">
        <f>'CF Capex'!AE25</f>
        <v>3.7355982000000001</v>
      </c>
      <c r="AO35" s="385">
        <f>'CF Capex'!AF25</f>
        <v>3.7653906269999999</v>
      </c>
      <c r="AP35" s="385">
        <f>'CF Capex'!AG25</f>
        <v>2.94</v>
      </c>
      <c r="AQ35" s="385">
        <f>'CF Capex'!AH25</f>
        <v>0</v>
      </c>
      <c r="AR35" s="385">
        <f>'CF Capex'!AI25</f>
        <v>0</v>
      </c>
      <c r="AS35" s="385">
        <f>'CF Capex'!AJ25</f>
        <v>0</v>
      </c>
      <c r="AT35" s="385">
        <f>'CF Capex'!AK25</f>
        <v>0</v>
      </c>
      <c r="AU35" s="385">
        <f>'CF Capex'!AL25</f>
        <v>0</v>
      </c>
      <c r="AV35" s="385">
        <f>'CF Capex'!AM25</f>
        <v>0</v>
      </c>
      <c r="AW35" s="385">
        <f>'CF Capex'!AN25</f>
        <v>0</v>
      </c>
      <c r="AX35" s="385">
        <f>'CF Capex'!AO25</f>
        <v>0</v>
      </c>
      <c r="AY35" s="385">
        <f>'CF Capex'!AP25</f>
        <v>0</v>
      </c>
      <c r="AZ35" s="385">
        <f>'CF Capex'!AQ25</f>
        <v>0</v>
      </c>
      <c r="BA35" s="385">
        <f>'CF Capex'!AR25</f>
        <v>0</v>
      </c>
      <c r="BB35" s="385">
        <f>'CF Capex'!AS25</f>
        <v>0</v>
      </c>
      <c r="BC35" s="385">
        <f>'CF Capex'!AT25</f>
        <v>0</v>
      </c>
      <c r="BD35" s="385">
        <f>'CF Capex'!AU25</f>
        <v>0</v>
      </c>
      <c r="BE35" s="385">
        <f>'CF Capex'!AV25</f>
        <v>0</v>
      </c>
      <c r="BF35" s="385">
        <f>'CF Capex'!AW25</f>
        <v>0</v>
      </c>
      <c r="BG35" s="385">
        <f>'CF Capex'!AX25</f>
        <v>0</v>
      </c>
      <c r="BH35" s="385">
        <f>'CF Capex'!AY25</f>
        <v>0</v>
      </c>
      <c r="BI35" s="385">
        <f>'CF Capex'!AZ25</f>
        <v>0</v>
      </c>
      <c r="BJ35" s="385">
        <f>'CF Capex'!BA25</f>
        <v>0</v>
      </c>
      <c r="BK35" s="385">
        <f>'CF Capex'!BB25</f>
        <v>0</v>
      </c>
      <c r="BL35" s="385">
        <f>'CF Capex'!BC25</f>
        <v>0</v>
      </c>
      <c r="BM35" s="385">
        <f>'CF Capex'!BD25</f>
        <v>0</v>
      </c>
      <c r="BN35" s="385">
        <f>'CF Capex'!BE25</f>
        <v>0</v>
      </c>
      <c r="BO35" s="385">
        <f>'CF Capex'!BF25</f>
        <v>0</v>
      </c>
      <c r="BP35" s="385">
        <f>'CF Capex'!BG25</f>
        <v>0</v>
      </c>
      <c r="BQ35" s="385">
        <f>'CF Capex'!BH25</f>
        <v>0</v>
      </c>
      <c r="BR35" s="385">
        <f>'CF Capex'!BI25</f>
        <v>0</v>
      </c>
      <c r="BS35" s="385">
        <f>'CF Capex'!BJ25</f>
        <v>0</v>
      </c>
      <c r="BT35" s="385">
        <f>'CF Capex'!BK25</f>
        <v>0</v>
      </c>
      <c r="BU35" s="385">
        <f>'CF Capex'!BL25</f>
        <v>0</v>
      </c>
      <c r="BV35" s="385">
        <f>'CF Capex'!BM25</f>
        <v>0</v>
      </c>
      <c r="BW35" s="385">
        <f>'CF Capex'!BN25</f>
        <v>0</v>
      </c>
      <c r="BX35" s="385">
        <f>'CF Capex'!BO25</f>
        <v>0</v>
      </c>
      <c r="BY35" s="385">
        <f>'CF Capex'!BP25</f>
        <v>0</v>
      </c>
      <c r="BZ35" s="385">
        <f>'CF Capex'!BQ25</f>
        <v>0</v>
      </c>
      <c r="CA35" s="385">
        <f>'CF Capex'!BR25</f>
        <v>0</v>
      </c>
      <c r="CB35" s="385">
        <f>'CF Capex'!BS25</f>
        <v>0</v>
      </c>
      <c r="CC35" s="385">
        <f>'CF Capex'!BT25</f>
        <v>0</v>
      </c>
      <c r="CD35" s="385">
        <f>'CF Capex'!BU25</f>
        <v>0</v>
      </c>
      <c r="CE35" s="385">
        <f>'CF Capex'!BV25</f>
        <v>0</v>
      </c>
      <c r="CF35" s="385">
        <f>'CF Capex'!BW25</f>
        <v>0</v>
      </c>
      <c r="CG35" s="385">
        <f>'CF Capex'!BX25</f>
        <v>0</v>
      </c>
      <c r="CH35" s="385">
        <f>'CF Capex'!BY25</f>
        <v>0</v>
      </c>
      <c r="CI35" s="385">
        <f>'CF Capex'!BZ25</f>
        <v>0</v>
      </c>
      <c r="CJ35" s="385">
        <f>'CF Capex'!CA25</f>
        <v>0</v>
      </c>
      <c r="CK35" s="385">
        <f>'CF Capex'!CB25</f>
        <v>0</v>
      </c>
      <c r="CL35" s="385">
        <f>'CF Capex'!CC25</f>
        <v>0</v>
      </c>
      <c r="CM35" s="385">
        <f>'CF Capex'!CD25</f>
        <v>0</v>
      </c>
      <c r="CN35" s="385">
        <f>'CF Capex'!CE25</f>
        <v>0</v>
      </c>
      <c r="CO35" s="385">
        <f>'CF Capex'!CF25</f>
        <v>0</v>
      </c>
      <c r="CP35" s="385">
        <f>'CF Capex'!CG25</f>
        <v>0</v>
      </c>
      <c r="CQ35" s="385">
        <f>'CF Capex'!CH25</f>
        <v>0</v>
      </c>
      <c r="CR35" s="385">
        <f>'CF Capex'!CI25</f>
        <v>0</v>
      </c>
      <c r="CS35" s="385">
        <f>'CF Capex'!CJ25</f>
        <v>0</v>
      </c>
      <c r="CT35" s="385">
        <f>'CF Capex'!CK25</f>
        <v>0</v>
      </c>
      <c r="CU35" s="385">
        <f>'CF Capex'!CL25</f>
        <v>0</v>
      </c>
      <c r="CV35" s="385">
        <f>'CF Capex'!CM25</f>
        <v>0</v>
      </c>
      <c r="CW35" s="385">
        <f>'CF Capex'!CN25</f>
        <v>0</v>
      </c>
      <c r="CX35" s="385">
        <f>'CF Capex'!CO25</f>
        <v>0</v>
      </c>
      <c r="CY35" s="385">
        <f>'CF Capex'!CP25</f>
        <v>0</v>
      </c>
      <c r="CZ35" s="385">
        <f>'CF Capex'!CQ25</f>
        <v>0</v>
      </c>
      <c r="DA35" s="385">
        <f>'CF Capex'!CR25</f>
        <v>0</v>
      </c>
    </row>
    <row r="36" spans="1:105" s="310" customFormat="1" ht="12" customHeight="1">
      <c r="A36" s="310" t="s">
        <v>459</v>
      </c>
      <c r="B36" s="385">
        <v>0</v>
      </c>
      <c r="C36" s="385">
        <v>0</v>
      </c>
      <c r="D36" s="385">
        <v>0</v>
      </c>
      <c r="E36" s="385"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v>0</v>
      </c>
      <c r="K36" s="385">
        <v>0</v>
      </c>
      <c r="L36" s="385">
        <v>0</v>
      </c>
      <c r="M36" s="385">
        <v>0</v>
      </c>
      <c r="N36" s="385">
        <v>0</v>
      </c>
      <c r="O36" s="385">
        <v>0</v>
      </c>
      <c r="P36" s="385">
        <v>0</v>
      </c>
      <c r="Q36" s="341">
        <v>0</v>
      </c>
      <c r="R36" s="341">
        <v>0</v>
      </c>
      <c r="S36" s="341">
        <v>0</v>
      </c>
      <c r="T36" s="341">
        <v>0</v>
      </c>
      <c r="U36" s="341">
        <v>0</v>
      </c>
      <c r="V36" s="385">
        <v>0</v>
      </c>
      <c r="W36" s="385">
        <v>0</v>
      </c>
      <c r="X36" s="385">
        <v>0</v>
      </c>
      <c r="Y36" s="385">
        <v>0</v>
      </c>
      <c r="Z36" s="385">
        <v>0</v>
      </c>
      <c r="AA36" s="385">
        <v>0</v>
      </c>
      <c r="AB36" s="385">
        <v>0</v>
      </c>
      <c r="AC36" s="385">
        <v>0</v>
      </c>
      <c r="AD36" s="385">
        <v>0</v>
      </c>
      <c r="AE36" s="385">
        <v>0</v>
      </c>
      <c r="AF36" s="385">
        <v>0</v>
      </c>
      <c r="AG36" s="385">
        <v>0</v>
      </c>
      <c r="AH36" s="385">
        <v>0.25</v>
      </c>
      <c r="AI36" s="385">
        <v>0.25</v>
      </c>
      <c r="AJ36" s="385">
        <v>0.25</v>
      </c>
      <c r="AK36" s="385">
        <v>0.25</v>
      </c>
      <c r="AL36" s="385">
        <v>0.25</v>
      </c>
      <c r="AM36" s="385">
        <v>0.25</v>
      </c>
      <c r="AN36" s="385">
        <v>0.25</v>
      </c>
      <c r="AO36" s="385">
        <v>0.25</v>
      </c>
      <c r="AP36" s="385">
        <v>0.25</v>
      </c>
      <c r="AQ36" s="385">
        <v>0.25</v>
      </c>
      <c r="AR36" s="385">
        <v>0.25</v>
      </c>
      <c r="AS36" s="385">
        <v>0.25</v>
      </c>
      <c r="AT36" s="385">
        <v>0.25</v>
      </c>
      <c r="AU36" s="385">
        <v>0.25</v>
      </c>
      <c r="AV36" s="385">
        <v>0.25</v>
      </c>
      <c r="AW36" s="385">
        <v>0.25</v>
      </c>
      <c r="AX36" s="385">
        <v>0.25</v>
      </c>
      <c r="AY36" s="385">
        <v>0.25</v>
      </c>
      <c r="AZ36" s="385">
        <v>0.25</v>
      </c>
      <c r="BA36" s="385">
        <v>0.25</v>
      </c>
      <c r="BB36" s="385">
        <v>0.25</v>
      </c>
      <c r="BC36" s="385">
        <v>0.25</v>
      </c>
      <c r="BD36" s="385">
        <v>0.25</v>
      </c>
      <c r="BE36" s="385">
        <v>0.25</v>
      </c>
      <c r="BF36" s="385">
        <v>0.25</v>
      </c>
      <c r="BG36" s="385">
        <v>0.25</v>
      </c>
      <c r="BH36" s="385">
        <v>0.25</v>
      </c>
      <c r="BI36" s="385">
        <v>0.25</v>
      </c>
      <c r="BJ36" s="385">
        <v>0.25</v>
      </c>
      <c r="BK36" s="385">
        <v>0.25</v>
      </c>
      <c r="BL36" s="385">
        <v>0.25</v>
      </c>
      <c r="BM36" s="385">
        <v>0.25</v>
      </c>
      <c r="BN36" s="385">
        <v>0.25</v>
      </c>
      <c r="BO36" s="385">
        <v>0.25</v>
      </c>
      <c r="BP36" s="385">
        <v>0.25</v>
      </c>
      <c r="BQ36" s="385">
        <v>0.25</v>
      </c>
      <c r="BR36" s="385">
        <v>0.25</v>
      </c>
      <c r="BS36" s="385">
        <v>0.25</v>
      </c>
      <c r="BT36" s="385">
        <v>0.25</v>
      </c>
      <c r="BU36" s="385">
        <v>0.25</v>
      </c>
      <c r="BV36" s="385">
        <v>0.25</v>
      </c>
      <c r="BW36" s="385">
        <v>0.25</v>
      </c>
      <c r="BX36" s="385">
        <v>0.25</v>
      </c>
      <c r="BY36" s="385">
        <v>0.25</v>
      </c>
      <c r="BZ36" s="385">
        <v>0.25</v>
      </c>
      <c r="CA36" s="385">
        <v>0.25</v>
      </c>
      <c r="CB36" s="385">
        <v>0.25</v>
      </c>
      <c r="CC36" s="385">
        <v>0.25</v>
      </c>
      <c r="CD36" s="385">
        <v>0.25</v>
      </c>
      <c r="CE36" s="385">
        <v>0.25</v>
      </c>
      <c r="CF36" s="385">
        <v>0.25</v>
      </c>
      <c r="CG36" s="385">
        <v>0.25</v>
      </c>
      <c r="CH36" s="385">
        <v>0.25</v>
      </c>
      <c r="CI36" s="385">
        <v>0.25</v>
      </c>
      <c r="CJ36" s="385">
        <v>0.25</v>
      </c>
      <c r="CK36" s="385">
        <v>0.25</v>
      </c>
      <c r="CL36" s="385">
        <v>0.25</v>
      </c>
      <c r="CM36" s="385">
        <v>0.25</v>
      </c>
      <c r="CN36" s="385">
        <v>0.25</v>
      </c>
      <c r="CO36" s="385">
        <v>0.25</v>
      </c>
      <c r="CP36" s="385">
        <v>0.25</v>
      </c>
      <c r="CQ36" s="385">
        <v>0.25</v>
      </c>
      <c r="CR36" s="385">
        <v>0.25</v>
      </c>
      <c r="CS36" s="385">
        <v>0</v>
      </c>
      <c r="CT36" s="385">
        <v>0</v>
      </c>
      <c r="CU36" s="385">
        <v>0</v>
      </c>
      <c r="CV36" s="385">
        <v>0</v>
      </c>
      <c r="CW36" s="385">
        <v>0</v>
      </c>
      <c r="CX36" s="385">
        <v>0</v>
      </c>
      <c r="CY36" s="385">
        <v>0</v>
      </c>
      <c r="CZ36" s="385">
        <v>0</v>
      </c>
      <c r="DA36" s="385">
        <v>0</v>
      </c>
    </row>
    <row r="37" spans="1:105" ht="12.75" thickBot="1">
      <c r="A37" s="345" t="s">
        <v>325</v>
      </c>
      <c r="B37" s="343">
        <f t="shared" ref="B37:BM37" si="5">SUM(B20:B36)</f>
        <v>0</v>
      </c>
      <c r="C37" s="343">
        <f t="shared" si="5"/>
        <v>0</v>
      </c>
      <c r="D37" s="343">
        <f t="shared" si="5"/>
        <v>0</v>
      </c>
      <c r="E37" s="343">
        <f t="shared" si="5"/>
        <v>0</v>
      </c>
      <c r="F37" s="343">
        <f t="shared" si="5"/>
        <v>0</v>
      </c>
      <c r="G37" s="343">
        <f t="shared" si="5"/>
        <v>0</v>
      </c>
      <c r="H37" s="343">
        <f t="shared" si="5"/>
        <v>0</v>
      </c>
      <c r="I37" s="343">
        <f t="shared" si="5"/>
        <v>0</v>
      </c>
      <c r="J37" s="343">
        <f t="shared" si="5"/>
        <v>0</v>
      </c>
      <c r="K37" s="343">
        <f t="shared" si="5"/>
        <v>0</v>
      </c>
      <c r="L37" s="343">
        <f t="shared" si="5"/>
        <v>0</v>
      </c>
      <c r="M37" s="343">
        <f t="shared" si="5"/>
        <v>0</v>
      </c>
      <c r="N37" s="343">
        <f t="shared" si="5"/>
        <v>0</v>
      </c>
      <c r="O37" s="343">
        <f t="shared" si="5"/>
        <v>0</v>
      </c>
      <c r="P37" s="343">
        <f t="shared" si="5"/>
        <v>0</v>
      </c>
      <c r="Q37" s="343">
        <f t="shared" si="5"/>
        <v>0</v>
      </c>
      <c r="R37" s="343">
        <f t="shared" si="5"/>
        <v>0</v>
      </c>
      <c r="S37" s="343">
        <f t="shared" si="5"/>
        <v>0</v>
      </c>
      <c r="T37" s="343">
        <f t="shared" si="5"/>
        <v>0</v>
      </c>
      <c r="U37" s="343">
        <f t="shared" si="5"/>
        <v>0</v>
      </c>
      <c r="V37" s="343">
        <f t="shared" si="5"/>
        <v>6.3625028896580798</v>
      </c>
      <c r="W37" s="343">
        <f t="shared" si="5"/>
        <v>6.9499269989235524</v>
      </c>
      <c r="X37" s="343">
        <f t="shared" si="5"/>
        <v>7.734953090408494</v>
      </c>
      <c r="Y37" s="343">
        <f t="shared" si="5"/>
        <v>10.07913982146535</v>
      </c>
      <c r="Z37" s="343">
        <f t="shared" si="5"/>
        <v>4.8273780858746687</v>
      </c>
      <c r="AA37" s="343">
        <f t="shared" si="5"/>
        <v>15.127876777690458</v>
      </c>
      <c r="AB37" s="343">
        <f t="shared" si="5"/>
        <v>20.755511639882815</v>
      </c>
      <c r="AC37" s="343">
        <f t="shared" si="5"/>
        <v>18.658661133003946</v>
      </c>
      <c r="AD37" s="343">
        <f t="shared" si="5"/>
        <v>22.86036268421249</v>
      </c>
      <c r="AE37" s="343">
        <f t="shared" si="5"/>
        <v>22.385340949754969</v>
      </c>
      <c r="AF37" s="343">
        <f t="shared" si="5"/>
        <v>20.901180248380491</v>
      </c>
      <c r="AG37" s="343">
        <f t="shared" si="5"/>
        <v>18.488990399789149</v>
      </c>
      <c r="AH37" s="343">
        <f t="shared" si="5"/>
        <v>15.155397325739035</v>
      </c>
      <c r="AI37" s="343">
        <f t="shared" si="5"/>
        <v>14.988771638749306</v>
      </c>
      <c r="AJ37" s="343">
        <f t="shared" si="5"/>
        <v>14.420271419222688</v>
      </c>
      <c r="AK37" s="343">
        <f t="shared" si="5"/>
        <v>14.283911352444004</v>
      </c>
      <c r="AL37" s="343">
        <f t="shared" si="5"/>
        <v>13.141667947380016</v>
      </c>
      <c r="AM37" s="343">
        <f t="shared" si="5"/>
        <v>12.159544485244613</v>
      </c>
      <c r="AN37" s="343">
        <f t="shared" si="5"/>
        <v>10.725020387059667</v>
      </c>
      <c r="AO37" s="343">
        <f t="shared" si="5"/>
        <v>10.893266132374968</v>
      </c>
      <c r="AP37" s="343">
        <f t="shared" si="5"/>
        <v>10.047355247035894</v>
      </c>
      <c r="AQ37" s="343">
        <f t="shared" si="5"/>
        <v>7.2060288077126513</v>
      </c>
      <c r="AR37" s="343">
        <f t="shared" si="5"/>
        <v>6.6851667395629759</v>
      </c>
      <c r="AS37" s="343">
        <f t="shared" si="5"/>
        <v>8.6110661345079933</v>
      </c>
      <c r="AT37" s="343">
        <f t="shared" si="5"/>
        <v>6.4196493521495679</v>
      </c>
      <c r="AU37" s="343">
        <f t="shared" si="5"/>
        <v>7.2967461051064193</v>
      </c>
      <c r="AV37" s="343">
        <f t="shared" si="5"/>
        <v>10.930806099449221</v>
      </c>
      <c r="AW37" s="343">
        <f t="shared" si="5"/>
        <v>6.8391576526663798</v>
      </c>
      <c r="AX37" s="343">
        <f t="shared" si="5"/>
        <v>6.3358168863287139</v>
      </c>
      <c r="AY37" s="343">
        <f t="shared" si="5"/>
        <v>11.366544027991576</v>
      </c>
      <c r="AZ37" s="343">
        <f t="shared" si="5"/>
        <v>6.6003778594930891</v>
      </c>
      <c r="BA37" s="343">
        <f t="shared" si="5"/>
        <v>6.7811681346207733</v>
      </c>
      <c r="BB37" s="343">
        <f t="shared" si="5"/>
        <v>11.029098503452772</v>
      </c>
      <c r="BC37" s="343">
        <f t="shared" si="5"/>
        <v>6.7935413532816389</v>
      </c>
      <c r="BD37" s="343">
        <f t="shared" si="5"/>
        <v>6.2483527186237113</v>
      </c>
      <c r="BE37" s="343">
        <f t="shared" si="5"/>
        <v>12.59420569179634</v>
      </c>
      <c r="BF37" s="343">
        <f t="shared" si="5"/>
        <v>6.2792322530099893</v>
      </c>
      <c r="BG37" s="343">
        <f t="shared" si="5"/>
        <v>7.2786532000672608</v>
      </c>
      <c r="BH37" s="343">
        <f t="shared" si="5"/>
        <v>12.249090987690465</v>
      </c>
      <c r="BI37" s="343">
        <f t="shared" si="5"/>
        <v>6.5428641732660529</v>
      </c>
      <c r="BJ37" s="343">
        <f t="shared" si="5"/>
        <v>5.9202727978104415</v>
      </c>
      <c r="BK37" s="343">
        <f t="shared" si="5"/>
        <v>12.52371144092392</v>
      </c>
      <c r="BL37" s="343">
        <f t="shared" si="5"/>
        <v>6.2878484520197819</v>
      </c>
      <c r="BM37" s="343">
        <f t="shared" si="5"/>
        <v>6.5672916156980214</v>
      </c>
      <c r="BN37" s="343">
        <f t="shared" ref="BN37:DA37" si="6">SUM(BN20:BN36)</f>
        <v>12.160485248755547</v>
      </c>
      <c r="BO37" s="343">
        <f t="shared" si="6"/>
        <v>6.5704141529916384</v>
      </c>
      <c r="BP37" s="343">
        <f t="shared" si="6"/>
        <v>8.0192117374976952</v>
      </c>
      <c r="BQ37" s="343">
        <f t="shared" si="6"/>
        <v>13.664230294236873</v>
      </c>
      <c r="BR37" s="343">
        <f t="shared" si="6"/>
        <v>7.0320220352983007</v>
      </c>
      <c r="BS37" s="343">
        <f t="shared" si="6"/>
        <v>8.3775451976429842</v>
      </c>
      <c r="BT37" s="343">
        <f t="shared" si="6"/>
        <v>14.360762866596183</v>
      </c>
      <c r="BU37" s="343">
        <f t="shared" si="6"/>
        <v>7.8964268586362385</v>
      </c>
      <c r="BV37" s="343">
        <f t="shared" si="6"/>
        <v>7.1960225947315184</v>
      </c>
      <c r="BW37" s="343">
        <f t="shared" si="6"/>
        <v>14.97632265322097</v>
      </c>
      <c r="BX37" s="343">
        <f t="shared" si="6"/>
        <v>7.4617520396906958</v>
      </c>
      <c r="BY37" s="343">
        <f t="shared" si="6"/>
        <v>7.8073757821078127</v>
      </c>
      <c r="BZ37" s="343">
        <f t="shared" si="6"/>
        <v>14.412506815819274</v>
      </c>
      <c r="CA37" s="343">
        <f t="shared" si="6"/>
        <v>7.7739540397175046</v>
      </c>
      <c r="CB37" s="343">
        <f t="shared" si="6"/>
        <v>7.0062140117121201</v>
      </c>
      <c r="CC37" s="343">
        <f t="shared" si="6"/>
        <v>14.655733053012089</v>
      </c>
      <c r="CD37" s="343">
        <f t="shared" si="6"/>
        <v>7.2263613356158194</v>
      </c>
      <c r="CE37" s="343">
        <f t="shared" si="6"/>
        <v>8.3681383945382937</v>
      </c>
      <c r="CF37" s="343">
        <f t="shared" si="6"/>
        <v>16.003526864457172</v>
      </c>
      <c r="CG37" s="343">
        <f t="shared" si="6"/>
        <v>7.0231095841084974</v>
      </c>
      <c r="CH37" s="343">
        <f t="shared" si="6"/>
        <v>6.2609385227861845</v>
      </c>
      <c r="CI37" s="343">
        <f t="shared" si="6"/>
        <v>16.647033162902737</v>
      </c>
      <c r="CJ37" s="343">
        <f t="shared" si="6"/>
        <v>6.5177241076405563</v>
      </c>
      <c r="CK37" s="343">
        <f t="shared" si="6"/>
        <v>6.9061389129229909</v>
      </c>
      <c r="CL37" s="343">
        <f t="shared" si="6"/>
        <v>19.646597419202905</v>
      </c>
      <c r="CM37" s="343">
        <f t="shared" si="6"/>
        <v>6.8536968963121296</v>
      </c>
      <c r="CN37" s="343">
        <f t="shared" si="6"/>
        <v>6.0519585168404024</v>
      </c>
      <c r="CO37" s="343">
        <f t="shared" si="6"/>
        <v>19.929093829591075</v>
      </c>
      <c r="CP37" s="343">
        <f t="shared" si="6"/>
        <v>6.2056089537796568</v>
      </c>
      <c r="CQ37" s="343">
        <f t="shared" si="6"/>
        <v>7.1887771951084893</v>
      </c>
      <c r="CR37" s="343">
        <f t="shared" si="6"/>
        <v>19.791997238029388</v>
      </c>
      <c r="CS37" s="343">
        <f t="shared" si="6"/>
        <v>6.2924565982072673</v>
      </c>
      <c r="CT37" s="343">
        <f t="shared" si="6"/>
        <v>5.4772786455015217</v>
      </c>
      <c r="CU37" s="343">
        <f t="shared" si="6"/>
        <v>20.566134804576851</v>
      </c>
      <c r="CV37" s="343">
        <f t="shared" si="6"/>
        <v>0</v>
      </c>
      <c r="CW37" s="343">
        <f t="shared" si="6"/>
        <v>0</v>
      </c>
      <c r="CX37" s="343">
        <f t="shared" si="6"/>
        <v>0</v>
      </c>
      <c r="CY37" s="343">
        <f t="shared" si="6"/>
        <v>0</v>
      </c>
      <c r="CZ37" s="343">
        <f t="shared" si="6"/>
        <v>0</v>
      </c>
      <c r="DA37" s="343">
        <f t="shared" si="6"/>
        <v>0</v>
      </c>
    </row>
    <row r="38" spans="1:105" s="382" customFormat="1" ht="12.75" thickTop="1">
      <c r="A38" s="345" t="s">
        <v>330</v>
      </c>
      <c r="B38" s="381">
        <f t="shared" ref="B38:BM38" si="7">B17-B37</f>
        <v>0</v>
      </c>
      <c r="C38" s="381">
        <f t="shared" si="7"/>
        <v>0</v>
      </c>
      <c r="D38" s="381">
        <f t="shared" si="7"/>
        <v>0</v>
      </c>
      <c r="E38" s="381">
        <f t="shared" si="7"/>
        <v>0</v>
      </c>
      <c r="F38" s="381">
        <f t="shared" si="7"/>
        <v>0</v>
      </c>
      <c r="G38" s="381">
        <f t="shared" si="7"/>
        <v>0</v>
      </c>
      <c r="H38" s="381">
        <f t="shared" si="7"/>
        <v>0</v>
      </c>
      <c r="I38" s="381">
        <f t="shared" si="7"/>
        <v>0</v>
      </c>
      <c r="J38" s="381">
        <f t="shared" si="7"/>
        <v>0</v>
      </c>
      <c r="K38" s="381">
        <f t="shared" si="7"/>
        <v>0</v>
      </c>
      <c r="L38" s="381">
        <f t="shared" si="7"/>
        <v>0</v>
      </c>
      <c r="M38" s="381">
        <f t="shared" si="7"/>
        <v>0</v>
      </c>
      <c r="N38" s="381">
        <f t="shared" si="7"/>
        <v>0</v>
      </c>
      <c r="O38" s="381">
        <f t="shared" si="7"/>
        <v>0</v>
      </c>
      <c r="P38" s="381">
        <f t="shared" si="7"/>
        <v>0</v>
      </c>
      <c r="Q38" s="381">
        <f t="shared" si="7"/>
        <v>0</v>
      </c>
      <c r="R38" s="381">
        <f t="shared" si="7"/>
        <v>0</v>
      </c>
      <c r="S38" s="381">
        <f t="shared" si="7"/>
        <v>0</v>
      </c>
      <c r="T38" s="381">
        <f t="shared" si="7"/>
        <v>0</v>
      </c>
      <c r="U38" s="381">
        <f t="shared" si="7"/>
        <v>0</v>
      </c>
      <c r="V38" s="381">
        <f t="shared" si="7"/>
        <v>0.56461202234191976</v>
      </c>
      <c r="W38" s="381">
        <f t="shared" si="7"/>
        <v>-3.4352287589235524</v>
      </c>
      <c r="X38" s="381">
        <f t="shared" si="7"/>
        <v>-0.68956749040849452</v>
      </c>
      <c r="Y38" s="381">
        <f t="shared" si="7"/>
        <v>-3.8271775814653504</v>
      </c>
      <c r="Z38" s="381">
        <f t="shared" si="7"/>
        <v>52.525898714125333</v>
      </c>
      <c r="AA38" s="381">
        <f t="shared" si="7"/>
        <v>-10.185146111023792</v>
      </c>
      <c r="AB38" s="381">
        <f t="shared" si="7"/>
        <v>-5.0206299528955274</v>
      </c>
      <c r="AC38" s="381">
        <f t="shared" si="7"/>
        <v>-4.7529912009999453</v>
      </c>
      <c r="AD38" s="381">
        <f t="shared" si="7"/>
        <v>-2.6830377033124897</v>
      </c>
      <c r="AE38" s="381">
        <f t="shared" si="7"/>
        <v>-7.969421632729631</v>
      </c>
      <c r="AF38" s="381">
        <f t="shared" si="7"/>
        <v>-3.3326094427658255</v>
      </c>
      <c r="AG38" s="381">
        <f t="shared" si="7"/>
        <v>4.3556336415465857</v>
      </c>
      <c r="AH38" s="381">
        <f t="shared" si="7"/>
        <v>-2.9075042812110325</v>
      </c>
      <c r="AI38" s="381">
        <f t="shared" si="7"/>
        <v>-5.3333931202718006</v>
      </c>
      <c r="AJ38" s="381">
        <f t="shared" si="7"/>
        <v>-2.5251726535906887</v>
      </c>
      <c r="AK38" s="381">
        <f t="shared" si="7"/>
        <v>-5.5555550604530914</v>
      </c>
      <c r="AL38" s="381">
        <f t="shared" si="7"/>
        <v>-1.2351361267400165</v>
      </c>
      <c r="AM38" s="381">
        <f t="shared" si="7"/>
        <v>10.937800084835388</v>
      </c>
      <c r="AN38" s="381">
        <f t="shared" si="7"/>
        <v>-0.65577901521966808</v>
      </c>
      <c r="AO38" s="381">
        <f t="shared" si="7"/>
        <v>-5.0238446208549687</v>
      </c>
      <c r="AP38" s="381">
        <f t="shared" si="7"/>
        <v>1.8267135045241059</v>
      </c>
      <c r="AQ38" s="381">
        <f t="shared" si="7"/>
        <v>-2.0452850072776521</v>
      </c>
      <c r="AR38" s="381">
        <f t="shared" si="7"/>
        <v>2.6644680744962246</v>
      </c>
      <c r="AS38" s="381">
        <f t="shared" si="7"/>
        <v>-3.7046596293527934</v>
      </c>
      <c r="AT38" s="381">
        <f t="shared" si="7"/>
        <v>2.4649956637672314</v>
      </c>
      <c r="AU38" s="381">
        <f t="shared" si="7"/>
        <v>-2.4505188659592196</v>
      </c>
      <c r="AV38" s="381">
        <f t="shared" si="7"/>
        <v>-1.4848486800254612</v>
      </c>
      <c r="AW38" s="381">
        <f t="shared" si="7"/>
        <v>-1.9626737210391791</v>
      </c>
      <c r="AX38" s="381">
        <f t="shared" si="7"/>
        <v>3.1721667526790442</v>
      </c>
      <c r="AY38" s="381">
        <f t="shared" si="7"/>
        <v>-6.312507521414136</v>
      </c>
      <c r="AZ38" s="381">
        <f t="shared" si="7"/>
        <v>2.8215796993164313</v>
      </c>
      <c r="BA38" s="381">
        <f t="shared" si="7"/>
        <v>-1.6958663791473327</v>
      </c>
      <c r="BB38" s="381">
        <f t="shared" si="7"/>
        <v>-1.5461232814752535</v>
      </c>
      <c r="BC38" s="381">
        <f t="shared" si="7"/>
        <v>-1.6769743489121991</v>
      </c>
      <c r="BD38" s="381">
        <f t="shared" si="7"/>
        <v>3.5203660767871687</v>
      </c>
      <c r="BE38" s="381">
        <f t="shared" si="7"/>
        <v>-7.8973380936856188</v>
      </c>
      <c r="BF38" s="381">
        <f t="shared" si="7"/>
        <v>3.1026026376155302</v>
      </c>
      <c r="BG38" s="381">
        <f t="shared" si="7"/>
        <v>-1.5791010408878527</v>
      </c>
      <c r="BH38" s="381">
        <f t="shared" si="7"/>
        <v>-0.82807662188627162</v>
      </c>
      <c r="BI38" s="381">
        <f t="shared" si="7"/>
        <v>-0.82516863571709376</v>
      </c>
      <c r="BJ38" s="381">
        <f t="shared" si="7"/>
        <v>5.5379354936513243</v>
      </c>
      <c r="BK38" s="381">
        <f t="shared" si="7"/>
        <v>-6.6054756303081277</v>
      </c>
      <c r="BL38" s="381">
        <f t="shared" si="7"/>
        <v>5.0247032859430405</v>
      </c>
      <c r="BM38" s="381">
        <f t="shared" si="7"/>
        <v>-0.63030764743369261</v>
      </c>
      <c r="BN38" s="381">
        <f t="shared" ref="BN38:DA38" si="8">BN17-BN37</f>
        <v>-0.81134436441412916</v>
      </c>
      <c r="BO38" s="381">
        <f t="shared" si="8"/>
        <v>-0.61468202707877495</v>
      </c>
      <c r="BP38" s="381">
        <f t="shared" si="8"/>
        <v>3.6423815575644323</v>
      </c>
      <c r="BQ38" s="381">
        <f t="shared" si="8"/>
        <v>-8.2423837082781901</v>
      </c>
      <c r="BR38" s="381">
        <f t="shared" si="8"/>
        <v>4.3907507262595384</v>
      </c>
      <c r="BS38" s="381">
        <f t="shared" si="8"/>
        <v>-1.9494555521666435</v>
      </c>
      <c r="BT38" s="381">
        <f t="shared" si="8"/>
        <v>-1.4446751171392087</v>
      </c>
      <c r="BU38" s="381">
        <f t="shared" si="8"/>
        <v>-1.4481660454431617</v>
      </c>
      <c r="BV38" s="381">
        <f t="shared" si="8"/>
        <v>5.7614160485447599</v>
      </c>
      <c r="BW38" s="381">
        <f t="shared" si="8"/>
        <v>-8.3010740087808319</v>
      </c>
      <c r="BX38" s="381">
        <f t="shared" si="8"/>
        <v>5.3297165546816441</v>
      </c>
      <c r="BY38" s="381">
        <f t="shared" si="8"/>
        <v>-1.1112835976937125</v>
      </c>
      <c r="BZ38" s="381">
        <f t="shared" si="8"/>
        <v>-1.5803596998848555</v>
      </c>
      <c r="CA38" s="381">
        <f t="shared" si="8"/>
        <v>-1.0570183153294463</v>
      </c>
      <c r="CB38" s="381">
        <f t="shared" si="8"/>
        <v>6.2920921813358897</v>
      </c>
      <c r="CC38" s="381">
        <f t="shared" si="8"/>
        <v>-8.4764627359693741</v>
      </c>
      <c r="CD38" s="381">
        <f t="shared" si="8"/>
        <v>5.8347410138362816</v>
      </c>
      <c r="CE38" s="381">
        <f t="shared" si="8"/>
        <v>-1.4280247952527549</v>
      </c>
      <c r="CF38" s="381">
        <f t="shared" si="8"/>
        <v>-2.0368175131315187</v>
      </c>
      <c r="CG38" s="381">
        <f t="shared" si="8"/>
        <v>-6.1569982835472992E-2</v>
      </c>
      <c r="CH38" s="381">
        <f t="shared" si="8"/>
        <v>7.7496941326138176</v>
      </c>
      <c r="CI38" s="381">
        <f t="shared" si="8"/>
        <v>-9.4400997753668783</v>
      </c>
      <c r="CJ38" s="381">
        <f t="shared" si="8"/>
        <v>7.3123284175087493</v>
      </c>
      <c r="CK38" s="381">
        <f t="shared" si="8"/>
        <v>0.32293467666660192</v>
      </c>
      <c r="CL38" s="381">
        <f t="shared" si="8"/>
        <v>-5.773335790045504</v>
      </c>
      <c r="CM38" s="381">
        <f t="shared" si="8"/>
        <v>0.39751689533119894</v>
      </c>
      <c r="CN38" s="381">
        <f t="shared" si="8"/>
        <v>8.2031421429865574</v>
      </c>
      <c r="CO38" s="381">
        <f t="shared" si="8"/>
        <v>-13.107960604842207</v>
      </c>
      <c r="CP38" s="381">
        <f t="shared" si="8"/>
        <v>7.8676617256806738</v>
      </c>
      <c r="CQ38" s="381">
        <f t="shared" si="8"/>
        <v>0.22012929291248362</v>
      </c>
      <c r="CR38" s="381">
        <f t="shared" si="8"/>
        <v>-4.863432207219077</v>
      </c>
      <c r="CS38" s="381">
        <f t="shared" si="8"/>
        <v>1.1389471919005674</v>
      </c>
      <c r="CT38" s="381">
        <f t="shared" si="8"/>
        <v>9.4974058545868481</v>
      </c>
      <c r="CU38" s="381">
        <f t="shared" si="8"/>
        <v>1.9080078244321044</v>
      </c>
      <c r="CV38" s="381">
        <f t="shared" si="8"/>
        <v>0</v>
      </c>
      <c r="CW38" s="381">
        <f t="shared" si="8"/>
        <v>0</v>
      </c>
      <c r="CX38" s="381">
        <f t="shared" si="8"/>
        <v>0</v>
      </c>
      <c r="CY38" s="381">
        <f t="shared" si="8"/>
        <v>0</v>
      </c>
      <c r="CZ38" s="381">
        <f t="shared" si="8"/>
        <v>0</v>
      </c>
      <c r="DA38" s="381">
        <f t="shared" si="8"/>
        <v>0</v>
      </c>
    </row>
    <row r="39" spans="1:105">
      <c r="A39" s="310" t="s">
        <v>416</v>
      </c>
      <c r="B39" s="341">
        <v>0</v>
      </c>
      <c r="C39" s="341">
        <f>B40</f>
        <v>0</v>
      </c>
      <c r="D39" s="341">
        <f t="shared" ref="D39:BO39" si="9">C40</f>
        <v>0</v>
      </c>
      <c r="E39" s="341">
        <f t="shared" si="9"/>
        <v>0</v>
      </c>
      <c r="F39" s="341">
        <f t="shared" si="9"/>
        <v>0</v>
      </c>
      <c r="G39" s="341">
        <f t="shared" si="9"/>
        <v>0</v>
      </c>
      <c r="H39" s="341">
        <f t="shared" si="9"/>
        <v>0</v>
      </c>
      <c r="I39" s="341">
        <f t="shared" si="9"/>
        <v>0</v>
      </c>
      <c r="J39" s="341">
        <f>I39</f>
        <v>0</v>
      </c>
      <c r="K39" s="341">
        <f t="shared" si="9"/>
        <v>0</v>
      </c>
      <c r="L39" s="341">
        <f t="shared" si="9"/>
        <v>0</v>
      </c>
      <c r="M39" s="341">
        <f t="shared" si="9"/>
        <v>0</v>
      </c>
      <c r="N39" s="341">
        <f t="shared" si="9"/>
        <v>0</v>
      </c>
      <c r="O39" s="341">
        <f t="shared" si="9"/>
        <v>0</v>
      </c>
      <c r="P39" s="341">
        <f t="shared" si="9"/>
        <v>0</v>
      </c>
      <c r="Q39" s="341">
        <f t="shared" si="9"/>
        <v>0</v>
      </c>
      <c r="R39" s="341">
        <f t="shared" si="9"/>
        <v>0</v>
      </c>
      <c r="S39" s="341">
        <f t="shared" si="9"/>
        <v>0</v>
      </c>
      <c r="T39" s="341">
        <f t="shared" si="9"/>
        <v>0</v>
      </c>
      <c r="U39" s="341">
        <f t="shared" si="9"/>
        <v>0</v>
      </c>
      <c r="V39" s="341">
        <f t="shared" si="9"/>
        <v>0</v>
      </c>
      <c r="W39" s="341">
        <f t="shared" si="9"/>
        <v>0.56461202234191976</v>
      </c>
      <c r="X39" s="341">
        <f t="shared" si="9"/>
        <v>-2.8706167365816326</v>
      </c>
      <c r="Y39" s="341">
        <f t="shared" si="9"/>
        <v>-3.5601842269901272</v>
      </c>
      <c r="Z39" s="341">
        <f t="shared" si="9"/>
        <v>-7.3873618084554771</v>
      </c>
      <c r="AA39" s="341">
        <f t="shared" si="9"/>
        <v>45.138536905669852</v>
      </c>
      <c r="AB39" s="341">
        <f t="shared" si="9"/>
        <v>34.953390794646062</v>
      </c>
      <c r="AC39" s="341">
        <f t="shared" si="9"/>
        <v>29.932760841750536</v>
      </c>
      <c r="AD39" s="341">
        <f t="shared" si="9"/>
        <v>25.179769640750592</v>
      </c>
      <c r="AE39" s="341">
        <f t="shared" si="9"/>
        <v>22.496731937438103</v>
      </c>
      <c r="AF39" s="341">
        <f t="shared" si="9"/>
        <v>14.527310304708472</v>
      </c>
      <c r="AG39" s="341">
        <f t="shared" si="9"/>
        <v>11.194700861942646</v>
      </c>
      <c r="AH39" s="341">
        <f t="shared" si="9"/>
        <v>15.550334503489232</v>
      </c>
      <c r="AI39" s="341">
        <f t="shared" si="9"/>
        <v>12.642830222278199</v>
      </c>
      <c r="AJ39" s="341">
        <f t="shared" si="9"/>
        <v>7.3094371020063988</v>
      </c>
      <c r="AK39" s="341">
        <f t="shared" si="9"/>
        <v>4.7842644484157102</v>
      </c>
      <c r="AL39" s="341">
        <f t="shared" si="9"/>
        <v>-0.77129061203738125</v>
      </c>
      <c r="AM39" s="341">
        <f t="shared" si="9"/>
        <v>-2.0064267387773977</v>
      </c>
      <c r="AN39" s="341">
        <f t="shared" si="9"/>
        <v>8.93137334605799</v>
      </c>
      <c r="AO39" s="341">
        <f t="shared" si="9"/>
        <v>8.275594330838322</v>
      </c>
      <c r="AP39" s="341">
        <f t="shared" si="9"/>
        <v>3.2517497099833532</v>
      </c>
      <c r="AQ39" s="341">
        <f t="shared" si="9"/>
        <v>5.0784632145074591</v>
      </c>
      <c r="AR39" s="341">
        <f t="shared" si="9"/>
        <v>3.033178207229807</v>
      </c>
      <c r="AS39" s="341">
        <f t="shared" si="9"/>
        <v>5.6976462817260316</v>
      </c>
      <c r="AT39" s="341">
        <f t="shared" si="9"/>
        <v>1.9929866523732382</v>
      </c>
      <c r="AU39" s="341">
        <f t="shared" si="9"/>
        <v>4.4579823161404697</v>
      </c>
      <c r="AV39" s="341">
        <f t="shared" si="9"/>
        <v>2.0074634501812501</v>
      </c>
      <c r="AW39" s="341">
        <f t="shared" si="9"/>
        <v>0.52261477015578883</v>
      </c>
      <c r="AX39" s="341">
        <f t="shared" si="9"/>
        <v>-1.4400589508833903</v>
      </c>
      <c r="AY39" s="341">
        <f t="shared" si="9"/>
        <v>1.7321078017956539</v>
      </c>
      <c r="AZ39" s="341">
        <f t="shared" si="9"/>
        <v>-4.580399719618482</v>
      </c>
      <c r="BA39" s="341">
        <f t="shared" si="9"/>
        <v>-1.7588200203020508</v>
      </c>
      <c r="BB39" s="341">
        <f t="shared" si="9"/>
        <v>-3.4546863994493835</v>
      </c>
      <c r="BC39" s="341">
        <f t="shared" si="9"/>
        <v>-5.000809680924637</v>
      </c>
      <c r="BD39" s="341">
        <f t="shared" si="9"/>
        <v>-6.6777840298368361</v>
      </c>
      <c r="BE39" s="341">
        <f t="shared" si="9"/>
        <v>-3.1574179530496673</v>
      </c>
      <c r="BF39" s="341">
        <f t="shared" si="9"/>
        <v>-11.054756046735285</v>
      </c>
      <c r="BG39" s="341">
        <f t="shared" si="9"/>
        <v>-7.952153409119755</v>
      </c>
      <c r="BH39" s="341">
        <f t="shared" si="9"/>
        <v>-9.5312544500076086</v>
      </c>
      <c r="BI39" s="341">
        <f t="shared" si="9"/>
        <v>-10.35933107189388</v>
      </c>
      <c r="BJ39" s="341">
        <f t="shared" si="9"/>
        <v>-11.184499707610975</v>
      </c>
      <c r="BK39" s="341">
        <f t="shared" si="9"/>
        <v>-5.6465642139596506</v>
      </c>
      <c r="BL39" s="341">
        <f t="shared" si="9"/>
        <v>-12.252039844267777</v>
      </c>
      <c r="BM39" s="341">
        <f t="shared" si="9"/>
        <v>-7.2273365583247369</v>
      </c>
      <c r="BN39" s="341">
        <f t="shared" si="9"/>
        <v>-7.8576442057584295</v>
      </c>
      <c r="BO39" s="341">
        <f t="shared" si="9"/>
        <v>-8.6689885701725586</v>
      </c>
      <c r="BP39" s="341">
        <f t="shared" ref="BP39:DA39" si="10">BO40</f>
        <v>-9.2836705972513336</v>
      </c>
      <c r="BQ39" s="341">
        <f t="shared" si="10"/>
        <v>-5.6412890396869013</v>
      </c>
      <c r="BR39" s="341">
        <f t="shared" si="10"/>
        <v>-13.883672747965091</v>
      </c>
      <c r="BS39" s="341">
        <f t="shared" si="10"/>
        <v>-9.492922021705553</v>
      </c>
      <c r="BT39" s="341">
        <f t="shared" si="10"/>
        <v>-11.442377573872196</v>
      </c>
      <c r="BU39" s="341">
        <f t="shared" si="10"/>
        <v>-12.887052691011405</v>
      </c>
      <c r="BV39" s="341">
        <f t="shared" si="10"/>
        <v>-14.335218736454568</v>
      </c>
      <c r="BW39" s="341">
        <f t="shared" si="10"/>
        <v>-8.5738026879098079</v>
      </c>
      <c r="BX39" s="341">
        <f t="shared" si="10"/>
        <v>-16.874876696690642</v>
      </c>
      <c r="BY39" s="341">
        <f t="shared" si="10"/>
        <v>-11.545160142008998</v>
      </c>
      <c r="BZ39" s="341">
        <f t="shared" si="10"/>
        <v>-12.656443739702709</v>
      </c>
      <c r="CA39" s="341">
        <f t="shared" si="10"/>
        <v>-14.236803439587565</v>
      </c>
      <c r="CB39" s="341">
        <f t="shared" si="10"/>
        <v>-15.293821754917012</v>
      </c>
      <c r="CC39" s="341">
        <f t="shared" si="10"/>
        <v>-9.0017295735811231</v>
      </c>
      <c r="CD39" s="341">
        <f t="shared" si="10"/>
        <v>-17.478192309550497</v>
      </c>
      <c r="CE39" s="341">
        <f t="shared" si="10"/>
        <v>-11.643451295714215</v>
      </c>
      <c r="CF39" s="341">
        <f t="shared" si="10"/>
        <v>-13.07147609096697</v>
      </c>
      <c r="CG39" s="341">
        <f t="shared" si="10"/>
        <v>-15.108293604098488</v>
      </c>
      <c r="CH39" s="341">
        <f t="shared" si="10"/>
        <v>-15.16986358693396</v>
      </c>
      <c r="CI39" s="341">
        <f t="shared" si="10"/>
        <v>-7.4201694543201429</v>
      </c>
      <c r="CJ39" s="341">
        <f t="shared" si="10"/>
        <v>-16.86026922968702</v>
      </c>
      <c r="CK39" s="341">
        <f t="shared" si="10"/>
        <v>-9.5479408121782718</v>
      </c>
      <c r="CL39" s="341">
        <f t="shared" si="10"/>
        <v>-9.2250061355116699</v>
      </c>
      <c r="CM39" s="341">
        <f t="shared" si="10"/>
        <v>-14.998341925557174</v>
      </c>
      <c r="CN39" s="341">
        <f t="shared" si="10"/>
        <v>-14.600825030225975</v>
      </c>
      <c r="CO39" s="341">
        <f t="shared" si="10"/>
        <v>-6.3976828872394176</v>
      </c>
      <c r="CP39" s="341">
        <f t="shared" si="10"/>
        <v>-19.505643492081624</v>
      </c>
      <c r="CQ39" s="341">
        <f t="shared" si="10"/>
        <v>-11.637981766400951</v>
      </c>
      <c r="CR39" s="341">
        <f t="shared" si="10"/>
        <v>-11.417852473488468</v>
      </c>
      <c r="CS39" s="341">
        <f t="shared" si="10"/>
        <v>-16.281284680707543</v>
      </c>
      <c r="CT39" s="341">
        <f t="shared" si="10"/>
        <v>-15.142337488806977</v>
      </c>
      <c r="CU39" s="341">
        <f t="shared" si="10"/>
        <v>-5.6449316342201286</v>
      </c>
      <c r="CV39" s="341">
        <f t="shared" si="10"/>
        <v>-3.7369238097880242</v>
      </c>
      <c r="CW39" s="341">
        <f t="shared" si="10"/>
        <v>-3.7369238097880242</v>
      </c>
      <c r="CX39" s="341">
        <f t="shared" si="10"/>
        <v>-3.7369238097880242</v>
      </c>
      <c r="CY39" s="341">
        <f t="shared" si="10"/>
        <v>-3.7369238097880242</v>
      </c>
      <c r="CZ39" s="341">
        <f t="shared" si="10"/>
        <v>-3.7369238097880242</v>
      </c>
      <c r="DA39" s="341">
        <f t="shared" si="10"/>
        <v>-3.7369238097880242</v>
      </c>
    </row>
    <row r="40" spans="1:105" ht="12.75" thickBot="1">
      <c r="A40" s="345" t="s">
        <v>460</v>
      </c>
      <c r="B40" s="343">
        <f>SUM(B38:B39)</f>
        <v>0</v>
      </c>
      <c r="C40" s="343">
        <f t="shared" ref="C40:BN40" si="11">SUM(C38:C39)</f>
        <v>0</v>
      </c>
      <c r="D40" s="343">
        <f t="shared" si="11"/>
        <v>0</v>
      </c>
      <c r="E40" s="343">
        <f t="shared" si="11"/>
        <v>0</v>
      </c>
      <c r="F40" s="343">
        <f t="shared" si="11"/>
        <v>0</v>
      </c>
      <c r="G40" s="343">
        <f t="shared" si="11"/>
        <v>0</v>
      </c>
      <c r="H40" s="343">
        <f t="shared" si="11"/>
        <v>0</v>
      </c>
      <c r="I40" s="343">
        <f t="shared" si="11"/>
        <v>0</v>
      </c>
      <c r="J40" s="343">
        <f t="shared" si="11"/>
        <v>0</v>
      </c>
      <c r="K40" s="343">
        <f t="shared" si="11"/>
        <v>0</v>
      </c>
      <c r="L40" s="343">
        <f t="shared" si="11"/>
        <v>0</v>
      </c>
      <c r="M40" s="343">
        <f t="shared" si="11"/>
        <v>0</v>
      </c>
      <c r="N40" s="343">
        <f t="shared" si="11"/>
        <v>0</v>
      </c>
      <c r="O40" s="343">
        <f t="shared" si="11"/>
        <v>0</v>
      </c>
      <c r="P40" s="343">
        <f t="shared" si="11"/>
        <v>0</v>
      </c>
      <c r="Q40" s="343">
        <f t="shared" si="11"/>
        <v>0</v>
      </c>
      <c r="R40" s="343">
        <f t="shared" si="11"/>
        <v>0</v>
      </c>
      <c r="S40" s="343">
        <f t="shared" si="11"/>
        <v>0</v>
      </c>
      <c r="T40" s="343">
        <f t="shared" si="11"/>
        <v>0</v>
      </c>
      <c r="U40" s="343">
        <f t="shared" si="11"/>
        <v>0</v>
      </c>
      <c r="V40" s="343">
        <f t="shared" si="11"/>
        <v>0.56461202234191976</v>
      </c>
      <c r="W40" s="343">
        <f t="shared" si="11"/>
        <v>-2.8706167365816326</v>
      </c>
      <c r="X40" s="343">
        <f t="shared" si="11"/>
        <v>-3.5601842269901272</v>
      </c>
      <c r="Y40" s="343">
        <f t="shared" si="11"/>
        <v>-7.3873618084554771</v>
      </c>
      <c r="Z40" s="343">
        <f t="shared" si="11"/>
        <v>45.138536905669852</v>
      </c>
      <c r="AA40" s="343">
        <f t="shared" si="11"/>
        <v>34.953390794646062</v>
      </c>
      <c r="AB40" s="343">
        <f t="shared" si="11"/>
        <v>29.932760841750536</v>
      </c>
      <c r="AC40" s="343">
        <f t="shared" si="11"/>
        <v>25.179769640750592</v>
      </c>
      <c r="AD40" s="343">
        <f t="shared" si="11"/>
        <v>22.496731937438103</v>
      </c>
      <c r="AE40" s="343">
        <f t="shared" si="11"/>
        <v>14.527310304708472</v>
      </c>
      <c r="AF40" s="343">
        <f t="shared" si="11"/>
        <v>11.194700861942646</v>
      </c>
      <c r="AG40" s="343">
        <f t="shared" si="11"/>
        <v>15.550334503489232</v>
      </c>
      <c r="AH40" s="343">
        <f t="shared" si="11"/>
        <v>12.642830222278199</v>
      </c>
      <c r="AI40" s="343">
        <f t="shared" si="11"/>
        <v>7.3094371020063988</v>
      </c>
      <c r="AJ40" s="343">
        <f t="shared" si="11"/>
        <v>4.7842644484157102</v>
      </c>
      <c r="AK40" s="343">
        <f t="shared" si="11"/>
        <v>-0.77129061203738125</v>
      </c>
      <c r="AL40" s="343">
        <f t="shared" si="11"/>
        <v>-2.0064267387773977</v>
      </c>
      <c r="AM40" s="343">
        <f t="shared" si="11"/>
        <v>8.93137334605799</v>
      </c>
      <c r="AN40" s="343">
        <f t="shared" si="11"/>
        <v>8.275594330838322</v>
      </c>
      <c r="AO40" s="343">
        <f t="shared" si="11"/>
        <v>3.2517497099833532</v>
      </c>
      <c r="AP40" s="343">
        <f t="shared" si="11"/>
        <v>5.0784632145074591</v>
      </c>
      <c r="AQ40" s="343">
        <f t="shared" si="11"/>
        <v>3.033178207229807</v>
      </c>
      <c r="AR40" s="343">
        <f t="shared" si="11"/>
        <v>5.6976462817260316</v>
      </c>
      <c r="AS40" s="343">
        <f t="shared" si="11"/>
        <v>1.9929866523732382</v>
      </c>
      <c r="AT40" s="343">
        <f t="shared" si="11"/>
        <v>4.4579823161404697</v>
      </c>
      <c r="AU40" s="343">
        <f t="shared" si="11"/>
        <v>2.0074634501812501</v>
      </c>
      <c r="AV40" s="343">
        <f t="shared" si="11"/>
        <v>0.52261477015578883</v>
      </c>
      <c r="AW40" s="343">
        <f t="shared" si="11"/>
        <v>-1.4400589508833903</v>
      </c>
      <c r="AX40" s="343">
        <f t="shared" si="11"/>
        <v>1.7321078017956539</v>
      </c>
      <c r="AY40" s="343">
        <f t="shared" si="11"/>
        <v>-4.580399719618482</v>
      </c>
      <c r="AZ40" s="343">
        <f t="shared" si="11"/>
        <v>-1.7588200203020508</v>
      </c>
      <c r="BA40" s="343">
        <f t="shared" si="11"/>
        <v>-3.4546863994493835</v>
      </c>
      <c r="BB40" s="343">
        <f t="shared" si="11"/>
        <v>-5.000809680924637</v>
      </c>
      <c r="BC40" s="343">
        <f t="shared" si="11"/>
        <v>-6.6777840298368361</v>
      </c>
      <c r="BD40" s="343">
        <f t="shared" si="11"/>
        <v>-3.1574179530496673</v>
      </c>
      <c r="BE40" s="343">
        <f t="shared" si="11"/>
        <v>-11.054756046735285</v>
      </c>
      <c r="BF40" s="343">
        <f t="shared" si="11"/>
        <v>-7.952153409119755</v>
      </c>
      <c r="BG40" s="343">
        <f t="shared" si="11"/>
        <v>-9.5312544500076086</v>
      </c>
      <c r="BH40" s="343">
        <f t="shared" si="11"/>
        <v>-10.35933107189388</v>
      </c>
      <c r="BI40" s="343">
        <f t="shared" si="11"/>
        <v>-11.184499707610975</v>
      </c>
      <c r="BJ40" s="343">
        <f t="shared" si="11"/>
        <v>-5.6465642139596506</v>
      </c>
      <c r="BK40" s="343">
        <f t="shared" si="11"/>
        <v>-12.252039844267777</v>
      </c>
      <c r="BL40" s="343">
        <f t="shared" si="11"/>
        <v>-7.2273365583247369</v>
      </c>
      <c r="BM40" s="343">
        <f t="shared" si="11"/>
        <v>-7.8576442057584295</v>
      </c>
      <c r="BN40" s="343">
        <f t="shared" si="11"/>
        <v>-8.6689885701725586</v>
      </c>
      <c r="BO40" s="343">
        <f t="shared" ref="BO40:DA40" si="12">SUM(BO38:BO39)</f>
        <v>-9.2836705972513336</v>
      </c>
      <c r="BP40" s="343">
        <f t="shared" si="12"/>
        <v>-5.6412890396869013</v>
      </c>
      <c r="BQ40" s="343">
        <f t="shared" si="12"/>
        <v>-13.883672747965091</v>
      </c>
      <c r="BR40" s="343">
        <f t="shared" si="12"/>
        <v>-9.492922021705553</v>
      </c>
      <c r="BS40" s="343">
        <f t="shared" si="12"/>
        <v>-11.442377573872196</v>
      </c>
      <c r="BT40" s="343">
        <f t="shared" si="12"/>
        <v>-12.887052691011405</v>
      </c>
      <c r="BU40" s="343">
        <f t="shared" si="12"/>
        <v>-14.335218736454568</v>
      </c>
      <c r="BV40" s="343">
        <f t="shared" si="12"/>
        <v>-8.5738026879098079</v>
      </c>
      <c r="BW40" s="343">
        <f t="shared" si="12"/>
        <v>-16.874876696690642</v>
      </c>
      <c r="BX40" s="343">
        <f t="shared" si="12"/>
        <v>-11.545160142008998</v>
      </c>
      <c r="BY40" s="343">
        <f t="shared" si="12"/>
        <v>-12.656443739702709</v>
      </c>
      <c r="BZ40" s="343">
        <f t="shared" si="12"/>
        <v>-14.236803439587565</v>
      </c>
      <c r="CA40" s="343">
        <f t="shared" si="12"/>
        <v>-15.293821754917012</v>
      </c>
      <c r="CB40" s="343">
        <f t="shared" si="12"/>
        <v>-9.0017295735811231</v>
      </c>
      <c r="CC40" s="343">
        <f t="shared" si="12"/>
        <v>-17.478192309550497</v>
      </c>
      <c r="CD40" s="343">
        <f t="shared" si="12"/>
        <v>-11.643451295714215</v>
      </c>
      <c r="CE40" s="343">
        <f t="shared" si="12"/>
        <v>-13.07147609096697</v>
      </c>
      <c r="CF40" s="343">
        <f t="shared" si="12"/>
        <v>-15.108293604098488</v>
      </c>
      <c r="CG40" s="343">
        <f t="shared" si="12"/>
        <v>-15.16986358693396</v>
      </c>
      <c r="CH40" s="343">
        <f t="shared" si="12"/>
        <v>-7.4201694543201429</v>
      </c>
      <c r="CI40" s="343">
        <f t="shared" si="12"/>
        <v>-16.86026922968702</v>
      </c>
      <c r="CJ40" s="343">
        <f t="shared" si="12"/>
        <v>-9.5479408121782718</v>
      </c>
      <c r="CK40" s="343">
        <f t="shared" si="12"/>
        <v>-9.2250061355116699</v>
      </c>
      <c r="CL40" s="343">
        <f t="shared" si="12"/>
        <v>-14.998341925557174</v>
      </c>
      <c r="CM40" s="343">
        <f t="shared" si="12"/>
        <v>-14.600825030225975</v>
      </c>
      <c r="CN40" s="343">
        <f t="shared" si="12"/>
        <v>-6.3976828872394176</v>
      </c>
      <c r="CO40" s="343">
        <f t="shared" si="12"/>
        <v>-19.505643492081624</v>
      </c>
      <c r="CP40" s="343">
        <f t="shared" si="12"/>
        <v>-11.637981766400951</v>
      </c>
      <c r="CQ40" s="343">
        <f t="shared" si="12"/>
        <v>-11.417852473488468</v>
      </c>
      <c r="CR40" s="343">
        <f t="shared" si="12"/>
        <v>-16.281284680707543</v>
      </c>
      <c r="CS40" s="343">
        <f t="shared" si="12"/>
        <v>-15.142337488806977</v>
      </c>
      <c r="CT40" s="343">
        <f t="shared" si="12"/>
        <v>-5.6449316342201286</v>
      </c>
      <c r="CU40" s="343">
        <f t="shared" si="12"/>
        <v>-3.7369238097880242</v>
      </c>
      <c r="CV40" s="343">
        <f t="shared" si="12"/>
        <v>-3.7369238097880242</v>
      </c>
      <c r="CW40" s="343">
        <f t="shared" si="12"/>
        <v>-3.7369238097880242</v>
      </c>
      <c r="CX40" s="343">
        <f t="shared" si="12"/>
        <v>-3.7369238097880242</v>
      </c>
      <c r="CY40" s="343">
        <f t="shared" si="12"/>
        <v>-3.7369238097880242</v>
      </c>
      <c r="CZ40" s="343">
        <f t="shared" si="12"/>
        <v>-3.7369238097880242</v>
      </c>
      <c r="DA40" s="343">
        <f t="shared" si="12"/>
        <v>-3.7369238097880242</v>
      </c>
    </row>
    <row r="41" spans="1:105" ht="12.75" thickTop="1"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</row>
    <row r="42" spans="1:105"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</row>
    <row r="43" spans="1:105">
      <c r="AC43" s="342">
        <f>AC37-AC35-AC34-AC27-AC26</f>
        <v>4.3181671835504023</v>
      </c>
      <c r="AD43" s="342">
        <f>AD37-AD35-AD34-AD27-AD26</f>
        <v>4.2142283567608949</v>
      </c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0"/>
  <sheetViews>
    <sheetView workbookViewId="0">
      <selection activeCell="L20" sqref="L20"/>
    </sheetView>
  </sheetViews>
  <sheetFormatPr defaultColWidth="8" defaultRowHeight="12"/>
  <cols>
    <col min="1" max="1" width="28.5703125" style="319" bestFit="1" customWidth="1"/>
    <col min="2" max="17" width="6.7109375" style="319" customWidth="1"/>
    <col min="18" max="16384" width="8" style="319"/>
  </cols>
  <sheetData>
    <row r="1" spans="1:17">
      <c r="A1" s="321" t="s">
        <v>245</v>
      </c>
      <c r="Q1" s="320" t="s">
        <v>303</v>
      </c>
    </row>
    <row r="2" spans="1:17">
      <c r="A2" s="321" t="s">
        <v>461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7">
      <c r="A3" s="319" t="s">
        <v>462</v>
      </c>
      <c r="B3" s="323">
        <f>BS!B30</f>
        <v>53.390035217680008</v>
      </c>
      <c r="C3" s="323">
        <f>BS!C30</f>
        <v>25.60652418284586</v>
      </c>
      <c r="D3" s="323">
        <f>BS!D30</f>
        <v>67.737848541083977</v>
      </c>
      <c r="E3" s="323">
        <f>BS!E30</f>
        <v>37.363924068133457</v>
      </c>
      <c r="F3" s="323">
        <f>BS!F30</f>
        <v>38.246667990256697</v>
      </c>
      <c r="G3" s="323">
        <f>BS!G30</f>
        <v>13.037060500000024</v>
      </c>
      <c r="H3" s="323">
        <f>BS!H30</f>
        <v>42.102939499999991</v>
      </c>
      <c r="I3" s="323">
        <f>BS!I30</f>
        <v>-5.6769954231369866</v>
      </c>
      <c r="J3" s="323">
        <f>BS!J30</f>
        <v>33.285697786252001</v>
      </c>
      <c r="K3" s="323">
        <f>BS!K30</f>
        <v>42.613962060103688</v>
      </c>
      <c r="L3" s="323">
        <v>0</v>
      </c>
      <c r="M3" s="323">
        <v>0</v>
      </c>
      <c r="N3" s="323">
        <v>0</v>
      </c>
      <c r="O3" s="323">
        <v>0</v>
      </c>
      <c r="P3" s="323">
        <v>0</v>
      </c>
      <c r="Q3" s="323">
        <v>0</v>
      </c>
    </row>
    <row r="4" spans="1:17">
      <c r="A4" s="319" t="s">
        <v>432</v>
      </c>
      <c r="B4" s="323">
        <v>0</v>
      </c>
      <c r="C4" s="323">
        <v>0</v>
      </c>
      <c r="D4" s="323">
        <v>0</v>
      </c>
      <c r="E4" s="323">
        <v>0</v>
      </c>
      <c r="F4" s="323">
        <v>0</v>
      </c>
      <c r="G4" s="323">
        <v>0</v>
      </c>
      <c r="H4" s="323">
        <v>0</v>
      </c>
      <c r="I4" s="323">
        <v>0</v>
      </c>
      <c r="J4" s="323">
        <v>0</v>
      </c>
      <c r="K4" s="323">
        <v>0</v>
      </c>
      <c r="L4" s="323">
        <f>BS!L30</f>
        <v>-0.53714393772565927</v>
      </c>
      <c r="M4" s="323">
        <f>BS!M30</f>
        <v>0.48000000000024556</v>
      </c>
      <c r="N4" s="323">
        <f>BS!N30</f>
        <v>0.48000000000024556</v>
      </c>
      <c r="O4" s="323">
        <f>BS!O30</f>
        <v>0.48000000000024556</v>
      </c>
      <c r="P4" s="323">
        <f>BS!P30</f>
        <v>0.48000000000024556</v>
      </c>
      <c r="Q4" s="323">
        <f>BS!Q30</f>
        <v>0.24000000000012278</v>
      </c>
    </row>
    <row r="5" spans="1:17" ht="12.75" thickBot="1">
      <c r="A5" s="321" t="s">
        <v>329</v>
      </c>
      <c r="B5" s="326">
        <f t="shared" ref="B5:Q5" si="0">SUM(B3:B4)</f>
        <v>53.390035217680008</v>
      </c>
      <c r="C5" s="326">
        <f t="shared" si="0"/>
        <v>25.60652418284586</v>
      </c>
      <c r="D5" s="326">
        <f t="shared" si="0"/>
        <v>67.737848541083977</v>
      </c>
      <c r="E5" s="326">
        <f t="shared" si="0"/>
        <v>37.363924068133457</v>
      </c>
      <c r="F5" s="326">
        <f t="shared" si="0"/>
        <v>38.246667990256697</v>
      </c>
      <c r="G5" s="326">
        <f t="shared" si="0"/>
        <v>13.037060500000024</v>
      </c>
      <c r="H5" s="326">
        <f t="shared" si="0"/>
        <v>42.102939499999991</v>
      </c>
      <c r="I5" s="326">
        <f t="shared" si="0"/>
        <v>-5.6769954231369866</v>
      </c>
      <c r="J5" s="326">
        <f t="shared" si="0"/>
        <v>33.285697786252001</v>
      </c>
      <c r="K5" s="326">
        <f t="shared" si="0"/>
        <v>42.613962060103688</v>
      </c>
      <c r="L5" s="326">
        <f t="shared" si="0"/>
        <v>-0.53714393772565927</v>
      </c>
      <c r="M5" s="326">
        <f t="shared" si="0"/>
        <v>0.48000000000024556</v>
      </c>
      <c r="N5" s="326">
        <f t="shared" si="0"/>
        <v>0.48000000000024556</v>
      </c>
      <c r="O5" s="326">
        <f t="shared" si="0"/>
        <v>0.48000000000024556</v>
      </c>
      <c r="P5" s="326">
        <f t="shared" si="0"/>
        <v>0.48000000000024556</v>
      </c>
      <c r="Q5" s="326">
        <f t="shared" si="0"/>
        <v>0.24000000000012278</v>
      </c>
    </row>
    <row r="6" spans="1:17" ht="12.75" thickTop="1"/>
    <row r="7" spans="1:17">
      <c r="A7" s="321" t="s">
        <v>461</v>
      </c>
      <c r="B7" s="332" t="str">
        <f t="shared" ref="B7:Q7" si="1">B2</f>
        <v>2013-14</v>
      </c>
      <c r="C7" s="332" t="str">
        <f t="shared" si="1"/>
        <v>2014-15</v>
      </c>
      <c r="D7" s="332" t="str">
        <f t="shared" si="1"/>
        <v>2015-16</v>
      </c>
      <c r="E7" s="332" t="str">
        <f t="shared" si="1"/>
        <v>2016-17</v>
      </c>
      <c r="F7" s="332" t="str">
        <f t="shared" si="1"/>
        <v>2017-18</v>
      </c>
      <c r="G7" s="332" t="str">
        <f t="shared" si="1"/>
        <v>2018-19</v>
      </c>
      <c r="H7" s="332" t="str">
        <f t="shared" si="1"/>
        <v>2019-20</v>
      </c>
      <c r="I7" s="332" t="str">
        <f t="shared" si="1"/>
        <v>2020-21</v>
      </c>
      <c r="J7" s="332" t="str">
        <f t="shared" si="1"/>
        <v>2021-22</v>
      </c>
      <c r="K7" s="332" t="str">
        <f t="shared" si="1"/>
        <v>2022-23</v>
      </c>
      <c r="L7" s="332" t="str">
        <f t="shared" si="1"/>
        <v>2023-24</v>
      </c>
      <c r="M7" s="332" t="str">
        <f t="shared" si="1"/>
        <v>2024-25</v>
      </c>
      <c r="N7" s="332" t="str">
        <f t="shared" si="1"/>
        <v>2025-26</v>
      </c>
      <c r="O7" s="332" t="str">
        <f t="shared" si="1"/>
        <v>2026-27</v>
      </c>
      <c r="P7" s="332" t="str">
        <f t="shared" si="1"/>
        <v>2027-28</v>
      </c>
      <c r="Q7" s="332" t="str">
        <f t="shared" si="1"/>
        <v>2028-29</v>
      </c>
    </row>
    <row r="8" spans="1:17">
      <c r="A8" s="319" t="s">
        <v>463</v>
      </c>
      <c r="B8" s="323">
        <f>PL!B20-PL!B24</f>
        <v>-2.7516612156181797</v>
      </c>
      <c r="C8" s="323">
        <f>PL!C20-PL!C24</f>
        <v>5.7305129247087194E-2</v>
      </c>
      <c r="D8" s="323">
        <f>PL!D20-PL!D24</f>
        <v>1.385240827999997</v>
      </c>
      <c r="E8" s="323">
        <f>PL!E20-PL!E24</f>
        <v>1.1139091248832926</v>
      </c>
      <c r="F8" s="323">
        <f>PL!F20-PL!F24</f>
        <v>1.0628000000000029</v>
      </c>
      <c r="G8" s="323">
        <f>PL!G20-PL!G24</f>
        <v>1.3299999999999983</v>
      </c>
      <c r="H8" s="323">
        <f>PL!H20-PL!H24</f>
        <v>1.4899999999999949</v>
      </c>
      <c r="I8" s="323">
        <f>PL!I20-PL!I24</f>
        <v>-0.32999999999999829</v>
      </c>
      <c r="J8" s="323">
        <f>(PL!J20-PL!J24)+$J$6</f>
        <v>11.711231999999995</v>
      </c>
      <c r="K8" s="323">
        <f>(PL!K20-PL!K24)+$J$6</f>
        <v>128.67258186945699</v>
      </c>
      <c r="L8" s="323">
        <f>(PL!L20-PL!L24)+$J$6</f>
        <v>7.3440112053788233</v>
      </c>
      <c r="M8" s="323">
        <f>(PL!M20-PL!M24)+$J$6</f>
        <v>24.787409783386664</v>
      </c>
      <c r="N8" s="323">
        <f>(PL!N20-PL!N24)+$J$6</f>
        <v>39.530016667071685</v>
      </c>
      <c r="O8" s="323">
        <f>(PL!O20-PL!O24)+$J$6</f>
        <v>38.856474731544694</v>
      </c>
      <c r="P8" s="323">
        <f>(PL!P20-PL!P24)+$J$6</f>
        <v>53.808019708513612</v>
      </c>
      <c r="Q8" s="323">
        <f>(PL!Q20-PL!Q24)+$J$6</f>
        <v>31.843106006487389</v>
      </c>
    </row>
    <row r="9" spans="1:17">
      <c r="A9" s="319" t="s">
        <v>464</v>
      </c>
      <c r="B9" s="323">
        <f>BS!B33</f>
        <v>2.4296389852142415</v>
      </c>
      <c r="C9" s="323">
        <f>BS!C33</f>
        <v>-0.96074615885427583</v>
      </c>
      <c r="D9" s="323">
        <f>BS!D33</f>
        <v>17.306484493620946</v>
      </c>
      <c r="E9" s="323">
        <f>BS!E33</f>
        <v>23.621873380019103</v>
      </c>
      <c r="F9" s="323">
        <f>BS!F33</f>
        <v>4.1315031637483699</v>
      </c>
      <c r="G9" s="323">
        <f>BS!G33</f>
        <v>-52.385820063748326</v>
      </c>
      <c r="H9" s="323">
        <f>BS!H33</f>
        <v>4.8111917879999666</v>
      </c>
      <c r="I9" s="323">
        <f>BS!I33</f>
        <v>32.615874411999982</v>
      </c>
      <c r="J9" s="323">
        <f>BS!J33</f>
        <v>-10.960000000000008</v>
      </c>
      <c r="K9" s="323">
        <f>BS!K33</f>
        <v>-1.5618171199999935</v>
      </c>
      <c r="L9" s="323">
        <f>BS!L33</f>
        <v>-15.787848833916801</v>
      </c>
      <c r="M9" s="323">
        <f>BS!M33</f>
        <v>-3.7211219497087189</v>
      </c>
      <c r="N9" s="323">
        <f>BS!N33</f>
        <v>-5.0409378709323178</v>
      </c>
      <c r="O9" s="323">
        <f>BS!O33</f>
        <v>-4.6383295878942548</v>
      </c>
      <c r="P9" s="323">
        <f>BS!P33</f>
        <v>-4.0121683300082296</v>
      </c>
      <c r="Q9" s="323">
        <f>BS!Q33</f>
        <v>14.152223692460316</v>
      </c>
    </row>
    <row r="10" spans="1:17" ht="12.75" thickBot="1">
      <c r="A10" s="321" t="s">
        <v>324</v>
      </c>
      <c r="B10" s="326">
        <f t="shared" ref="B10:Q10" si="2">SUM(B8:B9)</f>
        <v>-0.32202223040393818</v>
      </c>
      <c r="C10" s="326">
        <f t="shared" si="2"/>
        <v>-0.90344102960718864</v>
      </c>
      <c r="D10" s="326">
        <f t="shared" si="2"/>
        <v>18.691725321620943</v>
      </c>
      <c r="E10" s="326">
        <f t="shared" si="2"/>
        <v>24.735782504902396</v>
      </c>
      <c r="F10" s="326">
        <f t="shared" si="2"/>
        <v>5.1943031637483728</v>
      </c>
      <c r="G10" s="326">
        <f t="shared" si="2"/>
        <v>-51.055820063748328</v>
      </c>
      <c r="H10" s="326">
        <f t="shared" si="2"/>
        <v>6.3011917879999615</v>
      </c>
      <c r="I10" s="326">
        <f t="shared" si="2"/>
        <v>32.285874411999984</v>
      </c>
      <c r="J10" s="326">
        <f t="shared" si="2"/>
        <v>0.75123199999998747</v>
      </c>
      <c r="K10" s="326">
        <f t="shared" si="2"/>
        <v>127.11076474945699</v>
      </c>
      <c r="L10" s="326">
        <f t="shared" si="2"/>
        <v>-8.4438376285379775</v>
      </c>
      <c r="M10" s="326">
        <f t="shared" si="2"/>
        <v>21.066287833677947</v>
      </c>
      <c r="N10" s="326">
        <f t="shared" si="2"/>
        <v>34.489078796139367</v>
      </c>
      <c r="O10" s="326">
        <f t="shared" si="2"/>
        <v>34.218145143650439</v>
      </c>
      <c r="P10" s="326">
        <f t="shared" si="2"/>
        <v>49.795851378505382</v>
      </c>
      <c r="Q10" s="326">
        <f t="shared" si="2"/>
        <v>45.995329698947707</v>
      </c>
    </row>
    <row r="11" spans="1:17" ht="12.75" thickTop="1">
      <c r="A11" s="321" t="s">
        <v>465</v>
      </c>
      <c r="B11" s="323">
        <f t="shared" ref="B11:Q11" si="3">B10-B5</f>
        <v>-53.712057448083947</v>
      </c>
      <c r="C11" s="323">
        <f t="shared" si="3"/>
        <v>-26.509965212453046</v>
      </c>
      <c r="D11" s="323">
        <f t="shared" si="3"/>
        <v>-49.046123219463034</v>
      </c>
      <c r="E11" s="323">
        <f t="shared" si="3"/>
        <v>-12.628141563231061</v>
      </c>
      <c r="F11" s="323">
        <f t="shared" si="3"/>
        <v>-33.052364826508324</v>
      </c>
      <c r="G11" s="323">
        <f t="shared" si="3"/>
        <v>-64.092880563748352</v>
      </c>
      <c r="H11" s="323">
        <f t="shared" si="3"/>
        <v>-35.801747712000029</v>
      </c>
      <c r="I11" s="323">
        <f t="shared" si="3"/>
        <v>37.962869835136971</v>
      </c>
      <c r="J11" s="323">
        <f t="shared" si="3"/>
        <v>-32.534465786252014</v>
      </c>
      <c r="K11" s="323">
        <f t="shared" si="3"/>
        <v>84.496802689353302</v>
      </c>
      <c r="L11" s="323">
        <f t="shared" si="3"/>
        <v>-7.9066936908123182</v>
      </c>
      <c r="M11" s="323">
        <f t="shared" si="3"/>
        <v>20.586287833677702</v>
      </c>
      <c r="N11" s="323">
        <f t="shared" si="3"/>
        <v>34.009078796139121</v>
      </c>
      <c r="O11" s="323">
        <f t="shared" si="3"/>
        <v>33.738145143650193</v>
      </c>
      <c r="P11" s="323">
        <f t="shared" si="3"/>
        <v>49.315851378505137</v>
      </c>
      <c r="Q11" s="323">
        <f t="shared" si="3"/>
        <v>45.755329698947584</v>
      </c>
    </row>
    <row r="12" spans="1:17" ht="15">
      <c r="A12" s="321" t="s">
        <v>279</v>
      </c>
      <c r="C12" s="386">
        <f>IRR(B11:Q11)</f>
        <v>-3.9540666183663919E-3</v>
      </c>
    </row>
    <row r="13" spans="1:17">
      <c r="A13" s="331"/>
      <c r="B13" s="387"/>
    </row>
    <row r="15" spans="1:17">
      <c r="A15" s="321" t="s">
        <v>466</v>
      </c>
    </row>
    <row r="16" spans="1:17">
      <c r="A16" s="321" t="s">
        <v>467</v>
      </c>
      <c r="B16" s="332" t="str">
        <f t="shared" ref="B16:Q16" si="4">B7</f>
        <v>2013-14</v>
      </c>
      <c r="C16" s="332" t="str">
        <f t="shared" si="4"/>
        <v>2014-15</v>
      </c>
      <c r="D16" s="332" t="str">
        <f t="shared" si="4"/>
        <v>2015-16</v>
      </c>
      <c r="E16" s="332" t="str">
        <f t="shared" si="4"/>
        <v>2016-17</v>
      </c>
      <c r="F16" s="332" t="str">
        <f t="shared" si="4"/>
        <v>2017-18</v>
      </c>
      <c r="G16" s="332" t="str">
        <f t="shared" si="4"/>
        <v>2018-19</v>
      </c>
      <c r="H16" s="332" t="str">
        <f t="shared" si="4"/>
        <v>2019-20</v>
      </c>
      <c r="I16" s="332" t="str">
        <f t="shared" si="4"/>
        <v>2020-21</v>
      </c>
      <c r="J16" s="332" t="str">
        <f t="shared" si="4"/>
        <v>2021-22</v>
      </c>
      <c r="K16" s="332" t="str">
        <f t="shared" si="4"/>
        <v>2022-23</v>
      </c>
      <c r="L16" s="332" t="str">
        <f t="shared" si="4"/>
        <v>2023-24</v>
      </c>
      <c r="M16" s="332" t="str">
        <f t="shared" si="4"/>
        <v>2024-25</v>
      </c>
      <c r="N16" s="332" t="str">
        <f t="shared" si="4"/>
        <v>2025-26</v>
      </c>
      <c r="O16" s="332" t="str">
        <f t="shared" si="4"/>
        <v>2026-27</v>
      </c>
      <c r="P16" s="332" t="str">
        <f t="shared" si="4"/>
        <v>2027-28</v>
      </c>
      <c r="Q16" s="332" t="str">
        <f t="shared" si="4"/>
        <v>2028-29</v>
      </c>
    </row>
    <row r="17" spans="1:17">
      <c r="A17" s="319" t="s">
        <v>468</v>
      </c>
      <c r="B17" s="323">
        <f>SUM(BS!B6:B8)</f>
        <v>18.100000000000001</v>
      </c>
      <c r="C17" s="323">
        <f>SUM(BS!C6:C8)-SUM(BS!B6:B8)</f>
        <v>24</v>
      </c>
      <c r="D17" s="323">
        <f>SUM(BS!D6:D8)-SUM(BS!C6:C8)</f>
        <v>24.999999999999993</v>
      </c>
      <c r="E17" s="323">
        <f>SUM(BS!E6:E8)-SUM(BS!D6:D8)</f>
        <v>20.557864499999994</v>
      </c>
      <c r="F17" s="323">
        <f>SUM(BS!F6:F8)-SUM(BS!E6:E8)</f>
        <v>25.000000100000008</v>
      </c>
      <c r="G17" s="323">
        <f>SUM(BS!G6:G8)-SUM(BS!F6:F8)</f>
        <v>76.867824599999992</v>
      </c>
      <c r="H17" s="323">
        <f>SUM(BS!H6:H8)-SUM(BS!G6:G8)</f>
        <v>25.614310799999998</v>
      </c>
      <c r="I17" s="323">
        <f>SUM(BS!I6:I8)-SUM(BS!H6:H8)</f>
        <v>4.5700000000000216</v>
      </c>
      <c r="J17" s="323">
        <f>SUM(BS!J6:J8)-SUM(BS!I6:I8)</f>
        <v>20.549999999999983</v>
      </c>
      <c r="K17" s="323">
        <f>SUM(BS!K6:K8)-SUM(BS!J6:J8)</f>
        <v>-80.355500000000006</v>
      </c>
      <c r="L17" s="323">
        <v>0</v>
      </c>
      <c r="M17" s="323">
        <v>0</v>
      </c>
      <c r="N17" s="323">
        <v>0</v>
      </c>
      <c r="O17" s="323">
        <v>0</v>
      </c>
      <c r="P17" s="323">
        <v>0</v>
      </c>
      <c r="Q17" s="323">
        <v>0</v>
      </c>
    </row>
    <row r="18" spans="1:17">
      <c r="A18" s="319" t="s">
        <v>469</v>
      </c>
      <c r="B18" s="323">
        <f>PL!B21+PL!B25</f>
        <v>-2.8291523156181797</v>
      </c>
      <c r="C18" s="323">
        <f>PL!C21+PL!C25</f>
        <v>-0.17056637075291281</v>
      </c>
      <c r="D18" s="323">
        <f>PL!D21+PL!D25</f>
        <v>1.1466213279999968</v>
      </c>
      <c r="E18" s="323">
        <f>PL!E21+PL!E25</f>
        <v>0.85451640488329272</v>
      </c>
      <c r="F18" s="323">
        <f>PL!F21+PL!F25</f>
        <v>0.79690000000000283</v>
      </c>
      <c r="G18" s="323">
        <f>PL!G21+PL!G25</f>
        <v>0.77559999999999818</v>
      </c>
      <c r="H18" s="323">
        <f>PL!H21+PL!H25</f>
        <v>0.15999999999999481</v>
      </c>
      <c r="I18" s="323">
        <f>PL!I21+PL!I25</f>
        <v>-42.74</v>
      </c>
      <c r="J18" s="323">
        <f>PL!J21+PL!J25</f>
        <v>-35.708768000000006</v>
      </c>
      <c r="K18" s="323">
        <f>PL!K21+PL!K25</f>
        <v>107.74242928187219</v>
      </c>
      <c r="L18" s="323">
        <f>PL!L21+PL!L25</f>
        <v>-8.2038908408396907</v>
      </c>
      <c r="M18" s="323">
        <f>PL!M21+PL!M25</f>
        <v>10.250964250600205</v>
      </c>
      <c r="N18" s="323">
        <f>PL!N21+PL!N25</f>
        <v>27.29852491970253</v>
      </c>
      <c r="O18" s="323">
        <f>PL!O21+PL!O25</f>
        <v>29.435665026308868</v>
      </c>
      <c r="P18" s="323">
        <f>PL!P21+PL!P25</f>
        <v>48.005112147477099</v>
      </c>
      <c r="Q18" s="323">
        <f>PL!Q21+PL!Q25</f>
        <v>30.96456525283326</v>
      </c>
    </row>
    <row r="19" spans="1:17">
      <c r="A19" s="319" t="s">
        <v>470</v>
      </c>
      <c r="B19" s="323">
        <f t="shared" ref="B19:Q19" si="5">B9</f>
        <v>2.4296389852142415</v>
      </c>
      <c r="C19" s="323">
        <f t="shared" si="5"/>
        <v>-0.96074615885427583</v>
      </c>
      <c r="D19" s="323">
        <f t="shared" si="5"/>
        <v>17.306484493620946</v>
      </c>
      <c r="E19" s="323">
        <f t="shared" si="5"/>
        <v>23.621873380019103</v>
      </c>
      <c r="F19" s="323">
        <f t="shared" si="5"/>
        <v>4.1315031637483699</v>
      </c>
      <c r="G19" s="323">
        <f t="shared" si="5"/>
        <v>-52.385820063748326</v>
      </c>
      <c r="H19" s="323">
        <f t="shared" si="5"/>
        <v>4.8111917879999666</v>
      </c>
      <c r="I19" s="323">
        <f t="shared" si="5"/>
        <v>32.615874411999982</v>
      </c>
      <c r="J19" s="323">
        <f t="shared" si="5"/>
        <v>-10.960000000000008</v>
      </c>
      <c r="K19" s="323">
        <f t="shared" si="5"/>
        <v>-1.5618171199999935</v>
      </c>
      <c r="L19" s="323">
        <f t="shared" si="5"/>
        <v>-15.787848833916801</v>
      </c>
      <c r="M19" s="323">
        <f t="shared" si="5"/>
        <v>-3.7211219497087189</v>
      </c>
      <c r="N19" s="323">
        <f t="shared" si="5"/>
        <v>-5.0409378709323178</v>
      </c>
      <c r="O19" s="323">
        <f t="shared" si="5"/>
        <v>-4.6383295878942548</v>
      </c>
      <c r="P19" s="323">
        <f t="shared" si="5"/>
        <v>-4.0121683300082296</v>
      </c>
      <c r="Q19" s="323">
        <f t="shared" si="5"/>
        <v>14.152223692460316</v>
      </c>
    </row>
    <row r="20" spans="1:17" ht="12.75" thickBot="1">
      <c r="A20" s="321" t="s">
        <v>324</v>
      </c>
      <c r="B20" s="326">
        <f t="shared" ref="B20:Q20" si="6">SUM(B17:B19)</f>
        <v>17.700486669596064</v>
      </c>
      <c r="C20" s="326">
        <f t="shared" si="6"/>
        <v>22.868687470392814</v>
      </c>
      <c r="D20" s="326">
        <f t="shared" si="6"/>
        <v>43.453105821620937</v>
      </c>
      <c r="E20" s="326">
        <f t="shared" si="6"/>
        <v>45.034254284902389</v>
      </c>
      <c r="F20" s="326">
        <f t="shared" si="6"/>
        <v>29.928403263748383</v>
      </c>
      <c r="G20" s="326">
        <f t="shared" si="6"/>
        <v>25.257604536251662</v>
      </c>
      <c r="H20" s="326">
        <f t="shared" si="6"/>
        <v>30.585502587999962</v>
      </c>
      <c r="I20" s="326">
        <f t="shared" si="6"/>
        <v>-5.554125587999998</v>
      </c>
      <c r="J20" s="326">
        <f t="shared" si="6"/>
        <v>-26.118768000000031</v>
      </c>
      <c r="K20" s="326">
        <f t="shared" si="6"/>
        <v>25.825112161872191</v>
      </c>
      <c r="L20" s="326">
        <f t="shared" si="6"/>
        <v>-23.991739674756491</v>
      </c>
      <c r="M20" s="326">
        <f t="shared" si="6"/>
        <v>6.5298423008914863</v>
      </c>
      <c r="N20" s="326">
        <f t="shared" si="6"/>
        <v>22.257587048770212</v>
      </c>
      <c r="O20" s="326">
        <f t="shared" si="6"/>
        <v>24.797335438414613</v>
      </c>
      <c r="P20" s="326">
        <f t="shared" si="6"/>
        <v>43.99294381746887</v>
      </c>
      <c r="Q20" s="326">
        <f t="shared" si="6"/>
        <v>45.116788945293578</v>
      </c>
    </row>
    <row r="21" spans="1:17" ht="12.75" thickTop="1">
      <c r="A21" s="321"/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</row>
    <row r="22" spans="1:17">
      <c r="A22" s="321" t="s">
        <v>471</v>
      </c>
      <c r="B22" s="332" t="str">
        <f t="shared" ref="B22:Q22" si="7">B16</f>
        <v>2013-14</v>
      </c>
      <c r="C22" s="332" t="str">
        <f t="shared" si="7"/>
        <v>2014-15</v>
      </c>
      <c r="D22" s="332" t="str">
        <f t="shared" si="7"/>
        <v>2015-16</v>
      </c>
      <c r="E22" s="332" t="str">
        <f t="shared" si="7"/>
        <v>2016-17</v>
      </c>
      <c r="F22" s="332" t="str">
        <f t="shared" si="7"/>
        <v>2017-18</v>
      </c>
      <c r="G22" s="332" t="str">
        <f t="shared" si="7"/>
        <v>2018-19</v>
      </c>
      <c r="H22" s="332" t="str">
        <f t="shared" si="7"/>
        <v>2019-20</v>
      </c>
      <c r="I22" s="332" t="str">
        <f t="shared" si="7"/>
        <v>2020-21</v>
      </c>
      <c r="J22" s="332" t="str">
        <f t="shared" si="7"/>
        <v>2021-22</v>
      </c>
      <c r="K22" s="332" t="str">
        <f t="shared" si="7"/>
        <v>2022-23</v>
      </c>
      <c r="L22" s="332" t="str">
        <f t="shared" si="7"/>
        <v>2023-24</v>
      </c>
      <c r="M22" s="332" t="str">
        <f t="shared" si="7"/>
        <v>2024-25</v>
      </c>
      <c r="N22" s="332" t="str">
        <f t="shared" si="7"/>
        <v>2025-26</v>
      </c>
      <c r="O22" s="332" t="str">
        <f t="shared" si="7"/>
        <v>2026-27</v>
      </c>
      <c r="P22" s="332" t="str">
        <f t="shared" si="7"/>
        <v>2027-28</v>
      </c>
      <c r="Q22" s="332" t="str">
        <f t="shared" si="7"/>
        <v>2028-29</v>
      </c>
    </row>
    <row r="23" spans="1:17">
      <c r="A23" s="319" t="s">
        <v>462</v>
      </c>
      <c r="B23" s="323">
        <f t="shared" ref="B23:Q23" si="8">B5</f>
        <v>53.390035217680008</v>
      </c>
      <c r="C23" s="323">
        <f t="shared" si="8"/>
        <v>25.60652418284586</v>
      </c>
      <c r="D23" s="323">
        <f t="shared" si="8"/>
        <v>67.737848541083977</v>
      </c>
      <c r="E23" s="323">
        <f t="shared" si="8"/>
        <v>37.363924068133457</v>
      </c>
      <c r="F23" s="323">
        <f t="shared" si="8"/>
        <v>38.246667990256697</v>
      </c>
      <c r="G23" s="323">
        <f t="shared" si="8"/>
        <v>13.037060500000024</v>
      </c>
      <c r="H23" s="323">
        <f t="shared" si="8"/>
        <v>42.102939499999991</v>
      </c>
      <c r="I23" s="323">
        <f t="shared" si="8"/>
        <v>-5.6769954231369866</v>
      </c>
      <c r="J23" s="323">
        <f t="shared" si="8"/>
        <v>33.285697786252001</v>
      </c>
      <c r="K23" s="323">
        <f t="shared" si="8"/>
        <v>42.613962060103688</v>
      </c>
      <c r="L23" s="323">
        <f t="shared" si="8"/>
        <v>-0.53714393772565927</v>
      </c>
      <c r="M23" s="323">
        <f t="shared" si="8"/>
        <v>0.48000000000024556</v>
      </c>
      <c r="N23" s="323">
        <f t="shared" si="8"/>
        <v>0.48000000000024556</v>
      </c>
      <c r="O23" s="323">
        <f t="shared" si="8"/>
        <v>0.48000000000024556</v>
      </c>
      <c r="P23" s="323">
        <f t="shared" si="8"/>
        <v>0.48000000000024556</v>
      </c>
      <c r="Q23" s="323">
        <f t="shared" si="8"/>
        <v>0.24000000000012278</v>
      </c>
    </row>
    <row r="24" spans="1:17">
      <c r="A24" s="319" t="s">
        <v>457</v>
      </c>
      <c r="B24" s="323">
        <v>0</v>
      </c>
      <c r="C24" s="323">
        <v>0</v>
      </c>
      <c r="D24" s="323">
        <v>0</v>
      </c>
      <c r="E24" s="323">
        <v>0</v>
      </c>
      <c r="F24" s="323">
        <v>0</v>
      </c>
      <c r="G24" s="323">
        <v>0</v>
      </c>
      <c r="H24" s="323">
        <v>0</v>
      </c>
      <c r="I24" s="323">
        <v>0</v>
      </c>
      <c r="J24" s="323">
        <v>0</v>
      </c>
      <c r="K24" s="323">
        <v>0</v>
      </c>
      <c r="L24" s="323">
        <f>-(SUM(BS!L6:L9)-SUM(BS!K6:K9))+L17</f>
        <v>1.4690449999999942</v>
      </c>
      <c r="M24" s="323">
        <f>-(SUM(BS!M6:M9)-SUM(BS!L6:L9))+M17</f>
        <v>19.097585000000038</v>
      </c>
      <c r="N24" s="323">
        <f>-(SUM(BS!N6:N9)-SUM(BS!M6:M9))+N17</f>
        <v>24.606503750000016</v>
      </c>
      <c r="O24" s="323">
        <f>-(SUM(BS!O6:O9)-SUM(BS!N6:N9))+O17</f>
        <v>27.911855000000003</v>
      </c>
      <c r="P24" s="323">
        <f>-(SUM(BS!P6:P9)-SUM(BS!O6:O9))+P17</f>
        <v>45.540394999999997</v>
      </c>
      <c r="Q24" s="323">
        <f>-(SUM(BS!Q6:Q9)-SUM(BS!P6:P9))+Q17</f>
        <v>28.279116249999937</v>
      </c>
    </row>
    <row r="25" spans="1:17" ht="12.75" thickBot="1">
      <c r="A25" s="321" t="s">
        <v>329</v>
      </c>
      <c r="B25" s="326">
        <f t="shared" ref="B25:Q25" si="9">SUM(B23:B24)</f>
        <v>53.390035217680008</v>
      </c>
      <c r="C25" s="326">
        <f t="shared" si="9"/>
        <v>25.60652418284586</v>
      </c>
      <c r="D25" s="326">
        <f t="shared" si="9"/>
        <v>67.737848541083977</v>
      </c>
      <c r="E25" s="326">
        <f t="shared" si="9"/>
        <v>37.363924068133457</v>
      </c>
      <c r="F25" s="326">
        <f t="shared" si="9"/>
        <v>38.246667990256697</v>
      </c>
      <c r="G25" s="326">
        <f t="shared" si="9"/>
        <v>13.037060500000024</v>
      </c>
      <c r="H25" s="326">
        <f t="shared" si="9"/>
        <v>42.102939499999991</v>
      </c>
      <c r="I25" s="326">
        <f t="shared" si="9"/>
        <v>-5.6769954231369866</v>
      </c>
      <c r="J25" s="326">
        <f t="shared" si="9"/>
        <v>33.285697786252001</v>
      </c>
      <c r="K25" s="326">
        <f t="shared" si="9"/>
        <v>42.613962060103688</v>
      </c>
      <c r="L25" s="326">
        <f t="shared" si="9"/>
        <v>0.93190106227433489</v>
      </c>
      <c r="M25" s="326">
        <f t="shared" si="9"/>
        <v>19.577585000000283</v>
      </c>
      <c r="N25" s="326">
        <f t="shared" si="9"/>
        <v>25.086503750000261</v>
      </c>
      <c r="O25" s="326">
        <f t="shared" si="9"/>
        <v>28.391855000000248</v>
      </c>
      <c r="P25" s="326">
        <f t="shared" si="9"/>
        <v>46.020395000000242</v>
      </c>
      <c r="Q25" s="326">
        <f t="shared" si="9"/>
        <v>28.51911625000006</v>
      </c>
    </row>
    <row r="26" spans="1:17" ht="12.75" thickTop="1">
      <c r="A26" s="321" t="s">
        <v>465</v>
      </c>
      <c r="B26" s="323">
        <f t="shared" ref="B26:Q26" si="10">B20-B25</f>
        <v>-35.689548548083948</v>
      </c>
      <c r="C26" s="323">
        <f t="shared" si="10"/>
        <v>-2.7378367124530456</v>
      </c>
      <c r="D26" s="323">
        <f t="shared" si="10"/>
        <v>-24.28474271946304</v>
      </c>
      <c r="E26" s="323">
        <f t="shared" si="10"/>
        <v>7.6703302167689316</v>
      </c>
      <c r="F26" s="323">
        <f t="shared" si="10"/>
        <v>-8.3182647265083141</v>
      </c>
      <c r="G26" s="323">
        <f t="shared" si="10"/>
        <v>12.220544036251638</v>
      </c>
      <c r="H26" s="323">
        <f t="shared" si="10"/>
        <v>-11.517436912000029</v>
      </c>
      <c r="I26" s="323">
        <f t="shared" si="10"/>
        <v>0.12286983513698857</v>
      </c>
      <c r="J26" s="323">
        <f t="shared" si="10"/>
        <v>-59.404465786252032</v>
      </c>
      <c r="K26" s="323">
        <f t="shared" si="10"/>
        <v>-16.788849898231497</v>
      </c>
      <c r="L26" s="323">
        <f t="shared" si="10"/>
        <v>-24.923640737030826</v>
      </c>
      <c r="M26" s="323">
        <f t="shared" si="10"/>
        <v>-13.047742699108797</v>
      </c>
      <c r="N26" s="323">
        <f t="shared" si="10"/>
        <v>-2.8289167012300496</v>
      </c>
      <c r="O26" s="323">
        <f t="shared" si="10"/>
        <v>-3.5945195615856349</v>
      </c>
      <c r="P26" s="323">
        <f t="shared" si="10"/>
        <v>-2.0274511825313724</v>
      </c>
      <c r="Q26" s="323">
        <f t="shared" si="10"/>
        <v>16.597672695293518</v>
      </c>
    </row>
    <row r="27" spans="1:17" ht="15">
      <c r="A27" s="321" t="s">
        <v>280</v>
      </c>
      <c r="B27" s="386" t="e">
        <f>IRR(B26:Q26)</f>
        <v>#NUM!</v>
      </c>
    </row>
    <row r="29" spans="1:17">
      <c r="A29" s="321" t="s">
        <v>466</v>
      </c>
    </row>
    <row r="30" spans="1:17">
      <c r="A30" s="321" t="s">
        <v>467</v>
      </c>
      <c r="B30" s="332" t="str">
        <f t="shared" ref="B30:Q30" si="11">B22</f>
        <v>2013-14</v>
      </c>
      <c r="C30" s="332" t="str">
        <f t="shared" si="11"/>
        <v>2014-15</v>
      </c>
      <c r="D30" s="332" t="str">
        <f t="shared" si="11"/>
        <v>2015-16</v>
      </c>
      <c r="E30" s="332" t="str">
        <f t="shared" si="11"/>
        <v>2016-17</v>
      </c>
      <c r="F30" s="332" t="str">
        <f t="shared" si="11"/>
        <v>2017-18</v>
      </c>
      <c r="G30" s="332" t="str">
        <f t="shared" si="11"/>
        <v>2018-19</v>
      </c>
      <c r="H30" s="332" t="str">
        <f t="shared" si="11"/>
        <v>2019-20</v>
      </c>
      <c r="I30" s="332" t="str">
        <f t="shared" si="11"/>
        <v>2020-21</v>
      </c>
      <c r="J30" s="332" t="str">
        <f t="shared" si="11"/>
        <v>2021-22</v>
      </c>
      <c r="K30" s="332" t="str">
        <f t="shared" si="11"/>
        <v>2022-23</v>
      </c>
      <c r="L30" s="332" t="str">
        <f t="shared" si="11"/>
        <v>2023-24</v>
      </c>
      <c r="M30" s="332" t="str">
        <f t="shared" si="11"/>
        <v>2024-25</v>
      </c>
      <c r="N30" s="332" t="str">
        <f t="shared" si="11"/>
        <v>2025-26</v>
      </c>
      <c r="O30" s="332" t="str">
        <f t="shared" si="11"/>
        <v>2026-27</v>
      </c>
      <c r="P30" s="332" t="str">
        <f t="shared" si="11"/>
        <v>2027-28</v>
      </c>
      <c r="Q30" s="332" t="str">
        <f t="shared" si="11"/>
        <v>2028-29</v>
      </c>
    </row>
    <row r="31" spans="1:17">
      <c r="A31" s="319" t="s">
        <v>468</v>
      </c>
      <c r="B31" s="323">
        <f t="shared" ref="B31:Q31" si="12">B17</f>
        <v>18.100000000000001</v>
      </c>
      <c r="C31" s="323">
        <f t="shared" si="12"/>
        <v>24</v>
      </c>
      <c r="D31" s="323">
        <f t="shared" si="12"/>
        <v>24.999999999999993</v>
      </c>
      <c r="E31" s="323">
        <f t="shared" si="12"/>
        <v>20.557864499999994</v>
      </c>
      <c r="F31" s="323">
        <f t="shared" si="12"/>
        <v>25.000000100000008</v>
      </c>
      <c r="G31" s="323">
        <f t="shared" si="12"/>
        <v>76.867824599999992</v>
      </c>
      <c r="H31" s="323">
        <f t="shared" si="12"/>
        <v>25.614310799999998</v>
      </c>
      <c r="I31" s="323">
        <f t="shared" si="12"/>
        <v>4.5700000000000216</v>
      </c>
      <c r="J31" s="323">
        <f t="shared" si="12"/>
        <v>20.549999999999983</v>
      </c>
      <c r="K31" s="323">
        <f t="shared" si="12"/>
        <v>-80.355500000000006</v>
      </c>
      <c r="L31" s="323">
        <f t="shared" si="12"/>
        <v>0</v>
      </c>
      <c r="M31" s="323">
        <f t="shared" si="12"/>
        <v>0</v>
      </c>
      <c r="N31" s="323">
        <f t="shared" si="12"/>
        <v>0</v>
      </c>
      <c r="O31" s="323">
        <f t="shared" si="12"/>
        <v>0</v>
      </c>
      <c r="P31" s="323">
        <f t="shared" si="12"/>
        <v>0</v>
      </c>
      <c r="Q31" s="323">
        <f t="shared" si="12"/>
        <v>0</v>
      </c>
    </row>
    <row r="32" spans="1:17">
      <c r="A32" s="319" t="s">
        <v>330</v>
      </c>
      <c r="B32" s="323">
        <f t="shared" ref="B32:Q32" si="13">B11</f>
        <v>-53.712057448083947</v>
      </c>
      <c r="C32" s="323">
        <f t="shared" si="13"/>
        <v>-26.509965212453046</v>
      </c>
      <c r="D32" s="323">
        <f t="shared" si="13"/>
        <v>-49.046123219463034</v>
      </c>
      <c r="E32" s="323">
        <f t="shared" si="13"/>
        <v>-12.628141563231061</v>
      </c>
      <c r="F32" s="323">
        <f t="shared" si="13"/>
        <v>-33.052364826508324</v>
      </c>
      <c r="G32" s="323">
        <f t="shared" si="13"/>
        <v>-64.092880563748352</v>
      </c>
      <c r="H32" s="323">
        <f t="shared" si="13"/>
        <v>-35.801747712000029</v>
      </c>
      <c r="I32" s="323">
        <f t="shared" si="13"/>
        <v>37.962869835136971</v>
      </c>
      <c r="J32" s="323">
        <f t="shared" si="13"/>
        <v>-32.534465786252014</v>
      </c>
      <c r="K32" s="323">
        <f t="shared" si="13"/>
        <v>84.496802689353302</v>
      </c>
      <c r="L32" s="323">
        <f t="shared" si="13"/>
        <v>-7.9066936908123182</v>
      </c>
      <c r="M32" s="323">
        <f t="shared" si="13"/>
        <v>20.586287833677702</v>
      </c>
      <c r="N32" s="323">
        <f t="shared" si="13"/>
        <v>34.009078796139121</v>
      </c>
      <c r="O32" s="323">
        <f t="shared" si="13"/>
        <v>33.738145143650193</v>
      </c>
      <c r="P32" s="323">
        <f t="shared" si="13"/>
        <v>49.315851378505137</v>
      </c>
      <c r="Q32" s="323">
        <f t="shared" si="13"/>
        <v>45.755329698947584</v>
      </c>
    </row>
    <row r="33" spans="1:17" ht="12.75" thickBot="1">
      <c r="A33" s="321" t="s">
        <v>324</v>
      </c>
      <c r="B33" s="326">
        <f t="shared" ref="B33:Q33" si="14">SUM(B31:B32)</f>
        <v>-35.612057448083945</v>
      </c>
      <c r="C33" s="326">
        <f t="shared" si="14"/>
        <v>-2.5099652124530465</v>
      </c>
      <c r="D33" s="326">
        <f t="shared" si="14"/>
        <v>-24.046123219463041</v>
      </c>
      <c r="E33" s="326">
        <f t="shared" si="14"/>
        <v>7.9297229367689326</v>
      </c>
      <c r="F33" s="326">
        <f t="shared" si="14"/>
        <v>-8.0523647265083156</v>
      </c>
      <c r="G33" s="326">
        <f t="shared" si="14"/>
        <v>12.77494403625164</v>
      </c>
      <c r="H33" s="326">
        <f t="shared" si="14"/>
        <v>-10.187436912000031</v>
      </c>
      <c r="I33" s="326">
        <f t="shared" si="14"/>
        <v>42.532869835136992</v>
      </c>
      <c r="J33" s="326">
        <f t="shared" si="14"/>
        <v>-11.984465786252031</v>
      </c>
      <c r="K33" s="326">
        <f t="shared" si="14"/>
        <v>4.1413026893532958</v>
      </c>
      <c r="L33" s="326">
        <f t="shared" si="14"/>
        <v>-7.9066936908123182</v>
      </c>
      <c r="M33" s="326">
        <f t="shared" si="14"/>
        <v>20.586287833677702</v>
      </c>
      <c r="N33" s="326">
        <f t="shared" si="14"/>
        <v>34.009078796139121</v>
      </c>
      <c r="O33" s="326">
        <f t="shared" si="14"/>
        <v>33.738145143650193</v>
      </c>
      <c r="P33" s="326">
        <f t="shared" si="14"/>
        <v>49.315851378505137</v>
      </c>
      <c r="Q33" s="326">
        <f t="shared" si="14"/>
        <v>45.755329698947584</v>
      </c>
    </row>
    <row r="34" spans="1:17" ht="12.75" thickTop="1">
      <c r="A34" s="321"/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</row>
    <row r="35" spans="1:17">
      <c r="A35" s="321" t="s">
        <v>471</v>
      </c>
      <c r="B35" s="332" t="str">
        <f t="shared" ref="B35:Q35" si="15">B30</f>
        <v>2013-14</v>
      </c>
      <c r="C35" s="332" t="str">
        <f t="shared" si="15"/>
        <v>2014-15</v>
      </c>
      <c r="D35" s="332" t="str">
        <f t="shared" si="15"/>
        <v>2015-16</v>
      </c>
      <c r="E35" s="332" t="str">
        <f t="shared" si="15"/>
        <v>2016-17</v>
      </c>
      <c r="F35" s="332" t="str">
        <f t="shared" si="15"/>
        <v>2017-18</v>
      </c>
      <c r="G35" s="332" t="str">
        <f t="shared" si="15"/>
        <v>2018-19</v>
      </c>
      <c r="H35" s="332" t="str">
        <f t="shared" si="15"/>
        <v>2019-20</v>
      </c>
      <c r="I35" s="332" t="str">
        <f t="shared" si="15"/>
        <v>2020-21</v>
      </c>
      <c r="J35" s="332" t="str">
        <f t="shared" si="15"/>
        <v>2021-22</v>
      </c>
      <c r="K35" s="332" t="str">
        <f t="shared" si="15"/>
        <v>2022-23</v>
      </c>
      <c r="L35" s="332" t="str">
        <f t="shared" si="15"/>
        <v>2023-24</v>
      </c>
      <c r="M35" s="332" t="str">
        <f t="shared" si="15"/>
        <v>2024-25</v>
      </c>
      <c r="N35" s="332" t="str">
        <f t="shared" si="15"/>
        <v>2025-26</v>
      </c>
      <c r="O35" s="332" t="str">
        <f t="shared" si="15"/>
        <v>2026-27</v>
      </c>
      <c r="P35" s="332" t="str">
        <f t="shared" si="15"/>
        <v>2027-28</v>
      </c>
      <c r="Q35" s="332" t="str">
        <f t="shared" si="15"/>
        <v>2028-29</v>
      </c>
    </row>
    <row r="36" spans="1:17">
      <c r="A36" s="319" t="s">
        <v>472</v>
      </c>
      <c r="B36" s="323">
        <f>SUM(PL!B22:B22)</f>
        <v>7.7491099999999993E-2</v>
      </c>
      <c r="C36" s="323">
        <f>SUM(PL!C22:C22)</f>
        <v>0.2278715</v>
      </c>
      <c r="D36" s="323">
        <f>SUM(PL!D22:D22)</f>
        <v>0.23861950000000001</v>
      </c>
      <c r="E36" s="323">
        <f>SUM(PL!E22:E22)</f>
        <v>0.25939272000000002</v>
      </c>
      <c r="F36" s="323">
        <f>SUM(PL!F22:F22)</f>
        <v>0.26590000000000003</v>
      </c>
      <c r="G36" s="323">
        <f>SUM(PL!G22:G22)</f>
        <v>0.5544</v>
      </c>
      <c r="H36" s="323">
        <f>SUM(PL!H22:H22)</f>
        <v>1.33</v>
      </c>
      <c r="I36" s="323">
        <f>SUM(PL!I22:I22)</f>
        <v>42.41</v>
      </c>
      <c r="J36" s="323">
        <f>SUM(PL!J22:J22)</f>
        <v>47.42</v>
      </c>
      <c r="K36" s="323">
        <f>SUM(PL!K22:K22)</f>
        <v>20.930152587584804</v>
      </c>
      <c r="L36" s="323">
        <f>SUM(PL!L22:L22)</f>
        <v>15.547902046218519</v>
      </c>
      <c r="M36" s="323">
        <f>SUM(PL!M22:M22)</f>
        <v>14.536445532786459</v>
      </c>
      <c r="N36" s="323">
        <f>SUM(PL!N22:N22)</f>
        <v>12.231491747369153</v>
      </c>
      <c r="O36" s="323">
        <f>SUM(PL!O22:O22)</f>
        <v>9.420809705235822</v>
      </c>
      <c r="P36" s="323">
        <f>SUM(PL!P22:P22)</f>
        <v>5.8029075610365153</v>
      </c>
      <c r="Q36" s="323">
        <f>SUM(PL!Q22:Q22)</f>
        <v>0.87854075365412954</v>
      </c>
    </row>
    <row r="37" spans="1:17">
      <c r="A37" s="319" t="s">
        <v>457</v>
      </c>
      <c r="B37" s="323">
        <f t="shared" ref="B37:Q37" si="16">B24</f>
        <v>0</v>
      </c>
      <c r="C37" s="323">
        <f t="shared" si="16"/>
        <v>0</v>
      </c>
      <c r="D37" s="323">
        <f t="shared" si="16"/>
        <v>0</v>
      </c>
      <c r="E37" s="323">
        <f t="shared" si="16"/>
        <v>0</v>
      </c>
      <c r="F37" s="323">
        <f t="shared" si="16"/>
        <v>0</v>
      </c>
      <c r="G37" s="323">
        <f t="shared" si="16"/>
        <v>0</v>
      </c>
      <c r="H37" s="323">
        <f t="shared" si="16"/>
        <v>0</v>
      </c>
      <c r="I37" s="323">
        <f t="shared" si="16"/>
        <v>0</v>
      </c>
      <c r="J37" s="323">
        <f t="shared" si="16"/>
        <v>0</v>
      </c>
      <c r="K37" s="323">
        <f t="shared" si="16"/>
        <v>0</v>
      </c>
      <c r="L37" s="323">
        <f t="shared" si="16"/>
        <v>1.4690449999999942</v>
      </c>
      <c r="M37" s="323">
        <f t="shared" si="16"/>
        <v>19.097585000000038</v>
      </c>
      <c r="N37" s="323">
        <f t="shared" si="16"/>
        <v>24.606503750000016</v>
      </c>
      <c r="O37" s="323">
        <f t="shared" si="16"/>
        <v>27.911855000000003</v>
      </c>
      <c r="P37" s="323">
        <f t="shared" si="16"/>
        <v>45.540394999999997</v>
      </c>
      <c r="Q37" s="323">
        <f t="shared" si="16"/>
        <v>28.279116249999937</v>
      </c>
    </row>
    <row r="38" spans="1:17" ht="12.75" thickBot="1">
      <c r="A38" s="321" t="s">
        <v>329</v>
      </c>
      <c r="B38" s="326">
        <f t="shared" ref="B38:Q38" si="17">SUM(B36:B37)</f>
        <v>7.7491099999999993E-2</v>
      </c>
      <c r="C38" s="326">
        <f t="shared" si="17"/>
        <v>0.2278715</v>
      </c>
      <c r="D38" s="326">
        <f t="shared" si="17"/>
        <v>0.23861950000000001</v>
      </c>
      <c r="E38" s="326">
        <f t="shared" si="17"/>
        <v>0.25939272000000002</v>
      </c>
      <c r="F38" s="326">
        <f t="shared" si="17"/>
        <v>0.26590000000000003</v>
      </c>
      <c r="G38" s="326">
        <f t="shared" si="17"/>
        <v>0.5544</v>
      </c>
      <c r="H38" s="326">
        <f t="shared" si="17"/>
        <v>1.33</v>
      </c>
      <c r="I38" s="326">
        <f t="shared" si="17"/>
        <v>42.41</v>
      </c>
      <c r="J38" s="326">
        <f t="shared" si="17"/>
        <v>47.42</v>
      </c>
      <c r="K38" s="326">
        <f t="shared" si="17"/>
        <v>20.930152587584804</v>
      </c>
      <c r="L38" s="326">
        <f t="shared" si="17"/>
        <v>17.016947046218512</v>
      </c>
      <c r="M38" s="326">
        <f t="shared" si="17"/>
        <v>33.634030532786497</v>
      </c>
      <c r="N38" s="326">
        <f t="shared" si="17"/>
        <v>36.837995497369171</v>
      </c>
      <c r="O38" s="326">
        <f t="shared" si="17"/>
        <v>37.332664705235828</v>
      </c>
      <c r="P38" s="326">
        <f t="shared" si="17"/>
        <v>51.343302561036509</v>
      </c>
      <c r="Q38" s="326">
        <f t="shared" si="17"/>
        <v>29.157657003654066</v>
      </c>
    </row>
    <row r="39" spans="1:17" ht="12.75" thickTop="1">
      <c r="A39" s="321" t="s">
        <v>465</v>
      </c>
      <c r="B39" s="323">
        <f t="shared" ref="B39:Q39" si="18">B33-B38</f>
        <v>-35.689548548083948</v>
      </c>
      <c r="C39" s="323">
        <f t="shared" si="18"/>
        <v>-2.7378367124530465</v>
      </c>
      <c r="D39" s="323">
        <f t="shared" si="18"/>
        <v>-24.28474271946304</v>
      </c>
      <c r="E39" s="323">
        <f t="shared" si="18"/>
        <v>7.6703302167689325</v>
      </c>
      <c r="F39" s="323">
        <f t="shared" si="18"/>
        <v>-8.3182647265083158</v>
      </c>
      <c r="G39" s="323">
        <f t="shared" si="18"/>
        <v>12.22054403625164</v>
      </c>
      <c r="H39" s="323">
        <f t="shared" si="18"/>
        <v>-11.517436912000031</v>
      </c>
      <c r="I39" s="323">
        <f t="shared" si="18"/>
        <v>0.12286983513699568</v>
      </c>
      <c r="J39" s="323">
        <f t="shared" si="18"/>
        <v>-59.404465786252032</v>
      </c>
      <c r="K39" s="323">
        <f t="shared" si="18"/>
        <v>-16.788849898231508</v>
      </c>
      <c r="L39" s="323">
        <f t="shared" si="18"/>
        <v>-24.92364073703083</v>
      </c>
      <c r="M39" s="323">
        <f t="shared" si="18"/>
        <v>-13.047742699108795</v>
      </c>
      <c r="N39" s="323">
        <f t="shared" si="18"/>
        <v>-2.8289167012300496</v>
      </c>
      <c r="O39" s="323">
        <f t="shared" si="18"/>
        <v>-3.5945195615856349</v>
      </c>
      <c r="P39" s="323">
        <f t="shared" si="18"/>
        <v>-2.0274511825313724</v>
      </c>
      <c r="Q39" s="323">
        <f t="shared" si="18"/>
        <v>16.597672695293518</v>
      </c>
    </row>
    <row r="40" spans="1:17" ht="15">
      <c r="A40" s="321" t="s">
        <v>280</v>
      </c>
      <c r="B40" s="386" t="e">
        <f>IRR(B39:Q39)</f>
        <v>#NUM!</v>
      </c>
      <c r="I40" s="323"/>
      <c r="J40" s="323"/>
      <c r="K40" s="323"/>
      <c r="L40" s="323"/>
      <c r="M40" s="323"/>
      <c r="N40" s="323"/>
      <c r="O40" s="323"/>
      <c r="P40" s="323"/>
      <c r="Q40" s="323"/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5"/>
  <sheetViews>
    <sheetView zoomScaleNormal="100" workbookViewId="0">
      <pane xSplit="1" ySplit="1" topLeftCell="B22" activePane="bottomRight" state="frozen"/>
      <selection activeCell="U8" sqref="U8"/>
      <selection pane="topRight" activeCell="U8" sqref="U8"/>
      <selection pane="bottomLeft" activeCell="U8" sqref="U8"/>
      <selection pane="bottomRight" activeCell="B22" sqref="B22"/>
    </sheetView>
  </sheetViews>
  <sheetFormatPr defaultColWidth="8" defaultRowHeight="12" customHeight="1"/>
  <cols>
    <col min="1" max="1" width="32.85546875" style="396" bestFit="1" customWidth="1"/>
    <col min="2" max="2" width="6.85546875" style="398" customWidth="1"/>
    <col min="3" max="25" width="6.7109375" style="393" customWidth="1"/>
    <col min="26" max="26" width="7.42578125" style="393" bestFit="1" customWidth="1"/>
    <col min="27" max="100" width="6.7109375" style="393" customWidth="1"/>
    <col min="101" max="16384" width="8" style="393"/>
  </cols>
  <sheetData>
    <row r="1" spans="1:106" ht="12" customHeight="1">
      <c r="A1" s="389" t="s">
        <v>473</v>
      </c>
      <c r="B1" s="390">
        <v>10.85</v>
      </c>
      <c r="C1" s="390">
        <f>B1</f>
        <v>10.85</v>
      </c>
      <c r="D1" s="390">
        <f t="shared" ref="D1:V1" si="0">C1</f>
        <v>10.85</v>
      </c>
      <c r="E1" s="390">
        <f t="shared" si="0"/>
        <v>10.85</v>
      </c>
      <c r="F1" s="390">
        <f t="shared" si="0"/>
        <v>10.85</v>
      </c>
      <c r="G1" s="390">
        <f t="shared" si="0"/>
        <v>10.85</v>
      </c>
      <c r="H1" s="390">
        <f t="shared" si="0"/>
        <v>10.85</v>
      </c>
      <c r="I1" s="390">
        <f t="shared" si="0"/>
        <v>10.85</v>
      </c>
      <c r="J1" s="390">
        <f t="shared" si="0"/>
        <v>10.85</v>
      </c>
      <c r="K1" s="390">
        <f t="shared" si="0"/>
        <v>10.85</v>
      </c>
      <c r="L1" s="390">
        <f t="shared" si="0"/>
        <v>10.85</v>
      </c>
      <c r="M1" s="390">
        <f t="shared" si="0"/>
        <v>10.85</v>
      </c>
      <c r="N1" s="390">
        <f t="shared" si="0"/>
        <v>10.85</v>
      </c>
      <c r="O1" s="390">
        <f t="shared" si="0"/>
        <v>10.85</v>
      </c>
      <c r="P1" s="390">
        <f t="shared" si="0"/>
        <v>10.85</v>
      </c>
      <c r="Q1" s="390">
        <f t="shared" si="0"/>
        <v>10.85</v>
      </c>
      <c r="R1" s="390">
        <f t="shared" si="0"/>
        <v>10.85</v>
      </c>
      <c r="S1" s="390">
        <f t="shared" si="0"/>
        <v>10.85</v>
      </c>
      <c r="T1" s="390">
        <f t="shared" si="0"/>
        <v>10.85</v>
      </c>
      <c r="U1" s="390">
        <f t="shared" si="0"/>
        <v>10.85</v>
      </c>
      <c r="V1" s="390">
        <f t="shared" si="0"/>
        <v>10.85</v>
      </c>
      <c r="W1" s="391">
        <v>12.55</v>
      </c>
      <c r="X1" s="391">
        <v>12.55</v>
      </c>
      <c r="Y1" s="391">
        <v>12.55</v>
      </c>
      <c r="Z1" s="391">
        <v>12.55</v>
      </c>
      <c r="AA1" s="391">
        <v>12.55</v>
      </c>
      <c r="AB1" s="391">
        <v>12.55</v>
      </c>
      <c r="AC1" s="391">
        <v>12.55</v>
      </c>
      <c r="AD1" s="391">
        <v>12.55</v>
      </c>
      <c r="AE1" s="391">
        <v>12.55</v>
      </c>
      <c r="AF1" s="392">
        <v>9.5</v>
      </c>
      <c r="AG1" s="392">
        <v>9.5</v>
      </c>
      <c r="AH1" s="392">
        <v>9.5</v>
      </c>
      <c r="AI1" s="392">
        <v>9.5</v>
      </c>
      <c r="AJ1" s="392">
        <v>9.5</v>
      </c>
      <c r="AK1" s="392">
        <v>9.5</v>
      </c>
      <c r="AL1" s="392">
        <v>9.5</v>
      </c>
      <c r="AM1" s="392">
        <v>9.5</v>
      </c>
      <c r="AN1" s="392">
        <v>9.5</v>
      </c>
      <c r="AO1" s="392">
        <v>9.5</v>
      </c>
      <c r="AP1" s="392">
        <v>9.5</v>
      </c>
      <c r="AQ1" s="392">
        <v>9.5</v>
      </c>
      <c r="AR1" s="392">
        <v>9.5</v>
      </c>
      <c r="AS1" s="392">
        <v>9.5</v>
      </c>
      <c r="AT1" s="392">
        <v>9.5</v>
      </c>
      <c r="AU1" s="392">
        <v>9.5</v>
      </c>
      <c r="AV1" s="392">
        <v>9.5</v>
      </c>
      <c r="AW1" s="392">
        <v>9.5</v>
      </c>
      <c r="AX1" s="392">
        <v>9.5</v>
      </c>
      <c r="AY1" s="392">
        <v>9.5</v>
      </c>
      <c r="AZ1" s="392">
        <v>9.5</v>
      </c>
      <c r="BA1" s="392">
        <v>9.5</v>
      </c>
      <c r="BB1" s="392">
        <v>9.5</v>
      </c>
      <c r="BC1" s="392">
        <v>9.5</v>
      </c>
      <c r="BD1" s="392">
        <v>9.5</v>
      </c>
      <c r="BE1" s="392">
        <v>9.5</v>
      </c>
      <c r="BF1" s="392">
        <v>9.5</v>
      </c>
      <c r="BG1" s="392">
        <v>9.5</v>
      </c>
      <c r="BH1" s="392">
        <v>9.5</v>
      </c>
      <c r="BI1" s="392">
        <v>9.5</v>
      </c>
      <c r="BJ1" s="392">
        <v>9.5</v>
      </c>
      <c r="BK1" s="392">
        <v>9.5</v>
      </c>
      <c r="BL1" s="392">
        <v>9.5</v>
      </c>
      <c r="BM1" s="392">
        <v>9.5</v>
      </c>
      <c r="BN1" s="392">
        <v>9.5</v>
      </c>
      <c r="BO1" s="392">
        <v>9.5</v>
      </c>
      <c r="BP1" s="392">
        <v>9.5</v>
      </c>
      <c r="BQ1" s="392">
        <v>9.5</v>
      </c>
      <c r="BR1" s="392">
        <v>9.5</v>
      </c>
      <c r="BS1" s="392">
        <v>9.5</v>
      </c>
      <c r="BT1" s="392">
        <v>9.5</v>
      </c>
      <c r="BU1" s="392">
        <v>9.5</v>
      </c>
      <c r="BV1" s="392">
        <v>9.5</v>
      </c>
      <c r="BW1" s="392">
        <v>9.5</v>
      </c>
      <c r="BX1" s="392">
        <v>9.5</v>
      </c>
      <c r="BY1" s="392">
        <v>9.5</v>
      </c>
      <c r="BZ1" s="392">
        <v>9.5</v>
      </c>
      <c r="CA1" s="392">
        <v>9.5</v>
      </c>
      <c r="CB1" s="392">
        <v>9.5</v>
      </c>
      <c r="CC1" s="392">
        <v>9.5</v>
      </c>
      <c r="CD1" s="392">
        <v>9.5</v>
      </c>
      <c r="CE1" s="392">
        <v>9.5</v>
      </c>
      <c r="CF1" s="392">
        <v>9.5</v>
      </c>
      <c r="CG1" s="392">
        <v>9.5</v>
      </c>
      <c r="CH1" s="392">
        <v>9.5</v>
      </c>
      <c r="CI1" s="392">
        <v>9.5</v>
      </c>
      <c r="CJ1" s="392">
        <v>9.5</v>
      </c>
      <c r="CK1" s="392">
        <v>9.5</v>
      </c>
      <c r="CL1" s="392">
        <v>9.5</v>
      </c>
      <c r="CM1" s="392">
        <v>9.5</v>
      </c>
      <c r="CN1" s="392">
        <v>9.5</v>
      </c>
      <c r="CO1" s="392">
        <v>9.5</v>
      </c>
      <c r="CP1" s="392">
        <v>9.5</v>
      </c>
      <c r="CQ1" s="392">
        <v>9.5</v>
      </c>
      <c r="CR1" s="392">
        <v>9.5</v>
      </c>
      <c r="CS1" s="392">
        <v>9.5</v>
      </c>
      <c r="CT1" s="392">
        <v>9.5</v>
      </c>
      <c r="CU1" s="392">
        <v>9.5</v>
      </c>
      <c r="CV1" s="392">
        <v>9.5</v>
      </c>
    </row>
    <row r="2" spans="1:106" ht="12" customHeight="1">
      <c r="A2" s="389" t="str">
        <f>'Monthly PL'!A2</f>
        <v>Financial Year</v>
      </c>
      <c r="B2" s="389"/>
      <c r="C2" s="394" t="str">
        <f>'Monthly PL'!D2</f>
        <v>2020-21</v>
      </c>
      <c r="D2" s="394" t="str">
        <f>'Monthly PL'!E2</f>
        <v>2020-21</v>
      </c>
      <c r="E2" s="394" t="str">
        <f>'Monthly PL'!F2</f>
        <v>2020-21</v>
      </c>
      <c r="F2" s="394" t="str">
        <f>'Monthly PL'!G2</f>
        <v>2020-21</v>
      </c>
      <c r="G2" s="394" t="str">
        <f>'Monthly PL'!H2</f>
        <v>2020-21</v>
      </c>
      <c r="H2" s="394" t="str">
        <f>'Monthly PL'!I2</f>
        <v>2020-21</v>
      </c>
      <c r="I2" s="394" t="str">
        <f>'Monthly PL'!J2</f>
        <v>2020-21</v>
      </c>
      <c r="J2" s="394" t="str">
        <f>'Monthly PL'!K2</f>
        <v>2020-21</v>
      </c>
      <c r="K2" s="394" t="str">
        <f>'Monthly PL'!L2</f>
        <v>2021-22</v>
      </c>
      <c r="L2" s="394" t="str">
        <f>'Monthly PL'!M2</f>
        <v>2021-22</v>
      </c>
      <c r="M2" s="394" t="str">
        <f>'Monthly PL'!N2</f>
        <v>2021-22</v>
      </c>
      <c r="N2" s="394" t="str">
        <f>'Monthly PL'!O2</f>
        <v>2021-22</v>
      </c>
      <c r="O2" s="394" t="str">
        <f>'Monthly PL'!P2</f>
        <v>2021-22</v>
      </c>
      <c r="P2" s="394" t="str">
        <f>'Monthly PL'!Q2</f>
        <v>2021-22</v>
      </c>
      <c r="Q2" s="394" t="str">
        <f>'Monthly PL'!R2</f>
        <v>2021-22</v>
      </c>
      <c r="R2" s="394" t="str">
        <f>'Monthly PL'!S2</f>
        <v>2021-22</v>
      </c>
      <c r="S2" s="394" t="str">
        <f>'Monthly PL'!T2</f>
        <v>2021-22</v>
      </c>
      <c r="T2" s="394" t="str">
        <f>'Monthly PL'!U2</f>
        <v>2021-22</v>
      </c>
      <c r="U2" s="394" t="str">
        <f>'Monthly PL'!V2</f>
        <v>2021-22</v>
      </c>
      <c r="V2" s="394" t="str">
        <f>'Monthly PL'!W2</f>
        <v>2021-22</v>
      </c>
      <c r="W2" s="394" t="str">
        <f>'Monthly PL'!X2</f>
        <v>2022-23</v>
      </c>
      <c r="X2" s="394" t="str">
        <f>'Monthly PL'!Y2</f>
        <v>2022-23</v>
      </c>
      <c r="Y2" s="394" t="str">
        <f>'Monthly PL'!Z2</f>
        <v>2022-23</v>
      </c>
      <c r="Z2" s="394" t="str">
        <f>'Monthly PL'!AA2</f>
        <v>2022-23</v>
      </c>
      <c r="AA2" s="394" t="str">
        <f>'Monthly PL'!AB2</f>
        <v>2022-23</v>
      </c>
      <c r="AB2" s="394" t="str">
        <f>'Monthly PL'!AC2</f>
        <v>2022-23</v>
      </c>
      <c r="AC2" s="394" t="str">
        <f>'Monthly PL'!AD2</f>
        <v>2022-23</v>
      </c>
      <c r="AD2" s="394" t="str">
        <f>'Monthly PL'!AE2</f>
        <v>2022-23</v>
      </c>
      <c r="AE2" s="394" t="str">
        <f>'Monthly PL'!AF2</f>
        <v>2022-23</v>
      </c>
      <c r="AF2" s="394" t="str">
        <f>'Monthly PL'!AG2</f>
        <v>2022-23</v>
      </c>
      <c r="AG2" s="394" t="str">
        <f>'Monthly PL'!AH2</f>
        <v>2022-23</v>
      </c>
      <c r="AH2" s="394" t="str">
        <f>'Monthly PL'!AI2</f>
        <v>2022-23</v>
      </c>
      <c r="AI2" s="394" t="str">
        <f>'Monthly PL'!AJ2</f>
        <v>2023-24</v>
      </c>
      <c r="AJ2" s="394" t="str">
        <f>'Monthly PL'!AK2</f>
        <v>2023-24</v>
      </c>
      <c r="AK2" s="394" t="str">
        <f>'Monthly PL'!AL2</f>
        <v>2023-24</v>
      </c>
      <c r="AL2" s="394" t="str">
        <f>'Monthly PL'!AM2</f>
        <v>2023-24</v>
      </c>
      <c r="AM2" s="394" t="str">
        <f>'Monthly PL'!AN2</f>
        <v>2023-24</v>
      </c>
      <c r="AN2" s="394" t="str">
        <f>'Monthly PL'!AO2</f>
        <v>2023-24</v>
      </c>
      <c r="AO2" s="394" t="str">
        <f>'Monthly PL'!AP2</f>
        <v>2023-24</v>
      </c>
      <c r="AP2" s="394" t="str">
        <f>'Monthly PL'!AQ2</f>
        <v>2023-24</v>
      </c>
      <c r="AQ2" s="394" t="str">
        <f>'Monthly PL'!AR2</f>
        <v>2023-24</v>
      </c>
      <c r="AR2" s="394" t="str">
        <f>'Monthly PL'!AS2</f>
        <v>2023-24</v>
      </c>
      <c r="AS2" s="394" t="str">
        <f>'Monthly PL'!AT2</f>
        <v>2023-24</v>
      </c>
      <c r="AT2" s="394" t="str">
        <f>'Monthly PL'!AU2</f>
        <v>2023-24</v>
      </c>
      <c r="AU2" s="394" t="str">
        <f>'Monthly PL'!AV2</f>
        <v>2024-25</v>
      </c>
      <c r="AV2" s="394" t="str">
        <f>'Monthly PL'!AW2</f>
        <v>2024-25</v>
      </c>
      <c r="AW2" s="394" t="str">
        <f>'Monthly PL'!AX2</f>
        <v>2024-25</v>
      </c>
      <c r="AX2" s="394" t="str">
        <f>'Monthly PL'!AY2</f>
        <v>2024-25</v>
      </c>
      <c r="AY2" s="394" t="str">
        <f>'Monthly PL'!AZ2</f>
        <v>2024-25</v>
      </c>
      <c r="AZ2" s="394" t="str">
        <f>'Monthly PL'!BA2</f>
        <v>2024-25</v>
      </c>
      <c r="BA2" s="394" t="str">
        <f>'Monthly PL'!BB2</f>
        <v>2024-25</v>
      </c>
      <c r="BB2" s="394" t="str">
        <f>'Monthly PL'!BC2</f>
        <v>2024-25</v>
      </c>
      <c r="BC2" s="394" t="str">
        <f>'Monthly PL'!BD2</f>
        <v>2024-25</v>
      </c>
      <c r="BD2" s="394" t="str">
        <f>'Monthly PL'!BE2</f>
        <v>2024-25</v>
      </c>
      <c r="BE2" s="394" t="str">
        <f>'Monthly PL'!BF2</f>
        <v>2024-25</v>
      </c>
      <c r="BF2" s="394" t="str">
        <f>'Monthly PL'!BG2</f>
        <v>2024-25</v>
      </c>
      <c r="BG2" s="394" t="str">
        <f>'Monthly PL'!BH2</f>
        <v>2025-26</v>
      </c>
      <c r="BH2" s="394" t="str">
        <f>'Monthly PL'!BI2</f>
        <v>2025-26</v>
      </c>
      <c r="BI2" s="394" t="str">
        <f>'Monthly PL'!BJ2</f>
        <v>2025-26</v>
      </c>
      <c r="BJ2" s="394" t="str">
        <f>'Monthly PL'!BK2</f>
        <v>2025-26</v>
      </c>
      <c r="BK2" s="394" t="str">
        <f>'Monthly PL'!BL2</f>
        <v>2025-26</v>
      </c>
      <c r="BL2" s="394" t="str">
        <f>'Monthly PL'!BM2</f>
        <v>2025-26</v>
      </c>
      <c r="BM2" s="394" t="str">
        <f>'Monthly PL'!BN2</f>
        <v>2025-26</v>
      </c>
      <c r="BN2" s="394" t="str">
        <f>'Monthly PL'!BO2</f>
        <v>2025-26</v>
      </c>
      <c r="BO2" s="394" t="str">
        <f>'Monthly PL'!BP2</f>
        <v>2025-26</v>
      </c>
      <c r="BP2" s="394" t="str">
        <f>'Monthly PL'!BQ2</f>
        <v>2025-26</v>
      </c>
      <c r="BQ2" s="394" t="str">
        <f>'Monthly PL'!BR2</f>
        <v>2025-26</v>
      </c>
      <c r="BR2" s="394" t="str">
        <f>'Monthly PL'!BS2</f>
        <v>2025-26</v>
      </c>
      <c r="BS2" s="394" t="str">
        <f>'Monthly PL'!BT2</f>
        <v>2026-27</v>
      </c>
      <c r="BT2" s="394" t="str">
        <f>'Monthly PL'!BU2</f>
        <v>2026-27</v>
      </c>
      <c r="BU2" s="394" t="str">
        <f>'Monthly PL'!BV2</f>
        <v>2026-27</v>
      </c>
      <c r="BV2" s="394" t="str">
        <f>'Monthly PL'!BW2</f>
        <v>2026-27</v>
      </c>
      <c r="BW2" s="394" t="str">
        <f>'Monthly PL'!BX2</f>
        <v>2026-27</v>
      </c>
      <c r="BX2" s="394" t="str">
        <f>'Monthly PL'!BY2</f>
        <v>2026-27</v>
      </c>
      <c r="BY2" s="394" t="str">
        <f>'Monthly PL'!BZ2</f>
        <v>2026-27</v>
      </c>
      <c r="BZ2" s="394" t="str">
        <f>'Monthly PL'!CA2</f>
        <v>2026-27</v>
      </c>
      <c r="CA2" s="394" t="str">
        <f>'Monthly PL'!CB2</f>
        <v>2026-27</v>
      </c>
      <c r="CB2" s="394" t="str">
        <f>'Monthly PL'!CC2</f>
        <v>2026-27</v>
      </c>
      <c r="CC2" s="394" t="str">
        <f>'Monthly PL'!CD2</f>
        <v>2026-27</v>
      </c>
      <c r="CD2" s="394" t="str">
        <f>'Monthly PL'!CE2</f>
        <v>2026-27</v>
      </c>
      <c r="CE2" s="394" t="str">
        <f>'Monthly PL'!CF2</f>
        <v>2027-28</v>
      </c>
      <c r="CF2" s="394" t="str">
        <f>'Monthly PL'!CG2</f>
        <v>2027-28</v>
      </c>
      <c r="CG2" s="394" t="str">
        <f>'Monthly PL'!CH2</f>
        <v>2027-28</v>
      </c>
      <c r="CH2" s="394" t="str">
        <f>'Monthly PL'!CI2</f>
        <v>2027-28</v>
      </c>
      <c r="CI2" s="394" t="str">
        <f>'Monthly PL'!CJ2</f>
        <v>2027-28</v>
      </c>
      <c r="CJ2" s="394" t="str">
        <f>'Monthly PL'!CK2</f>
        <v>2027-28</v>
      </c>
      <c r="CK2" s="394" t="str">
        <f>'Monthly PL'!CL2</f>
        <v>2027-28</v>
      </c>
      <c r="CL2" s="394" t="str">
        <f>'Monthly PL'!CM2</f>
        <v>2027-28</v>
      </c>
      <c r="CM2" s="394" t="str">
        <f>'Monthly PL'!CN2</f>
        <v>2027-28</v>
      </c>
      <c r="CN2" s="394" t="str">
        <f>'Monthly PL'!CO2</f>
        <v>2027-28</v>
      </c>
      <c r="CO2" s="394" t="str">
        <f>'Monthly PL'!CP2</f>
        <v>2027-28</v>
      </c>
      <c r="CP2" s="394" t="str">
        <f>'Monthly PL'!CQ2</f>
        <v>2027-28</v>
      </c>
      <c r="CQ2" s="394" t="str">
        <f>'Monthly PL'!CR2</f>
        <v>2028-29</v>
      </c>
      <c r="CR2" s="394" t="str">
        <f>'Monthly PL'!CS2</f>
        <v>2028-29</v>
      </c>
      <c r="CS2" s="394" t="str">
        <f>'Monthly PL'!CT2</f>
        <v>2028-29</v>
      </c>
      <c r="CT2" s="394" t="str">
        <f>'Monthly PL'!CU2</f>
        <v>2028-29</v>
      </c>
      <c r="CU2" s="394" t="str">
        <f>'Monthly PL'!CV2</f>
        <v>2028-29</v>
      </c>
      <c r="CV2" s="394" t="str">
        <f>'Monthly PL'!CW2</f>
        <v>2028-29</v>
      </c>
    </row>
    <row r="3" spans="1:106" ht="12" customHeight="1">
      <c r="A3" s="389" t="s">
        <v>474</v>
      </c>
      <c r="B3" s="395">
        <f>'Monthly PL'!C3</f>
        <v>44043</v>
      </c>
      <c r="C3" s="395">
        <f>'Monthly PL'!D3</f>
        <v>44074</v>
      </c>
      <c r="D3" s="395">
        <f>'Monthly PL'!E3</f>
        <v>44104</v>
      </c>
      <c r="E3" s="395">
        <f>'Monthly PL'!F3</f>
        <v>44135</v>
      </c>
      <c r="F3" s="395">
        <f>'Monthly PL'!G3</f>
        <v>44165</v>
      </c>
      <c r="G3" s="395">
        <f>'Monthly PL'!H3</f>
        <v>44196</v>
      </c>
      <c r="H3" s="395">
        <f>'Monthly PL'!I3</f>
        <v>44227</v>
      </c>
      <c r="I3" s="395">
        <f>'Monthly PL'!J3</f>
        <v>44255</v>
      </c>
      <c r="J3" s="395">
        <f>'Monthly PL'!K3</f>
        <v>44286</v>
      </c>
      <c r="K3" s="395">
        <f>'Monthly PL'!L3</f>
        <v>44316</v>
      </c>
      <c r="L3" s="395">
        <f>'Monthly PL'!M3</f>
        <v>44347</v>
      </c>
      <c r="M3" s="395">
        <f>'Monthly PL'!N3</f>
        <v>44377</v>
      </c>
      <c r="N3" s="395">
        <f>'Monthly PL'!O3</f>
        <v>44408</v>
      </c>
      <c r="O3" s="395">
        <f>'Monthly PL'!P3</f>
        <v>44439</v>
      </c>
      <c r="P3" s="395">
        <f>'Monthly PL'!Q3</f>
        <v>44469</v>
      </c>
      <c r="Q3" s="395">
        <f>'Monthly PL'!R3</f>
        <v>44500</v>
      </c>
      <c r="R3" s="395">
        <f>'Monthly PL'!S3</f>
        <v>44530</v>
      </c>
      <c r="S3" s="395">
        <f>'Monthly PL'!T3</f>
        <v>44561</v>
      </c>
      <c r="T3" s="395">
        <f>'Monthly PL'!U3</f>
        <v>44592</v>
      </c>
      <c r="U3" s="395">
        <f>'Monthly PL'!V3</f>
        <v>44620</v>
      </c>
      <c r="V3" s="395">
        <f>'Monthly PL'!W3</f>
        <v>44651</v>
      </c>
      <c r="W3" s="395">
        <f>'Monthly PL'!X3</f>
        <v>44681</v>
      </c>
      <c r="X3" s="395">
        <f>'Monthly PL'!Y3</f>
        <v>44712</v>
      </c>
      <c r="Y3" s="395">
        <f>'Monthly PL'!Z3</f>
        <v>44742</v>
      </c>
      <c r="Z3" s="395">
        <f>'Monthly PL'!AA3</f>
        <v>44773</v>
      </c>
      <c r="AA3" s="395">
        <f>'Monthly PL'!AB3</f>
        <v>44804</v>
      </c>
      <c r="AB3" s="395">
        <f>'Monthly PL'!AC3</f>
        <v>44834</v>
      </c>
      <c r="AC3" s="395">
        <f>'Monthly PL'!AD3</f>
        <v>44865</v>
      </c>
      <c r="AD3" s="395">
        <f>'Monthly PL'!AE3</f>
        <v>44895</v>
      </c>
      <c r="AE3" s="395">
        <f>'Monthly PL'!AF3</f>
        <v>44926</v>
      </c>
      <c r="AF3" s="395">
        <f>'Monthly PL'!AG3</f>
        <v>44957</v>
      </c>
      <c r="AG3" s="395">
        <f>'Monthly PL'!AH3</f>
        <v>44985</v>
      </c>
      <c r="AH3" s="395">
        <f>'Monthly PL'!AI3</f>
        <v>45016</v>
      </c>
      <c r="AI3" s="395">
        <f>'Monthly PL'!AJ3</f>
        <v>45046</v>
      </c>
      <c r="AJ3" s="395">
        <f>'Monthly PL'!AK3</f>
        <v>45077</v>
      </c>
      <c r="AK3" s="395">
        <f>'Monthly PL'!AL3</f>
        <v>45107</v>
      </c>
      <c r="AL3" s="395">
        <f>'Monthly PL'!AM3</f>
        <v>45138</v>
      </c>
      <c r="AM3" s="395">
        <f>'Monthly PL'!AN3</f>
        <v>45169</v>
      </c>
      <c r="AN3" s="395">
        <f>'Monthly PL'!AO3</f>
        <v>45199</v>
      </c>
      <c r="AO3" s="395">
        <f>'Monthly PL'!AP3</f>
        <v>45230</v>
      </c>
      <c r="AP3" s="395">
        <f>'Monthly PL'!AQ3</f>
        <v>45260</v>
      </c>
      <c r="AQ3" s="395">
        <f>'Monthly PL'!AR3</f>
        <v>45291</v>
      </c>
      <c r="AR3" s="395">
        <f>'Monthly PL'!AS3</f>
        <v>45322</v>
      </c>
      <c r="AS3" s="395">
        <f>'Monthly PL'!AT3</f>
        <v>45351</v>
      </c>
      <c r="AT3" s="395">
        <f>'Monthly PL'!AU3</f>
        <v>45382</v>
      </c>
      <c r="AU3" s="395">
        <f>'Monthly PL'!AV3</f>
        <v>45412</v>
      </c>
      <c r="AV3" s="395">
        <f>'Monthly PL'!AW3</f>
        <v>45443</v>
      </c>
      <c r="AW3" s="395">
        <f>'Monthly PL'!AX3</f>
        <v>45473</v>
      </c>
      <c r="AX3" s="395">
        <f>'Monthly PL'!AY3</f>
        <v>45504</v>
      </c>
      <c r="AY3" s="395">
        <f>'Monthly PL'!AZ3</f>
        <v>45535</v>
      </c>
      <c r="AZ3" s="395">
        <f>'Monthly PL'!BA3</f>
        <v>45565</v>
      </c>
      <c r="BA3" s="395">
        <f>'Monthly PL'!BB3</f>
        <v>45596</v>
      </c>
      <c r="BB3" s="395">
        <f>'Monthly PL'!BC3</f>
        <v>45626</v>
      </c>
      <c r="BC3" s="395">
        <f>'Monthly PL'!BD3</f>
        <v>45657</v>
      </c>
      <c r="BD3" s="395">
        <f>'Monthly PL'!BE3</f>
        <v>45688</v>
      </c>
      <c r="BE3" s="395">
        <f>'Monthly PL'!BF3</f>
        <v>45716</v>
      </c>
      <c r="BF3" s="395">
        <f>'Monthly PL'!BG3</f>
        <v>45747</v>
      </c>
      <c r="BG3" s="395">
        <f>'Monthly PL'!BH3</f>
        <v>45777</v>
      </c>
      <c r="BH3" s="395">
        <f>'Monthly PL'!BI3</f>
        <v>45808</v>
      </c>
      <c r="BI3" s="395">
        <f>'Monthly PL'!BJ3</f>
        <v>45838</v>
      </c>
      <c r="BJ3" s="395">
        <f>'Monthly PL'!BK3</f>
        <v>45869</v>
      </c>
      <c r="BK3" s="395">
        <f>'Monthly PL'!BL3</f>
        <v>45900</v>
      </c>
      <c r="BL3" s="395">
        <f>'Monthly PL'!BM3</f>
        <v>45930</v>
      </c>
      <c r="BM3" s="395">
        <f>'Monthly PL'!BN3</f>
        <v>45961</v>
      </c>
      <c r="BN3" s="395">
        <f>'Monthly PL'!BO3</f>
        <v>45991</v>
      </c>
      <c r="BO3" s="395">
        <f>'Monthly PL'!BP3</f>
        <v>46022</v>
      </c>
      <c r="BP3" s="395">
        <f>'Monthly PL'!BQ3</f>
        <v>46053</v>
      </c>
      <c r="BQ3" s="395">
        <f>'Monthly PL'!BR3</f>
        <v>46081</v>
      </c>
      <c r="BR3" s="395">
        <f>'Monthly PL'!BS3</f>
        <v>46112</v>
      </c>
      <c r="BS3" s="395">
        <f>'Monthly PL'!BT3</f>
        <v>46142</v>
      </c>
      <c r="BT3" s="395">
        <f>'Monthly PL'!BU3</f>
        <v>46173</v>
      </c>
      <c r="BU3" s="395">
        <f>'Monthly PL'!BV3</f>
        <v>46203</v>
      </c>
      <c r="BV3" s="395">
        <f>'Monthly PL'!BW3</f>
        <v>46234</v>
      </c>
      <c r="BW3" s="395">
        <f>'Monthly PL'!BX3</f>
        <v>46265</v>
      </c>
      <c r="BX3" s="395">
        <f>'Monthly PL'!BY3</f>
        <v>46295</v>
      </c>
      <c r="BY3" s="395">
        <f>'Monthly PL'!BZ3</f>
        <v>46326</v>
      </c>
      <c r="BZ3" s="395">
        <f>'Monthly PL'!CA3</f>
        <v>46356</v>
      </c>
      <c r="CA3" s="395">
        <f>'Monthly PL'!CB3</f>
        <v>46387</v>
      </c>
      <c r="CB3" s="395">
        <f>'Monthly PL'!CC3</f>
        <v>46418</v>
      </c>
      <c r="CC3" s="395">
        <f>'Monthly PL'!CD3</f>
        <v>46446</v>
      </c>
      <c r="CD3" s="395">
        <f>'Monthly PL'!CE3</f>
        <v>46477</v>
      </c>
      <c r="CE3" s="395">
        <f>'Monthly PL'!CF3</f>
        <v>46507</v>
      </c>
      <c r="CF3" s="395">
        <f>'Monthly PL'!CG3</f>
        <v>46538</v>
      </c>
      <c r="CG3" s="395">
        <f>'Monthly PL'!CH3</f>
        <v>46568</v>
      </c>
      <c r="CH3" s="395">
        <f>'Monthly PL'!CI3</f>
        <v>46599</v>
      </c>
      <c r="CI3" s="395">
        <f>'Monthly PL'!CJ3</f>
        <v>46630</v>
      </c>
      <c r="CJ3" s="395">
        <f>'Monthly PL'!CK3</f>
        <v>46660</v>
      </c>
      <c r="CK3" s="395">
        <f>'Monthly PL'!CL3</f>
        <v>46691</v>
      </c>
      <c r="CL3" s="395">
        <f>'Monthly PL'!CM3</f>
        <v>46721</v>
      </c>
      <c r="CM3" s="395">
        <f>'Monthly PL'!CN3</f>
        <v>46752</v>
      </c>
      <c r="CN3" s="395">
        <f>'Monthly PL'!CO3</f>
        <v>46783</v>
      </c>
      <c r="CO3" s="395">
        <f>'Monthly PL'!CP3</f>
        <v>46812</v>
      </c>
      <c r="CP3" s="395">
        <f>'Monthly PL'!CQ3</f>
        <v>46843</v>
      </c>
      <c r="CQ3" s="395">
        <f>'Monthly PL'!CR3</f>
        <v>46873</v>
      </c>
      <c r="CR3" s="395">
        <f>'Monthly PL'!CS3</f>
        <v>46904</v>
      </c>
      <c r="CS3" s="395">
        <f>'Monthly PL'!CT3</f>
        <v>46934</v>
      </c>
      <c r="CT3" s="395">
        <f>'Monthly PL'!CU3</f>
        <v>46965</v>
      </c>
      <c r="CU3" s="395">
        <f>'Monthly PL'!CV3</f>
        <v>46996</v>
      </c>
      <c r="CV3" s="395">
        <f>'Monthly PL'!CW3</f>
        <v>47026</v>
      </c>
    </row>
    <row r="4" spans="1:106" ht="12" customHeight="1">
      <c r="A4" s="396" t="s">
        <v>247</v>
      </c>
      <c r="B4" s="295">
        <v>171.26</v>
      </c>
      <c r="C4" s="390">
        <f>B15</f>
        <v>171.26</v>
      </c>
      <c r="D4" s="390">
        <f t="shared" ref="D4:BO4" si="1">C15</f>
        <v>171.26</v>
      </c>
      <c r="E4" s="390">
        <f t="shared" si="1"/>
        <v>171.26</v>
      </c>
      <c r="F4" s="390">
        <f t="shared" si="1"/>
        <v>171.26</v>
      </c>
      <c r="G4" s="390">
        <f t="shared" si="1"/>
        <v>171.26</v>
      </c>
      <c r="H4" s="390">
        <f t="shared" si="1"/>
        <v>171.26</v>
      </c>
      <c r="I4" s="390">
        <f t="shared" si="1"/>
        <v>171.26</v>
      </c>
      <c r="J4" s="390">
        <f t="shared" si="1"/>
        <v>171.26</v>
      </c>
      <c r="K4" s="390">
        <f t="shared" si="1"/>
        <v>171.26</v>
      </c>
      <c r="L4" s="390">
        <f t="shared" si="1"/>
        <v>171.26</v>
      </c>
      <c r="M4" s="390">
        <f t="shared" si="1"/>
        <v>171.26</v>
      </c>
      <c r="N4" s="390">
        <f t="shared" si="1"/>
        <v>171.26</v>
      </c>
      <c r="O4" s="390">
        <f t="shared" si="1"/>
        <v>171.26</v>
      </c>
      <c r="P4" s="390">
        <f t="shared" si="1"/>
        <v>171.26</v>
      </c>
      <c r="Q4" s="390">
        <f t="shared" si="1"/>
        <v>171.26</v>
      </c>
      <c r="R4" s="390">
        <f t="shared" si="1"/>
        <v>171.26</v>
      </c>
      <c r="S4" s="390">
        <f t="shared" si="1"/>
        <v>171.26</v>
      </c>
      <c r="T4" s="390">
        <f t="shared" si="1"/>
        <v>210.76</v>
      </c>
      <c r="U4" s="390">
        <f t="shared" si="1"/>
        <v>210.76</v>
      </c>
      <c r="V4" s="390">
        <f t="shared" si="1"/>
        <v>210.76</v>
      </c>
      <c r="W4" s="390">
        <f>V15</f>
        <v>208.26</v>
      </c>
      <c r="X4" s="390">
        <f t="shared" si="1"/>
        <v>208.26</v>
      </c>
      <c r="Y4" s="390">
        <f t="shared" si="1"/>
        <v>208.26</v>
      </c>
      <c r="Z4" s="390">
        <f t="shared" si="1"/>
        <v>207.01</v>
      </c>
      <c r="AA4" s="390">
        <f t="shared" si="1"/>
        <v>93.154499999999985</v>
      </c>
      <c r="AB4" s="390">
        <f t="shared" si="1"/>
        <v>146.90449999999998</v>
      </c>
      <c r="AC4" s="390">
        <f t="shared" si="1"/>
        <v>146.90449999999998</v>
      </c>
      <c r="AD4" s="390">
        <f t="shared" si="1"/>
        <v>146.90449999999998</v>
      </c>
      <c r="AE4" s="390">
        <f t="shared" si="1"/>
        <v>146.90449999999998</v>
      </c>
      <c r="AF4" s="390">
        <f t="shared" si="1"/>
        <v>146.90449999999998</v>
      </c>
      <c r="AG4" s="390">
        <f t="shared" si="1"/>
        <v>146.90449999999998</v>
      </c>
      <c r="AH4" s="390">
        <f t="shared" si="1"/>
        <v>146.90449999999998</v>
      </c>
      <c r="AI4" s="390">
        <f t="shared" si="1"/>
        <v>146.90449999999998</v>
      </c>
      <c r="AJ4" s="390">
        <f t="shared" si="1"/>
        <v>146.90449999999998</v>
      </c>
      <c r="AK4" s="390">
        <f t="shared" si="1"/>
        <v>146.90449999999998</v>
      </c>
      <c r="AL4" s="390">
        <f t="shared" si="1"/>
        <v>146.90449999999998</v>
      </c>
      <c r="AM4" s="390">
        <f t="shared" si="1"/>
        <v>146.90449999999998</v>
      </c>
      <c r="AN4" s="390">
        <f t="shared" si="1"/>
        <v>146.90449999999998</v>
      </c>
      <c r="AO4" s="390">
        <f t="shared" si="1"/>
        <v>146.90449999999998</v>
      </c>
      <c r="AP4" s="390">
        <f t="shared" si="1"/>
        <v>146.90449999999998</v>
      </c>
      <c r="AQ4" s="390">
        <f t="shared" si="1"/>
        <v>146.90449999999998</v>
      </c>
      <c r="AR4" s="390">
        <f t="shared" si="1"/>
        <v>146.90449999999998</v>
      </c>
      <c r="AS4" s="390">
        <f t="shared" si="1"/>
        <v>146.90449999999998</v>
      </c>
      <c r="AT4" s="390">
        <f t="shared" si="1"/>
        <v>146.90449999999998</v>
      </c>
      <c r="AU4" s="390">
        <f t="shared" si="1"/>
        <v>145.43545499999999</v>
      </c>
      <c r="AV4" s="390">
        <f t="shared" si="1"/>
        <v>145.43545499999999</v>
      </c>
      <c r="AW4" s="390">
        <f t="shared" si="1"/>
        <v>145.43545499999999</v>
      </c>
      <c r="AX4" s="390">
        <f t="shared" si="1"/>
        <v>141.02831999999998</v>
      </c>
      <c r="AY4" s="390">
        <f t="shared" si="1"/>
        <v>141.02831999999998</v>
      </c>
      <c r="AZ4" s="390">
        <f t="shared" si="1"/>
        <v>141.02831999999998</v>
      </c>
      <c r="BA4" s="390">
        <f t="shared" si="1"/>
        <v>136.62118499999997</v>
      </c>
      <c r="BB4" s="390">
        <f t="shared" si="1"/>
        <v>136.62118499999997</v>
      </c>
      <c r="BC4" s="390">
        <f t="shared" si="1"/>
        <v>136.62118499999997</v>
      </c>
      <c r="BD4" s="390">
        <f t="shared" si="1"/>
        <v>132.21404999999996</v>
      </c>
      <c r="BE4" s="390">
        <f t="shared" si="1"/>
        <v>132.21404999999996</v>
      </c>
      <c r="BF4" s="390">
        <f t="shared" si="1"/>
        <v>132.21404999999996</v>
      </c>
      <c r="BG4" s="390">
        <f t="shared" si="1"/>
        <v>126.33786999999995</v>
      </c>
      <c r="BH4" s="390">
        <f t="shared" si="1"/>
        <v>126.33786999999995</v>
      </c>
      <c r="BI4" s="390">
        <f t="shared" si="1"/>
        <v>126.33786999999995</v>
      </c>
      <c r="BJ4" s="390">
        <f t="shared" si="1"/>
        <v>120.46168999999995</v>
      </c>
      <c r="BK4" s="390">
        <f t="shared" si="1"/>
        <v>120.46168999999995</v>
      </c>
      <c r="BL4" s="390">
        <f t="shared" si="1"/>
        <v>120.46168999999995</v>
      </c>
      <c r="BM4" s="390">
        <f t="shared" si="1"/>
        <v>114.58550999999994</v>
      </c>
      <c r="BN4" s="390">
        <f t="shared" si="1"/>
        <v>114.58550999999994</v>
      </c>
      <c r="BO4" s="390">
        <f t="shared" si="1"/>
        <v>114.58550999999994</v>
      </c>
      <c r="BP4" s="390">
        <f t="shared" ref="BP4:CV4" si="2">BO15</f>
        <v>108.70932999999994</v>
      </c>
      <c r="BQ4" s="390">
        <f t="shared" si="2"/>
        <v>108.70932999999994</v>
      </c>
      <c r="BR4" s="390">
        <f t="shared" si="2"/>
        <v>108.70932999999994</v>
      </c>
      <c r="BS4" s="390">
        <f t="shared" si="2"/>
        <v>101.73136624999994</v>
      </c>
      <c r="BT4" s="390">
        <f t="shared" si="2"/>
        <v>101.73136624999994</v>
      </c>
      <c r="BU4" s="390">
        <f t="shared" si="2"/>
        <v>101.73136624999994</v>
      </c>
      <c r="BV4" s="390">
        <f t="shared" si="2"/>
        <v>94.753402499999936</v>
      </c>
      <c r="BW4" s="390">
        <f t="shared" si="2"/>
        <v>94.753402499999936</v>
      </c>
      <c r="BX4" s="390">
        <f t="shared" si="2"/>
        <v>94.753402499999936</v>
      </c>
      <c r="BY4" s="390">
        <f t="shared" si="2"/>
        <v>87.775438749999935</v>
      </c>
      <c r="BZ4" s="390">
        <f t="shared" si="2"/>
        <v>87.775438749999935</v>
      </c>
      <c r="CA4" s="390">
        <f t="shared" si="2"/>
        <v>87.775438749999935</v>
      </c>
      <c r="CB4" s="390">
        <f t="shared" si="2"/>
        <v>80.797474999999935</v>
      </c>
      <c r="CC4" s="390">
        <f t="shared" si="2"/>
        <v>80.797474999999935</v>
      </c>
      <c r="CD4" s="390">
        <f t="shared" si="2"/>
        <v>80.797474999999935</v>
      </c>
      <c r="CE4" s="390">
        <f t="shared" si="2"/>
        <v>73.819511249999934</v>
      </c>
      <c r="CF4" s="390">
        <f t="shared" si="2"/>
        <v>73.819511249999934</v>
      </c>
      <c r="CG4" s="390">
        <f t="shared" si="2"/>
        <v>73.819511249999934</v>
      </c>
      <c r="CH4" s="390">
        <f t="shared" si="2"/>
        <v>64.270718749999929</v>
      </c>
      <c r="CI4" s="390">
        <f t="shared" si="2"/>
        <v>64.270718749999929</v>
      </c>
      <c r="CJ4" s="390">
        <f t="shared" si="2"/>
        <v>64.270718749999929</v>
      </c>
      <c r="CK4" s="390">
        <f t="shared" si="2"/>
        <v>54.721926249999932</v>
      </c>
      <c r="CL4" s="390">
        <f t="shared" si="2"/>
        <v>54.721926249999932</v>
      </c>
      <c r="CM4" s="390">
        <f t="shared" si="2"/>
        <v>54.721926249999932</v>
      </c>
      <c r="CN4" s="390">
        <f t="shared" si="2"/>
        <v>41.500521249999935</v>
      </c>
      <c r="CO4" s="390">
        <f t="shared" si="2"/>
        <v>41.500521249999935</v>
      </c>
      <c r="CP4" s="390">
        <f t="shared" si="2"/>
        <v>41.500521249999935</v>
      </c>
      <c r="CQ4" s="390">
        <f t="shared" si="2"/>
        <v>28.279116249999937</v>
      </c>
      <c r="CR4" s="390">
        <f t="shared" si="2"/>
        <v>28.279116249999937</v>
      </c>
      <c r="CS4" s="390">
        <f t="shared" si="2"/>
        <v>28.279116249999937</v>
      </c>
      <c r="CT4" s="390">
        <f t="shared" si="2"/>
        <v>14.32318874999994</v>
      </c>
      <c r="CU4" s="390">
        <f t="shared" si="2"/>
        <v>14.32318874999994</v>
      </c>
      <c r="CV4" s="390">
        <f t="shared" si="2"/>
        <v>14.32318874999994</v>
      </c>
    </row>
    <row r="5" spans="1:106" ht="12" customHeight="1">
      <c r="A5" s="396" t="s">
        <v>475</v>
      </c>
      <c r="B5" s="390">
        <v>0</v>
      </c>
      <c r="C5" s="390">
        <v>0</v>
      </c>
      <c r="D5" s="390">
        <v>0</v>
      </c>
      <c r="E5" s="390">
        <v>0</v>
      </c>
      <c r="F5" s="390">
        <v>0</v>
      </c>
      <c r="G5" s="390">
        <v>0</v>
      </c>
      <c r="H5" s="390">
        <v>0</v>
      </c>
      <c r="I5" s="390">
        <v>0</v>
      </c>
      <c r="J5" s="390">
        <v>0</v>
      </c>
      <c r="K5" s="390">
        <f>'CF Capex'!K39</f>
        <v>0</v>
      </c>
      <c r="L5" s="390">
        <f>'CF Capex'!L39</f>
        <v>0</v>
      </c>
      <c r="M5" s="390">
        <f>'CF Capex'!M39</f>
        <v>0</v>
      </c>
      <c r="N5" s="390">
        <f>'CF Capex'!N39</f>
        <v>0</v>
      </c>
      <c r="O5" s="390">
        <f>'CF Capex'!O39</f>
        <v>0</v>
      </c>
      <c r="P5" s="390">
        <v>0</v>
      </c>
      <c r="Q5" s="390">
        <v>0</v>
      </c>
      <c r="R5" s="390">
        <v>0</v>
      </c>
      <c r="S5" s="390">
        <v>0</v>
      </c>
      <c r="T5" s="390">
        <v>0</v>
      </c>
      <c r="U5" s="390">
        <v>0</v>
      </c>
      <c r="V5" s="390">
        <v>0</v>
      </c>
      <c r="W5" s="390">
        <v>0</v>
      </c>
      <c r="X5" s="390">
        <v>0</v>
      </c>
      <c r="Y5" s="390">
        <v>0</v>
      </c>
      <c r="Z5" s="390">
        <v>0</v>
      </c>
      <c r="AA5" s="390">
        <v>0</v>
      </c>
      <c r="AB5" s="390">
        <v>0</v>
      </c>
      <c r="AC5" s="390">
        <v>0</v>
      </c>
      <c r="AD5" s="390">
        <v>0</v>
      </c>
      <c r="AE5" s="390">
        <v>0</v>
      </c>
      <c r="AF5" s="390">
        <v>0</v>
      </c>
      <c r="AG5" s="390">
        <v>0</v>
      </c>
      <c r="AH5" s="390">
        <v>0</v>
      </c>
      <c r="AI5" s="390">
        <v>0</v>
      </c>
      <c r="AJ5" s="390">
        <v>0</v>
      </c>
      <c r="AK5" s="390">
        <v>0</v>
      </c>
      <c r="AL5" s="390">
        <v>0</v>
      </c>
      <c r="AM5" s="390">
        <v>0</v>
      </c>
      <c r="AN5" s="390">
        <v>0</v>
      </c>
      <c r="AO5" s="390">
        <v>0</v>
      </c>
      <c r="AP5" s="390">
        <v>0</v>
      </c>
      <c r="AQ5" s="390">
        <v>0</v>
      </c>
      <c r="AR5" s="390">
        <v>0</v>
      </c>
      <c r="AS5" s="390">
        <v>0</v>
      </c>
      <c r="AT5" s="390">
        <v>0</v>
      </c>
      <c r="AU5" s="390">
        <v>0</v>
      </c>
      <c r="AV5" s="390">
        <v>0</v>
      </c>
      <c r="AW5" s="390">
        <v>0</v>
      </c>
      <c r="AX5" s="390">
        <v>0</v>
      </c>
      <c r="AY5" s="390">
        <v>0</v>
      </c>
      <c r="AZ5" s="390">
        <v>0</v>
      </c>
      <c r="BA5" s="390">
        <v>0</v>
      </c>
      <c r="BB5" s="390">
        <v>0</v>
      </c>
      <c r="BC5" s="390">
        <v>0</v>
      </c>
      <c r="BD5" s="390">
        <v>0</v>
      </c>
      <c r="BE5" s="390">
        <v>0</v>
      </c>
      <c r="BF5" s="390">
        <v>0</v>
      </c>
      <c r="BG5" s="390">
        <v>0</v>
      </c>
      <c r="BH5" s="390">
        <v>0</v>
      </c>
      <c r="BI5" s="390">
        <v>0</v>
      </c>
      <c r="BJ5" s="390">
        <v>0</v>
      </c>
      <c r="BK5" s="390">
        <v>0</v>
      </c>
      <c r="BL5" s="390">
        <v>0</v>
      </c>
      <c r="BM5" s="390">
        <v>0</v>
      </c>
      <c r="BN5" s="390">
        <v>0</v>
      </c>
      <c r="BO5" s="390">
        <v>0</v>
      </c>
      <c r="BP5" s="390">
        <v>0</v>
      </c>
      <c r="BQ5" s="390">
        <v>0</v>
      </c>
      <c r="BR5" s="390">
        <v>0</v>
      </c>
      <c r="BS5" s="390">
        <v>0</v>
      </c>
      <c r="BT5" s="390">
        <v>0</v>
      </c>
      <c r="BU5" s="390">
        <v>0</v>
      </c>
      <c r="BV5" s="390">
        <v>0</v>
      </c>
      <c r="BW5" s="390">
        <v>0</v>
      </c>
      <c r="BX5" s="390">
        <v>0</v>
      </c>
      <c r="BY5" s="390">
        <v>0</v>
      </c>
      <c r="BZ5" s="390">
        <v>0</v>
      </c>
      <c r="CA5" s="390">
        <v>0</v>
      </c>
      <c r="CB5" s="390">
        <v>0</v>
      </c>
      <c r="CC5" s="390">
        <v>0</v>
      </c>
      <c r="CD5" s="390">
        <v>0</v>
      </c>
      <c r="CE5" s="390">
        <v>0</v>
      </c>
      <c r="CF5" s="390">
        <v>0</v>
      </c>
      <c r="CG5" s="390">
        <v>0</v>
      </c>
      <c r="CH5" s="390">
        <v>0</v>
      </c>
      <c r="CI5" s="390">
        <v>0</v>
      </c>
      <c r="CJ5" s="390">
        <v>0</v>
      </c>
      <c r="CK5" s="390">
        <v>0</v>
      </c>
      <c r="CL5" s="390">
        <v>0</v>
      </c>
      <c r="CM5" s="390">
        <v>0</v>
      </c>
      <c r="CN5" s="390">
        <v>0</v>
      </c>
      <c r="CO5" s="390">
        <v>0</v>
      </c>
      <c r="CP5" s="390">
        <v>0</v>
      </c>
      <c r="CQ5" s="390">
        <v>0</v>
      </c>
      <c r="CR5" s="390">
        <v>0</v>
      </c>
      <c r="CS5" s="390">
        <v>0</v>
      </c>
      <c r="CT5" s="390">
        <v>0</v>
      </c>
      <c r="CU5" s="390">
        <v>0</v>
      </c>
      <c r="CV5" s="390">
        <v>0</v>
      </c>
    </row>
    <row r="6" spans="1:106" ht="12" customHeight="1">
      <c r="A6" s="396" t="s">
        <v>476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75">
        <v>0</v>
      </c>
      <c r="I6" s="390">
        <v>0</v>
      </c>
      <c r="J6" s="390">
        <v>0</v>
      </c>
      <c r="K6" s="390">
        <v>0</v>
      </c>
      <c r="L6" s="390">
        <v>0</v>
      </c>
      <c r="M6" s="390">
        <v>0</v>
      </c>
      <c r="N6" s="390">
        <v>0</v>
      </c>
      <c r="O6" s="390">
        <v>0</v>
      </c>
      <c r="P6" s="390">
        <v>0</v>
      </c>
      <c r="Q6" s="390">
        <v>0</v>
      </c>
      <c r="R6" s="390">
        <v>0</v>
      </c>
      <c r="S6" s="390">
        <f>'Monthly BS'!R15</f>
        <v>2.9</v>
      </c>
      <c r="T6" s="390">
        <v>0</v>
      </c>
      <c r="U6" s="390">
        <v>0</v>
      </c>
      <c r="V6" s="390">
        <v>0</v>
      </c>
      <c r="W6" s="390">
        <v>0</v>
      </c>
      <c r="X6" s="390">
        <v>0</v>
      </c>
      <c r="Y6" s="390">
        <v>0</v>
      </c>
      <c r="Z6" s="390">
        <v>0</v>
      </c>
      <c r="AA6" s="390">
        <v>0</v>
      </c>
      <c r="AB6" s="390">
        <v>0</v>
      </c>
      <c r="AC6" s="390">
        <v>0</v>
      </c>
      <c r="AD6" s="390">
        <v>0</v>
      </c>
      <c r="AE6" s="390">
        <v>0</v>
      </c>
      <c r="AF6" s="390">
        <v>0</v>
      </c>
      <c r="AG6" s="390">
        <v>0</v>
      </c>
      <c r="AH6" s="390">
        <v>0</v>
      </c>
      <c r="AI6" s="390">
        <v>0</v>
      </c>
      <c r="AJ6" s="390">
        <v>0</v>
      </c>
      <c r="AK6" s="390">
        <v>0</v>
      </c>
      <c r="AL6" s="390">
        <v>0</v>
      </c>
      <c r="AM6" s="390">
        <v>0</v>
      </c>
      <c r="AN6" s="390">
        <v>0</v>
      </c>
      <c r="AO6" s="390">
        <v>0</v>
      </c>
      <c r="AP6" s="390">
        <v>0</v>
      </c>
      <c r="AQ6" s="390">
        <v>0</v>
      </c>
      <c r="AR6" s="390">
        <v>0</v>
      </c>
      <c r="AS6" s="390">
        <v>0</v>
      </c>
      <c r="AT6" s="390">
        <v>0</v>
      </c>
      <c r="AU6" s="390">
        <v>0</v>
      </c>
      <c r="AV6" s="390">
        <v>0</v>
      </c>
      <c r="AW6" s="390">
        <v>0</v>
      </c>
      <c r="AX6" s="390">
        <v>0</v>
      </c>
      <c r="AY6" s="390">
        <v>0</v>
      </c>
      <c r="AZ6" s="390">
        <v>0</v>
      </c>
      <c r="BA6" s="390">
        <v>0</v>
      </c>
      <c r="BB6" s="390">
        <v>0</v>
      </c>
      <c r="BC6" s="390">
        <v>0</v>
      </c>
      <c r="BD6" s="390">
        <v>0</v>
      </c>
      <c r="BE6" s="390">
        <v>0</v>
      </c>
      <c r="BF6" s="390">
        <v>0</v>
      </c>
      <c r="BG6" s="390">
        <v>0</v>
      </c>
      <c r="BH6" s="390">
        <v>0</v>
      </c>
      <c r="BI6" s="390">
        <v>0</v>
      </c>
      <c r="BJ6" s="390">
        <v>0</v>
      </c>
      <c r="BK6" s="390">
        <v>0</v>
      </c>
      <c r="BL6" s="390">
        <v>0</v>
      </c>
      <c r="BM6" s="390">
        <v>0</v>
      </c>
      <c r="BN6" s="390">
        <v>0</v>
      </c>
      <c r="BO6" s="390">
        <v>0</v>
      </c>
      <c r="BP6" s="390">
        <v>0</v>
      </c>
      <c r="BQ6" s="390">
        <v>0</v>
      </c>
      <c r="BR6" s="390">
        <v>0</v>
      </c>
      <c r="BS6" s="390">
        <v>0</v>
      </c>
      <c r="BT6" s="390">
        <v>0</v>
      </c>
      <c r="BU6" s="390">
        <v>0</v>
      </c>
      <c r="BV6" s="390">
        <v>0</v>
      </c>
      <c r="BW6" s="390">
        <v>0</v>
      </c>
      <c r="BX6" s="390">
        <v>0</v>
      </c>
      <c r="BY6" s="390">
        <v>0</v>
      </c>
      <c r="BZ6" s="390">
        <v>0</v>
      </c>
      <c r="CA6" s="390">
        <v>0</v>
      </c>
      <c r="CB6" s="390">
        <v>0</v>
      </c>
      <c r="CC6" s="390">
        <v>0</v>
      </c>
      <c r="CD6" s="390">
        <v>0</v>
      </c>
      <c r="CE6" s="390">
        <v>0</v>
      </c>
      <c r="CF6" s="390">
        <v>0</v>
      </c>
      <c r="CG6" s="390">
        <v>0</v>
      </c>
      <c r="CH6" s="390">
        <v>0</v>
      </c>
      <c r="CI6" s="390">
        <v>0</v>
      </c>
      <c r="CJ6" s="390">
        <v>0</v>
      </c>
      <c r="CK6" s="390">
        <v>0</v>
      </c>
      <c r="CL6" s="390">
        <v>0</v>
      </c>
      <c r="CM6" s="390">
        <v>0</v>
      </c>
      <c r="CN6" s="390">
        <v>0</v>
      </c>
      <c r="CO6" s="390">
        <v>0</v>
      </c>
      <c r="CP6" s="390">
        <v>0</v>
      </c>
      <c r="CQ6" s="390">
        <v>0</v>
      </c>
      <c r="CR6" s="390">
        <v>0</v>
      </c>
      <c r="CS6" s="390">
        <v>0</v>
      </c>
      <c r="CT6" s="390">
        <v>0</v>
      </c>
      <c r="CU6" s="390">
        <v>0</v>
      </c>
      <c r="CV6" s="390">
        <v>0</v>
      </c>
    </row>
    <row r="7" spans="1:106" ht="12" customHeight="1">
      <c r="A7" s="396" t="s">
        <v>299</v>
      </c>
      <c r="B7" s="390">
        <v>0</v>
      </c>
      <c r="C7" s="390">
        <v>0</v>
      </c>
      <c r="D7" s="390">
        <v>0</v>
      </c>
      <c r="E7" s="390">
        <v>0</v>
      </c>
      <c r="F7" s="390">
        <v>0</v>
      </c>
      <c r="G7" s="390">
        <v>0</v>
      </c>
      <c r="H7" s="375">
        <v>0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  <c r="O7" s="390">
        <v>0</v>
      </c>
      <c r="P7" s="390">
        <v>0</v>
      </c>
      <c r="Q7" s="390">
        <v>0</v>
      </c>
      <c r="R7" s="390">
        <v>0</v>
      </c>
      <c r="S7" s="390">
        <f>'Monthly BS'!R10</f>
        <v>30</v>
      </c>
      <c r="T7" s="390">
        <v>0</v>
      </c>
      <c r="U7" s="390">
        <v>0</v>
      </c>
      <c r="V7" s="390">
        <v>0</v>
      </c>
      <c r="W7" s="390">
        <v>0</v>
      </c>
      <c r="X7" s="390">
        <v>0</v>
      </c>
      <c r="Y7" s="390">
        <v>0</v>
      </c>
      <c r="Z7" s="390">
        <v>0</v>
      </c>
      <c r="AA7" s="390">
        <v>0</v>
      </c>
      <c r="AB7" s="390">
        <v>0</v>
      </c>
      <c r="AC7" s="390">
        <v>0</v>
      </c>
      <c r="AD7" s="390">
        <v>0</v>
      </c>
      <c r="AE7" s="390">
        <v>0</v>
      </c>
      <c r="AF7" s="390">
        <v>0</v>
      </c>
      <c r="AG7" s="390">
        <v>0</v>
      </c>
      <c r="AH7" s="390">
        <v>0</v>
      </c>
      <c r="AI7" s="390">
        <v>0</v>
      </c>
      <c r="AJ7" s="390">
        <v>0</v>
      </c>
      <c r="AK7" s="390">
        <v>0</v>
      </c>
      <c r="AL7" s="390">
        <v>0</v>
      </c>
      <c r="AM7" s="390">
        <v>0</v>
      </c>
      <c r="AN7" s="390">
        <v>0</v>
      </c>
      <c r="AO7" s="390">
        <v>0</v>
      </c>
      <c r="AP7" s="390">
        <v>0</v>
      </c>
      <c r="AQ7" s="390">
        <v>0</v>
      </c>
      <c r="AR7" s="390">
        <v>0</v>
      </c>
      <c r="AS7" s="390">
        <v>0</v>
      </c>
      <c r="AT7" s="390">
        <v>0</v>
      </c>
      <c r="AU7" s="390">
        <v>0</v>
      </c>
      <c r="AV7" s="390">
        <v>0</v>
      </c>
      <c r="AW7" s="390">
        <v>0</v>
      </c>
      <c r="AX7" s="390">
        <v>0</v>
      </c>
      <c r="AY7" s="390">
        <v>0</v>
      </c>
      <c r="AZ7" s="390">
        <v>0</v>
      </c>
      <c r="BA7" s="390">
        <v>0</v>
      </c>
      <c r="BB7" s="390">
        <v>0</v>
      </c>
      <c r="BC7" s="390">
        <v>0</v>
      </c>
      <c r="BD7" s="390">
        <v>0</v>
      </c>
      <c r="BE7" s="390">
        <v>0</v>
      </c>
      <c r="BF7" s="390">
        <v>0</v>
      </c>
      <c r="BG7" s="390">
        <v>0</v>
      </c>
      <c r="BH7" s="390">
        <v>0</v>
      </c>
      <c r="BI7" s="390">
        <v>0</v>
      </c>
      <c r="BJ7" s="390">
        <v>0</v>
      </c>
      <c r="BK7" s="390">
        <v>0</v>
      </c>
      <c r="BL7" s="390">
        <v>0</v>
      </c>
      <c r="BM7" s="390">
        <v>0</v>
      </c>
      <c r="BN7" s="390">
        <v>0</v>
      </c>
      <c r="BO7" s="390">
        <v>0</v>
      </c>
      <c r="BP7" s="390">
        <v>0</v>
      </c>
      <c r="BQ7" s="390">
        <v>0</v>
      </c>
      <c r="BR7" s="390">
        <v>0</v>
      </c>
      <c r="BS7" s="390">
        <v>0</v>
      </c>
      <c r="BT7" s="390">
        <v>0</v>
      </c>
      <c r="BU7" s="390">
        <v>0</v>
      </c>
      <c r="BV7" s="390">
        <v>0</v>
      </c>
      <c r="BW7" s="390">
        <v>0</v>
      </c>
      <c r="BX7" s="390">
        <v>0</v>
      </c>
      <c r="BY7" s="390">
        <v>0</v>
      </c>
      <c r="BZ7" s="390">
        <v>0</v>
      </c>
      <c r="CA7" s="390">
        <v>0</v>
      </c>
      <c r="CB7" s="390">
        <v>0</v>
      </c>
      <c r="CC7" s="390">
        <v>0</v>
      </c>
      <c r="CD7" s="390">
        <v>0</v>
      </c>
      <c r="CE7" s="390">
        <v>0</v>
      </c>
      <c r="CF7" s="390">
        <v>0</v>
      </c>
      <c r="CG7" s="390">
        <v>0</v>
      </c>
      <c r="CH7" s="390">
        <v>0</v>
      </c>
      <c r="CI7" s="390">
        <v>0</v>
      </c>
      <c r="CJ7" s="390">
        <v>0</v>
      </c>
      <c r="CK7" s="390">
        <v>0</v>
      </c>
      <c r="CL7" s="390">
        <v>0</v>
      </c>
      <c r="CM7" s="390">
        <v>0</v>
      </c>
      <c r="CN7" s="390">
        <v>0</v>
      </c>
      <c r="CO7" s="390">
        <v>0</v>
      </c>
      <c r="CP7" s="390">
        <v>0</v>
      </c>
      <c r="CQ7" s="390">
        <v>0</v>
      </c>
      <c r="CR7" s="390">
        <v>0</v>
      </c>
      <c r="CS7" s="390">
        <v>0</v>
      </c>
      <c r="CT7" s="390">
        <v>0</v>
      </c>
      <c r="CU7" s="390">
        <v>0</v>
      </c>
      <c r="CV7" s="390">
        <v>0</v>
      </c>
    </row>
    <row r="8" spans="1:106" ht="12" customHeight="1">
      <c r="A8" s="396" t="s">
        <v>477</v>
      </c>
      <c r="B8" s="390">
        <v>0</v>
      </c>
      <c r="C8" s="390">
        <v>0</v>
      </c>
      <c r="D8" s="390">
        <v>0</v>
      </c>
      <c r="E8" s="390">
        <v>0</v>
      </c>
      <c r="F8" s="390">
        <v>0</v>
      </c>
      <c r="G8" s="390">
        <v>0</v>
      </c>
      <c r="H8" s="375">
        <v>0</v>
      </c>
      <c r="I8" s="390">
        <v>0</v>
      </c>
      <c r="J8" s="390">
        <v>0</v>
      </c>
      <c r="K8" s="390">
        <v>0</v>
      </c>
      <c r="L8" s="390">
        <v>0</v>
      </c>
      <c r="M8" s="390">
        <v>0</v>
      </c>
      <c r="N8" s="390">
        <v>0</v>
      </c>
      <c r="O8" s="390">
        <v>0</v>
      </c>
      <c r="P8" s="390">
        <v>0</v>
      </c>
      <c r="Q8" s="390">
        <v>0</v>
      </c>
      <c r="R8" s="390">
        <v>0</v>
      </c>
      <c r="S8" s="390">
        <v>2.69</v>
      </c>
      <c r="T8" s="390">
        <v>0</v>
      </c>
      <c r="U8" s="390">
        <v>0</v>
      </c>
      <c r="V8" s="390">
        <v>0</v>
      </c>
      <c r="W8" s="390">
        <v>0</v>
      </c>
      <c r="X8" s="390">
        <v>0</v>
      </c>
      <c r="Y8" s="390">
        <v>0</v>
      </c>
      <c r="Z8" s="390">
        <v>0</v>
      </c>
      <c r="AA8" s="390">
        <v>0</v>
      </c>
      <c r="AB8" s="390">
        <v>0</v>
      </c>
      <c r="AC8" s="390">
        <v>0</v>
      </c>
      <c r="AD8" s="390">
        <v>0</v>
      </c>
      <c r="AE8" s="390">
        <v>0</v>
      </c>
      <c r="AF8" s="390">
        <v>0</v>
      </c>
      <c r="AG8" s="390">
        <v>0</v>
      </c>
      <c r="AH8" s="390">
        <v>0</v>
      </c>
      <c r="AI8" s="390">
        <v>0</v>
      </c>
      <c r="AJ8" s="390">
        <v>0</v>
      </c>
      <c r="AK8" s="390">
        <v>0</v>
      </c>
      <c r="AL8" s="390">
        <v>0</v>
      </c>
      <c r="AM8" s="390">
        <v>0</v>
      </c>
      <c r="AN8" s="390">
        <v>0</v>
      </c>
      <c r="AO8" s="390">
        <v>0</v>
      </c>
      <c r="AP8" s="390">
        <v>0</v>
      </c>
      <c r="AQ8" s="390">
        <v>0</v>
      </c>
      <c r="AR8" s="390">
        <v>0</v>
      </c>
      <c r="AS8" s="390">
        <v>0</v>
      </c>
      <c r="AT8" s="390">
        <v>0</v>
      </c>
      <c r="AU8" s="390">
        <v>0</v>
      </c>
      <c r="AV8" s="390">
        <v>0</v>
      </c>
      <c r="AW8" s="390">
        <v>0</v>
      </c>
      <c r="AX8" s="390">
        <v>0</v>
      </c>
      <c r="AY8" s="390">
        <v>0</v>
      </c>
      <c r="AZ8" s="390">
        <v>0</v>
      </c>
      <c r="BA8" s="390">
        <v>0</v>
      </c>
      <c r="BB8" s="390">
        <v>0</v>
      </c>
      <c r="BC8" s="390">
        <v>0</v>
      </c>
      <c r="BD8" s="390">
        <v>0</v>
      </c>
      <c r="BE8" s="390">
        <v>0</v>
      </c>
      <c r="BF8" s="390">
        <v>0</v>
      </c>
      <c r="BG8" s="390">
        <v>0</v>
      </c>
      <c r="BH8" s="390">
        <v>0</v>
      </c>
      <c r="BI8" s="390">
        <v>0</v>
      </c>
      <c r="BJ8" s="390">
        <v>0</v>
      </c>
      <c r="BK8" s="390">
        <v>0</v>
      </c>
      <c r="BL8" s="390">
        <v>0</v>
      </c>
      <c r="BM8" s="390">
        <v>0</v>
      </c>
      <c r="BN8" s="390">
        <v>0</v>
      </c>
      <c r="BO8" s="390">
        <v>0</v>
      </c>
      <c r="BP8" s="390">
        <v>0</v>
      </c>
      <c r="BQ8" s="390">
        <v>0</v>
      </c>
      <c r="BR8" s="390">
        <v>0</v>
      </c>
      <c r="BS8" s="390">
        <v>0</v>
      </c>
      <c r="BT8" s="390">
        <v>0</v>
      </c>
      <c r="BU8" s="390">
        <v>0</v>
      </c>
      <c r="BV8" s="390">
        <v>0</v>
      </c>
      <c r="BW8" s="390">
        <v>0</v>
      </c>
      <c r="BX8" s="390">
        <v>0</v>
      </c>
      <c r="BY8" s="390">
        <v>0</v>
      </c>
      <c r="BZ8" s="390">
        <v>0</v>
      </c>
      <c r="CA8" s="390">
        <v>0</v>
      </c>
      <c r="CB8" s="390">
        <v>0</v>
      </c>
      <c r="CC8" s="390">
        <v>0</v>
      </c>
      <c r="CD8" s="390">
        <v>0</v>
      </c>
      <c r="CE8" s="390">
        <v>0</v>
      </c>
      <c r="CF8" s="390">
        <v>0</v>
      </c>
      <c r="CG8" s="390">
        <v>0</v>
      </c>
      <c r="CH8" s="390">
        <v>0</v>
      </c>
      <c r="CI8" s="390">
        <v>0</v>
      </c>
      <c r="CJ8" s="390">
        <v>0</v>
      </c>
      <c r="CK8" s="390">
        <v>0</v>
      </c>
      <c r="CL8" s="390">
        <v>0</v>
      </c>
      <c r="CM8" s="390">
        <v>0</v>
      </c>
      <c r="CN8" s="390">
        <v>0</v>
      </c>
      <c r="CO8" s="390">
        <v>0</v>
      </c>
      <c r="CP8" s="390">
        <v>0</v>
      </c>
      <c r="CQ8" s="390">
        <v>0</v>
      </c>
      <c r="CR8" s="390">
        <v>0</v>
      </c>
      <c r="CS8" s="390">
        <v>0</v>
      </c>
      <c r="CT8" s="390">
        <v>0</v>
      </c>
      <c r="CU8" s="390">
        <v>0</v>
      </c>
      <c r="CV8" s="390">
        <v>0</v>
      </c>
    </row>
    <row r="9" spans="1:106" ht="12" customHeight="1">
      <c r="A9" s="396" t="s">
        <v>478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75">
        <v>0</v>
      </c>
      <c r="I9" s="390">
        <v>0</v>
      </c>
      <c r="J9" s="390">
        <v>0</v>
      </c>
      <c r="K9" s="390">
        <v>0</v>
      </c>
      <c r="L9" s="390">
        <v>0</v>
      </c>
      <c r="M9" s="390">
        <v>0</v>
      </c>
      <c r="N9" s="390">
        <v>0</v>
      </c>
      <c r="O9" s="390">
        <v>0</v>
      </c>
      <c r="P9" s="390">
        <v>0</v>
      </c>
      <c r="Q9" s="390">
        <v>0</v>
      </c>
      <c r="R9" s="390">
        <v>0</v>
      </c>
      <c r="S9" s="390">
        <v>3.91</v>
      </c>
      <c r="T9" s="390">
        <v>0</v>
      </c>
      <c r="U9" s="390">
        <v>0</v>
      </c>
      <c r="V9" s="390">
        <v>0</v>
      </c>
      <c r="W9" s="390">
        <v>0</v>
      </c>
      <c r="X9" s="390">
        <v>0</v>
      </c>
      <c r="Y9" s="390">
        <v>0</v>
      </c>
      <c r="Z9" s="390">
        <v>0</v>
      </c>
      <c r="AA9" s="390">
        <v>0</v>
      </c>
      <c r="AB9" s="390">
        <v>0</v>
      </c>
      <c r="AC9" s="390">
        <v>0</v>
      </c>
      <c r="AD9" s="390">
        <v>0</v>
      </c>
      <c r="AE9" s="390">
        <v>0</v>
      </c>
      <c r="AF9" s="390">
        <v>0</v>
      </c>
      <c r="AG9" s="390">
        <v>0</v>
      </c>
      <c r="AH9" s="390">
        <v>0</v>
      </c>
      <c r="AI9" s="390">
        <v>0</v>
      </c>
      <c r="AJ9" s="390">
        <v>0</v>
      </c>
      <c r="AK9" s="390">
        <v>0</v>
      </c>
      <c r="AL9" s="390">
        <v>0</v>
      </c>
      <c r="AM9" s="390">
        <v>0</v>
      </c>
      <c r="AN9" s="390">
        <v>0</v>
      </c>
      <c r="AO9" s="390">
        <v>0</v>
      </c>
      <c r="AP9" s="390">
        <v>0</v>
      </c>
      <c r="AQ9" s="390">
        <v>0</v>
      </c>
      <c r="AR9" s="390">
        <v>0</v>
      </c>
      <c r="AS9" s="390">
        <v>0</v>
      </c>
      <c r="AT9" s="390">
        <v>0</v>
      </c>
      <c r="AU9" s="390">
        <v>0</v>
      </c>
      <c r="AV9" s="390">
        <v>0</v>
      </c>
      <c r="AW9" s="390">
        <v>0</v>
      </c>
      <c r="AX9" s="390">
        <v>0</v>
      </c>
      <c r="AY9" s="390">
        <v>0</v>
      </c>
      <c r="AZ9" s="390">
        <v>0</v>
      </c>
      <c r="BA9" s="390">
        <v>0</v>
      </c>
      <c r="BB9" s="390">
        <v>0</v>
      </c>
      <c r="BC9" s="390">
        <v>0</v>
      </c>
      <c r="BD9" s="390">
        <v>0</v>
      </c>
      <c r="BE9" s="390">
        <v>0</v>
      </c>
      <c r="BF9" s="390">
        <v>0</v>
      </c>
      <c r="BG9" s="390">
        <v>0</v>
      </c>
      <c r="BH9" s="390">
        <v>0</v>
      </c>
      <c r="BI9" s="390">
        <v>0</v>
      </c>
      <c r="BJ9" s="390">
        <v>0</v>
      </c>
      <c r="BK9" s="390">
        <v>0</v>
      </c>
      <c r="BL9" s="390">
        <v>0</v>
      </c>
      <c r="BM9" s="390">
        <v>0</v>
      </c>
      <c r="BN9" s="390">
        <v>0</v>
      </c>
      <c r="BO9" s="390">
        <v>0</v>
      </c>
      <c r="BP9" s="390">
        <v>0</v>
      </c>
      <c r="BQ9" s="390">
        <v>0</v>
      </c>
      <c r="BR9" s="390">
        <v>0</v>
      </c>
      <c r="BS9" s="390">
        <v>0</v>
      </c>
      <c r="BT9" s="390">
        <v>0</v>
      </c>
      <c r="BU9" s="390">
        <v>0</v>
      </c>
      <c r="BV9" s="390">
        <v>0</v>
      </c>
      <c r="BW9" s="390">
        <v>0</v>
      </c>
      <c r="BX9" s="390">
        <v>0</v>
      </c>
      <c r="BY9" s="390">
        <v>0</v>
      </c>
      <c r="BZ9" s="390">
        <v>0</v>
      </c>
      <c r="CA9" s="390">
        <v>0</v>
      </c>
      <c r="CB9" s="390">
        <v>0</v>
      </c>
      <c r="CC9" s="390">
        <v>0</v>
      </c>
      <c r="CD9" s="390">
        <v>0</v>
      </c>
      <c r="CE9" s="390">
        <v>0</v>
      </c>
      <c r="CF9" s="390">
        <v>0</v>
      </c>
      <c r="CG9" s="390">
        <v>0</v>
      </c>
      <c r="CH9" s="390">
        <v>0</v>
      </c>
      <c r="CI9" s="390">
        <v>0</v>
      </c>
      <c r="CJ9" s="390">
        <v>0</v>
      </c>
      <c r="CK9" s="390">
        <v>0</v>
      </c>
      <c r="CL9" s="390">
        <v>0</v>
      </c>
      <c r="CM9" s="390">
        <v>0</v>
      </c>
      <c r="CN9" s="390">
        <v>0</v>
      </c>
      <c r="CO9" s="390">
        <v>0</v>
      </c>
      <c r="CP9" s="390">
        <v>0</v>
      </c>
      <c r="CQ9" s="390">
        <v>0</v>
      </c>
      <c r="CR9" s="390">
        <v>0</v>
      </c>
      <c r="CS9" s="390">
        <v>0</v>
      </c>
      <c r="CT9" s="390">
        <v>0</v>
      </c>
      <c r="CU9" s="390">
        <v>0</v>
      </c>
      <c r="CV9" s="390">
        <v>0</v>
      </c>
    </row>
    <row r="10" spans="1:106" ht="12" customHeight="1">
      <c r="A10" s="396" t="s">
        <v>287</v>
      </c>
      <c r="B10" s="390">
        <v>0</v>
      </c>
      <c r="C10" s="390">
        <v>0</v>
      </c>
      <c r="D10" s="390">
        <v>0</v>
      </c>
      <c r="E10" s="390">
        <v>0</v>
      </c>
      <c r="F10" s="390">
        <v>0</v>
      </c>
      <c r="G10" s="390">
        <v>0</v>
      </c>
      <c r="H10" s="375">
        <v>0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  <c r="O10" s="390">
        <v>0</v>
      </c>
      <c r="P10" s="390">
        <v>0</v>
      </c>
      <c r="Q10" s="390">
        <v>0</v>
      </c>
      <c r="R10" s="390">
        <v>0</v>
      </c>
      <c r="S10" s="390">
        <v>0</v>
      </c>
      <c r="T10" s="390">
        <v>0</v>
      </c>
      <c r="U10" s="390">
        <v>0</v>
      </c>
      <c r="V10" s="390">
        <v>0</v>
      </c>
      <c r="W10" s="390">
        <v>0</v>
      </c>
      <c r="X10" s="390">
        <v>0</v>
      </c>
      <c r="Y10" s="390">
        <v>0</v>
      </c>
      <c r="Z10" s="390">
        <v>0</v>
      </c>
      <c r="AA10" s="341">
        <f>'CF Capex'!Q11</f>
        <v>50</v>
      </c>
      <c r="AB10" s="390">
        <v>0</v>
      </c>
      <c r="AC10" s="390">
        <v>0</v>
      </c>
      <c r="AD10" s="390">
        <v>0</v>
      </c>
      <c r="AE10" s="390">
        <v>0</v>
      </c>
      <c r="AF10" s="390">
        <v>0</v>
      </c>
      <c r="AG10" s="390">
        <v>0</v>
      </c>
      <c r="AH10" s="390">
        <v>0</v>
      </c>
      <c r="AI10" s="390">
        <v>0</v>
      </c>
      <c r="AJ10" s="390">
        <v>0</v>
      </c>
      <c r="AK10" s="390">
        <v>0</v>
      </c>
      <c r="AL10" s="390">
        <v>0</v>
      </c>
      <c r="AM10" s="390">
        <v>0</v>
      </c>
      <c r="AN10" s="390">
        <v>0</v>
      </c>
      <c r="AO10" s="390">
        <v>0</v>
      </c>
      <c r="AP10" s="390">
        <v>0</v>
      </c>
      <c r="AQ10" s="390">
        <v>0</v>
      </c>
      <c r="AR10" s="390">
        <v>0</v>
      </c>
      <c r="AS10" s="390">
        <v>0</v>
      </c>
      <c r="AT10" s="390">
        <v>0</v>
      </c>
      <c r="AU10" s="390">
        <v>0</v>
      </c>
      <c r="AV10" s="390">
        <v>0</v>
      </c>
      <c r="AW10" s="390">
        <v>0</v>
      </c>
      <c r="AX10" s="390">
        <v>0</v>
      </c>
      <c r="AY10" s="390">
        <v>0</v>
      </c>
      <c r="AZ10" s="390">
        <v>0</v>
      </c>
      <c r="BA10" s="390">
        <v>0</v>
      </c>
      <c r="BB10" s="390">
        <v>0</v>
      </c>
      <c r="BC10" s="390">
        <v>0</v>
      </c>
      <c r="BD10" s="390">
        <v>0</v>
      </c>
      <c r="BE10" s="390">
        <v>0</v>
      </c>
      <c r="BF10" s="390">
        <v>0</v>
      </c>
      <c r="BG10" s="390">
        <v>0</v>
      </c>
      <c r="BH10" s="390">
        <v>0</v>
      </c>
      <c r="BI10" s="390">
        <v>0</v>
      </c>
      <c r="BJ10" s="390">
        <v>0</v>
      </c>
      <c r="BK10" s="390">
        <v>0</v>
      </c>
      <c r="BL10" s="390">
        <v>0</v>
      </c>
      <c r="BM10" s="390">
        <v>0</v>
      </c>
      <c r="BN10" s="390">
        <v>0</v>
      </c>
      <c r="BO10" s="390">
        <v>0</v>
      </c>
      <c r="BP10" s="390">
        <v>0</v>
      </c>
      <c r="BQ10" s="390">
        <v>0</v>
      </c>
      <c r="BR10" s="390">
        <v>0</v>
      </c>
      <c r="BS10" s="390">
        <v>0</v>
      </c>
      <c r="BT10" s="390">
        <v>0</v>
      </c>
      <c r="BU10" s="390">
        <v>0</v>
      </c>
      <c r="BV10" s="390">
        <v>0</v>
      </c>
      <c r="BW10" s="390">
        <v>0</v>
      </c>
      <c r="BX10" s="390">
        <v>0</v>
      </c>
      <c r="BY10" s="390">
        <v>0</v>
      </c>
      <c r="BZ10" s="390">
        <v>0</v>
      </c>
      <c r="CA10" s="390">
        <v>0</v>
      </c>
      <c r="CB10" s="390">
        <v>0</v>
      </c>
      <c r="CC10" s="390">
        <v>0</v>
      </c>
      <c r="CD10" s="390">
        <v>0</v>
      </c>
      <c r="CE10" s="390">
        <v>0</v>
      </c>
      <c r="CF10" s="390">
        <v>0</v>
      </c>
      <c r="CG10" s="390">
        <v>0</v>
      </c>
      <c r="CH10" s="390">
        <v>0</v>
      </c>
      <c r="CI10" s="390">
        <v>0</v>
      </c>
      <c r="CJ10" s="390">
        <v>0</v>
      </c>
      <c r="CK10" s="390">
        <v>0</v>
      </c>
      <c r="CL10" s="390">
        <v>0</v>
      </c>
      <c r="CM10" s="390">
        <v>0</v>
      </c>
      <c r="CN10" s="390">
        <v>0</v>
      </c>
      <c r="CO10" s="390">
        <v>0</v>
      </c>
      <c r="CP10" s="390">
        <v>0</v>
      </c>
      <c r="CQ10" s="390">
        <v>0</v>
      </c>
      <c r="CR10" s="390">
        <v>0</v>
      </c>
      <c r="CS10" s="390">
        <v>0</v>
      </c>
      <c r="CT10" s="390">
        <v>0</v>
      </c>
      <c r="CU10" s="390">
        <v>0</v>
      </c>
      <c r="CV10" s="390">
        <v>0</v>
      </c>
    </row>
    <row r="11" spans="1:106" ht="12" customHeight="1">
      <c r="A11" s="310" t="s">
        <v>373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390">
        <v>0</v>
      </c>
      <c r="U11" s="390">
        <v>0</v>
      </c>
      <c r="V11" s="390">
        <v>0</v>
      </c>
      <c r="W11" s="390">
        <v>0</v>
      </c>
      <c r="X11" s="390">
        <v>0</v>
      </c>
      <c r="Y11" s="390">
        <v>0</v>
      </c>
      <c r="Z11" s="390">
        <f>-Z4*55%</f>
        <v>-113.85550000000001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</row>
    <row r="12" spans="1:106" ht="12" customHeight="1">
      <c r="A12" s="396" t="s">
        <v>479</v>
      </c>
      <c r="B12" s="390">
        <v>0</v>
      </c>
      <c r="C12" s="390">
        <v>0</v>
      </c>
      <c r="D12" s="390">
        <v>0</v>
      </c>
      <c r="E12" s="390">
        <v>0</v>
      </c>
      <c r="F12" s="390">
        <v>0</v>
      </c>
      <c r="G12" s="390">
        <v>0</v>
      </c>
      <c r="H12" s="375">
        <v>0</v>
      </c>
      <c r="I12" s="390">
        <v>0</v>
      </c>
      <c r="J12" s="390">
        <v>0</v>
      </c>
      <c r="K12" s="390">
        <v>0</v>
      </c>
      <c r="L12" s="390">
        <v>0</v>
      </c>
      <c r="M12" s="390">
        <v>0</v>
      </c>
      <c r="N12" s="390">
        <v>0</v>
      </c>
      <c r="O12" s="390">
        <v>0</v>
      </c>
      <c r="P12" s="390">
        <v>0</v>
      </c>
      <c r="Q12" s="390">
        <v>0</v>
      </c>
      <c r="R12" s="390">
        <v>0</v>
      </c>
      <c r="S12" s="390">
        <v>0</v>
      </c>
      <c r="T12" s="390">
        <v>0</v>
      </c>
      <c r="U12" s="390">
        <v>0</v>
      </c>
      <c r="V12" s="390">
        <v>0</v>
      </c>
      <c r="W12" s="390">
        <v>0</v>
      </c>
      <c r="X12" s="390">
        <v>0</v>
      </c>
      <c r="Y12" s="390">
        <v>0</v>
      </c>
      <c r="Z12" s="390">
        <v>0</v>
      </c>
      <c r="AA12" s="390">
        <v>0</v>
      </c>
      <c r="AB12" s="390">
        <v>0</v>
      </c>
      <c r="AC12" s="390">
        <v>0</v>
      </c>
      <c r="AD12" s="390">
        <v>0</v>
      </c>
      <c r="AE12" s="390">
        <v>0</v>
      </c>
      <c r="AF12" s="390">
        <v>0</v>
      </c>
      <c r="AG12" s="390">
        <v>0</v>
      </c>
      <c r="AH12" s="390">
        <v>0</v>
      </c>
      <c r="AI12" s="390">
        <v>0</v>
      </c>
      <c r="AJ12" s="390">
        <v>0</v>
      </c>
      <c r="AK12" s="390">
        <v>0</v>
      </c>
      <c r="AL12" s="390">
        <v>0</v>
      </c>
      <c r="AM12" s="390">
        <v>0</v>
      </c>
      <c r="AN12" s="390">
        <v>0</v>
      </c>
      <c r="AO12" s="390">
        <v>0</v>
      </c>
      <c r="AP12" s="390">
        <v>0</v>
      </c>
      <c r="AQ12" s="390">
        <v>0</v>
      </c>
      <c r="AR12" s="390">
        <v>0</v>
      </c>
      <c r="AS12" s="390">
        <v>0</v>
      </c>
      <c r="AT12" s="390">
        <v>0</v>
      </c>
      <c r="AU12" s="390">
        <v>0</v>
      </c>
      <c r="AV12" s="390">
        <v>0</v>
      </c>
      <c r="AW12" s="390">
        <v>0</v>
      </c>
      <c r="AX12" s="390">
        <v>0</v>
      </c>
      <c r="AY12" s="390">
        <v>0</v>
      </c>
      <c r="AZ12" s="390">
        <v>0</v>
      </c>
      <c r="BA12" s="390">
        <v>0</v>
      </c>
      <c r="BB12" s="390">
        <v>0</v>
      </c>
      <c r="BC12" s="390">
        <v>0</v>
      </c>
      <c r="BD12" s="390">
        <v>0</v>
      </c>
      <c r="BE12" s="390">
        <v>0</v>
      </c>
      <c r="BF12" s="390">
        <v>0</v>
      </c>
      <c r="BG12" s="390">
        <v>0</v>
      </c>
      <c r="BH12" s="390">
        <v>0</v>
      </c>
      <c r="BI12" s="390">
        <v>0</v>
      </c>
      <c r="BJ12" s="390">
        <v>0</v>
      </c>
      <c r="BK12" s="390">
        <v>0</v>
      </c>
      <c r="BL12" s="390">
        <v>0</v>
      </c>
      <c r="BM12" s="390">
        <v>0</v>
      </c>
      <c r="BN12" s="390">
        <v>0</v>
      </c>
      <c r="BO12" s="390">
        <v>0</v>
      </c>
      <c r="BP12" s="390">
        <v>0</v>
      </c>
      <c r="BQ12" s="390">
        <v>0</v>
      </c>
      <c r="BR12" s="390">
        <v>0</v>
      </c>
      <c r="BS12" s="390">
        <v>0</v>
      </c>
      <c r="BT12" s="390">
        <v>0</v>
      </c>
      <c r="BU12" s="390">
        <v>0</v>
      </c>
      <c r="BV12" s="390">
        <v>0</v>
      </c>
      <c r="BW12" s="390">
        <v>0</v>
      </c>
      <c r="BX12" s="390">
        <v>0</v>
      </c>
      <c r="BY12" s="390">
        <v>0</v>
      </c>
      <c r="BZ12" s="390">
        <v>0</v>
      </c>
      <c r="CA12" s="390">
        <v>0</v>
      </c>
      <c r="CB12" s="390">
        <v>0</v>
      </c>
      <c r="CC12" s="390">
        <v>0</v>
      </c>
      <c r="CD12" s="390">
        <v>0</v>
      </c>
      <c r="CE12" s="390">
        <v>0</v>
      </c>
      <c r="CF12" s="390">
        <v>0</v>
      </c>
      <c r="CG12" s="390">
        <v>0</v>
      </c>
      <c r="CH12" s="390">
        <v>0</v>
      </c>
      <c r="CI12" s="390">
        <v>0</v>
      </c>
      <c r="CJ12" s="390">
        <v>0</v>
      </c>
      <c r="CK12" s="390">
        <v>0</v>
      </c>
      <c r="CL12" s="390">
        <v>0</v>
      </c>
      <c r="CM12" s="390">
        <v>0</v>
      </c>
      <c r="CN12" s="390">
        <v>0</v>
      </c>
      <c r="CO12" s="390">
        <v>0</v>
      </c>
      <c r="CP12" s="390">
        <v>0</v>
      </c>
      <c r="CQ12" s="390">
        <v>0</v>
      </c>
      <c r="CR12" s="390">
        <v>0</v>
      </c>
      <c r="CS12" s="390">
        <v>0</v>
      </c>
      <c r="CT12" s="390">
        <v>0</v>
      </c>
      <c r="CU12" s="390">
        <v>0</v>
      </c>
      <c r="CV12" s="390">
        <v>0</v>
      </c>
    </row>
    <row r="13" spans="1:106" ht="12" customHeight="1">
      <c r="A13" s="396" t="s">
        <v>248</v>
      </c>
      <c r="B13" s="390">
        <v>0</v>
      </c>
      <c r="C13" s="390">
        <v>0</v>
      </c>
      <c r="D13" s="390">
        <v>0</v>
      </c>
      <c r="E13" s="390">
        <v>0</v>
      </c>
      <c r="F13" s="390">
        <v>0</v>
      </c>
      <c r="G13" s="390">
        <v>0</v>
      </c>
      <c r="H13" s="390">
        <v>0</v>
      </c>
      <c r="I13" s="390">
        <v>0</v>
      </c>
      <c r="J13" s="390">
        <v>0</v>
      </c>
      <c r="K13" s="390">
        <v>0</v>
      </c>
      <c r="L13" s="390">
        <v>0</v>
      </c>
      <c r="M13" s="390">
        <v>0</v>
      </c>
      <c r="N13" s="390">
        <v>0</v>
      </c>
      <c r="O13" s="390">
        <f>$M$4*O16%</f>
        <v>0</v>
      </c>
      <c r="P13" s="390">
        <f>$M$4*P16%</f>
        <v>0</v>
      </c>
      <c r="Q13" s="390">
        <f>$M$4*Q16%</f>
        <v>0</v>
      </c>
      <c r="R13" s="390">
        <f>$Q$4*R16%</f>
        <v>0</v>
      </c>
      <c r="S13" s="390">
        <f t="shared" ref="S13:X13" si="3">$Q$4*S16%</f>
        <v>0</v>
      </c>
      <c r="T13" s="390">
        <f t="shared" si="3"/>
        <v>0</v>
      </c>
      <c r="U13" s="390">
        <f t="shared" si="3"/>
        <v>0</v>
      </c>
      <c r="V13" s="390">
        <f t="shared" si="3"/>
        <v>0</v>
      </c>
      <c r="W13" s="390">
        <f t="shared" si="3"/>
        <v>0</v>
      </c>
      <c r="X13" s="390">
        <f t="shared" si="3"/>
        <v>0</v>
      </c>
      <c r="Y13" s="390">
        <v>1.25</v>
      </c>
      <c r="Z13" s="390">
        <f>($Y$4+SUM($Y$6:$Y$7))*Z16%</f>
        <v>0</v>
      </c>
      <c r="AA13" s="390">
        <v>-3.75</v>
      </c>
      <c r="AB13" s="390">
        <f>($Y$4+SUM($Y$6:$Y$7))*AB16%</f>
        <v>0</v>
      </c>
      <c r="AC13" s="390">
        <f>($Y$4+SUM($Y$6:$Y$7))*AC16%</f>
        <v>0</v>
      </c>
      <c r="AD13" s="390">
        <f>($Y$4+SUM($Y$6:$Y$7))*AD16%</f>
        <v>0</v>
      </c>
      <c r="AE13" s="390">
        <f>($AE$4+SUM($AE$6:$AE$12))*AE16%</f>
        <v>0</v>
      </c>
      <c r="AF13" s="390">
        <f t="shared" ref="AF13:CQ13" si="4">($AE$4+SUM($AE$6:$AE$12))*AF16%</f>
        <v>0</v>
      </c>
      <c r="AG13" s="390">
        <f t="shared" si="4"/>
        <v>0</v>
      </c>
      <c r="AH13" s="390">
        <f t="shared" si="4"/>
        <v>0</v>
      </c>
      <c r="AI13" s="390">
        <f t="shared" si="4"/>
        <v>0</v>
      </c>
      <c r="AJ13" s="390">
        <f t="shared" si="4"/>
        <v>0</v>
      </c>
      <c r="AK13" s="390">
        <f t="shared" si="4"/>
        <v>0</v>
      </c>
      <c r="AL13" s="390">
        <f t="shared" si="4"/>
        <v>0</v>
      </c>
      <c r="AM13" s="390">
        <f t="shared" si="4"/>
        <v>0</v>
      </c>
      <c r="AN13" s="390">
        <f t="shared" si="4"/>
        <v>0</v>
      </c>
      <c r="AO13" s="390">
        <f t="shared" si="4"/>
        <v>0</v>
      </c>
      <c r="AP13" s="390">
        <f t="shared" si="4"/>
        <v>0</v>
      </c>
      <c r="AQ13" s="390">
        <f t="shared" si="4"/>
        <v>0</v>
      </c>
      <c r="AR13" s="390">
        <f t="shared" si="4"/>
        <v>0</v>
      </c>
      <c r="AS13" s="390">
        <f t="shared" si="4"/>
        <v>0</v>
      </c>
      <c r="AT13" s="390">
        <f t="shared" si="4"/>
        <v>1.4690449999999999</v>
      </c>
      <c r="AU13" s="390">
        <f t="shared" si="4"/>
        <v>0</v>
      </c>
      <c r="AV13" s="390">
        <f t="shared" si="4"/>
        <v>0</v>
      </c>
      <c r="AW13" s="390">
        <f t="shared" si="4"/>
        <v>4.4071349999999994</v>
      </c>
      <c r="AX13" s="390">
        <f t="shared" si="4"/>
        <v>0</v>
      </c>
      <c r="AY13" s="390">
        <f t="shared" si="4"/>
        <v>0</v>
      </c>
      <c r="AZ13" s="390">
        <f t="shared" si="4"/>
        <v>4.4071349999999994</v>
      </c>
      <c r="BA13" s="390">
        <f t="shared" si="4"/>
        <v>0</v>
      </c>
      <c r="BB13" s="390">
        <f t="shared" si="4"/>
        <v>0</v>
      </c>
      <c r="BC13" s="390">
        <f t="shared" si="4"/>
        <v>4.4071349999999994</v>
      </c>
      <c r="BD13" s="390">
        <f t="shared" si="4"/>
        <v>0</v>
      </c>
      <c r="BE13" s="390">
        <f t="shared" si="4"/>
        <v>0</v>
      </c>
      <c r="BF13" s="390">
        <f t="shared" si="4"/>
        <v>5.8761799999999997</v>
      </c>
      <c r="BG13" s="390">
        <f t="shared" si="4"/>
        <v>0</v>
      </c>
      <c r="BH13" s="390">
        <f t="shared" si="4"/>
        <v>0</v>
      </c>
      <c r="BI13" s="390">
        <f t="shared" si="4"/>
        <v>5.8761799999999997</v>
      </c>
      <c r="BJ13" s="390">
        <f t="shared" si="4"/>
        <v>0</v>
      </c>
      <c r="BK13" s="390">
        <f t="shared" si="4"/>
        <v>0</v>
      </c>
      <c r="BL13" s="390">
        <f t="shared" si="4"/>
        <v>5.8761799999999997</v>
      </c>
      <c r="BM13" s="390">
        <f t="shared" si="4"/>
        <v>0</v>
      </c>
      <c r="BN13" s="390">
        <f t="shared" si="4"/>
        <v>0</v>
      </c>
      <c r="BO13" s="390">
        <f t="shared" si="4"/>
        <v>5.8761799999999997</v>
      </c>
      <c r="BP13" s="390">
        <f t="shared" si="4"/>
        <v>0</v>
      </c>
      <c r="BQ13" s="390">
        <f t="shared" si="4"/>
        <v>0</v>
      </c>
      <c r="BR13" s="390">
        <f t="shared" si="4"/>
        <v>6.9779637499999989</v>
      </c>
      <c r="BS13" s="390">
        <f t="shared" si="4"/>
        <v>0</v>
      </c>
      <c r="BT13" s="390">
        <f t="shared" si="4"/>
        <v>0</v>
      </c>
      <c r="BU13" s="390">
        <f t="shared" si="4"/>
        <v>6.9779637499999989</v>
      </c>
      <c r="BV13" s="390">
        <f t="shared" si="4"/>
        <v>0</v>
      </c>
      <c r="BW13" s="390">
        <f t="shared" si="4"/>
        <v>0</v>
      </c>
      <c r="BX13" s="390">
        <f t="shared" si="4"/>
        <v>6.9779637499999989</v>
      </c>
      <c r="BY13" s="390">
        <f t="shared" si="4"/>
        <v>0</v>
      </c>
      <c r="BZ13" s="390">
        <f t="shared" si="4"/>
        <v>0</v>
      </c>
      <c r="CA13" s="390">
        <f t="shared" si="4"/>
        <v>6.9779637499999989</v>
      </c>
      <c r="CB13" s="390">
        <f t="shared" si="4"/>
        <v>0</v>
      </c>
      <c r="CC13" s="390">
        <f t="shared" si="4"/>
        <v>0</v>
      </c>
      <c r="CD13" s="390">
        <f t="shared" si="4"/>
        <v>6.9779637499999989</v>
      </c>
      <c r="CE13" s="390">
        <f t="shared" si="4"/>
        <v>0</v>
      </c>
      <c r="CF13" s="390">
        <f t="shared" si="4"/>
        <v>0</v>
      </c>
      <c r="CG13" s="390">
        <f t="shared" si="4"/>
        <v>9.5487924999999994</v>
      </c>
      <c r="CH13" s="390">
        <f t="shared" si="4"/>
        <v>0</v>
      </c>
      <c r="CI13" s="390">
        <f t="shared" si="4"/>
        <v>0</v>
      </c>
      <c r="CJ13" s="390">
        <f t="shared" si="4"/>
        <v>9.5487924999999994</v>
      </c>
      <c r="CK13" s="390">
        <f t="shared" si="4"/>
        <v>0</v>
      </c>
      <c r="CL13" s="390">
        <f t="shared" si="4"/>
        <v>0</v>
      </c>
      <c r="CM13" s="390">
        <f t="shared" si="4"/>
        <v>13.221404999999999</v>
      </c>
      <c r="CN13" s="390">
        <f t="shared" si="4"/>
        <v>0</v>
      </c>
      <c r="CO13" s="390">
        <f t="shared" si="4"/>
        <v>0</v>
      </c>
      <c r="CP13" s="390">
        <f t="shared" si="4"/>
        <v>13.221404999999999</v>
      </c>
      <c r="CQ13" s="390">
        <f t="shared" si="4"/>
        <v>0</v>
      </c>
      <c r="CR13" s="390">
        <f>($AE$4+SUM($AE$6:$AE$12))*CR16%</f>
        <v>0</v>
      </c>
      <c r="CS13" s="390">
        <f>($AE$4+SUM($AE$6:$AE$12))*CS16%</f>
        <v>13.955927499999998</v>
      </c>
      <c r="CT13" s="390">
        <f>($AE$4+SUM($AE$6:$AE$12))*CT16%</f>
        <v>0</v>
      </c>
      <c r="CU13" s="390">
        <f>($AE$4+SUM($AE$6:$AE$12))*CU16%</f>
        <v>0</v>
      </c>
      <c r="CV13" s="390">
        <f>($AE$4+SUM($AE$6:$AE$12))*CV16%</f>
        <v>14.323188749999998</v>
      </c>
    </row>
    <row r="14" spans="1:106" ht="12" customHeight="1">
      <c r="A14" s="396" t="s">
        <v>480</v>
      </c>
      <c r="B14" s="390">
        <v>0</v>
      </c>
      <c r="C14" s="390">
        <f t="shared" ref="C14:S14" si="5">(C4+C5-C13)*C1%/12</f>
        <v>1.5484758333333331</v>
      </c>
      <c r="D14" s="390">
        <f t="shared" si="5"/>
        <v>1.5484758333333331</v>
      </c>
      <c r="E14" s="390">
        <f t="shared" si="5"/>
        <v>1.5484758333333331</v>
      </c>
      <c r="F14" s="390">
        <f t="shared" si="5"/>
        <v>1.5484758333333331</v>
      </c>
      <c r="G14" s="390">
        <f t="shared" si="5"/>
        <v>1.5484758333333331</v>
      </c>
      <c r="H14" s="390">
        <f t="shared" si="5"/>
        <v>1.5484758333333331</v>
      </c>
      <c r="I14" s="390">
        <f t="shared" si="5"/>
        <v>1.5484758333333331</v>
      </c>
      <c r="J14" s="390">
        <f t="shared" si="5"/>
        <v>1.5484758333333331</v>
      </c>
      <c r="K14" s="390">
        <f t="shared" si="5"/>
        <v>1.5484758333333331</v>
      </c>
      <c r="L14" s="390">
        <f t="shared" si="5"/>
        <v>1.5484758333333331</v>
      </c>
      <c r="M14" s="390">
        <f t="shared" si="5"/>
        <v>1.5484758333333331</v>
      </c>
      <c r="N14" s="390">
        <f t="shared" si="5"/>
        <v>1.5484758333333331</v>
      </c>
      <c r="O14" s="390">
        <f t="shared" si="5"/>
        <v>1.5484758333333331</v>
      </c>
      <c r="P14" s="390">
        <f t="shared" si="5"/>
        <v>1.5484758333333331</v>
      </c>
      <c r="Q14" s="390">
        <f t="shared" si="5"/>
        <v>1.5484758333333331</v>
      </c>
      <c r="R14" s="390">
        <f t="shared" si="5"/>
        <v>1.5484758333333331</v>
      </c>
      <c r="S14" s="390">
        <f t="shared" si="5"/>
        <v>1.5484758333333331</v>
      </c>
      <c r="T14" s="390">
        <f>(T4+T5-T13)*T1%/12*213.97/246.63+(T4+T5-T13)*17.75%/12*32.66/246.63</f>
        <v>2.0661036607468675</v>
      </c>
      <c r="U14" s="390">
        <f t="shared" ref="U14:CF14" si="6">(U4+U5-U13)*U1%/12*213.97/246.63+(U4+U5-U13)*17.75%/12*32.66/246.63</f>
        <v>2.0661036607468675</v>
      </c>
      <c r="V14" s="390">
        <f t="shared" si="6"/>
        <v>2.0661036607468675</v>
      </c>
      <c r="W14" s="390">
        <f t="shared" si="6"/>
        <v>2.2975608469164337</v>
      </c>
      <c r="X14" s="390">
        <f t="shared" si="6"/>
        <v>2.2975608469164337</v>
      </c>
      <c r="Y14" s="390">
        <f t="shared" si="6"/>
        <v>2.2837706276777627</v>
      </c>
      <c r="Z14" s="390">
        <f t="shared" si="6"/>
        <v>2.2837706276777627</v>
      </c>
      <c r="AA14" s="390">
        <f t="shared" si="6"/>
        <v>1.069067440171005</v>
      </c>
      <c r="AB14" s="390">
        <f t="shared" si="6"/>
        <v>1.6206762097178293</v>
      </c>
      <c r="AC14" s="390">
        <f t="shared" si="6"/>
        <v>1.6206762097178293</v>
      </c>
      <c r="AD14" s="390">
        <f t="shared" si="6"/>
        <v>1.6206762097178293</v>
      </c>
      <c r="AE14" s="390">
        <f t="shared" si="6"/>
        <v>1.6206762097178293</v>
      </c>
      <c r="AF14" s="390">
        <f t="shared" si="6"/>
        <v>1.2967391197846974</v>
      </c>
      <c r="AG14" s="390">
        <f t="shared" si="6"/>
        <v>1.2967391197846974</v>
      </c>
      <c r="AH14" s="390">
        <f t="shared" si="6"/>
        <v>1.2967391197846974</v>
      </c>
      <c r="AI14" s="390">
        <f t="shared" si="6"/>
        <v>1.2967391197846974</v>
      </c>
      <c r="AJ14" s="390">
        <f t="shared" si="6"/>
        <v>1.2967391197846974</v>
      </c>
      <c r="AK14" s="390">
        <f t="shared" si="6"/>
        <v>1.2967391197846974</v>
      </c>
      <c r="AL14" s="390">
        <f t="shared" si="6"/>
        <v>1.2967391197846974</v>
      </c>
      <c r="AM14" s="390">
        <f t="shared" si="6"/>
        <v>1.2967391197846974</v>
      </c>
      <c r="AN14" s="390">
        <f t="shared" si="6"/>
        <v>1.2967391197846974</v>
      </c>
      <c r="AO14" s="390">
        <f t="shared" si="6"/>
        <v>1.2967391197846974</v>
      </c>
      <c r="AP14" s="390">
        <f t="shared" si="6"/>
        <v>1.2967391197846974</v>
      </c>
      <c r="AQ14" s="390">
        <f t="shared" si="6"/>
        <v>1.2967391197846974</v>
      </c>
      <c r="AR14" s="390">
        <f t="shared" si="6"/>
        <v>1.2967391197846974</v>
      </c>
      <c r="AS14" s="390">
        <f t="shared" si="6"/>
        <v>1.2967391197846974</v>
      </c>
      <c r="AT14" s="390">
        <f t="shared" si="6"/>
        <v>1.2837717285868508</v>
      </c>
      <c r="AU14" s="390">
        <f t="shared" si="6"/>
        <v>1.2837717285868508</v>
      </c>
      <c r="AV14" s="390">
        <f t="shared" si="6"/>
        <v>1.2837717285868508</v>
      </c>
      <c r="AW14" s="390">
        <f t="shared" si="6"/>
        <v>1.2448695549933095</v>
      </c>
      <c r="AX14" s="390">
        <f t="shared" si="6"/>
        <v>1.2448695549933095</v>
      </c>
      <c r="AY14" s="390">
        <f t="shared" si="6"/>
        <v>1.2448695549933095</v>
      </c>
      <c r="AZ14" s="390">
        <f t="shared" si="6"/>
        <v>1.2059673813997684</v>
      </c>
      <c r="BA14" s="390">
        <f t="shared" si="6"/>
        <v>1.2059673813997684</v>
      </c>
      <c r="BB14" s="390">
        <f t="shared" si="6"/>
        <v>1.2059673813997684</v>
      </c>
      <c r="BC14" s="390">
        <f t="shared" si="6"/>
        <v>1.1670652078062276</v>
      </c>
      <c r="BD14" s="390">
        <f t="shared" si="6"/>
        <v>1.1670652078062276</v>
      </c>
      <c r="BE14" s="390">
        <f t="shared" si="6"/>
        <v>1.1670652078062276</v>
      </c>
      <c r="BF14" s="390">
        <f t="shared" si="6"/>
        <v>1.1151956430148398</v>
      </c>
      <c r="BG14" s="390">
        <f t="shared" si="6"/>
        <v>1.1151956430148398</v>
      </c>
      <c r="BH14" s="390">
        <f t="shared" si="6"/>
        <v>1.1151956430148398</v>
      </c>
      <c r="BI14" s="390">
        <f t="shared" si="6"/>
        <v>1.0633260782234517</v>
      </c>
      <c r="BJ14" s="390">
        <f t="shared" si="6"/>
        <v>1.0633260782234517</v>
      </c>
      <c r="BK14" s="390">
        <f t="shared" si="6"/>
        <v>1.0633260782234517</v>
      </c>
      <c r="BL14" s="390">
        <f t="shared" si="6"/>
        <v>1.0114565134320637</v>
      </c>
      <c r="BM14" s="390">
        <f t="shared" si="6"/>
        <v>1.0114565134320637</v>
      </c>
      <c r="BN14" s="390">
        <f t="shared" si="6"/>
        <v>1.0114565134320637</v>
      </c>
      <c r="BO14" s="390">
        <f t="shared" si="6"/>
        <v>0.95958694864067573</v>
      </c>
      <c r="BP14" s="390">
        <f t="shared" si="6"/>
        <v>0.95958694864067573</v>
      </c>
      <c r="BQ14" s="390">
        <f t="shared" si="6"/>
        <v>0.95958694864067573</v>
      </c>
      <c r="BR14" s="390">
        <f t="shared" si="6"/>
        <v>0.89799184045090263</v>
      </c>
      <c r="BS14" s="390">
        <f t="shared" si="6"/>
        <v>0.89799184045090263</v>
      </c>
      <c r="BT14" s="390">
        <f t="shared" si="6"/>
        <v>0.89799184045090263</v>
      </c>
      <c r="BU14" s="390">
        <f t="shared" si="6"/>
        <v>0.83639673226112943</v>
      </c>
      <c r="BV14" s="390">
        <f t="shared" si="6"/>
        <v>0.83639673226112943</v>
      </c>
      <c r="BW14" s="390">
        <f t="shared" si="6"/>
        <v>0.83639673226112943</v>
      </c>
      <c r="BX14" s="390">
        <f t="shared" si="6"/>
        <v>0.77480162407135622</v>
      </c>
      <c r="BY14" s="390">
        <f t="shared" si="6"/>
        <v>0.77480162407135622</v>
      </c>
      <c r="BZ14" s="390">
        <f t="shared" si="6"/>
        <v>0.77480162407135622</v>
      </c>
      <c r="CA14" s="390">
        <f t="shared" si="6"/>
        <v>0.71320651588158324</v>
      </c>
      <c r="CB14" s="390">
        <f t="shared" si="6"/>
        <v>0.71320651588158324</v>
      </c>
      <c r="CC14" s="390">
        <f t="shared" si="6"/>
        <v>0.71320651588158324</v>
      </c>
      <c r="CD14" s="390">
        <f t="shared" si="6"/>
        <v>0.65161140769181003</v>
      </c>
      <c r="CE14" s="390">
        <f t="shared" si="6"/>
        <v>0.65161140769181003</v>
      </c>
      <c r="CF14" s="390">
        <f t="shared" si="6"/>
        <v>0.65161140769181003</v>
      </c>
      <c r="CG14" s="390">
        <f t="shared" ref="CG14:CV14" si="7">(CG4+CG5-CG13)*CG1%/12*213.97/246.63+(CG4+CG5-CG13)*17.75%/12*32.66/246.63</f>
        <v>0.56732336490580471</v>
      </c>
      <c r="CH14" s="390">
        <f t="shared" si="7"/>
        <v>0.56732336490580471</v>
      </c>
      <c r="CI14" s="390">
        <f t="shared" si="7"/>
        <v>0.56732336490580471</v>
      </c>
      <c r="CJ14" s="390">
        <f t="shared" si="7"/>
        <v>0.48303532211979927</v>
      </c>
      <c r="CK14" s="390">
        <f t="shared" si="7"/>
        <v>0.48303532211979927</v>
      </c>
      <c r="CL14" s="390">
        <f t="shared" si="7"/>
        <v>0.48303532211979927</v>
      </c>
      <c r="CM14" s="390">
        <f t="shared" si="7"/>
        <v>0.36632880133917656</v>
      </c>
      <c r="CN14" s="390">
        <f t="shared" si="7"/>
        <v>0.36632880133917656</v>
      </c>
      <c r="CO14" s="390">
        <f t="shared" si="7"/>
        <v>0.36632880133917656</v>
      </c>
      <c r="CP14" s="390">
        <f t="shared" si="7"/>
        <v>0.24962228055855379</v>
      </c>
      <c r="CQ14" s="390">
        <f t="shared" si="7"/>
        <v>0.24962228055855379</v>
      </c>
      <c r="CR14" s="390">
        <f t="shared" si="7"/>
        <v>0.24962228055855379</v>
      </c>
      <c r="CS14" s="390">
        <f t="shared" si="7"/>
        <v>0.12643206417900749</v>
      </c>
      <c r="CT14" s="390">
        <f t="shared" si="7"/>
        <v>0.12643206417900749</v>
      </c>
      <c r="CU14" s="390">
        <f t="shared" si="7"/>
        <v>0.12643206417900749</v>
      </c>
      <c r="CV14" s="390">
        <f t="shared" si="7"/>
        <v>-5.1744198675646075E-16</v>
      </c>
    </row>
    <row r="15" spans="1:106" ht="12" customHeight="1" thickBot="1">
      <c r="A15" s="389" t="s">
        <v>249</v>
      </c>
      <c r="B15" s="397">
        <f t="shared" ref="B15:AG15" si="8">SUM(B4:B12)-B13</f>
        <v>171.26</v>
      </c>
      <c r="C15" s="397">
        <f t="shared" si="8"/>
        <v>171.26</v>
      </c>
      <c r="D15" s="397">
        <f t="shared" si="8"/>
        <v>171.26</v>
      </c>
      <c r="E15" s="397">
        <f t="shared" si="8"/>
        <v>171.26</v>
      </c>
      <c r="F15" s="397">
        <f t="shared" si="8"/>
        <v>171.26</v>
      </c>
      <c r="G15" s="397">
        <f t="shared" si="8"/>
        <v>171.26</v>
      </c>
      <c r="H15" s="397">
        <f t="shared" si="8"/>
        <v>171.26</v>
      </c>
      <c r="I15" s="397">
        <f t="shared" si="8"/>
        <v>171.26</v>
      </c>
      <c r="J15" s="397">
        <f t="shared" si="8"/>
        <v>171.26</v>
      </c>
      <c r="K15" s="397">
        <f t="shared" si="8"/>
        <v>171.26</v>
      </c>
      <c r="L15" s="397">
        <f t="shared" si="8"/>
        <v>171.26</v>
      </c>
      <c r="M15" s="397">
        <f t="shared" si="8"/>
        <v>171.26</v>
      </c>
      <c r="N15" s="397">
        <f t="shared" si="8"/>
        <v>171.26</v>
      </c>
      <c r="O15" s="397">
        <f t="shared" si="8"/>
        <v>171.26</v>
      </c>
      <c r="P15" s="397">
        <f t="shared" si="8"/>
        <v>171.26</v>
      </c>
      <c r="Q15" s="397">
        <f t="shared" si="8"/>
        <v>171.26</v>
      </c>
      <c r="R15" s="397">
        <f t="shared" si="8"/>
        <v>171.26</v>
      </c>
      <c r="S15" s="397">
        <f t="shared" si="8"/>
        <v>210.76</v>
      </c>
      <c r="T15" s="397">
        <f t="shared" si="8"/>
        <v>210.76</v>
      </c>
      <c r="U15" s="397">
        <f t="shared" si="8"/>
        <v>210.76</v>
      </c>
      <c r="V15" s="397">
        <f>SUM(V4:V12)-V13-2.5</f>
        <v>208.26</v>
      </c>
      <c r="W15" s="397">
        <f t="shared" si="8"/>
        <v>208.26</v>
      </c>
      <c r="X15" s="397">
        <f t="shared" si="8"/>
        <v>208.26</v>
      </c>
      <c r="Y15" s="397">
        <f t="shared" si="8"/>
        <v>207.01</v>
      </c>
      <c r="Z15" s="397">
        <f t="shared" si="8"/>
        <v>93.154499999999985</v>
      </c>
      <c r="AA15" s="397">
        <f t="shared" si="8"/>
        <v>146.90449999999998</v>
      </c>
      <c r="AB15" s="397">
        <f t="shared" si="8"/>
        <v>146.90449999999998</v>
      </c>
      <c r="AC15" s="397">
        <f t="shared" si="8"/>
        <v>146.90449999999998</v>
      </c>
      <c r="AD15" s="397">
        <f t="shared" si="8"/>
        <v>146.90449999999998</v>
      </c>
      <c r="AE15" s="397">
        <f t="shared" si="8"/>
        <v>146.90449999999998</v>
      </c>
      <c r="AF15" s="397">
        <f t="shared" si="8"/>
        <v>146.90449999999998</v>
      </c>
      <c r="AG15" s="397">
        <f t="shared" si="8"/>
        <v>146.90449999999998</v>
      </c>
      <c r="AH15" s="397">
        <f t="shared" ref="AH15:BM15" si="9">SUM(AH4:AH12)-AH13</f>
        <v>146.90449999999998</v>
      </c>
      <c r="AI15" s="397">
        <f t="shared" si="9"/>
        <v>146.90449999999998</v>
      </c>
      <c r="AJ15" s="397">
        <f t="shared" si="9"/>
        <v>146.90449999999998</v>
      </c>
      <c r="AK15" s="397">
        <f t="shared" si="9"/>
        <v>146.90449999999998</v>
      </c>
      <c r="AL15" s="397">
        <f t="shared" si="9"/>
        <v>146.90449999999998</v>
      </c>
      <c r="AM15" s="397">
        <f t="shared" si="9"/>
        <v>146.90449999999998</v>
      </c>
      <c r="AN15" s="397">
        <f t="shared" si="9"/>
        <v>146.90449999999998</v>
      </c>
      <c r="AO15" s="397">
        <f t="shared" si="9"/>
        <v>146.90449999999998</v>
      </c>
      <c r="AP15" s="397">
        <f t="shared" si="9"/>
        <v>146.90449999999998</v>
      </c>
      <c r="AQ15" s="397">
        <f t="shared" si="9"/>
        <v>146.90449999999998</v>
      </c>
      <c r="AR15" s="397">
        <f t="shared" si="9"/>
        <v>146.90449999999998</v>
      </c>
      <c r="AS15" s="397">
        <f t="shared" si="9"/>
        <v>146.90449999999998</v>
      </c>
      <c r="AT15" s="397">
        <f t="shared" si="9"/>
        <v>145.43545499999999</v>
      </c>
      <c r="AU15" s="397">
        <f t="shared" si="9"/>
        <v>145.43545499999999</v>
      </c>
      <c r="AV15" s="397">
        <f t="shared" si="9"/>
        <v>145.43545499999999</v>
      </c>
      <c r="AW15" s="397">
        <f t="shared" si="9"/>
        <v>141.02831999999998</v>
      </c>
      <c r="AX15" s="397">
        <f t="shared" si="9"/>
        <v>141.02831999999998</v>
      </c>
      <c r="AY15" s="397">
        <f t="shared" si="9"/>
        <v>141.02831999999998</v>
      </c>
      <c r="AZ15" s="397">
        <f t="shared" si="9"/>
        <v>136.62118499999997</v>
      </c>
      <c r="BA15" s="397">
        <f t="shared" si="9"/>
        <v>136.62118499999997</v>
      </c>
      <c r="BB15" s="397">
        <f t="shared" si="9"/>
        <v>136.62118499999997</v>
      </c>
      <c r="BC15" s="397">
        <f t="shared" si="9"/>
        <v>132.21404999999996</v>
      </c>
      <c r="BD15" s="397">
        <f t="shared" si="9"/>
        <v>132.21404999999996</v>
      </c>
      <c r="BE15" s="397">
        <f t="shared" si="9"/>
        <v>132.21404999999996</v>
      </c>
      <c r="BF15" s="397">
        <f t="shared" si="9"/>
        <v>126.33786999999995</v>
      </c>
      <c r="BG15" s="397">
        <f t="shared" si="9"/>
        <v>126.33786999999995</v>
      </c>
      <c r="BH15" s="397">
        <f t="shared" si="9"/>
        <v>126.33786999999995</v>
      </c>
      <c r="BI15" s="397">
        <f t="shared" si="9"/>
        <v>120.46168999999995</v>
      </c>
      <c r="BJ15" s="397">
        <f t="shared" si="9"/>
        <v>120.46168999999995</v>
      </c>
      <c r="BK15" s="397">
        <f t="shared" si="9"/>
        <v>120.46168999999995</v>
      </c>
      <c r="BL15" s="397">
        <f t="shared" si="9"/>
        <v>114.58550999999994</v>
      </c>
      <c r="BM15" s="397">
        <f t="shared" si="9"/>
        <v>114.58550999999994</v>
      </c>
      <c r="BN15" s="397">
        <f t="shared" ref="BN15:CV15" si="10">SUM(BN4:BN12)-BN13</f>
        <v>114.58550999999994</v>
      </c>
      <c r="BO15" s="397">
        <f t="shared" si="10"/>
        <v>108.70932999999994</v>
      </c>
      <c r="BP15" s="397">
        <f t="shared" si="10"/>
        <v>108.70932999999994</v>
      </c>
      <c r="BQ15" s="397">
        <f t="shared" si="10"/>
        <v>108.70932999999994</v>
      </c>
      <c r="BR15" s="397">
        <f t="shared" si="10"/>
        <v>101.73136624999994</v>
      </c>
      <c r="BS15" s="397">
        <f t="shared" si="10"/>
        <v>101.73136624999994</v>
      </c>
      <c r="BT15" s="397">
        <f t="shared" si="10"/>
        <v>101.73136624999994</v>
      </c>
      <c r="BU15" s="397">
        <f t="shared" si="10"/>
        <v>94.753402499999936</v>
      </c>
      <c r="BV15" s="397">
        <f t="shared" si="10"/>
        <v>94.753402499999936</v>
      </c>
      <c r="BW15" s="397">
        <f t="shared" si="10"/>
        <v>94.753402499999936</v>
      </c>
      <c r="BX15" s="397">
        <f t="shared" si="10"/>
        <v>87.775438749999935</v>
      </c>
      <c r="BY15" s="397">
        <f t="shared" si="10"/>
        <v>87.775438749999935</v>
      </c>
      <c r="BZ15" s="397">
        <f t="shared" si="10"/>
        <v>87.775438749999935</v>
      </c>
      <c r="CA15" s="397">
        <f t="shared" si="10"/>
        <v>80.797474999999935</v>
      </c>
      <c r="CB15" s="397">
        <f t="shared" si="10"/>
        <v>80.797474999999935</v>
      </c>
      <c r="CC15" s="397">
        <f t="shared" si="10"/>
        <v>80.797474999999935</v>
      </c>
      <c r="CD15" s="397">
        <f t="shared" si="10"/>
        <v>73.819511249999934</v>
      </c>
      <c r="CE15" s="397">
        <f t="shared" si="10"/>
        <v>73.819511249999934</v>
      </c>
      <c r="CF15" s="397">
        <f t="shared" si="10"/>
        <v>73.819511249999934</v>
      </c>
      <c r="CG15" s="397">
        <f t="shared" si="10"/>
        <v>64.270718749999929</v>
      </c>
      <c r="CH15" s="397">
        <f t="shared" si="10"/>
        <v>64.270718749999929</v>
      </c>
      <c r="CI15" s="397">
        <f t="shared" si="10"/>
        <v>64.270718749999929</v>
      </c>
      <c r="CJ15" s="397">
        <f t="shared" si="10"/>
        <v>54.721926249999932</v>
      </c>
      <c r="CK15" s="397">
        <f t="shared" si="10"/>
        <v>54.721926249999932</v>
      </c>
      <c r="CL15" s="397">
        <f t="shared" si="10"/>
        <v>54.721926249999932</v>
      </c>
      <c r="CM15" s="397">
        <f t="shared" si="10"/>
        <v>41.500521249999935</v>
      </c>
      <c r="CN15" s="397">
        <f t="shared" si="10"/>
        <v>41.500521249999935</v>
      </c>
      <c r="CO15" s="397">
        <f t="shared" si="10"/>
        <v>41.500521249999935</v>
      </c>
      <c r="CP15" s="397">
        <f t="shared" si="10"/>
        <v>28.279116249999937</v>
      </c>
      <c r="CQ15" s="397">
        <f t="shared" si="10"/>
        <v>28.279116249999937</v>
      </c>
      <c r="CR15" s="397">
        <f t="shared" si="10"/>
        <v>28.279116249999937</v>
      </c>
      <c r="CS15" s="397">
        <f t="shared" si="10"/>
        <v>14.32318874999994</v>
      </c>
      <c r="CT15" s="397">
        <f t="shared" si="10"/>
        <v>14.32318874999994</v>
      </c>
      <c r="CU15" s="397">
        <f t="shared" si="10"/>
        <v>14.32318874999994</v>
      </c>
      <c r="CV15" s="397">
        <f t="shared" si="10"/>
        <v>-5.8619775700208265E-14</v>
      </c>
    </row>
    <row r="16" spans="1:106" ht="12" customHeight="1" thickTop="1"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>
        <v>0</v>
      </c>
      <c r="S16" s="375">
        <v>0</v>
      </c>
      <c r="T16" s="375">
        <v>0</v>
      </c>
      <c r="U16" s="375">
        <v>0</v>
      </c>
      <c r="V16" s="375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5">
        <v>0</v>
      </c>
      <c r="AE16" s="375">
        <v>0</v>
      </c>
      <c r="AF16" s="375">
        <v>0</v>
      </c>
      <c r="AG16" s="375">
        <v>0</v>
      </c>
      <c r="AH16" s="375">
        <v>0</v>
      </c>
      <c r="AI16" s="375">
        <v>0</v>
      </c>
      <c r="AJ16" s="375">
        <v>0</v>
      </c>
      <c r="AK16" s="375">
        <v>0</v>
      </c>
      <c r="AL16" s="375">
        <v>0</v>
      </c>
      <c r="AM16" s="375">
        <v>0</v>
      </c>
      <c r="AN16" s="375">
        <v>0</v>
      </c>
      <c r="AO16" s="375">
        <v>0</v>
      </c>
      <c r="AP16" s="375">
        <v>0</v>
      </c>
      <c r="AQ16" s="375">
        <v>0</v>
      </c>
      <c r="AR16" s="375">
        <v>0</v>
      </c>
      <c r="AS16" s="375">
        <v>0</v>
      </c>
      <c r="AT16" s="375">
        <v>1</v>
      </c>
      <c r="AU16" s="375">
        <v>0</v>
      </c>
      <c r="AV16" s="375">
        <v>0</v>
      </c>
      <c r="AW16" s="375">
        <v>3</v>
      </c>
      <c r="AX16" s="375">
        <v>0</v>
      </c>
      <c r="AY16" s="375">
        <v>0</v>
      </c>
      <c r="AZ16" s="375">
        <v>3</v>
      </c>
      <c r="BA16" s="375">
        <v>0</v>
      </c>
      <c r="BB16" s="375">
        <v>0</v>
      </c>
      <c r="BC16" s="375">
        <v>3</v>
      </c>
      <c r="BD16" s="375">
        <v>0</v>
      </c>
      <c r="BE16" s="375">
        <v>0</v>
      </c>
      <c r="BF16" s="375">
        <v>4</v>
      </c>
      <c r="BG16" s="375">
        <v>0</v>
      </c>
      <c r="BH16" s="375">
        <v>0</v>
      </c>
      <c r="BI16" s="375">
        <v>4</v>
      </c>
      <c r="BJ16" s="375">
        <v>0</v>
      </c>
      <c r="BK16" s="375">
        <v>0</v>
      </c>
      <c r="BL16" s="375">
        <v>4</v>
      </c>
      <c r="BM16" s="375">
        <v>0</v>
      </c>
      <c r="BN16" s="375">
        <v>0</v>
      </c>
      <c r="BO16" s="375">
        <v>4</v>
      </c>
      <c r="BP16" s="375">
        <v>0</v>
      </c>
      <c r="BQ16" s="375">
        <v>0</v>
      </c>
      <c r="BR16" s="375">
        <v>4.75</v>
      </c>
      <c r="BS16" s="375">
        <v>0</v>
      </c>
      <c r="BT16" s="375">
        <v>0</v>
      </c>
      <c r="BU16" s="375">
        <v>4.75</v>
      </c>
      <c r="BV16" s="375">
        <v>0</v>
      </c>
      <c r="BW16" s="375">
        <v>0</v>
      </c>
      <c r="BX16" s="375">
        <v>4.75</v>
      </c>
      <c r="BY16" s="375">
        <v>0</v>
      </c>
      <c r="BZ16" s="375">
        <v>0</v>
      </c>
      <c r="CA16" s="375">
        <v>4.75</v>
      </c>
      <c r="CB16" s="375">
        <v>0</v>
      </c>
      <c r="CC16" s="375">
        <v>0</v>
      </c>
      <c r="CD16" s="375">
        <v>4.75</v>
      </c>
      <c r="CE16" s="375">
        <v>0</v>
      </c>
      <c r="CF16" s="375">
        <v>0</v>
      </c>
      <c r="CG16" s="375">
        <v>6.5</v>
      </c>
      <c r="CH16" s="375">
        <v>0</v>
      </c>
      <c r="CI16" s="375">
        <v>0</v>
      </c>
      <c r="CJ16" s="375">
        <v>6.5</v>
      </c>
      <c r="CK16" s="375">
        <v>0</v>
      </c>
      <c r="CL16" s="375">
        <v>0</v>
      </c>
      <c r="CM16" s="375">
        <v>9</v>
      </c>
      <c r="CN16" s="375">
        <v>0</v>
      </c>
      <c r="CO16" s="375">
        <v>0</v>
      </c>
      <c r="CP16" s="375">
        <v>9</v>
      </c>
      <c r="CQ16" s="375">
        <v>0</v>
      </c>
      <c r="CR16" s="375">
        <v>0</v>
      </c>
      <c r="CS16" s="375">
        <v>9.5</v>
      </c>
      <c r="CT16" s="375">
        <v>0</v>
      </c>
      <c r="CU16" s="375">
        <v>0</v>
      </c>
      <c r="CV16" s="375">
        <v>9.75</v>
      </c>
      <c r="CW16" s="375"/>
      <c r="CX16" s="375"/>
      <c r="CY16" s="375">
        <f>SUM(R16:CX16)</f>
        <v>100</v>
      </c>
      <c r="CZ16" s="375"/>
      <c r="DA16" s="375"/>
      <c r="DB16" s="375"/>
    </row>
    <row r="17" spans="1:100" ht="12" customHeight="1">
      <c r="B17" s="393"/>
      <c r="C17" s="399">
        <f>'Monthly CF'!B40</f>
        <v>0</v>
      </c>
      <c r="D17" s="399">
        <f>'Monthly CF'!C40</f>
        <v>0</v>
      </c>
      <c r="E17" s="399">
        <f>'Monthly CF'!D40</f>
        <v>0</v>
      </c>
      <c r="F17" s="399">
        <f>'Monthly CF'!E40</f>
        <v>0</v>
      </c>
      <c r="G17" s="399">
        <f>'Monthly CF'!F40</f>
        <v>0</v>
      </c>
      <c r="H17" s="399">
        <f>'Monthly CF'!G40</f>
        <v>0</v>
      </c>
      <c r="I17" s="399">
        <f>'Monthly CF'!H40</f>
        <v>0</v>
      </c>
      <c r="J17" s="399">
        <f>'Monthly CF'!I40</f>
        <v>0</v>
      </c>
      <c r="K17" s="399">
        <f>'Monthly CF'!J40</f>
        <v>0</v>
      </c>
      <c r="L17" s="399">
        <f>'Monthly CF'!K40</f>
        <v>0</v>
      </c>
      <c r="M17" s="399">
        <f>'Monthly CF'!L40</f>
        <v>0</v>
      </c>
      <c r="N17" s="399">
        <f>'Monthly CF'!M40</f>
        <v>0</v>
      </c>
      <c r="O17" s="399">
        <f>'Monthly CF'!N40</f>
        <v>0</v>
      </c>
      <c r="P17" s="399">
        <f>'Monthly CF'!O40</f>
        <v>0</v>
      </c>
      <c r="Q17" s="399">
        <f>'Monthly CF'!P40</f>
        <v>0</v>
      </c>
      <c r="R17" s="399">
        <f>'Monthly CF'!Q40</f>
        <v>0</v>
      </c>
      <c r="S17" s="399">
        <f>'Monthly CF'!R40</f>
        <v>0</v>
      </c>
      <c r="T17" s="399">
        <f>'Monthly CF'!S40</f>
        <v>0</v>
      </c>
      <c r="U17" s="399">
        <f>'Monthly CF'!T40</f>
        <v>0</v>
      </c>
      <c r="V17" s="399">
        <f>'Monthly CF'!U40</f>
        <v>0</v>
      </c>
      <c r="W17" s="399">
        <f>'Monthly CF'!V40</f>
        <v>0.56461202234191976</v>
      </c>
      <c r="X17" s="399">
        <f>'Monthly CF'!W40</f>
        <v>-2.8706167365816326</v>
      </c>
      <c r="Y17" s="399">
        <f>'Monthly CF'!X40</f>
        <v>-3.5601842269901272</v>
      </c>
      <c r="Z17" s="399">
        <f>'Monthly CF'!Y40</f>
        <v>-7.3873618084554771</v>
      </c>
      <c r="AA17" s="399">
        <f>'Monthly CF'!Z40</f>
        <v>45.138536905669852</v>
      </c>
      <c r="AB17" s="399">
        <f>'Monthly CF'!AA40</f>
        <v>34.953390794646062</v>
      </c>
      <c r="AC17" s="399">
        <f>'Monthly CF'!AB40</f>
        <v>29.932760841750536</v>
      </c>
      <c r="AD17" s="399">
        <f>'Monthly CF'!AC40</f>
        <v>25.179769640750592</v>
      </c>
      <c r="AE17" s="399">
        <f>'Monthly CF'!AD40</f>
        <v>22.496731937438103</v>
      </c>
      <c r="AF17" s="399">
        <f>'Monthly CF'!AE40</f>
        <v>14.527310304708472</v>
      </c>
      <c r="AG17" s="399">
        <f>'Monthly CF'!AF40</f>
        <v>11.194700861942646</v>
      </c>
      <c r="AH17" s="399">
        <f>'Monthly CF'!AG40</f>
        <v>15.550334503489232</v>
      </c>
      <c r="AI17" s="399">
        <f>'Monthly CF'!AH40</f>
        <v>12.642830222278199</v>
      </c>
      <c r="AJ17" s="399">
        <f>'Monthly CF'!AI40</f>
        <v>7.3094371020063988</v>
      </c>
      <c r="AK17" s="399">
        <f>'Monthly CF'!AJ40</f>
        <v>4.7842644484157102</v>
      </c>
      <c r="AL17" s="399">
        <f>'Monthly CF'!AK40</f>
        <v>-0.77129061203738125</v>
      </c>
      <c r="AM17" s="399">
        <f>'Monthly CF'!AL40</f>
        <v>-2.0064267387773977</v>
      </c>
      <c r="AN17" s="399">
        <f>'Monthly CF'!AM40</f>
        <v>8.93137334605799</v>
      </c>
      <c r="AO17" s="399">
        <f>'Monthly CF'!AN40</f>
        <v>8.275594330838322</v>
      </c>
      <c r="AP17" s="399">
        <f>'Monthly CF'!AO40</f>
        <v>3.2517497099833532</v>
      </c>
      <c r="AQ17" s="399">
        <f>'Monthly CF'!AP40</f>
        <v>5.0784632145074591</v>
      </c>
      <c r="AR17" s="399">
        <f>'Monthly CF'!AQ40</f>
        <v>3.033178207229807</v>
      </c>
      <c r="AS17" s="399">
        <f>'Monthly CF'!AR40</f>
        <v>5.6976462817260316</v>
      </c>
      <c r="AT17" s="399">
        <f>'Monthly CF'!AS40</f>
        <v>1.9929866523732382</v>
      </c>
      <c r="AU17" s="399">
        <f>'Monthly CF'!AT40</f>
        <v>4.4579823161404697</v>
      </c>
      <c r="AV17" s="399">
        <f>'Monthly CF'!AU40</f>
        <v>2.0074634501812501</v>
      </c>
      <c r="AW17" s="399">
        <f>'Monthly CF'!AV40</f>
        <v>0.52261477015578883</v>
      </c>
      <c r="AX17" s="399">
        <f>'Monthly CF'!AW40</f>
        <v>-1.4400589508833903</v>
      </c>
      <c r="AY17" s="399">
        <f>'Monthly CF'!AX40</f>
        <v>1.7321078017956539</v>
      </c>
      <c r="AZ17" s="399">
        <f>'Monthly CF'!AY40</f>
        <v>-4.580399719618482</v>
      </c>
      <c r="BA17" s="399">
        <f>'Monthly CF'!AZ40</f>
        <v>-1.7588200203020508</v>
      </c>
      <c r="BB17" s="399">
        <f>'Monthly CF'!BA40</f>
        <v>-3.4546863994493835</v>
      </c>
      <c r="BC17" s="399">
        <f>'Monthly CF'!BB40</f>
        <v>-5.000809680924637</v>
      </c>
      <c r="BD17" s="399">
        <f>'Monthly CF'!BC40</f>
        <v>-6.6777840298368361</v>
      </c>
      <c r="BE17" s="399">
        <f>'Monthly CF'!BD40</f>
        <v>-3.1574179530496673</v>
      </c>
      <c r="BF17" s="399">
        <f>'Monthly CF'!BE40</f>
        <v>-11.054756046735285</v>
      </c>
      <c r="BG17" s="399">
        <f>'Monthly CF'!BF40</f>
        <v>-7.952153409119755</v>
      </c>
      <c r="BH17" s="399">
        <f>'Monthly CF'!BG40</f>
        <v>-9.5312544500076086</v>
      </c>
      <c r="BI17" s="399">
        <f>'Monthly CF'!BH40</f>
        <v>-10.35933107189388</v>
      </c>
      <c r="BJ17" s="399">
        <f>'Monthly CF'!BI40</f>
        <v>-11.184499707610975</v>
      </c>
      <c r="BK17" s="399">
        <f>'Monthly CF'!BJ40</f>
        <v>-5.6465642139596506</v>
      </c>
      <c r="BL17" s="399">
        <f>'Monthly CF'!BK40</f>
        <v>-12.252039844267777</v>
      </c>
      <c r="BM17" s="399">
        <f>'Monthly CF'!BL40</f>
        <v>-7.2273365583247369</v>
      </c>
      <c r="BN17" s="399">
        <f>'Monthly CF'!BM40</f>
        <v>-7.8576442057584295</v>
      </c>
      <c r="BO17" s="399">
        <f>'Monthly CF'!BN40</f>
        <v>-8.6689885701725586</v>
      </c>
      <c r="BP17" s="399">
        <f>'Monthly CF'!BO40</f>
        <v>-9.2836705972513336</v>
      </c>
      <c r="BQ17" s="399">
        <f>'Monthly CF'!BP40</f>
        <v>-5.6412890396869013</v>
      </c>
      <c r="BR17" s="399">
        <f>'Monthly CF'!BQ40</f>
        <v>-13.883672747965091</v>
      </c>
      <c r="BS17" s="399">
        <f>'Monthly CF'!BR40</f>
        <v>-9.492922021705553</v>
      </c>
      <c r="BT17" s="399">
        <f>'Monthly CF'!BS40</f>
        <v>-11.442377573872196</v>
      </c>
      <c r="BU17" s="399">
        <f>'Monthly CF'!BT40</f>
        <v>-12.887052691011405</v>
      </c>
      <c r="BV17" s="399">
        <f>'Monthly CF'!BU40</f>
        <v>-14.335218736454568</v>
      </c>
      <c r="BW17" s="399">
        <f>'Monthly CF'!BV40</f>
        <v>-8.5738026879098079</v>
      </c>
      <c r="BX17" s="399">
        <f>'Monthly CF'!BW40</f>
        <v>-16.874876696690642</v>
      </c>
      <c r="BY17" s="399">
        <f>'Monthly CF'!BX40</f>
        <v>-11.545160142008998</v>
      </c>
      <c r="BZ17" s="399">
        <f>'Monthly CF'!BY40</f>
        <v>-12.656443739702709</v>
      </c>
      <c r="CA17" s="399">
        <f>'Monthly CF'!BZ40</f>
        <v>-14.236803439587565</v>
      </c>
      <c r="CB17" s="399">
        <f>'Monthly CF'!CA40</f>
        <v>-15.293821754917012</v>
      </c>
      <c r="CC17" s="399">
        <f>'Monthly CF'!CB40</f>
        <v>-9.0017295735811231</v>
      </c>
      <c r="CD17" s="399">
        <f>'Monthly CF'!CC40</f>
        <v>-17.478192309550497</v>
      </c>
      <c r="CE17" s="399">
        <f>'Monthly CF'!CD40</f>
        <v>-11.643451295714215</v>
      </c>
      <c r="CF17" s="399">
        <f>'Monthly CF'!CE40</f>
        <v>-13.07147609096697</v>
      </c>
      <c r="CG17" s="399">
        <f>'Monthly CF'!CF40</f>
        <v>-15.108293604098488</v>
      </c>
      <c r="CH17" s="399">
        <f>'Monthly CF'!CG40</f>
        <v>-15.16986358693396</v>
      </c>
      <c r="CI17" s="399">
        <f>'Monthly CF'!CH40</f>
        <v>-7.4201694543201429</v>
      </c>
      <c r="CJ17" s="399">
        <f>'Monthly CF'!CI40</f>
        <v>-16.86026922968702</v>
      </c>
      <c r="CK17" s="399">
        <f>'Monthly CF'!CJ40</f>
        <v>-9.5479408121782718</v>
      </c>
      <c r="CL17" s="399">
        <f>'Monthly CF'!CK40</f>
        <v>-9.2250061355116699</v>
      </c>
      <c r="CM17" s="399">
        <f>'Monthly CF'!CL40</f>
        <v>-14.998341925557174</v>
      </c>
      <c r="CN17" s="399">
        <f>'Monthly CF'!CM40</f>
        <v>-14.600825030225975</v>
      </c>
      <c r="CO17" s="399">
        <f>'Monthly CF'!CN40</f>
        <v>-6.3976828872394176</v>
      </c>
      <c r="CP17" s="399">
        <f>'Monthly CF'!CO40</f>
        <v>-19.505643492081624</v>
      </c>
      <c r="CQ17" s="399">
        <f>'Monthly CF'!CP40</f>
        <v>-11.637981766400951</v>
      </c>
      <c r="CR17" s="399">
        <f>'Monthly CF'!CQ40</f>
        <v>-11.417852473488468</v>
      </c>
      <c r="CS17" s="399">
        <f>'Monthly CF'!CR40</f>
        <v>-16.281284680707543</v>
      </c>
      <c r="CT17" s="399">
        <f>'Monthly CF'!CS40</f>
        <v>-15.142337488806977</v>
      </c>
      <c r="CU17" s="399">
        <f>'Monthly CF'!CT40</f>
        <v>-5.6449316342201286</v>
      </c>
      <c r="CV17" s="399">
        <f>'Monthly CF'!CU40</f>
        <v>-3.7369238097880242</v>
      </c>
    </row>
    <row r="18" spans="1:100" ht="12" customHeight="1"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90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</row>
    <row r="20" spans="1:100" ht="12" customHeight="1">
      <c r="A20" s="396" t="s">
        <v>481</v>
      </c>
      <c r="B20" s="399">
        <f>B14</f>
        <v>0</v>
      </c>
      <c r="C20" s="399">
        <f>C14*C25/SUM(C24:C25)</f>
        <v>0.80289999999999984</v>
      </c>
      <c r="D20" s="399">
        <f t="shared" ref="D20:V20" si="11">D14</f>
        <v>1.5484758333333331</v>
      </c>
      <c r="E20" s="399">
        <f t="shared" si="11"/>
        <v>1.5484758333333331</v>
      </c>
      <c r="F20" s="399">
        <f t="shared" si="11"/>
        <v>1.5484758333333331</v>
      </c>
      <c r="G20" s="399">
        <f t="shared" si="11"/>
        <v>1.5484758333333331</v>
      </c>
      <c r="H20" s="399">
        <f t="shared" si="11"/>
        <v>1.5484758333333331</v>
      </c>
      <c r="I20" s="399">
        <f t="shared" si="11"/>
        <v>1.5484758333333331</v>
      </c>
      <c r="J20" s="399">
        <f t="shared" si="11"/>
        <v>1.5484758333333331</v>
      </c>
      <c r="K20" s="399">
        <f t="shared" si="11"/>
        <v>1.5484758333333331</v>
      </c>
      <c r="L20" s="399">
        <f t="shared" si="11"/>
        <v>1.5484758333333331</v>
      </c>
      <c r="M20" s="399">
        <f t="shared" si="11"/>
        <v>1.5484758333333331</v>
      </c>
      <c r="N20" s="399">
        <f t="shared" si="11"/>
        <v>1.5484758333333331</v>
      </c>
      <c r="O20" s="399">
        <f t="shared" si="11"/>
        <v>1.5484758333333331</v>
      </c>
      <c r="P20" s="399">
        <f t="shared" si="11"/>
        <v>1.5484758333333331</v>
      </c>
      <c r="Q20" s="399">
        <f t="shared" si="11"/>
        <v>1.5484758333333331</v>
      </c>
      <c r="R20" s="399">
        <f t="shared" si="11"/>
        <v>1.5484758333333331</v>
      </c>
      <c r="S20" s="399">
        <f t="shared" si="11"/>
        <v>1.5484758333333331</v>
      </c>
      <c r="T20" s="399">
        <f t="shared" si="11"/>
        <v>2.0661036607468675</v>
      </c>
      <c r="U20" s="399">
        <f t="shared" si="11"/>
        <v>2.0661036607468675</v>
      </c>
      <c r="V20" s="399">
        <f t="shared" si="11"/>
        <v>2.0661036607468675</v>
      </c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  <c r="CL20" s="399"/>
      <c r="CM20" s="399"/>
      <c r="CN20" s="399"/>
      <c r="CO20" s="399"/>
      <c r="CP20" s="399"/>
      <c r="CQ20" s="399"/>
      <c r="CR20" s="399"/>
      <c r="CS20" s="399"/>
      <c r="CT20" s="399"/>
      <c r="CU20" s="399"/>
      <c r="CV20" s="399"/>
    </row>
    <row r="21" spans="1:100" ht="12" customHeight="1">
      <c r="A21" s="396" t="s">
        <v>482</v>
      </c>
      <c r="B21" s="399">
        <v>0</v>
      </c>
      <c r="C21" s="399">
        <v>0</v>
      </c>
      <c r="D21" s="375">
        <f>'Monthly BS'!D10*17.75%/4</f>
        <v>1.3312499999999998</v>
      </c>
      <c r="E21" s="399">
        <v>0</v>
      </c>
      <c r="F21" s="399">
        <v>0</v>
      </c>
      <c r="G21" s="375">
        <f>G7*17.75%/4</f>
        <v>0</v>
      </c>
      <c r="H21" s="399">
        <v>0</v>
      </c>
      <c r="I21" s="399">
        <v>0</v>
      </c>
      <c r="J21" s="375">
        <f>'Monthly BS'!J10*17.75%/4</f>
        <v>1.3312499999999998</v>
      </c>
      <c r="K21" s="399">
        <v>0</v>
      </c>
      <c r="L21" s="399">
        <v>0</v>
      </c>
      <c r="M21" s="375">
        <f>'Monthly BS'!M10*17.75%/4</f>
        <v>1.3312499999999998</v>
      </c>
      <c r="N21" s="399">
        <v>0</v>
      </c>
      <c r="O21" s="399">
        <v>0</v>
      </c>
      <c r="P21" s="375">
        <f>'Monthly BS'!P10*17.75%/4</f>
        <v>1.3312499999999998</v>
      </c>
      <c r="Q21" s="399">
        <v>0</v>
      </c>
      <c r="R21" s="399">
        <v>0</v>
      </c>
      <c r="S21" s="375">
        <f>'Monthly BS'!S10*17.75%/4</f>
        <v>0</v>
      </c>
      <c r="T21" s="399">
        <v>0</v>
      </c>
      <c r="U21" s="399">
        <v>0</v>
      </c>
      <c r="V21" s="375">
        <f>'Monthly BS'!V10*17.75%/4</f>
        <v>0</v>
      </c>
      <c r="W21" s="399"/>
      <c r="X21" s="399"/>
      <c r="Y21" s="375"/>
      <c r="Z21" s="399"/>
      <c r="AA21" s="399"/>
      <c r="AB21" s="375"/>
      <c r="AC21" s="399"/>
      <c r="AD21" s="399"/>
      <c r="AE21" s="375"/>
      <c r="AF21" s="399"/>
      <c r="AG21" s="399"/>
      <c r="AH21" s="375"/>
      <c r="AI21" s="399"/>
      <c r="AJ21" s="399"/>
      <c r="AK21" s="375"/>
      <c r="AL21" s="399"/>
      <c r="AM21" s="399"/>
      <c r="AN21" s="375"/>
      <c r="AO21" s="399"/>
      <c r="AP21" s="399"/>
      <c r="AQ21" s="375"/>
      <c r="AR21" s="399"/>
      <c r="AS21" s="399"/>
      <c r="AT21" s="375"/>
      <c r="AU21" s="399"/>
      <c r="AV21" s="399"/>
      <c r="AW21" s="375"/>
      <c r="AX21" s="399"/>
      <c r="AY21" s="399"/>
      <c r="AZ21" s="375"/>
      <c r="BA21" s="399"/>
      <c r="BB21" s="399"/>
      <c r="BC21" s="375"/>
      <c r="BD21" s="399"/>
      <c r="BE21" s="399"/>
      <c r="BF21" s="375"/>
      <c r="BG21" s="399"/>
      <c r="BH21" s="399"/>
      <c r="BI21" s="375"/>
      <c r="BJ21" s="399"/>
      <c r="BK21" s="399"/>
      <c r="BL21" s="375"/>
      <c r="BM21" s="399"/>
      <c r="BN21" s="399"/>
      <c r="BO21" s="375"/>
      <c r="BP21" s="399"/>
      <c r="BQ21" s="399"/>
      <c r="BR21" s="375"/>
      <c r="BS21" s="399"/>
      <c r="BT21" s="399"/>
      <c r="BU21" s="375"/>
      <c r="BV21" s="399"/>
      <c r="BW21" s="399"/>
      <c r="BX21" s="375"/>
      <c r="BY21" s="399"/>
      <c r="BZ21" s="399"/>
      <c r="CA21" s="375"/>
      <c r="CB21" s="399"/>
      <c r="CC21" s="399"/>
      <c r="CD21" s="375"/>
      <c r="CE21" s="399"/>
      <c r="CF21" s="399"/>
      <c r="CG21" s="375"/>
      <c r="CH21" s="399"/>
      <c r="CI21" s="399"/>
      <c r="CJ21" s="375"/>
      <c r="CK21" s="399"/>
      <c r="CL21" s="399"/>
      <c r="CM21" s="375"/>
      <c r="CN21" s="399"/>
      <c r="CO21" s="399"/>
      <c r="CP21" s="375"/>
      <c r="CQ21" s="399"/>
      <c r="CR21" s="399"/>
      <c r="CS21" s="375"/>
      <c r="CT21" s="399"/>
      <c r="CU21" s="399"/>
      <c r="CV21" s="375"/>
    </row>
    <row r="22" spans="1:100" ht="12" customHeight="1" thickBot="1">
      <c r="A22" s="389" t="s">
        <v>104</v>
      </c>
      <c r="B22" s="400">
        <f t="shared" ref="B22:V22" si="12">SUM(B20:B21)</f>
        <v>0</v>
      </c>
      <c r="C22" s="400">
        <f t="shared" si="12"/>
        <v>0.80289999999999984</v>
      </c>
      <c r="D22" s="400">
        <f t="shared" si="12"/>
        <v>2.8797258333333327</v>
      </c>
      <c r="E22" s="400">
        <f t="shared" si="12"/>
        <v>1.5484758333333331</v>
      </c>
      <c r="F22" s="400">
        <f t="shared" si="12"/>
        <v>1.5484758333333331</v>
      </c>
      <c r="G22" s="400">
        <f t="shared" si="12"/>
        <v>1.5484758333333331</v>
      </c>
      <c r="H22" s="400">
        <f t="shared" si="12"/>
        <v>1.5484758333333331</v>
      </c>
      <c r="I22" s="400">
        <f t="shared" si="12"/>
        <v>1.5484758333333331</v>
      </c>
      <c r="J22" s="400">
        <f t="shared" si="12"/>
        <v>2.8797258333333327</v>
      </c>
      <c r="K22" s="400">
        <f t="shared" si="12"/>
        <v>1.5484758333333331</v>
      </c>
      <c r="L22" s="400">
        <f t="shared" si="12"/>
        <v>1.5484758333333331</v>
      </c>
      <c r="M22" s="400">
        <f t="shared" si="12"/>
        <v>2.8797258333333327</v>
      </c>
      <c r="N22" s="400">
        <f t="shared" si="12"/>
        <v>1.5484758333333331</v>
      </c>
      <c r="O22" s="400">
        <f t="shared" si="12"/>
        <v>1.5484758333333331</v>
      </c>
      <c r="P22" s="400">
        <f t="shared" si="12"/>
        <v>2.8797258333333327</v>
      </c>
      <c r="Q22" s="400">
        <f t="shared" si="12"/>
        <v>1.5484758333333331</v>
      </c>
      <c r="R22" s="400">
        <f t="shared" si="12"/>
        <v>1.5484758333333331</v>
      </c>
      <c r="S22" s="400">
        <f t="shared" si="12"/>
        <v>1.5484758333333331</v>
      </c>
      <c r="T22" s="400">
        <f t="shared" si="12"/>
        <v>2.0661036607468675</v>
      </c>
      <c r="U22" s="400">
        <f t="shared" si="12"/>
        <v>2.0661036607468675</v>
      </c>
      <c r="V22" s="400">
        <f t="shared" si="12"/>
        <v>2.0661036607468675</v>
      </c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</row>
    <row r="23" spans="1:100" ht="12" customHeight="1" thickTop="1"/>
    <row r="24" spans="1:100" ht="12" customHeight="1">
      <c r="A24" s="396" t="s">
        <v>293</v>
      </c>
      <c r="B24" s="390"/>
      <c r="C24" s="390">
        <v>82.46</v>
      </c>
      <c r="D24" s="390">
        <f t="shared" ref="D24:BO24" si="13">D15*100/184.4</f>
        <v>92.874186550976134</v>
      </c>
      <c r="E24" s="390">
        <f t="shared" si="13"/>
        <v>92.874186550976134</v>
      </c>
      <c r="F24" s="390">
        <f t="shared" si="13"/>
        <v>92.874186550976134</v>
      </c>
      <c r="G24" s="390">
        <f t="shared" si="13"/>
        <v>92.874186550976134</v>
      </c>
      <c r="H24" s="390">
        <f t="shared" si="13"/>
        <v>92.874186550976134</v>
      </c>
      <c r="I24" s="390">
        <f t="shared" si="13"/>
        <v>92.874186550976134</v>
      </c>
      <c r="J24" s="390">
        <f t="shared" si="13"/>
        <v>92.874186550976134</v>
      </c>
      <c r="K24" s="390">
        <f t="shared" si="13"/>
        <v>92.874186550976134</v>
      </c>
      <c r="L24" s="390">
        <f t="shared" si="13"/>
        <v>92.874186550976134</v>
      </c>
      <c r="M24" s="390">
        <f t="shared" si="13"/>
        <v>92.874186550976134</v>
      </c>
      <c r="N24" s="390">
        <f t="shared" si="13"/>
        <v>92.874186550976134</v>
      </c>
      <c r="O24" s="390">
        <f t="shared" si="13"/>
        <v>92.874186550976134</v>
      </c>
      <c r="P24" s="390">
        <f t="shared" si="13"/>
        <v>92.874186550976134</v>
      </c>
      <c r="Q24" s="390">
        <f t="shared" si="13"/>
        <v>92.874186550976134</v>
      </c>
      <c r="R24" s="390">
        <f t="shared" si="13"/>
        <v>92.874186550976134</v>
      </c>
      <c r="S24" s="390">
        <f t="shared" si="13"/>
        <v>114.29501084598698</v>
      </c>
      <c r="T24" s="390">
        <f t="shared" si="13"/>
        <v>114.29501084598698</v>
      </c>
      <c r="U24" s="390">
        <f t="shared" si="13"/>
        <v>114.29501084598698</v>
      </c>
      <c r="V24" s="390">
        <f t="shared" si="13"/>
        <v>112.93926247288503</v>
      </c>
      <c r="W24" s="390">
        <f t="shared" si="13"/>
        <v>112.93926247288503</v>
      </c>
      <c r="X24" s="390">
        <f t="shared" si="13"/>
        <v>112.93926247288503</v>
      </c>
      <c r="Y24" s="390">
        <f t="shared" si="13"/>
        <v>112.26138828633405</v>
      </c>
      <c r="Z24" s="390">
        <f t="shared" si="13"/>
        <v>50.517624728850315</v>
      </c>
      <c r="AA24" s="390">
        <f t="shared" si="13"/>
        <v>79.666214750542295</v>
      </c>
      <c r="AB24" s="390">
        <f t="shared" si="13"/>
        <v>79.666214750542295</v>
      </c>
      <c r="AC24" s="390">
        <f t="shared" si="13"/>
        <v>79.666214750542295</v>
      </c>
      <c r="AD24" s="390">
        <f t="shared" si="13"/>
        <v>79.666214750542295</v>
      </c>
      <c r="AE24" s="390">
        <f t="shared" si="13"/>
        <v>79.666214750542295</v>
      </c>
      <c r="AF24" s="390">
        <f t="shared" si="13"/>
        <v>79.666214750542295</v>
      </c>
      <c r="AG24" s="390">
        <f t="shared" si="13"/>
        <v>79.666214750542295</v>
      </c>
      <c r="AH24" s="390">
        <f t="shared" si="13"/>
        <v>79.666214750542295</v>
      </c>
      <c r="AI24" s="390">
        <f t="shared" si="13"/>
        <v>79.666214750542295</v>
      </c>
      <c r="AJ24" s="390">
        <f t="shared" si="13"/>
        <v>79.666214750542295</v>
      </c>
      <c r="AK24" s="390">
        <f t="shared" si="13"/>
        <v>79.666214750542295</v>
      </c>
      <c r="AL24" s="390">
        <f t="shared" si="13"/>
        <v>79.666214750542295</v>
      </c>
      <c r="AM24" s="390">
        <f t="shared" si="13"/>
        <v>79.666214750542295</v>
      </c>
      <c r="AN24" s="390">
        <f t="shared" si="13"/>
        <v>79.666214750542295</v>
      </c>
      <c r="AO24" s="390">
        <f t="shared" si="13"/>
        <v>79.666214750542295</v>
      </c>
      <c r="AP24" s="390">
        <f t="shared" si="13"/>
        <v>79.666214750542295</v>
      </c>
      <c r="AQ24" s="390">
        <f t="shared" si="13"/>
        <v>79.666214750542295</v>
      </c>
      <c r="AR24" s="390">
        <f t="shared" si="13"/>
        <v>79.666214750542295</v>
      </c>
      <c r="AS24" s="390">
        <f t="shared" si="13"/>
        <v>79.666214750542295</v>
      </c>
      <c r="AT24" s="390">
        <f t="shared" si="13"/>
        <v>78.869552603036865</v>
      </c>
      <c r="AU24" s="390">
        <f t="shared" si="13"/>
        <v>78.869552603036865</v>
      </c>
      <c r="AV24" s="390">
        <f t="shared" si="13"/>
        <v>78.869552603036865</v>
      </c>
      <c r="AW24" s="390">
        <f t="shared" si="13"/>
        <v>76.479566160520591</v>
      </c>
      <c r="AX24" s="390">
        <f t="shared" si="13"/>
        <v>76.479566160520591</v>
      </c>
      <c r="AY24" s="390">
        <f t="shared" si="13"/>
        <v>76.479566160520591</v>
      </c>
      <c r="AZ24" s="390">
        <f t="shared" si="13"/>
        <v>74.089579718004316</v>
      </c>
      <c r="BA24" s="390">
        <f t="shared" si="13"/>
        <v>74.089579718004316</v>
      </c>
      <c r="BB24" s="390">
        <f t="shared" si="13"/>
        <v>74.089579718004316</v>
      </c>
      <c r="BC24" s="390">
        <f t="shared" si="13"/>
        <v>71.699593275488041</v>
      </c>
      <c r="BD24" s="390">
        <f t="shared" si="13"/>
        <v>71.699593275488041</v>
      </c>
      <c r="BE24" s="390">
        <f t="shared" si="13"/>
        <v>71.699593275488041</v>
      </c>
      <c r="BF24" s="390">
        <f t="shared" si="13"/>
        <v>68.512944685466351</v>
      </c>
      <c r="BG24" s="390">
        <f t="shared" si="13"/>
        <v>68.512944685466351</v>
      </c>
      <c r="BH24" s="390">
        <f t="shared" si="13"/>
        <v>68.512944685466351</v>
      </c>
      <c r="BI24" s="390">
        <f t="shared" si="13"/>
        <v>65.326296095444647</v>
      </c>
      <c r="BJ24" s="390">
        <f t="shared" si="13"/>
        <v>65.326296095444647</v>
      </c>
      <c r="BK24" s="390">
        <f t="shared" si="13"/>
        <v>65.326296095444647</v>
      </c>
      <c r="BL24" s="390">
        <f t="shared" si="13"/>
        <v>62.139647505422957</v>
      </c>
      <c r="BM24" s="390">
        <f t="shared" si="13"/>
        <v>62.139647505422957</v>
      </c>
      <c r="BN24" s="390">
        <f t="shared" si="13"/>
        <v>62.139647505422957</v>
      </c>
      <c r="BO24" s="390">
        <f t="shared" si="13"/>
        <v>58.952998915401267</v>
      </c>
      <c r="BP24" s="390">
        <f t="shared" ref="BP24:CV24" si="14">BP15*100/184.4</f>
        <v>58.952998915401267</v>
      </c>
      <c r="BQ24" s="390">
        <f t="shared" si="14"/>
        <v>58.952998915401267</v>
      </c>
      <c r="BR24" s="390">
        <f t="shared" si="14"/>
        <v>55.168853714750504</v>
      </c>
      <c r="BS24" s="390">
        <f t="shared" si="14"/>
        <v>55.168853714750504</v>
      </c>
      <c r="BT24" s="390">
        <f t="shared" si="14"/>
        <v>55.168853714750504</v>
      </c>
      <c r="BU24" s="390">
        <f t="shared" si="14"/>
        <v>51.384708514099749</v>
      </c>
      <c r="BV24" s="390">
        <f t="shared" si="14"/>
        <v>51.384708514099749</v>
      </c>
      <c r="BW24" s="390">
        <f t="shared" si="14"/>
        <v>51.384708514099749</v>
      </c>
      <c r="BX24" s="390">
        <f t="shared" si="14"/>
        <v>47.600563313448987</v>
      </c>
      <c r="BY24" s="390">
        <f t="shared" si="14"/>
        <v>47.600563313448987</v>
      </c>
      <c r="BZ24" s="390">
        <f t="shared" si="14"/>
        <v>47.600563313448987</v>
      </c>
      <c r="CA24" s="390">
        <f t="shared" si="14"/>
        <v>43.816418112798225</v>
      </c>
      <c r="CB24" s="390">
        <f t="shared" si="14"/>
        <v>43.816418112798225</v>
      </c>
      <c r="CC24" s="390">
        <f t="shared" si="14"/>
        <v>43.816418112798225</v>
      </c>
      <c r="CD24" s="390">
        <f t="shared" si="14"/>
        <v>40.032272912147469</v>
      </c>
      <c r="CE24" s="390">
        <f t="shared" si="14"/>
        <v>40.032272912147469</v>
      </c>
      <c r="CF24" s="390">
        <f t="shared" si="14"/>
        <v>40.032272912147469</v>
      </c>
      <c r="CG24" s="390">
        <f t="shared" si="14"/>
        <v>34.853968953362219</v>
      </c>
      <c r="CH24" s="390">
        <f t="shared" si="14"/>
        <v>34.853968953362219</v>
      </c>
      <c r="CI24" s="390">
        <f t="shared" si="14"/>
        <v>34.853968953362219</v>
      </c>
      <c r="CJ24" s="390">
        <f t="shared" si="14"/>
        <v>29.675664994576969</v>
      </c>
      <c r="CK24" s="390">
        <f t="shared" si="14"/>
        <v>29.675664994576969</v>
      </c>
      <c r="CL24" s="390">
        <f t="shared" si="14"/>
        <v>29.675664994576969</v>
      </c>
      <c r="CM24" s="390">
        <f t="shared" si="14"/>
        <v>22.505705667028167</v>
      </c>
      <c r="CN24" s="390">
        <f t="shared" si="14"/>
        <v>22.505705667028167</v>
      </c>
      <c r="CO24" s="390">
        <f t="shared" si="14"/>
        <v>22.505705667028167</v>
      </c>
      <c r="CP24" s="390">
        <f t="shared" si="14"/>
        <v>15.335746339479359</v>
      </c>
      <c r="CQ24" s="390">
        <f t="shared" si="14"/>
        <v>15.335746339479359</v>
      </c>
      <c r="CR24" s="390">
        <f t="shared" si="14"/>
        <v>15.335746339479359</v>
      </c>
      <c r="CS24" s="390">
        <f t="shared" si="14"/>
        <v>7.7674559381778412</v>
      </c>
      <c r="CT24" s="390">
        <f t="shared" si="14"/>
        <v>7.7674559381778412</v>
      </c>
      <c r="CU24" s="390">
        <f t="shared" si="14"/>
        <v>7.7674559381778412</v>
      </c>
      <c r="CV24" s="390">
        <f t="shared" si="14"/>
        <v>-3.1789466214863481E-14</v>
      </c>
    </row>
    <row r="25" spans="1:100" ht="12" customHeight="1">
      <c r="A25" s="396" t="s">
        <v>483</v>
      </c>
      <c r="B25" s="390"/>
      <c r="C25" s="390">
        <f t="shared" ref="C25:BN25" si="15">C15-C24</f>
        <v>88.8</v>
      </c>
      <c r="D25" s="390">
        <f t="shared" si="15"/>
        <v>78.385813449023857</v>
      </c>
      <c r="E25" s="390">
        <f t="shared" si="15"/>
        <v>78.385813449023857</v>
      </c>
      <c r="F25" s="390">
        <f t="shared" si="15"/>
        <v>78.385813449023857</v>
      </c>
      <c r="G25" s="390">
        <f t="shared" si="15"/>
        <v>78.385813449023857</v>
      </c>
      <c r="H25" s="390">
        <f t="shared" si="15"/>
        <v>78.385813449023857</v>
      </c>
      <c r="I25" s="390">
        <f t="shared" si="15"/>
        <v>78.385813449023857</v>
      </c>
      <c r="J25" s="390">
        <f t="shared" si="15"/>
        <v>78.385813449023857</v>
      </c>
      <c r="K25" s="390">
        <f t="shared" si="15"/>
        <v>78.385813449023857</v>
      </c>
      <c r="L25" s="390">
        <f t="shared" si="15"/>
        <v>78.385813449023857</v>
      </c>
      <c r="M25" s="390">
        <f t="shared" si="15"/>
        <v>78.385813449023857</v>
      </c>
      <c r="N25" s="390">
        <f t="shared" si="15"/>
        <v>78.385813449023857</v>
      </c>
      <c r="O25" s="390">
        <f t="shared" si="15"/>
        <v>78.385813449023857</v>
      </c>
      <c r="P25" s="390">
        <f t="shared" si="15"/>
        <v>78.385813449023857</v>
      </c>
      <c r="Q25" s="390">
        <f t="shared" si="15"/>
        <v>78.385813449023857</v>
      </c>
      <c r="R25" s="390">
        <f t="shared" si="15"/>
        <v>78.385813449023857</v>
      </c>
      <c r="S25" s="390">
        <f t="shared" si="15"/>
        <v>96.464989154013011</v>
      </c>
      <c r="T25" s="390">
        <f t="shared" si="15"/>
        <v>96.464989154013011</v>
      </c>
      <c r="U25" s="390">
        <f t="shared" si="15"/>
        <v>96.464989154013011</v>
      </c>
      <c r="V25" s="390">
        <f t="shared" si="15"/>
        <v>95.320737527114957</v>
      </c>
      <c r="W25" s="390">
        <f t="shared" si="15"/>
        <v>95.320737527114957</v>
      </c>
      <c r="X25" s="390">
        <f t="shared" si="15"/>
        <v>95.320737527114957</v>
      </c>
      <c r="Y25" s="390">
        <f t="shared" si="15"/>
        <v>94.748611713665937</v>
      </c>
      <c r="Z25" s="390">
        <f t="shared" si="15"/>
        <v>42.63687527114967</v>
      </c>
      <c r="AA25" s="390">
        <f t="shared" si="15"/>
        <v>67.238285249457689</v>
      </c>
      <c r="AB25" s="390">
        <f t="shared" si="15"/>
        <v>67.238285249457689</v>
      </c>
      <c r="AC25" s="390">
        <f t="shared" si="15"/>
        <v>67.238285249457689</v>
      </c>
      <c r="AD25" s="390">
        <f t="shared" si="15"/>
        <v>67.238285249457689</v>
      </c>
      <c r="AE25" s="390">
        <f t="shared" si="15"/>
        <v>67.238285249457689</v>
      </c>
      <c r="AF25" s="390">
        <f t="shared" si="15"/>
        <v>67.238285249457689</v>
      </c>
      <c r="AG25" s="390">
        <f t="shared" si="15"/>
        <v>67.238285249457689</v>
      </c>
      <c r="AH25" s="390">
        <f t="shared" si="15"/>
        <v>67.238285249457689</v>
      </c>
      <c r="AI25" s="390">
        <f t="shared" si="15"/>
        <v>67.238285249457689</v>
      </c>
      <c r="AJ25" s="390">
        <f t="shared" si="15"/>
        <v>67.238285249457689</v>
      </c>
      <c r="AK25" s="390">
        <f t="shared" si="15"/>
        <v>67.238285249457689</v>
      </c>
      <c r="AL25" s="390">
        <f t="shared" si="15"/>
        <v>67.238285249457689</v>
      </c>
      <c r="AM25" s="390">
        <f t="shared" si="15"/>
        <v>67.238285249457689</v>
      </c>
      <c r="AN25" s="390">
        <f t="shared" si="15"/>
        <v>67.238285249457689</v>
      </c>
      <c r="AO25" s="390">
        <f t="shared" si="15"/>
        <v>67.238285249457689</v>
      </c>
      <c r="AP25" s="390">
        <f t="shared" si="15"/>
        <v>67.238285249457689</v>
      </c>
      <c r="AQ25" s="390">
        <f t="shared" si="15"/>
        <v>67.238285249457689</v>
      </c>
      <c r="AR25" s="390">
        <f t="shared" si="15"/>
        <v>67.238285249457689</v>
      </c>
      <c r="AS25" s="390">
        <f t="shared" si="15"/>
        <v>67.238285249457689</v>
      </c>
      <c r="AT25" s="390">
        <f t="shared" si="15"/>
        <v>66.565902396963125</v>
      </c>
      <c r="AU25" s="390">
        <f t="shared" si="15"/>
        <v>66.565902396963125</v>
      </c>
      <c r="AV25" s="390">
        <f t="shared" si="15"/>
        <v>66.565902396963125</v>
      </c>
      <c r="AW25" s="390">
        <f t="shared" si="15"/>
        <v>64.548753839479389</v>
      </c>
      <c r="AX25" s="390">
        <f t="shared" si="15"/>
        <v>64.548753839479389</v>
      </c>
      <c r="AY25" s="390">
        <f t="shared" si="15"/>
        <v>64.548753839479389</v>
      </c>
      <c r="AZ25" s="390">
        <f t="shared" si="15"/>
        <v>62.531605281995652</v>
      </c>
      <c r="BA25" s="390">
        <f t="shared" si="15"/>
        <v>62.531605281995652</v>
      </c>
      <c r="BB25" s="390">
        <f t="shared" si="15"/>
        <v>62.531605281995652</v>
      </c>
      <c r="BC25" s="390">
        <f t="shared" si="15"/>
        <v>60.514456724511916</v>
      </c>
      <c r="BD25" s="390">
        <f t="shared" si="15"/>
        <v>60.514456724511916</v>
      </c>
      <c r="BE25" s="390">
        <f t="shared" si="15"/>
        <v>60.514456724511916</v>
      </c>
      <c r="BF25" s="390">
        <f t="shared" si="15"/>
        <v>57.824925314533601</v>
      </c>
      <c r="BG25" s="390">
        <f t="shared" si="15"/>
        <v>57.824925314533601</v>
      </c>
      <c r="BH25" s="390">
        <f t="shared" si="15"/>
        <v>57.824925314533601</v>
      </c>
      <c r="BI25" s="390">
        <f t="shared" si="15"/>
        <v>55.135393904555301</v>
      </c>
      <c r="BJ25" s="390">
        <f t="shared" si="15"/>
        <v>55.135393904555301</v>
      </c>
      <c r="BK25" s="390">
        <f t="shared" si="15"/>
        <v>55.135393904555301</v>
      </c>
      <c r="BL25" s="390">
        <f t="shared" si="15"/>
        <v>52.445862494576986</v>
      </c>
      <c r="BM25" s="390">
        <f t="shared" si="15"/>
        <v>52.445862494576986</v>
      </c>
      <c r="BN25" s="390">
        <f t="shared" si="15"/>
        <v>52.445862494576986</v>
      </c>
      <c r="BO25" s="390">
        <f t="shared" ref="BO25:CV25" si="16">BO15-BO24</f>
        <v>49.756331084598671</v>
      </c>
      <c r="BP25" s="390">
        <f t="shared" si="16"/>
        <v>49.756331084598671</v>
      </c>
      <c r="BQ25" s="390">
        <f t="shared" si="16"/>
        <v>49.756331084598671</v>
      </c>
      <c r="BR25" s="390">
        <f t="shared" si="16"/>
        <v>46.562512535249432</v>
      </c>
      <c r="BS25" s="390">
        <f t="shared" si="16"/>
        <v>46.562512535249432</v>
      </c>
      <c r="BT25" s="390">
        <f t="shared" si="16"/>
        <v>46.562512535249432</v>
      </c>
      <c r="BU25" s="390">
        <f t="shared" si="16"/>
        <v>43.368693985900187</v>
      </c>
      <c r="BV25" s="390">
        <f t="shared" si="16"/>
        <v>43.368693985900187</v>
      </c>
      <c r="BW25" s="390">
        <f t="shared" si="16"/>
        <v>43.368693985900187</v>
      </c>
      <c r="BX25" s="390">
        <f t="shared" si="16"/>
        <v>40.174875436550948</v>
      </c>
      <c r="BY25" s="390">
        <f t="shared" si="16"/>
        <v>40.174875436550948</v>
      </c>
      <c r="BZ25" s="390">
        <f t="shared" si="16"/>
        <v>40.174875436550948</v>
      </c>
      <c r="CA25" s="390">
        <f t="shared" si="16"/>
        <v>36.98105688720171</v>
      </c>
      <c r="CB25" s="390">
        <f t="shared" si="16"/>
        <v>36.98105688720171</v>
      </c>
      <c r="CC25" s="390">
        <f t="shared" si="16"/>
        <v>36.98105688720171</v>
      </c>
      <c r="CD25" s="390">
        <f t="shared" si="16"/>
        <v>33.787238337852465</v>
      </c>
      <c r="CE25" s="390">
        <f t="shared" si="16"/>
        <v>33.787238337852465</v>
      </c>
      <c r="CF25" s="390">
        <f t="shared" si="16"/>
        <v>33.787238337852465</v>
      </c>
      <c r="CG25" s="390">
        <f t="shared" si="16"/>
        <v>29.41674979663771</v>
      </c>
      <c r="CH25" s="390">
        <f t="shared" si="16"/>
        <v>29.41674979663771</v>
      </c>
      <c r="CI25" s="390">
        <f t="shared" si="16"/>
        <v>29.41674979663771</v>
      </c>
      <c r="CJ25" s="390">
        <f t="shared" si="16"/>
        <v>25.046261255422962</v>
      </c>
      <c r="CK25" s="390">
        <f t="shared" si="16"/>
        <v>25.046261255422962</v>
      </c>
      <c r="CL25" s="390">
        <f t="shared" si="16"/>
        <v>25.046261255422962</v>
      </c>
      <c r="CM25" s="390">
        <f t="shared" si="16"/>
        <v>18.994815582971768</v>
      </c>
      <c r="CN25" s="390">
        <f t="shared" si="16"/>
        <v>18.994815582971768</v>
      </c>
      <c r="CO25" s="390">
        <f t="shared" si="16"/>
        <v>18.994815582971768</v>
      </c>
      <c r="CP25" s="390">
        <f t="shared" si="16"/>
        <v>12.943369910520579</v>
      </c>
      <c r="CQ25" s="390">
        <f t="shared" si="16"/>
        <v>12.943369910520579</v>
      </c>
      <c r="CR25" s="390">
        <f t="shared" si="16"/>
        <v>12.943369910520579</v>
      </c>
      <c r="CS25" s="390">
        <f t="shared" si="16"/>
        <v>6.5557328118220983</v>
      </c>
      <c r="CT25" s="390">
        <f t="shared" si="16"/>
        <v>6.5557328118220983</v>
      </c>
      <c r="CU25" s="390">
        <f t="shared" si="16"/>
        <v>6.5557328118220983</v>
      </c>
      <c r="CV25" s="390">
        <f t="shared" si="16"/>
        <v>-2.6830309485344784E-14</v>
      </c>
    </row>
    <row r="26" spans="1:100" ht="12" customHeight="1">
      <c r="B26" s="390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</row>
    <row r="27" spans="1:100" ht="12" customHeight="1">
      <c r="B27" s="390"/>
      <c r="C27" s="390">
        <f t="shared" ref="C27:BN27" si="17">C25*2%/12</f>
        <v>0.14799999999999999</v>
      </c>
      <c r="D27" s="390">
        <f t="shared" si="17"/>
        <v>0.13064302241503975</v>
      </c>
      <c r="E27" s="390">
        <f t="shared" si="17"/>
        <v>0.13064302241503975</v>
      </c>
      <c r="F27" s="390">
        <f t="shared" si="17"/>
        <v>0.13064302241503975</v>
      </c>
      <c r="G27" s="390">
        <f t="shared" si="17"/>
        <v>0.13064302241503975</v>
      </c>
      <c r="H27" s="390">
        <f t="shared" si="17"/>
        <v>0.13064302241503975</v>
      </c>
      <c r="I27" s="390">
        <f t="shared" si="17"/>
        <v>0.13064302241503975</v>
      </c>
      <c r="J27" s="390">
        <f t="shared" si="17"/>
        <v>0.13064302241503975</v>
      </c>
      <c r="K27" s="390">
        <f t="shared" si="17"/>
        <v>0.13064302241503975</v>
      </c>
      <c r="L27" s="390">
        <f t="shared" si="17"/>
        <v>0.13064302241503975</v>
      </c>
      <c r="M27" s="390">
        <f t="shared" si="17"/>
        <v>0.13064302241503975</v>
      </c>
      <c r="N27" s="390">
        <f t="shared" si="17"/>
        <v>0.13064302241503975</v>
      </c>
      <c r="O27" s="390">
        <f t="shared" si="17"/>
        <v>0.13064302241503975</v>
      </c>
      <c r="P27" s="390">
        <f t="shared" si="17"/>
        <v>0.13064302241503975</v>
      </c>
      <c r="Q27" s="390">
        <f t="shared" si="17"/>
        <v>0.13064302241503975</v>
      </c>
      <c r="R27" s="390">
        <f t="shared" si="17"/>
        <v>0.13064302241503975</v>
      </c>
      <c r="S27" s="390">
        <f t="shared" si="17"/>
        <v>0.16077498192335501</v>
      </c>
      <c r="T27" s="390">
        <f t="shared" si="17"/>
        <v>0.16077498192335501</v>
      </c>
      <c r="U27" s="390">
        <f t="shared" si="17"/>
        <v>0.16077498192335501</v>
      </c>
      <c r="V27" s="390">
        <f t="shared" si="17"/>
        <v>0.15886789587852493</v>
      </c>
      <c r="W27" s="390">
        <f t="shared" si="17"/>
        <v>0.15886789587852493</v>
      </c>
      <c r="X27" s="390">
        <f t="shared" si="17"/>
        <v>0.15886789587852493</v>
      </c>
      <c r="Y27" s="390">
        <f t="shared" si="17"/>
        <v>0.15791435285610991</v>
      </c>
      <c r="Z27" s="390">
        <f t="shared" si="17"/>
        <v>7.1061458785249457E-2</v>
      </c>
      <c r="AA27" s="390">
        <f t="shared" si="17"/>
        <v>0.11206380874909615</v>
      </c>
      <c r="AB27" s="390">
        <f t="shared" si="17"/>
        <v>0.11206380874909615</v>
      </c>
      <c r="AC27" s="390">
        <f t="shared" si="17"/>
        <v>0.11206380874909615</v>
      </c>
      <c r="AD27" s="390">
        <f t="shared" si="17"/>
        <v>0.11206380874909615</v>
      </c>
      <c r="AE27" s="390">
        <f t="shared" si="17"/>
        <v>0.11206380874909615</v>
      </c>
      <c r="AF27" s="390">
        <f t="shared" si="17"/>
        <v>0.11206380874909615</v>
      </c>
      <c r="AG27" s="390">
        <f t="shared" si="17"/>
        <v>0.11206380874909615</v>
      </c>
      <c r="AH27" s="390">
        <f t="shared" si="17"/>
        <v>0.11206380874909615</v>
      </c>
      <c r="AI27" s="390">
        <f t="shared" si="17"/>
        <v>0.11206380874909615</v>
      </c>
      <c r="AJ27" s="390">
        <f t="shared" si="17"/>
        <v>0.11206380874909615</v>
      </c>
      <c r="AK27" s="390">
        <f t="shared" si="17"/>
        <v>0.11206380874909615</v>
      </c>
      <c r="AL27" s="390">
        <f t="shared" si="17"/>
        <v>0.11206380874909615</v>
      </c>
      <c r="AM27" s="390">
        <f t="shared" si="17"/>
        <v>0.11206380874909615</v>
      </c>
      <c r="AN27" s="390">
        <f t="shared" si="17"/>
        <v>0.11206380874909615</v>
      </c>
      <c r="AO27" s="390">
        <f t="shared" si="17"/>
        <v>0.11206380874909615</v>
      </c>
      <c r="AP27" s="390">
        <f t="shared" si="17"/>
        <v>0.11206380874909615</v>
      </c>
      <c r="AQ27" s="390">
        <f t="shared" si="17"/>
        <v>0.11206380874909615</v>
      </c>
      <c r="AR27" s="390">
        <f t="shared" si="17"/>
        <v>0.11206380874909615</v>
      </c>
      <c r="AS27" s="390">
        <f t="shared" si="17"/>
        <v>0.11206380874909615</v>
      </c>
      <c r="AT27" s="390">
        <f t="shared" si="17"/>
        <v>0.11094317066160521</v>
      </c>
      <c r="AU27" s="390">
        <f t="shared" si="17"/>
        <v>0.11094317066160521</v>
      </c>
      <c r="AV27" s="390">
        <f t="shared" si="17"/>
        <v>0.11094317066160521</v>
      </c>
      <c r="AW27" s="390">
        <f t="shared" si="17"/>
        <v>0.10758125639913231</v>
      </c>
      <c r="AX27" s="390">
        <f t="shared" si="17"/>
        <v>0.10758125639913231</v>
      </c>
      <c r="AY27" s="390">
        <f t="shared" si="17"/>
        <v>0.10758125639913231</v>
      </c>
      <c r="AZ27" s="390">
        <f t="shared" si="17"/>
        <v>0.10421934213665941</v>
      </c>
      <c r="BA27" s="390">
        <f t="shared" si="17"/>
        <v>0.10421934213665941</v>
      </c>
      <c r="BB27" s="390">
        <f t="shared" si="17"/>
        <v>0.10421934213665941</v>
      </c>
      <c r="BC27" s="390">
        <f t="shared" si="17"/>
        <v>0.10085742787418654</v>
      </c>
      <c r="BD27" s="390">
        <f t="shared" si="17"/>
        <v>0.10085742787418654</v>
      </c>
      <c r="BE27" s="390">
        <f t="shared" si="17"/>
        <v>0.10085742787418654</v>
      </c>
      <c r="BF27" s="390">
        <f t="shared" si="17"/>
        <v>9.6374875524222678E-2</v>
      </c>
      <c r="BG27" s="390">
        <f t="shared" si="17"/>
        <v>9.6374875524222678E-2</v>
      </c>
      <c r="BH27" s="390">
        <f t="shared" si="17"/>
        <v>9.6374875524222678E-2</v>
      </c>
      <c r="BI27" s="390">
        <f t="shared" si="17"/>
        <v>9.1892323174258828E-2</v>
      </c>
      <c r="BJ27" s="390">
        <f t="shared" si="17"/>
        <v>9.1892323174258828E-2</v>
      </c>
      <c r="BK27" s="390">
        <f t="shared" si="17"/>
        <v>9.1892323174258828E-2</v>
      </c>
      <c r="BL27" s="390">
        <f t="shared" si="17"/>
        <v>8.7409770824294977E-2</v>
      </c>
      <c r="BM27" s="390">
        <f t="shared" si="17"/>
        <v>8.7409770824294977E-2</v>
      </c>
      <c r="BN27" s="390">
        <f t="shared" si="17"/>
        <v>8.7409770824294977E-2</v>
      </c>
      <c r="BO27" s="390">
        <f t="shared" ref="BO27:CV27" si="18">BO25*2%/12</f>
        <v>8.2927218474331113E-2</v>
      </c>
      <c r="BP27" s="390">
        <f t="shared" si="18"/>
        <v>8.2927218474331113E-2</v>
      </c>
      <c r="BQ27" s="390">
        <f t="shared" si="18"/>
        <v>8.2927218474331113E-2</v>
      </c>
      <c r="BR27" s="390">
        <f t="shared" si="18"/>
        <v>7.7604187558749052E-2</v>
      </c>
      <c r="BS27" s="390">
        <f t="shared" si="18"/>
        <v>7.7604187558749052E-2</v>
      </c>
      <c r="BT27" s="390">
        <f t="shared" si="18"/>
        <v>7.7604187558749052E-2</v>
      </c>
      <c r="BU27" s="390">
        <f t="shared" si="18"/>
        <v>7.2281156643166977E-2</v>
      </c>
      <c r="BV27" s="390">
        <f t="shared" si="18"/>
        <v>7.2281156643166977E-2</v>
      </c>
      <c r="BW27" s="390">
        <f t="shared" si="18"/>
        <v>7.2281156643166977E-2</v>
      </c>
      <c r="BX27" s="390">
        <f t="shared" si="18"/>
        <v>6.6958125727584916E-2</v>
      </c>
      <c r="BY27" s="390">
        <f t="shared" si="18"/>
        <v>6.6958125727584916E-2</v>
      </c>
      <c r="BZ27" s="390">
        <f t="shared" si="18"/>
        <v>6.6958125727584916E-2</v>
      </c>
      <c r="CA27" s="390">
        <f t="shared" si="18"/>
        <v>6.1635094812002855E-2</v>
      </c>
      <c r="CB27" s="390">
        <f t="shared" si="18"/>
        <v>6.1635094812002855E-2</v>
      </c>
      <c r="CC27" s="390">
        <f t="shared" si="18"/>
        <v>6.1635094812002855E-2</v>
      </c>
      <c r="CD27" s="390">
        <f t="shared" si="18"/>
        <v>5.6312063896420773E-2</v>
      </c>
      <c r="CE27" s="390">
        <f t="shared" si="18"/>
        <v>5.6312063896420773E-2</v>
      </c>
      <c r="CF27" s="390">
        <f t="shared" si="18"/>
        <v>5.6312063896420773E-2</v>
      </c>
      <c r="CG27" s="390">
        <f t="shared" si="18"/>
        <v>4.9027916327729515E-2</v>
      </c>
      <c r="CH27" s="390">
        <f t="shared" si="18"/>
        <v>4.9027916327729515E-2</v>
      </c>
      <c r="CI27" s="390">
        <f t="shared" si="18"/>
        <v>4.9027916327729515E-2</v>
      </c>
      <c r="CJ27" s="390">
        <f t="shared" si="18"/>
        <v>4.174376875903827E-2</v>
      </c>
      <c r="CK27" s="390">
        <f t="shared" si="18"/>
        <v>4.174376875903827E-2</v>
      </c>
      <c r="CL27" s="390">
        <f t="shared" si="18"/>
        <v>4.174376875903827E-2</v>
      </c>
      <c r="CM27" s="390">
        <f t="shared" si="18"/>
        <v>3.1658025971619617E-2</v>
      </c>
      <c r="CN27" s="390">
        <f t="shared" si="18"/>
        <v>3.1658025971619617E-2</v>
      </c>
      <c r="CO27" s="390">
        <f t="shared" si="18"/>
        <v>3.1658025971619617E-2</v>
      </c>
      <c r="CP27" s="390">
        <f t="shared" si="18"/>
        <v>2.1572283184200968E-2</v>
      </c>
      <c r="CQ27" s="390">
        <f t="shared" si="18"/>
        <v>2.1572283184200968E-2</v>
      </c>
      <c r="CR27" s="390">
        <f t="shared" si="18"/>
        <v>2.1572283184200968E-2</v>
      </c>
      <c r="CS27" s="390">
        <f t="shared" si="18"/>
        <v>1.0926221353036831E-2</v>
      </c>
      <c r="CT27" s="390">
        <f t="shared" si="18"/>
        <v>1.0926221353036831E-2</v>
      </c>
      <c r="CU27" s="390">
        <f t="shared" si="18"/>
        <v>1.0926221353036831E-2</v>
      </c>
      <c r="CV27" s="390">
        <f t="shared" si="18"/>
        <v>-4.4717182475574646E-17</v>
      </c>
    </row>
    <row r="31" spans="1:100" ht="12" customHeight="1">
      <c r="S31" s="402"/>
    </row>
    <row r="35" spans="23:23" ht="12" customHeight="1">
      <c r="W35" s="403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32"/>
  <sheetViews>
    <sheetView zoomScaleNormal="100" workbookViewId="0">
      <pane xSplit="2" ySplit="1" topLeftCell="AJ2" activePane="bottomRight" state="frozen"/>
      <selection activeCell="U8" sqref="U8"/>
      <selection pane="topRight" activeCell="U8" sqref="U8"/>
      <selection pane="bottomLeft" activeCell="U8" sqref="U8"/>
      <selection pane="bottomRight" activeCell="AW21" sqref="AW21"/>
    </sheetView>
  </sheetViews>
  <sheetFormatPr defaultColWidth="8" defaultRowHeight="12" customHeight="1" outlineLevelCol="1"/>
  <cols>
    <col min="1" max="1" width="33.140625" style="406" customWidth="1"/>
    <col min="2" max="2" width="6.140625" style="406" customWidth="1"/>
    <col min="3" max="47" width="11.140625" style="406" hidden="1" customWidth="1" outlineLevel="1"/>
    <col min="48" max="48" width="12.5703125" style="406" bestFit="1" customWidth="1" collapsed="1"/>
    <col min="49" max="110" width="11.140625" style="406" bestFit="1" customWidth="1"/>
    <col min="111" max="16384" width="8" style="406"/>
  </cols>
  <sheetData>
    <row r="1" spans="1:110">
      <c r="A1" s="404" t="s">
        <v>2</v>
      </c>
      <c r="B1" s="405" t="s">
        <v>484</v>
      </c>
      <c r="C1" s="332">
        <v>43951</v>
      </c>
      <c r="D1" s="332">
        <v>43982</v>
      </c>
      <c r="E1" s="332">
        <v>44012</v>
      </c>
      <c r="F1" s="332">
        <v>44043</v>
      </c>
      <c r="G1" s="332">
        <v>44074</v>
      </c>
      <c r="H1" s="332">
        <v>44104</v>
      </c>
      <c r="I1" s="332">
        <v>44135</v>
      </c>
      <c r="J1" s="332">
        <v>44165</v>
      </c>
      <c r="K1" s="332">
        <v>44196</v>
      </c>
      <c r="L1" s="332">
        <v>44227</v>
      </c>
      <c r="M1" s="332">
        <v>44255</v>
      </c>
      <c r="N1" s="332">
        <v>44286</v>
      </c>
      <c r="O1" s="332">
        <v>44316</v>
      </c>
      <c r="P1" s="332">
        <v>44347</v>
      </c>
      <c r="Q1" s="332">
        <v>44377</v>
      </c>
      <c r="R1" s="332">
        <v>44408</v>
      </c>
      <c r="S1" s="332">
        <v>44439</v>
      </c>
      <c r="T1" s="332">
        <v>44469</v>
      </c>
      <c r="U1" s="332">
        <v>44500</v>
      </c>
      <c r="V1" s="332">
        <v>44530</v>
      </c>
      <c r="W1" s="332">
        <v>44561</v>
      </c>
      <c r="X1" s="332">
        <v>44592</v>
      </c>
      <c r="Y1" s="332">
        <v>44620</v>
      </c>
      <c r="Z1" s="332">
        <v>44651</v>
      </c>
      <c r="AA1" s="332">
        <v>44681</v>
      </c>
      <c r="AB1" s="332">
        <v>44712</v>
      </c>
      <c r="AC1" s="332">
        <v>44742</v>
      </c>
      <c r="AD1" s="332">
        <v>44773</v>
      </c>
      <c r="AE1" s="332">
        <v>44804</v>
      </c>
      <c r="AF1" s="332">
        <v>44834</v>
      </c>
      <c r="AG1" s="332">
        <v>44865</v>
      </c>
      <c r="AH1" s="332">
        <v>44895</v>
      </c>
      <c r="AI1" s="332">
        <v>44926</v>
      </c>
      <c r="AJ1" s="332">
        <v>44957</v>
      </c>
      <c r="AK1" s="332">
        <v>44985</v>
      </c>
      <c r="AL1" s="332">
        <v>45016</v>
      </c>
      <c r="AM1" s="332">
        <v>45046</v>
      </c>
      <c r="AN1" s="332">
        <v>45077</v>
      </c>
      <c r="AO1" s="332">
        <v>45107</v>
      </c>
      <c r="AP1" s="332">
        <v>45138</v>
      </c>
      <c r="AQ1" s="332">
        <v>45169</v>
      </c>
      <c r="AR1" s="332">
        <v>45199</v>
      </c>
      <c r="AS1" s="332">
        <v>45230</v>
      </c>
      <c r="AT1" s="332">
        <v>45260</v>
      </c>
      <c r="AU1" s="332">
        <v>45291</v>
      </c>
      <c r="AV1" s="332">
        <v>45322</v>
      </c>
      <c r="AW1" s="332">
        <v>45351</v>
      </c>
      <c r="AX1" s="332">
        <v>45382</v>
      </c>
      <c r="AY1" s="332">
        <v>45412</v>
      </c>
      <c r="AZ1" s="332">
        <v>45443</v>
      </c>
      <c r="BA1" s="332">
        <v>45473</v>
      </c>
      <c r="BB1" s="332">
        <v>45504</v>
      </c>
      <c r="BC1" s="332">
        <v>45535</v>
      </c>
      <c r="BD1" s="332">
        <v>45565</v>
      </c>
      <c r="BE1" s="332">
        <v>45596</v>
      </c>
      <c r="BF1" s="332">
        <v>45626</v>
      </c>
      <c r="BG1" s="332">
        <v>45657</v>
      </c>
      <c r="BH1" s="332">
        <v>45688</v>
      </c>
      <c r="BI1" s="332">
        <v>45716</v>
      </c>
      <c r="BJ1" s="332">
        <v>45747</v>
      </c>
      <c r="BK1" s="332">
        <v>45777</v>
      </c>
      <c r="BL1" s="332">
        <v>45808</v>
      </c>
      <c r="BM1" s="332">
        <v>45838</v>
      </c>
      <c r="BN1" s="332">
        <v>45869</v>
      </c>
      <c r="BO1" s="332">
        <v>45900</v>
      </c>
      <c r="BP1" s="332">
        <v>45930</v>
      </c>
      <c r="BQ1" s="332">
        <v>45961</v>
      </c>
      <c r="BR1" s="332">
        <v>45991</v>
      </c>
      <c r="BS1" s="332">
        <v>46022</v>
      </c>
      <c r="BT1" s="332">
        <v>46053</v>
      </c>
      <c r="BU1" s="332">
        <v>46081</v>
      </c>
      <c r="BV1" s="332">
        <v>46112</v>
      </c>
      <c r="BW1" s="332">
        <v>46142</v>
      </c>
      <c r="BX1" s="332">
        <v>46173</v>
      </c>
      <c r="BY1" s="332">
        <v>46203</v>
      </c>
      <c r="BZ1" s="332">
        <v>46234</v>
      </c>
      <c r="CA1" s="332">
        <v>46265</v>
      </c>
      <c r="CB1" s="332">
        <v>46295</v>
      </c>
      <c r="CC1" s="332">
        <v>46326</v>
      </c>
      <c r="CD1" s="332">
        <v>46356</v>
      </c>
      <c r="CE1" s="332">
        <v>46387</v>
      </c>
      <c r="CF1" s="332">
        <v>46418</v>
      </c>
      <c r="CG1" s="332">
        <v>46446</v>
      </c>
      <c r="CH1" s="332">
        <v>46477</v>
      </c>
      <c r="CI1" s="332">
        <v>46507</v>
      </c>
      <c r="CJ1" s="332">
        <v>46538</v>
      </c>
      <c r="CK1" s="332">
        <v>46568</v>
      </c>
      <c r="CL1" s="332">
        <v>46599</v>
      </c>
      <c r="CM1" s="332">
        <v>46630</v>
      </c>
      <c r="CN1" s="332">
        <v>46660</v>
      </c>
      <c r="CO1" s="332">
        <v>46691</v>
      </c>
      <c r="CP1" s="332">
        <v>46721</v>
      </c>
      <c r="CQ1" s="332">
        <v>46752</v>
      </c>
      <c r="CR1" s="332">
        <v>46783</v>
      </c>
      <c r="CS1" s="332">
        <v>46812</v>
      </c>
      <c r="CT1" s="332">
        <v>46843</v>
      </c>
      <c r="CU1" s="332">
        <v>46873</v>
      </c>
      <c r="CV1" s="332">
        <v>46904</v>
      </c>
      <c r="CW1" s="332">
        <v>46934</v>
      </c>
      <c r="CX1" s="332">
        <v>46965</v>
      </c>
      <c r="CY1" s="332">
        <v>46996</v>
      </c>
      <c r="CZ1" s="332">
        <v>47026</v>
      </c>
      <c r="DA1" s="332">
        <v>47057</v>
      </c>
      <c r="DB1" s="332">
        <v>47087</v>
      </c>
      <c r="DC1" s="332">
        <v>47118</v>
      </c>
      <c r="DD1" s="332">
        <v>47149</v>
      </c>
      <c r="DE1" s="332">
        <v>47177</v>
      </c>
      <c r="DF1" s="332">
        <v>47208</v>
      </c>
    </row>
    <row r="2" spans="1:110">
      <c r="A2" s="404" t="s">
        <v>485</v>
      </c>
      <c r="B2" s="405" t="s">
        <v>250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8"/>
      <c r="S2" s="408"/>
      <c r="T2" s="408"/>
      <c r="U2" s="408"/>
      <c r="V2" s="408"/>
      <c r="W2" s="408"/>
      <c r="X2" s="408">
        <v>1340980</v>
      </c>
      <c r="Y2" s="408">
        <f>ROUND((X2*(1+Y3)),)</f>
        <v>1344332</v>
      </c>
      <c r="Z2" s="408">
        <f>ROUND((Y2*(1+Z3)),)</f>
        <v>1347693</v>
      </c>
      <c r="AA2" s="408">
        <v>1351062</v>
      </c>
      <c r="AB2" s="408">
        <f t="shared" ref="AB2:CM2" si="0">ROUND((AA2*(1+AB3)),)</f>
        <v>1354440</v>
      </c>
      <c r="AC2" s="408">
        <f t="shared" si="0"/>
        <v>1357826</v>
      </c>
      <c r="AD2" s="408">
        <f t="shared" si="0"/>
        <v>1361221</v>
      </c>
      <c r="AE2" s="408">
        <f t="shared" si="0"/>
        <v>1364624</v>
      </c>
      <c r="AF2" s="408">
        <f t="shared" si="0"/>
        <v>1368036</v>
      </c>
      <c r="AG2" s="408">
        <f t="shared" si="0"/>
        <v>1371456</v>
      </c>
      <c r="AH2" s="408">
        <f t="shared" si="0"/>
        <v>1374885</v>
      </c>
      <c r="AI2" s="408">
        <f t="shared" si="0"/>
        <v>1378322</v>
      </c>
      <c r="AJ2" s="408">
        <f t="shared" si="0"/>
        <v>1381768</v>
      </c>
      <c r="AK2" s="408">
        <f t="shared" si="0"/>
        <v>1385222</v>
      </c>
      <c r="AL2" s="408">
        <f t="shared" si="0"/>
        <v>1388685</v>
      </c>
      <c r="AM2" s="408">
        <f t="shared" si="0"/>
        <v>1392157</v>
      </c>
      <c r="AN2" s="408">
        <f t="shared" si="0"/>
        <v>1395637</v>
      </c>
      <c r="AO2" s="408">
        <f t="shared" si="0"/>
        <v>1399126</v>
      </c>
      <c r="AP2" s="408">
        <f t="shared" si="0"/>
        <v>1402624</v>
      </c>
      <c r="AQ2" s="408">
        <f t="shared" si="0"/>
        <v>1406131</v>
      </c>
      <c r="AR2" s="408">
        <f t="shared" si="0"/>
        <v>1409646</v>
      </c>
      <c r="AS2" s="408">
        <f t="shared" si="0"/>
        <v>1413170</v>
      </c>
      <c r="AT2" s="408">
        <f t="shared" si="0"/>
        <v>1416703</v>
      </c>
      <c r="AU2" s="408">
        <f t="shared" si="0"/>
        <v>1420245</v>
      </c>
      <c r="AV2" s="408">
        <f t="shared" si="0"/>
        <v>1423796</v>
      </c>
      <c r="AW2" s="408">
        <f t="shared" si="0"/>
        <v>1427355</v>
      </c>
      <c r="AX2" s="408">
        <f t="shared" si="0"/>
        <v>1430923</v>
      </c>
      <c r="AY2" s="408">
        <f t="shared" si="0"/>
        <v>1434500</v>
      </c>
      <c r="AZ2" s="408">
        <f t="shared" si="0"/>
        <v>1438086</v>
      </c>
      <c r="BA2" s="408">
        <f t="shared" si="0"/>
        <v>1441681</v>
      </c>
      <c r="BB2" s="408">
        <f t="shared" si="0"/>
        <v>1445285</v>
      </c>
      <c r="BC2" s="408">
        <f t="shared" si="0"/>
        <v>1448898</v>
      </c>
      <c r="BD2" s="408">
        <f t="shared" si="0"/>
        <v>1452520</v>
      </c>
      <c r="BE2" s="408">
        <f t="shared" si="0"/>
        <v>1456151</v>
      </c>
      <c r="BF2" s="408">
        <f t="shared" si="0"/>
        <v>1459791</v>
      </c>
      <c r="BG2" s="408">
        <f t="shared" si="0"/>
        <v>1463440</v>
      </c>
      <c r="BH2" s="408">
        <f t="shared" si="0"/>
        <v>1467099</v>
      </c>
      <c r="BI2" s="408">
        <f t="shared" si="0"/>
        <v>1470767</v>
      </c>
      <c r="BJ2" s="408">
        <f t="shared" si="0"/>
        <v>1474444</v>
      </c>
      <c r="BK2" s="408">
        <f t="shared" si="0"/>
        <v>1478130</v>
      </c>
      <c r="BL2" s="408">
        <f t="shared" si="0"/>
        <v>1481825</v>
      </c>
      <c r="BM2" s="408">
        <f t="shared" si="0"/>
        <v>1485530</v>
      </c>
      <c r="BN2" s="408">
        <f t="shared" si="0"/>
        <v>1489244</v>
      </c>
      <c r="BO2" s="408">
        <f t="shared" si="0"/>
        <v>1492967</v>
      </c>
      <c r="BP2" s="408">
        <f t="shared" si="0"/>
        <v>1496699</v>
      </c>
      <c r="BQ2" s="408">
        <f t="shared" si="0"/>
        <v>1500441</v>
      </c>
      <c r="BR2" s="408">
        <f t="shared" si="0"/>
        <v>1504192</v>
      </c>
      <c r="BS2" s="408">
        <f t="shared" si="0"/>
        <v>1507952</v>
      </c>
      <c r="BT2" s="408">
        <f t="shared" si="0"/>
        <v>1511722</v>
      </c>
      <c r="BU2" s="408">
        <f t="shared" si="0"/>
        <v>1515501</v>
      </c>
      <c r="BV2" s="408">
        <f t="shared" si="0"/>
        <v>1519290</v>
      </c>
      <c r="BW2" s="408">
        <f t="shared" si="0"/>
        <v>1523088</v>
      </c>
      <c r="BX2" s="408">
        <f t="shared" si="0"/>
        <v>1526896</v>
      </c>
      <c r="BY2" s="408">
        <f t="shared" si="0"/>
        <v>1530713</v>
      </c>
      <c r="BZ2" s="408">
        <f t="shared" si="0"/>
        <v>1534540</v>
      </c>
      <c r="CA2" s="408">
        <f t="shared" si="0"/>
        <v>1538376</v>
      </c>
      <c r="CB2" s="408">
        <f t="shared" si="0"/>
        <v>1542222</v>
      </c>
      <c r="CC2" s="408">
        <f t="shared" si="0"/>
        <v>1546078</v>
      </c>
      <c r="CD2" s="408">
        <f t="shared" si="0"/>
        <v>1549943</v>
      </c>
      <c r="CE2" s="408">
        <f t="shared" si="0"/>
        <v>1553818</v>
      </c>
      <c r="CF2" s="408">
        <f t="shared" si="0"/>
        <v>1557703</v>
      </c>
      <c r="CG2" s="408">
        <f t="shared" si="0"/>
        <v>1561597</v>
      </c>
      <c r="CH2" s="408">
        <f t="shared" si="0"/>
        <v>1565501</v>
      </c>
      <c r="CI2" s="408">
        <f t="shared" si="0"/>
        <v>1569415</v>
      </c>
      <c r="CJ2" s="408">
        <f t="shared" si="0"/>
        <v>1573339</v>
      </c>
      <c r="CK2" s="408">
        <f t="shared" si="0"/>
        <v>1577272</v>
      </c>
      <c r="CL2" s="408">
        <f t="shared" si="0"/>
        <v>1581215</v>
      </c>
      <c r="CM2" s="408">
        <f t="shared" si="0"/>
        <v>1585168</v>
      </c>
      <c r="CN2" s="408">
        <f t="shared" ref="CN2:DF2" si="1">ROUND((CM2*(1+CN3)),)</f>
        <v>1589131</v>
      </c>
      <c r="CO2" s="408">
        <f t="shared" si="1"/>
        <v>1593104</v>
      </c>
      <c r="CP2" s="408">
        <f t="shared" si="1"/>
        <v>1597087</v>
      </c>
      <c r="CQ2" s="408">
        <f t="shared" si="1"/>
        <v>1601080</v>
      </c>
      <c r="CR2" s="408">
        <f t="shared" si="1"/>
        <v>1605083</v>
      </c>
      <c r="CS2" s="408">
        <f t="shared" si="1"/>
        <v>1609096</v>
      </c>
      <c r="CT2" s="408">
        <f t="shared" si="1"/>
        <v>1613119</v>
      </c>
      <c r="CU2" s="408">
        <f t="shared" si="1"/>
        <v>1617152</v>
      </c>
      <c r="CV2" s="408">
        <f t="shared" si="1"/>
        <v>1621195</v>
      </c>
      <c r="CW2" s="408">
        <f t="shared" si="1"/>
        <v>1625248</v>
      </c>
      <c r="CX2" s="408">
        <f t="shared" si="1"/>
        <v>1629311</v>
      </c>
      <c r="CY2" s="408">
        <f t="shared" si="1"/>
        <v>1633384</v>
      </c>
      <c r="CZ2" s="408">
        <f t="shared" si="1"/>
        <v>1637467</v>
      </c>
      <c r="DA2" s="408">
        <f t="shared" si="1"/>
        <v>1641561</v>
      </c>
      <c r="DB2" s="408">
        <f t="shared" si="1"/>
        <v>1645665</v>
      </c>
      <c r="DC2" s="408">
        <f t="shared" si="1"/>
        <v>1649779</v>
      </c>
      <c r="DD2" s="408">
        <f t="shared" si="1"/>
        <v>1653903</v>
      </c>
      <c r="DE2" s="408">
        <f t="shared" si="1"/>
        <v>1658038</v>
      </c>
      <c r="DF2" s="408">
        <f t="shared" si="1"/>
        <v>1662183</v>
      </c>
    </row>
    <row r="3" spans="1:110">
      <c r="A3" s="404" t="s">
        <v>486</v>
      </c>
      <c r="B3" s="405" t="s">
        <v>239</v>
      </c>
      <c r="C3" s="407"/>
      <c r="D3" s="407"/>
      <c r="E3" s="407"/>
      <c r="F3" s="407"/>
      <c r="G3" s="407"/>
      <c r="H3" s="407"/>
      <c r="I3" s="407"/>
      <c r="J3" s="407"/>
      <c r="K3" s="407"/>
      <c r="L3" s="409"/>
      <c r="M3" s="409"/>
      <c r="N3" s="409"/>
      <c r="O3" s="409"/>
      <c r="P3" s="409"/>
      <c r="Q3" s="407"/>
      <c r="R3" s="409"/>
      <c r="S3" s="409"/>
      <c r="T3" s="409"/>
      <c r="U3" s="409"/>
      <c r="V3" s="409"/>
      <c r="W3" s="409"/>
      <c r="X3" s="409">
        <v>2.5000000000000001E-3</v>
      </c>
      <c r="Y3" s="409">
        <f>X3</f>
        <v>2.5000000000000001E-3</v>
      </c>
      <c r="Z3" s="409">
        <f>Y3</f>
        <v>2.5000000000000001E-3</v>
      </c>
      <c r="AA3" s="409">
        <v>2.5000000000000001E-3</v>
      </c>
      <c r="AB3" s="409">
        <f t="shared" ref="AB3:CM3" si="2">AA3</f>
        <v>2.5000000000000001E-3</v>
      </c>
      <c r="AC3" s="409">
        <f t="shared" si="2"/>
        <v>2.5000000000000001E-3</v>
      </c>
      <c r="AD3" s="409">
        <f t="shared" si="2"/>
        <v>2.5000000000000001E-3</v>
      </c>
      <c r="AE3" s="409">
        <f t="shared" si="2"/>
        <v>2.5000000000000001E-3</v>
      </c>
      <c r="AF3" s="409">
        <f t="shared" si="2"/>
        <v>2.5000000000000001E-3</v>
      </c>
      <c r="AG3" s="409">
        <f t="shared" si="2"/>
        <v>2.5000000000000001E-3</v>
      </c>
      <c r="AH3" s="409">
        <f t="shared" si="2"/>
        <v>2.5000000000000001E-3</v>
      </c>
      <c r="AI3" s="409">
        <f t="shared" si="2"/>
        <v>2.5000000000000001E-3</v>
      </c>
      <c r="AJ3" s="409">
        <f t="shared" si="2"/>
        <v>2.5000000000000001E-3</v>
      </c>
      <c r="AK3" s="409">
        <f t="shared" si="2"/>
        <v>2.5000000000000001E-3</v>
      </c>
      <c r="AL3" s="409">
        <f t="shared" si="2"/>
        <v>2.5000000000000001E-3</v>
      </c>
      <c r="AM3" s="409">
        <f t="shared" si="2"/>
        <v>2.5000000000000001E-3</v>
      </c>
      <c r="AN3" s="409">
        <f t="shared" si="2"/>
        <v>2.5000000000000001E-3</v>
      </c>
      <c r="AO3" s="409">
        <f t="shared" si="2"/>
        <v>2.5000000000000001E-3</v>
      </c>
      <c r="AP3" s="409">
        <f t="shared" si="2"/>
        <v>2.5000000000000001E-3</v>
      </c>
      <c r="AQ3" s="409">
        <f t="shared" si="2"/>
        <v>2.5000000000000001E-3</v>
      </c>
      <c r="AR3" s="409">
        <f t="shared" si="2"/>
        <v>2.5000000000000001E-3</v>
      </c>
      <c r="AS3" s="409">
        <f t="shared" si="2"/>
        <v>2.5000000000000001E-3</v>
      </c>
      <c r="AT3" s="409">
        <f t="shared" si="2"/>
        <v>2.5000000000000001E-3</v>
      </c>
      <c r="AU3" s="409">
        <f t="shared" si="2"/>
        <v>2.5000000000000001E-3</v>
      </c>
      <c r="AV3" s="409">
        <f t="shared" si="2"/>
        <v>2.5000000000000001E-3</v>
      </c>
      <c r="AW3" s="409">
        <f t="shared" si="2"/>
        <v>2.5000000000000001E-3</v>
      </c>
      <c r="AX3" s="409">
        <f t="shared" si="2"/>
        <v>2.5000000000000001E-3</v>
      </c>
      <c r="AY3" s="409">
        <f t="shared" si="2"/>
        <v>2.5000000000000001E-3</v>
      </c>
      <c r="AZ3" s="409">
        <f t="shared" si="2"/>
        <v>2.5000000000000001E-3</v>
      </c>
      <c r="BA3" s="409">
        <f t="shared" si="2"/>
        <v>2.5000000000000001E-3</v>
      </c>
      <c r="BB3" s="409">
        <f t="shared" si="2"/>
        <v>2.5000000000000001E-3</v>
      </c>
      <c r="BC3" s="409">
        <f t="shared" si="2"/>
        <v>2.5000000000000001E-3</v>
      </c>
      <c r="BD3" s="409">
        <f t="shared" si="2"/>
        <v>2.5000000000000001E-3</v>
      </c>
      <c r="BE3" s="409">
        <f t="shared" si="2"/>
        <v>2.5000000000000001E-3</v>
      </c>
      <c r="BF3" s="409">
        <f t="shared" si="2"/>
        <v>2.5000000000000001E-3</v>
      </c>
      <c r="BG3" s="409">
        <f t="shared" si="2"/>
        <v>2.5000000000000001E-3</v>
      </c>
      <c r="BH3" s="409">
        <f t="shared" si="2"/>
        <v>2.5000000000000001E-3</v>
      </c>
      <c r="BI3" s="409">
        <f t="shared" si="2"/>
        <v>2.5000000000000001E-3</v>
      </c>
      <c r="BJ3" s="409">
        <f t="shared" si="2"/>
        <v>2.5000000000000001E-3</v>
      </c>
      <c r="BK3" s="409">
        <f t="shared" si="2"/>
        <v>2.5000000000000001E-3</v>
      </c>
      <c r="BL3" s="409">
        <f t="shared" si="2"/>
        <v>2.5000000000000001E-3</v>
      </c>
      <c r="BM3" s="409">
        <f t="shared" si="2"/>
        <v>2.5000000000000001E-3</v>
      </c>
      <c r="BN3" s="409">
        <f t="shared" si="2"/>
        <v>2.5000000000000001E-3</v>
      </c>
      <c r="BO3" s="409">
        <f t="shared" si="2"/>
        <v>2.5000000000000001E-3</v>
      </c>
      <c r="BP3" s="409">
        <f t="shared" si="2"/>
        <v>2.5000000000000001E-3</v>
      </c>
      <c r="BQ3" s="409">
        <f t="shared" si="2"/>
        <v>2.5000000000000001E-3</v>
      </c>
      <c r="BR3" s="409">
        <f t="shared" si="2"/>
        <v>2.5000000000000001E-3</v>
      </c>
      <c r="BS3" s="409">
        <f t="shared" si="2"/>
        <v>2.5000000000000001E-3</v>
      </c>
      <c r="BT3" s="409">
        <f t="shared" si="2"/>
        <v>2.5000000000000001E-3</v>
      </c>
      <c r="BU3" s="409">
        <f t="shared" si="2"/>
        <v>2.5000000000000001E-3</v>
      </c>
      <c r="BV3" s="409">
        <f t="shared" si="2"/>
        <v>2.5000000000000001E-3</v>
      </c>
      <c r="BW3" s="409">
        <f t="shared" si="2"/>
        <v>2.5000000000000001E-3</v>
      </c>
      <c r="BX3" s="409">
        <f t="shared" si="2"/>
        <v>2.5000000000000001E-3</v>
      </c>
      <c r="BY3" s="409">
        <f t="shared" si="2"/>
        <v>2.5000000000000001E-3</v>
      </c>
      <c r="BZ3" s="409">
        <f t="shared" si="2"/>
        <v>2.5000000000000001E-3</v>
      </c>
      <c r="CA3" s="409">
        <f t="shared" si="2"/>
        <v>2.5000000000000001E-3</v>
      </c>
      <c r="CB3" s="409">
        <f t="shared" si="2"/>
        <v>2.5000000000000001E-3</v>
      </c>
      <c r="CC3" s="409">
        <f t="shared" si="2"/>
        <v>2.5000000000000001E-3</v>
      </c>
      <c r="CD3" s="409">
        <f t="shared" si="2"/>
        <v>2.5000000000000001E-3</v>
      </c>
      <c r="CE3" s="409">
        <f t="shared" si="2"/>
        <v>2.5000000000000001E-3</v>
      </c>
      <c r="CF3" s="409">
        <f t="shared" si="2"/>
        <v>2.5000000000000001E-3</v>
      </c>
      <c r="CG3" s="409">
        <f t="shared" si="2"/>
        <v>2.5000000000000001E-3</v>
      </c>
      <c r="CH3" s="409">
        <f t="shared" si="2"/>
        <v>2.5000000000000001E-3</v>
      </c>
      <c r="CI3" s="409">
        <f t="shared" si="2"/>
        <v>2.5000000000000001E-3</v>
      </c>
      <c r="CJ3" s="409">
        <f t="shared" si="2"/>
        <v>2.5000000000000001E-3</v>
      </c>
      <c r="CK3" s="409">
        <f t="shared" si="2"/>
        <v>2.5000000000000001E-3</v>
      </c>
      <c r="CL3" s="409">
        <f t="shared" si="2"/>
        <v>2.5000000000000001E-3</v>
      </c>
      <c r="CM3" s="409">
        <f t="shared" si="2"/>
        <v>2.5000000000000001E-3</v>
      </c>
      <c r="CN3" s="409">
        <f t="shared" ref="CN3:DF3" si="3">CM3</f>
        <v>2.5000000000000001E-3</v>
      </c>
      <c r="CO3" s="409">
        <f t="shared" si="3"/>
        <v>2.5000000000000001E-3</v>
      </c>
      <c r="CP3" s="409">
        <f t="shared" si="3"/>
        <v>2.5000000000000001E-3</v>
      </c>
      <c r="CQ3" s="409">
        <f t="shared" si="3"/>
        <v>2.5000000000000001E-3</v>
      </c>
      <c r="CR3" s="409">
        <f t="shared" si="3"/>
        <v>2.5000000000000001E-3</v>
      </c>
      <c r="CS3" s="409">
        <f t="shared" si="3"/>
        <v>2.5000000000000001E-3</v>
      </c>
      <c r="CT3" s="409">
        <f t="shared" si="3"/>
        <v>2.5000000000000001E-3</v>
      </c>
      <c r="CU3" s="409">
        <f t="shared" si="3"/>
        <v>2.5000000000000001E-3</v>
      </c>
      <c r="CV3" s="409">
        <f t="shared" si="3"/>
        <v>2.5000000000000001E-3</v>
      </c>
      <c r="CW3" s="409">
        <f t="shared" si="3"/>
        <v>2.5000000000000001E-3</v>
      </c>
      <c r="CX3" s="409">
        <f t="shared" si="3"/>
        <v>2.5000000000000001E-3</v>
      </c>
      <c r="CY3" s="409">
        <f t="shared" si="3"/>
        <v>2.5000000000000001E-3</v>
      </c>
      <c r="CZ3" s="409">
        <f t="shared" si="3"/>
        <v>2.5000000000000001E-3</v>
      </c>
      <c r="DA3" s="409">
        <f t="shared" si="3"/>
        <v>2.5000000000000001E-3</v>
      </c>
      <c r="DB3" s="409">
        <f t="shared" si="3"/>
        <v>2.5000000000000001E-3</v>
      </c>
      <c r="DC3" s="409">
        <f t="shared" si="3"/>
        <v>2.5000000000000001E-3</v>
      </c>
      <c r="DD3" s="409">
        <f t="shared" si="3"/>
        <v>2.5000000000000001E-3</v>
      </c>
      <c r="DE3" s="409">
        <f t="shared" si="3"/>
        <v>2.5000000000000001E-3</v>
      </c>
      <c r="DF3" s="409">
        <f t="shared" si="3"/>
        <v>2.5000000000000001E-3</v>
      </c>
    </row>
    <row r="4" spans="1:110">
      <c r="A4" s="404" t="s">
        <v>487</v>
      </c>
      <c r="B4" s="405">
        <v>4.5</v>
      </c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>
        <f t="shared" ref="X4:CI4" si="4">$B$4</f>
        <v>4.5</v>
      </c>
      <c r="Y4" s="407">
        <f t="shared" si="4"/>
        <v>4.5</v>
      </c>
      <c r="Z4" s="407">
        <f t="shared" si="4"/>
        <v>4.5</v>
      </c>
      <c r="AA4" s="407">
        <f t="shared" si="4"/>
        <v>4.5</v>
      </c>
      <c r="AB4" s="407">
        <f t="shared" si="4"/>
        <v>4.5</v>
      </c>
      <c r="AC4" s="407">
        <f t="shared" si="4"/>
        <v>4.5</v>
      </c>
      <c r="AD4" s="407">
        <f t="shared" si="4"/>
        <v>4.5</v>
      </c>
      <c r="AE4" s="407">
        <f t="shared" si="4"/>
        <v>4.5</v>
      </c>
      <c r="AF4" s="407">
        <f t="shared" si="4"/>
        <v>4.5</v>
      </c>
      <c r="AG4" s="407">
        <f t="shared" si="4"/>
        <v>4.5</v>
      </c>
      <c r="AH4" s="407">
        <f t="shared" si="4"/>
        <v>4.5</v>
      </c>
      <c r="AI4" s="407">
        <f t="shared" si="4"/>
        <v>4.5</v>
      </c>
      <c r="AJ4" s="407">
        <f t="shared" si="4"/>
        <v>4.5</v>
      </c>
      <c r="AK4" s="407">
        <f t="shared" si="4"/>
        <v>4.5</v>
      </c>
      <c r="AL4" s="407">
        <f t="shared" si="4"/>
        <v>4.5</v>
      </c>
      <c r="AM4" s="407">
        <f t="shared" si="4"/>
        <v>4.5</v>
      </c>
      <c r="AN4" s="407">
        <f t="shared" si="4"/>
        <v>4.5</v>
      </c>
      <c r="AO4" s="407">
        <f t="shared" si="4"/>
        <v>4.5</v>
      </c>
      <c r="AP4" s="407">
        <f t="shared" si="4"/>
        <v>4.5</v>
      </c>
      <c r="AQ4" s="407">
        <f t="shared" si="4"/>
        <v>4.5</v>
      </c>
      <c r="AR4" s="407">
        <f t="shared" si="4"/>
        <v>4.5</v>
      </c>
      <c r="AS4" s="407">
        <f t="shared" si="4"/>
        <v>4.5</v>
      </c>
      <c r="AT4" s="407">
        <f t="shared" si="4"/>
        <v>4.5</v>
      </c>
      <c r="AU4" s="407">
        <f t="shared" si="4"/>
        <v>4.5</v>
      </c>
      <c r="AV4" s="407">
        <f t="shared" si="4"/>
        <v>4.5</v>
      </c>
      <c r="AW4" s="407">
        <f t="shared" si="4"/>
        <v>4.5</v>
      </c>
      <c r="AX4" s="407">
        <f t="shared" si="4"/>
        <v>4.5</v>
      </c>
      <c r="AY4" s="407">
        <f t="shared" si="4"/>
        <v>4.5</v>
      </c>
      <c r="AZ4" s="407">
        <f t="shared" si="4"/>
        <v>4.5</v>
      </c>
      <c r="BA4" s="407">
        <f t="shared" si="4"/>
        <v>4.5</v>
      </c>
      <c r="BB4" s="407">
        <f t="shared" si="4"/>
        <v>4.5</v>
      </c>
      <c r="BC4" s="407">
        <f t="shared" si="4"/>
        <v>4.5</v>
      </c>
      <c r="BD4" s="407">
        <f t="shared" si="4"/>
        <v>4.5</v>
      </c>
      <c r="BE4" s="407">
        <f t="shared" si="4"/>
        <v>4.5</v>
      </c>
      <c r="BF4" s="407">
        <f t="shared" si="4"/>
        <v>4.5</v>
      </c>
      <c r="BG4" s="407">
        <f t="shared" si="4"/>
        <v>4.5</v>
      </c>
      <c r="BH4" s="407">
        <f t="shared" si="4"/>
        <v>4.5</v>
      </c>
      <c r="BI4" s="407">
        <f t="shared" si="4"/>
        <v>4.5</v>
      </c>
      <c r="BJ4" s="407">
        <f t="shared" si="4"/>
        <v>4.5</v>
      </c>
      <c r="BK4" s="407">
        <f t="shared" si="4"/>
        <v>4.5</v>
      </c>
      <c r="BL4" s="407">
        <f t="shared" si="4"/>
        <v>4.5</v>
      </c>
      <c r="BM4" s="407">
        <f t="shared" si="4"/>
        <v>4.5</v>
      </c>
      <c r="BN4" s="407">
        <f t="shared" si="4"/>
        <v>4.5</v>
      </c>
      <c r="BO4" s="407">
        <f t="shared" si="4"/>
        <v>4.5</v>
      </c>
      <c r="BP4" s="407">
        <f t="shared" si="4"/>
        <v>4.5</v>
      </c>
      <c r="BQ4" s="407">
        <f t="shared" si="4"/>
        <v>4.5</v>
      </c>
      <c r="BR4" s="407">
        <f t="shared" si="4"/>
        <v>4.5</v>
      </c>
      <c r="BS4" s="407">
        <f t="shared" si="4"/>
        <v>4.5</v>
      </c>
      <c r="BT4" s="407">
        <f t="shared" si="4"/>
        <v>4.5</v>
      </c>
      <c r="BU4" s="407">
        <f t="shared" si="4"/>
        <v>4.5</v>
      </c>
      <c r="BV4" s="407">
        <f t="shared" si="4"/>
        <v>4.5</v>
      </c>
      <c r="BW4" s="407">
        <f t="shared" si="4"/>
        <v>4.5</v>
      </c>
      <c r="BX4" s="407">
        <f t="shared" si="4"/>
        <v>4.5</v>
      </c>
      <c r="BY4" s="407">
        <f t="shared" si="4"/>
        <v>4.5</v>
      </c>
      <c r="BZ4" s="407">
        <f t="shared" si="4"/>
        <v>4.5</v>
      </c>
      <c r="CA4" s="407">
        <f t="shared" si="4"/>
        <v>4.5</v>
      </c>
      <c r="CB4" s="407">
        <f t="shared" si="4"/>
        <v>4.5</v>
      </c>
      <c r="CC4" s="407">
        <f t="shared" si="4"/>
        <v>4.5</v>
      </c>
      <c r="CD4" s="407">
        <f t="shared" si="4"/>
        <v>4.5</v>
      </c>
      <c r="CE4" s="407">
        <f t="shared" si="4"/>
        <v>4.5</v>
      </c>
      <c r="CF4" s="407">
        <f t="shared" si="4"/>
        <v>4.5</v>
      </c>
      <c r="CG4" s="407">
        <f t="shared" si="4"/>
        <v>4.5</v>
      </c>
      <c r="CH4" s="407">
        <f t="shared" si="4"/>
        <v>4.5</v>
      </c>
      <c r="CI4" s="407">
        <f t="shared" si="4"/>
        <v>4.5</v>
      </c>
      <c r="CJ4" s="407">
        <f t="shared" ref="CJ4:DF4" si="5">$B$4</f>
        <v>4.5</v>
      </c>
      <c r="CK4" s="407">
        <f t="shared" si="5"/>
        <v>4.5</v>
      </c>
      <c r="CL4" s="407">
        <f t="shared" si="5"/>
        <v>4.5</v>
      </c>
      <c r="CM4" s="407">
        <f t="shared" si="5"/>
        <v>4.5</v>
      </c>
      <c r="CN4" s="407">
        <f t="shared" si="5"/>
        <v>4.5</v>
      </c>
      <c r="CO4" s="407">
        <f t="shared" si="5"/>
        <v>4.5</v>
      </c>
      <c r="CP4" s="407">
        <f t="shared" si="5"/>
        <v>4.5</v>
      </c>
      <c r="CQ4" s="407">
        <f t="shared" si="5"/>
        <v>4.5</v>
      </c>
      <c r="CR4" s="407">
        <f t="shared" si="5"/>
        <v>4.5</v>
      </c>
      <c r="CS4" s="407">
        <f t="shared" si="5"/>
        <v>4.5</v>
      </c>
      <c r="CT4" s="407">
        <f t="shared" si="5"/>
        <v>4.5</v>
      </c>
      <c r="CU4" s="407">
        <f t="shared" si="5"/>
        <v>4.5</v>
      </c>
      <c r="CV4" s="407">
        <f t="shared" si="5"/>
        <v>4.5</v>
      </c>
      <c r="CW4" s="407">
        <f t="shared" si="5"/>
        <v>4.5</v>
      </c>
      <c r="CX4" s="407">
        <f t="shared" si="5"/>
        <v>4.5</v>
      </c>
      <c r="CY4" s="407">
        <f t="shared" si="5"/>
        <v>4.5</v>
      </c>
      <c r="CZ4" s="407">
        <f t="shared" si="5"/>
        <v>4.5</v>
      </c>
      <c r="DA4" s="407">
        <f t="shared" si="5"/>
        <v>4.5</v>
      </c>
      <c r="DB4" s="407">
        <f t="shared" si="5"/>
        <v>4.5</v>
      </c>
      <c r="DC4" s="407">
        <f t="shared" si="5"/>
        <v>4.5</v>
      </c>
      <c r="DD4" s="407">
        <f t="shared" si="5"/>
        <v>4.5</v>
      </c>
      <c r="DE4" s="407">
        <f t="shared" si="5"/>
        <v>4.5</v>
      </c>
      <c r="DF4" s="407">
        <f t="shared" si="5"/>
        <v>4.5</v>
      </c>
    </row>
    <row r="5" spans="1:110">
      <c r="A5" s="404" t="s">
        <v>488</v>
      </c>
      <c r="B5" s="410" t="s">
        <v>239</v>
      </c>
      <c r="C5" s="407"/>
      <c r="D5" s="407"/>
      <c r="E5" s="407"/>
      <c r="F5" s="407"/>
      <c r="G5" s="407"/>
      <c r="H5" s="407"/>
      <c r="I5" s="407"/>
      <c r="J5" s="407"/>
      <c r="K5" s="407"/>
      <c r="L5" s="411"/>
      <c r="M5" s="411"/>
      <c r="N5" s="411"/>
      <c r="O5" s="411"/>
      <c r="P5" s="411"/>
      <c r="Q5" s="407"/>
      <c r="R5" s="411"/>
      <c r="S5" s="411"/>
      <c r="T5" s="411"/>
      <c r="U5" s="411"/>
      <c r="V5" s="411"/>
      <c r="W5" s="411"/>
      <c r="X5" s="411">
        <v>0.93359999999999999</v>
      </c>
      <c r="Y5" s="411">
        <f>X5+0.0056</f>
        <v>0.93920000000000003</v>
      </c>
      <c r="Z5" s="411">
        <f>Y5+0.0056</f>
        <v>0.94480000000000008</v>
      </c>
      <c r="AA5" s="411">
        <v>0.95040000000000013</v>
      </c>
      <c r="AB5" s="411">
        <f t="shared" ref="AB5:AG5" si="6">AA5+0.0083</f>
        <v>0.95870000000000011</v>
      </c>
      <c r="AC5" s="411">
        <f t="shared" si="6"/>
        <v>0.96700000000000008</v>
      </c>
      <c r="AD5" s="411">
        <f t="shared" si="6"/>
        <v>0.97530000000000006</v>
      </c>
      <c r="AE5" s="411">
        <f t="shared" si="6"/>
        <v>0.98360000000000003</v>
      </c>
      <c r="AF5" s="411">
        <f t="shared" si="6"/>
        <v>0.9919</v>
      </c>
      <c r="AG5" s="411">
        <f t="shared" si="6"/>
        <v>1.0002</v>
      </c>
      <c r="AH5" s="411">
        <f>AG5</f>
        <v>1.0002</v>
      </c>
      <c r="AI5" s="411">
        <f t="shared" ref="AI5:CT5" si="7">AH5</f>
        <v>1.0002</v>
      </c>
      <c r="AJ5" s="411">
        <f t="shared" si="7"/>
        <v>1.0002</v>
      </c>
      <c r="AK5" s="411">
        <f t="shared" si="7"/>
        <v>1.0002</v>
      </c>
      <c r="AL5" s="411">
        <f t="shared" si="7"/>
        <v>1.0002</v>
      </c>
      <c r="AM5" s="411">
        <f t="shared" si="7"/>
        <v>1.0002</v>
      </c>
      <c r="AN5" s="411">
        <f t="shared" si="7"/>
        <v>1.0002</v>
      </c>
      <c r="AO5" s="411">
        <f t="shared" si="7"/>
        <v>1.0002</v>
      </c>
      <c r="AP5" s="411">
        <f t="shared" si="7"/>
        <v>1.0002</v>
      </c>
      <c r="AQ5" s="411">
        <f t="shared" si="7"/>
        <v>1.0002</v>
      </c>
      <c r="AR5" s="411">
        <f t="shared" si="7"/>
        <v>1.0002</v>
      </c>
      <c r="AS5" s="411">
        <f t="shared" si="7"/>
        <v>1.0002</v>
      </c>
      <c r="AT5" s="411">
        <f t="shared" si="7"/>
        <v>1.0002</v>
      </c>
      <c r="AU5" s="411">
        <f t="shared" si="7"/>
        <v>1.0002</v>
      </c>
      <c r="AV5" s="411">
        <f t="shared" si="7"/>
        <v>1.0002</v>
      </c>
      <c r="AW5" s="411">
        <f t="shared" si="7"/>
        <v>1.0002</v>
      </c>
      <c r="AX5" s="411">
        <f t="shared" si="7"/>
        <v>1.0002</v>
      </c>
      <c r="AY5" s="411">
        <f t="shared" si="7"/>
        <v>1.0002</v>
      </c>
      <c r="AZ5" s="411">
        <f t="shared" si="7"/>
        <v>1.0002</v>
      </c>
      <c r="BA5" s="411">
        <f t="shared" si="7"/>
        <v>1.0002</v>
      </c>
      <c r="BB5" s="411">
        <f t="shared" si="7"/>
        <v>1.0002</v>
      </c>
      <c r="BC5" s="411">
        <f t="shared" si="7"/>
        <v>1.0002</v>
      </c>
      <c r="BD5" s="411">
        <f t="shared" si="7"/>
        <v>1.0002</v>
      </c>
      <c r="BE5" s="411">
        <f t="shared" si="7"/>
        <v>1.0002</v>
      </c>
      <c r="BF5" s="411">
        <f t="shared" si="7"/>
        <v>1.0002</v>
      </c>
      <c r="BG5" s="411">
        <f t="shared" si="7"/>
        <v>1.0002</v>
      </c>
      <c r="BH5" s="411">
        <f t="shared" si="7"/>
        <v>1.0002</v>
      </c>
      <c r="BI5" s="411">
        <f t="shared" si="7"/>
        <v>1.0002</v>
      </c>
      <c r="BJ5" s="411">
        <f t="shared" si="7"/>
        <v>1.0002</v>
      </c>
      <c r="BK5" s="411">
        <f t="shared" si="7"/>
        <v>1.0002</v>
      </c>
      <c r="BL5" s="411">
        <f t="shared" si="7"/>
        <v>1.0002</v>
      </c>
      <c r="BM5" s="411">
        <f t="shared" si="7"/>
        <v>1.0002</v>
      </c>
      <c r="BN5" s="411">
        <f t="shared" si="7"/>
        <v>1.0002</v>
      </c>
      <c r="BO5" s="411">
        <f t="shared" si="7"/>
        <v>1.0002</v>
      </c>
      <c r="BP5" s="411">
        <f t="shared" si="7"/>
        <v>1.0002</v>
      </c>
      <c r="BQ5" s="411">
        <f t="shared" si="7"/>
        <v>1.0002</v>
      </c>
      <c r="BR5" s="411">
        <f t="shared" si="7"/>
        <v>1.0002</v>
      </c>
      <c r="BS5" s="411">
        <f t="shared" si="7"/>
        <v>1.0002</v>
      </c>
      <c r="BT5" s="411">
        <f t="shared" si="7"/>
        <v>1.0002</v>
      </c>
      <c r="BU5" s="411">
        <f t="shared" si="7"/>
        <v>1.0002</v>
      </c>
      <c r="BV5" s="411">
        <f t="shared" si="7"/>
        <v>1.0002</v>
      </c>
      <c r="BW5" s="411">
        <f t="shared" si="7"/>
        <v>1.0002</v>
      </c>
      <c r="BX5" s="411">
        <f t="shared" si="7"/>
        <v>1.0002</v>
      </c>
      <c r="BY5" s="411">
        <f t="shared" si="7"/>
        <v>1.0002</v>
      </c>
      <c r="BZ5" s="411">
        <f t="shared" si="7"/>
        <v>1.0002</v>
      </c>
      <c r="CA5" s="411">
        <f t="shared" si="7"/>
        <v>1.0002</v>
      </c>
      <c r="CB5" s="411">
        <f t="shared" si="7"/>
        <v>1.0002</v>
      </c>
      <c r="CC5" s="411">
        <f t="shared" si="7"/>
        <v>1.0002</v>
      </c>
      <c r="CD5" s="411">
        <f t="shared" si="7"/>
        <v>1.0002</v>
      </c>
      <c r="CE5" s="411">
        <f t="shared" si="7"/>
        <v>1.0002</v>
      </c>
      <c r="CF5" s="411">
        <f t="shared" si="7"/>
        <v>1.0002</v>
      </c>
      <c r="CG5" s="411">
        <f t="shared" si="7"/>
        <v>1.0002</v>
      </c>
      <c r="CH5" s="411">
        <f t="shared" si="7"/>
        <v>1.0002</v>
      </c>
      <c r="CI5" s="411">
        <f t="shared" si="7"/>
        <v>1.0002</v>
      </c>
      <c r="CJ5" s="411">
        <f t="shared" si="7"/>
        <v>1.0002</v>
      </c>
      <c r="CK5" s="411">
        <f t="shared" si="7"/>
        <v>1.0002</v>
      </c>
      <c r="CL5" s="411">
        <f t="shared" si="7"/>
        <v>1.0002</v>
      </c>
      <c r="CM5" s="411">
        <f t="shared" si="7"/>
        <v>1.0002</v>
      </c>
      <c r="CN5" s="411">
        <f t="shared" si="7"/>
        <v>1.0002</v>
      </c>
      <c r="CO5" s="411">
        <f t="shared" si="7"/>
        <v>1.0002</v>
      </c>
      <c r="CP5" s="411">
        <f t="shared" si="7"/>
        <v>1.0002</v>
      </c>
      <c r="CQ5" s="411">
        <f t="shared" si="7"/>
        <v>1.0002</v>
      </c>
      <c r="CR5" s="411">
        <f t="shared" si="7"/>
        <v>1.0002</v>
      </c>
      <c r="CS5" s="411">
        <f t="shared" si="7"/>
        <v>1.0002</v>
      </c>
      <c r="CT5" s="411">
        <f t="shared" si="7"/>
        <v>1.0002</v>
      </c>
      <c r="CU5" s="411">
        <f t="shared" ref="CU5:DF5" si="8">CT5</f>
        <v>1.0002</v>
      </c>
      <c r="CV5" s="411">
        <f t="shared" si="8"/>
        <v>1.0002</v>
      </c>
      <c r="CW5" s="411">
        <f t="shared" si="8"/>
        <v>1.0002</v>
      </c>
      <c r="CX5" s="411">
        <f t="shared" si="8"/>
        <v>1.0002</v>
      </c>
      <c r="CY5" s="411">
        <f t="shared" si="8"/>
        <v>1.0002</v>
      </c>
      <c r="CZ5" s="411">
        <f t="shared" si="8"/>
        <v>1.0002</v>
      </c>
      <c r="DA5" s="411">
        <f t="shared" si="8"/>
        <v>1.0002</v>
      </c>
      <c r="DB5" s="411">
        <f t="shared" si="8"/>
        <v>1.0002</v>
      </c>
      <c r="DC5" s="411">
        <f t="shared" si="8"/>
        <v>1.0002</v>
      </c>
      <c r="DD5" s="411">
        <f t="shared" si="8"/>
        <v>1.0002</v>
      </c>
      <c r="DE5" s="411">
        <f t="shared" si="8"/>
        <v>1.0002</v>
      </c>
      <c r="DF5" s="411">
        <f t="shared" si="8"/>
        <v>1.0002</v>
      </c>
    </row>
    <row r="6" spans="1:110">
      <c r="A6" s="404" t="s">
        <v>489</v>
      </c>
      <c r="B6" s="410" t="s">
        <v>250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8"/>
      <c r="S6" s="408"/>
      <c r="T6" s="408"/>
      <c r="U6" s="408"/>
      <c r="V6" s="408"/>
      <c r="W6" s="408"/>
      <c r="X6" s="408">
        <f>ROUND((X2*X5/X4),)</f>
        <v>278209</v>
      </c>
      <c r="Y6" s="408">
        <f>ROUND((Y2*Y5/Y4),)</f>
        <v>280577</v>
      </c>
      <c r="Z6" s="408">
        <f>ROUND((Z2*Z5/Z4),)</f>
        <v>282956</v>
      </c>
      <c r="AA6" s="408">
        <v>285344</v>
      </c>
      <c r="AB6" s="408">
        <f t="shared" ref="AB6:CM6" si="9">ROUND((AB2*AB5/AB4),)</f>
        <v>288556</v>
      </c>
      <c r="AC6" s="408">
        <f t="shared" si="9"/>
        <v>291782</v>
      </c>
      <c r="AD6" s="408">
        <f t="shared" si="9"/>
        <v>295022</v>
      </c>
      <c r="AE6" s="408">
        <f t="shared" si="9"/>
        <v>298276</v>
      </c>
      <c r="AF6" s="408">
        <f t="shared" si="9"/>
        <v>301546</v>
      </c>
      <c r="AG6" s="408">
        <f t="shared" si="9"/>
        <v>304829</v>
      </c>
      <c r="AH6" s="408">
        <f t="shared" si="9"/>
        <v>305591</v>
      </c>
      <c r="AI6" s="408">
        <f t="shared" si="9"/>
        <v>306355</v>
      </c>
      <c r="AJ6" s="408">
        <f t="shared" si="9"/>
        <v>307121</v>
      </c>
      <c r="AK6" s="408">
        <f t="shared" si="9"/>
        <v>307889</v>
      </c>
      <c r="AL6" s="408">
        <f t="shared" si="9"/>
        <v>308658</v>
      </c>
      <c r="AM6" s="408">
        <f t="shared" si="9"/>
        <v>309430</v>
      </c>
      <c r="AN6" s="408">
        <f t="shared" si="9"/>
        <v>310204</v>
      </c>
      <c r="AO6" s="408">
        <f t="shared" si="9"/>
        <v>310979</v>
      </c>
      <c r="AP6" s="408">
        <f t="shared" si="9"/>
        <v>311757</v>
      </c>
      <c r="AQ6" s="408">
        <f t="shared" si="9"/>
        <v>312536</v>
      </c>
      <c r="AR6" s="408">
        <f t="shared" si="9"/>
        <v>313317</v>
      </c>
      <c r="AS6" s="408">
        <f t="shared" si="9"/>
        <v>314101</v>
      </c>
      <c r="AT6" s="408">
        <f t="shared" si="9"/>
        <v>314886</v>
      </c>
      <c r="AU6" s="408">
        <f t="shared" si="9"/>
        <v>315673</v>
      </c>
      <c r="AV6" s="408">
        <f t="shared" si="9"/>
        <v>316462</v>
      </c>
      <c r="AW6" s="408">
        <f t="shared" si="9"/>
        <v>317253</v>
      </c>
      <c r="AX6" s="408">
        <f t="shared" si="9"/>
        <v>318046</v>
      </c>
      <c r="AY6" s="408">
        <f t="shared" si="9"/>
        <v>318842</v>
      </c>
      <c r="AZ6" s="408">
        <f t="shared" si="9"/>
        <v>319639</v>
      </c>
      <c r="BA6" s="408">
        <f t="shared" si="9"/>
        <v>320438</v>
      </c>
      <c r="BB6" s="408">
        <f t="shared" si="9"/>
        <v>321239</v>
      </c>
      <c r="BC6" s="408">
        <f t="shared" si="9"/>
        <v>322042</v>
      </c>
      <c r="BD6" s="408">
        <f t="shared" si="9"/>
        <v>322847</v>
      </c>
      <c r="BE6" s="408">
        <f t="shared" si="9"/>
        <v>323654</v>
      </c>
      <c r="BF6" s="408">
        <f t="shared" si="9"/>
        <v>324463</v>
      </c>
      <c r="BG6" s="408">
        <f t="shared" si="9"/>
        <v>325274</v>
      </c>
      <c r="BH6" s="408">
        <f t="shared" si="9"/>
        <v>326087</v>
      </c>
      <c r="BI6" s="408">
        <f t="shared" si="9"/>
        <v>326902</v>
      </c>
      <c r="BJ6" s="408">
        <f t="shared" si="9"/>
        <v>327720</v>
      </c>
      <c r="BK6" s="408">
        <f t="shared" si="9"/>
        <v>328539</v>
      </c>
      <c r="BL6" s="408">
        <f t="shared" si="9"/>
        <v>329360</v>
      </c>
      <c r="BM6" s="408">
        <f t="shared" si="9"/>
        <v>330184</v>
      </c>
      <c r="BN6" s="408">
        <f t="shared" si="9"/>
        <v>331009</v>
      </c>
      <c r="BO6" s="408">
        <f t="shared" si="9"/>
        <v>331837</v>
      </c>
      <c r="BP6" s="408">
        <f t="shared" si="9"/>
        <v>332666</v>
      </c>
      <c r="BQ6" s="408">
        <f t="shared" si="9"/>
        <v>333498</v>
      </c>
      <c r="BR6" s="408">
        <f t="shared" si="9"/>
        <v>334332</v>
      </c>
      <c r="BS6" s="408">
        <f t="shared" si="9"/>
        <v>335167</v>
      </c>
      <c r="BT6" s="408">
        <f t="shared" si="9"/>
        <v>336005</v>
      </c>
      <c r="BU6" s="408">
        <f t="shared" si="9"/>
        <v>336845</v>
      </c>
      <c r="BV6" s="408">
        <f t="shared" si="9"/>
        <v>337688</v>
      </c>
      <c r="BW6" s="408">
        <f t="shared" si="9"/>
        <v>338532</v>
      </c>
      <c r="BX6" s="408">
        <f t="shared" si="9"/>
        <v>339378</v>
      </c>
      <c r="BY6" s="408">
        <f t="shared" si="9"/>
        <v>340226</v>
      </c>
      <c r="BZ6" s="408">
        <f t="shared" si="9"/>
        <v>341077</v>
      </c>
      <c r="CA6" s="408">
        <f t="shared" si="9"/>
        <v>341930</v>
      </c>
      <c r="CB6" s="408">
        <f t="shared" si="9"/>
        <v>342785</v>
      </c>
      <c r="CC6" s="408">
        <f t="shared" si="9"/>
        <v>343642</v>
      </c>
      <c r="CD6" s="408">
        <f t="shared" si="9"/>
        <v>344501</v>
      </c>
      <c r="CE6" s="408">
        <f t="shared" si="9"/>
        <v>345362</v>
      </c>
      <c r="CF6" s="408">
        <f t="shared" si="9"/>
        <v>346225</v>
      </c>
      <c r="CG6" s="408">
        <f t="shared" si="9"/>
        <v>347091</v>
      </c>
      <c r="CH6" s="408">
        <f t="shared" si="9"/>
        <v>347959</v>
      </c>
      <c r="CI6" s="408">
        <f t="shared" si="9"/>
        <v>348829</v>
      </c>
      <c r="CJ6" s="408">
        <f t="shared" si="9"/>
        <v>349701</v>
      </c>
      <c r="CK6" s="408">
        <f t="shared" si="9"/>
        <v>350575</v>
      </c>
      <c r="CL6" s="408">
        <f t="shared" si="9"/>
        <v>351451</v>
      </c>
      <c r="CM6" s="408">
        <f t="shared" si="9"/>
        <v>352330</v>
      </c>
      <c r="CN6" s="408">
        <f t="shared" ref="CN6:DF6" si="10">ROUND((CN2*CN5/CN4),)</f>
        <v>353211</v>
      </c>
      <c r="CO6" s="408">
        <f t="shared" si="10"/>
        <v>354094</v>
      </c>
      <c r="CP6" s="408">
        <f t="shared" si="10"/>
        <v>354979</v>
      </c>
      <c r="CQ6" s="408">
        <f t="shared" si="10"/>
        <v>355867</v>
      </c>
      <c r="CR6" s="408">
        <f t="shared" si="10"/>
        <v>356756</v>
      </c>
      <c r="CS6" s="408">
        <f t="shared" si="10"/>
        <v>357648</v>
      </c>
      <c r="CT6" s="408">
        <f t="shared" si="10"/>
        <v>358543</v>
      </c>
      <c r="CU6" s="408">
        <f t="shared" si="10"/>
        <v>359439</v>
      </c>
      <c r="CV6" s="408">
        <f t="shared" si="10"/>
        <v>360338</v>
      </c>
      <c r="CW6" s="408">
        <f t="shared" si="10"/>
        <v>361238</v>
      </c>
      <c r="CX6" s="408">
        <f t="shared" si="10"/>
        <v>362142</v>
      </c>
      <c r="CY6" s="408">
        <f t="shared" si="10"/>
        <v>363047</v>
      </c>
      <c r="CZ6" s="408">
        <f t="shared" si="10"/>
        <v>363954</v>
      </c>
      <c r="DA6" s="408">
        <f t="shared" si="10"/>
        <v>364864</v>
      </c>
      <c r="DB6" s="408">
        <f t="shared" si="10"/>
        <v>365776</v>
      </c>
      <c r="DC6" s="408">
        <f t="shared" si="10"/>
        <v>366691</v>
      </c>
      <c r="DD6" s="408">
        <f t="shared" si="10"/>
        <v>367608</v>
      </c>
      <c r="DE6" s="408">
        <f t="shared" si="10"/>
        <v>368527</v>
      </c>
      <c r="DF6" s="408">
        <f t="shared" si="10"/>
        <v>369448</v>
      </c>
    </row>
    <row r="7" spans="1:110">
      <c r="A7" s="404"/>
      <c r="B7" s="410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408"/>
      <c r="BA7" s="408"/>
      <c r="BB7" s="408"/>
      <c r="BC7" s="408"/>
      <c r="BD7" s="408"/>
      <c r="BE7" s="408"/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08"/>
      <c r="CH7" s="408"/>
      <c r="CI7" s="408"/>
      <c r="CJ7" s="408"/>
      <c r="CK7" s="408"/>
      <c r="CL7" s="408"/>
      <c r="CM7" s="408"/>
      <c r="CN7" s="408"/>
      <c r="CO7" s="408"/>
      <c r="CP7" s="408"/>
      <c r="CQ7" s="408"/>
      <c r="CR7" s="408"/>
      <c r="CS7" s="408"/>
      <c r="CT7" s="408"/>
      <c r="CU7" s="408"/>
      <c r="CV7" s="408"/>
      <c r="CW7" s="408"/>
      <c r="CX7" s="408"/>
      <c r="CY7" s="408"/>
      <c r="CZ7" s="408"/>
      <c r="DA7" s="408"/>
      <c r="DB7" s="408"/>
      <c r="DC7" s="408"/>
      <c r="DD7" s="408"/>
      <c r="DE7" s="408"/>
      <c r="DF7" s="408"/>
    </row>
    <row r="8" spans="1:110">
      <c r="A8" s="404"/>
      <c r="B8" s="410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584"/>
      <c r="AP8" s="584"/>
      <c r="AQ8" s="584"/>
      <c r="AR8" s="584"/>
      <c r="AS8" s="584"/>
      <c r="AT8" s="584"/>
      <c r="AU8" s="412"/>
      <c r="AV8" s="586">
        <v>7.4999999999999997E-3</v>
      </c>
      <c r="AX8" s="412"/>
      <c r="AY8" s="412"/>
      <c r="AZ8" s="412"/>
      <c r="BA8" s="412"/>
      <c r="BB8" s="412"/>
      <c r="BC8" s="412"/>
      <c r="BD8" s="412"/>
      <c r="BE8" s="412"/>
      <c r="BF8" s="412"/>
      <c r="BG8" s="412"/>
      <c r="BH8" s="412"/>
      <c r="BI8" s="412"/>
      <c r="BJ8" s="412"/>
      <c r="BK8" s="412"/>
      <c r="BL8" s="412"/>
      <c r="BM8" s="412"/>
      <c r="BN8" s="412"/>
      <c r="BO8" s="412"/>
      <c r="BP8" s="412"/>
      <c r="BQ8" s="412"/>
      <c r="BR8" s="412"/>
      <c r="BS8" s="412"/>
      <c r="BT8" s="412"/>
      <c r="BU8" s="412"/>
      <c r="BV8" s="412"/>
      <c r="BW8" s="412"/>
      <c r="BX8" s="412"/>
      <c r="BY8" s="412"/>
      <c r="BZ8" s="412"/>
      <c r="CA8" s="412"/>
      <c r="CB8" s="412"/>
      <c r="CC8" s="412"/>
      <c r="CD8" s="412"/>
      <c r="CE8" s="412"/>
      <c r="CF8" s="412"/>
      <c r="CG8" s="412"/>
      <c r="CH8" s="412"/>
      <c r="CI8" s="412"/>
      <c r="CJ8" s="412"/>
      <c r="CK8" s="412"/>
      <c r="CL8" s="412"/>
      <c r="CM8" s="412"/>
      <c r="CN8" s="412"/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</row>
    <row r="9" spans="1:110">
      <c r="A9" s="413" t="s">
        <v>490</v>
      </c>
      <c r="B9" s="410" t="s">
        <v>250</v>
      </c>
      <c r="C9" s="408">
        <v>180000</v>
      </c>
      <c r="D9" s="408">
        <f t="shared" ref="D9:N9" si="11">C11</f>
        <v>186000</v>
      </c>
      <c r="E9" s="408">
        <f t="shared" si="11"/>
        <v>192000</v>
      </c>
      <c r="F9" s="408">
        <f t="shared" si="11"/>
        <v>198000</v>
      </c>
      <c r="G9" s="408">
        <f t="shared" si="11"/>
        <v>201000</v>
      </c>
      <c r="H9" s="408">
        <f t="shared" si="11"/>
        <v>206000</v>
      </c>
      <c r="I9" s="408">
        <f t="shared" si="11"/>
        <v>211000</v>
      </c>
      <c r="J9" s="408">
        <f t="shared" si="11"/>
        <v>216000</v>
      </c>
      <c r="K9" s="408">
        <f t="shared" si="11"/>
        <v>221000</v>
      </c>
      <c r="L9" s="408">
        <f t="shared" si="11"/>
        <v>226000</v>
      </c>
      <c r="M9" s="408">
        <f t="shared" si="11"/>
        <v>231000</v>
      </c>
      <c r="N9" s="408">
        <f t="shared" si="11"/>
        <v>236000</v>
      </c>
      <c r="O9" s="408">
        <v>218000</v>
      </c>
      <c r="P9" s="408">
        <f t="shared" ref="P9:Z9" si="12">O11</f>
        <v>220000</v>
      </c>
      <c r="Q9" s="408">
        <f t="shared" si="12"/>
        <v>222000</v>
      </c>
      <c r="R9" s="408">
        <f t="shared" si="12"/>
        <v>224000</v>
      </c>
      <c r="S9" s="408">
        <f t="shared" si="12"/>
        <v>226000</v>
      </c>
      <c r="T9" s="408">
        <f t="shared" si="12"/>
        <v>229000</v>
      </c>
      <c r="U9" s="408">
        <f t="shared" si="12"/>
        <v>232000</v>
      </c>
      <c r="V9" s="408">
        <f t="shared" si="12"/>
        <v>235000</v>
      </c>
      <c r="W9" s="408">
        <f t="shared" si="12"/>
        <v>238000</v>
      </c>
      <c r="X9" s="408">
        <f t="shared" si="12"/>
        <v>241000</v>
      </c>
      <c r="Y9" s="408">
        <f t="shared" si="12"/>
        <v>244000</v>
      </c>
      <c r="Z9" s="408">
        <f t="shared" si="12"/>
        <v>249000</v>
      </c>
      <c r="AA9" s="408">
        <v>246000</v>
      </c>
      <c r="AB9" s="408">
        <f t="shared" ref="AB9:CM9" si="13">AA11</f>
        <v>247000</v>
      </c>
      <c r="AC9" s="408">
        <f t="shared" si="13"/>
        <v>249000</v>
      </c>
      <c r="AD9" s="408">
        <f t="shared" si="13"/>
        <v>252000</v>
      </c>
      <c r="AE9" s="408">
        <f t="shared" si="13"/>
        <v>254000</v>
      </c>
      <c r="AF9" s="408">
        <f t="shared" si="13"/>
        <v>256000</v>
      </c>
      <c r="AG9" s="408">
        <f t="shared" si="13"/>
        <v>257000</v>
      </c>
      <c r="AH9" s="408">
        <f t="shared" si="13"/>
        <v>258000</v>
      </c>
      <c r="AI9" s="408">
        <f t="shared" si="13"/>
        <v>259000</v>
      </c>
      <c r="AJ9" s="408">
        <f t="shared" si="13"/>
        <v>260000</v>
      </c>
      <c r="AK9" s="408">
        <f t="shared" si="13"/>
        <v>261000</v>
      </c>
      <c r="AL9" s="408">
        <f t="shared" si="13"/>
        <v>262000</v>
      </c>
      <c r="AM9" s="408">
        <f t="shared" si="13"/>
        <v>263000</v>
      </c>
      <c r="AN9" s="408">
        <f t="shared" si="13"/>
        <v>265000</v>
      </c>
      <c r="AO9" s="408">
        <f t="shared" si="13"/>
        <v>267000</v>
      </c>
      <c r="AP9" s="408">
        <f t="shared" si="13"/>
        <v>269000</v>
      </c>
      <c r="AQ9" s="408">
        <f t="shared" si="13"/>
        <v>271000</v>
      </c>
      <c r="AR9" s="408">
        <f t="shared" si="13"/>
        <v>273000</v>
      </c>
      <c r="AS9" s="408">
        <f t="shared" si="13"/>
        <v>275000</v>
      </c>
      <c r="AT9" s="408">
        <f t="shared" si="13"/>
        <v>277000</v>
      </c>
      <c r="AU9" s="408">
        <f t="shared" si="13"/>
        <v>279000</v>
      </c>
      <c r="AV9" s="585">
        <f>AU9*(1+AV8)</f>
        <v>281092.5</v>
      </c>
      <c r="AW9" s="408">
        <f t="shared" si="13"/>
        <v>283092.5</v>
      </c>
      <c r="AX9" s="408">
        <f t="shared" si="13"/>
        <v>285092.5</v>
      </c>
      <c r="AY9" s="408">
        <f t="shared" si="13"/>
        <v>287092.5</v>
      </c>
      <c r="AZ9" s="408">
        <f t="shared" si="13"/>
        <v>288092.5</v>
      </c>
      <c r="BA9" s="408">
        <f t="shared" si="13"/>
        <v>289092.5</v>
      </c>
      <c r="BB9" s="408">
        <f t="shared" si="13"/>
        <v>290092.5</v>
      </c>
      <c r="BC9" s="408">
        <f t="shared" si="13"/>
        <v>291092.5</v>
      </c>
      <c r="BD9" s="408">
        <f t="shared" si="13"/>
        <v>292092.5</v>
      </c>
      <c r="BE9" s="408">
        <f t="shared" si="13"/>
        <v>293092.5</v>
      </c>
      <c r="BF9" s="408">
        <f t="shared" si="13"/>
        <v>294092.5</v>
      </c>
      <c r="BG9" s="408">
        <f t="shared" si="13"/>
        <v>295092.5</v>
      </c>
      <c r="BH9" s="408">
        <f t="shared" si="13"/>
        <v>296092.5</v>
      </c>
      <c r="BI9" s="408">
        <f t="shared" si="13"/>
        <v>297092.5</v>
      </c>
      <c r="BJ9" s="408">
        <f t="shared" si="13"/>
        <v>298092.5</v>
      </c>
      <c r="BK9" s="408">
        <f t="shared" si="13"/>
        <v>299092.5</v>
      </c>
      <c r="BL9" s="408">
        <f t="shared" si="13"/>
        <v>299592.5</v>
      </c>
      <c r="BM9" s="408">
        <f t="shared" si="13"/>
        <v>300092.5</v>
      </c>
      <c r="BN9" s="408">
        <f t="shared" si="13"/>
        <v>300592.5</v>
      </c>
      <c r="BO9" s="408">
        <f t="shared" si="13"/>
        <v>301092.5</v>
      </c>
      <c r="BP9" s="408">
        <f t="shared" si="13"/>
        <v>301592.5</v>
      </c>
      <c r="BQ9" s="408">
        <f t="shared" si="13"/>
        <v>302092.5</v>
      </c>
      <c r="BR9" s="408">
        <f t="shared" si="13"/>
        <v>302592.5</v>
      </c>
      <c r="BS9" s="408">
        <f t="shared" si="13"/>
        <v>303092.5</v>
      </c>
      <c r="BT9" s="408">
        <f t="shared" si="13"/>
        <v>303592.5</v>
      </c>
      <c r="BU9" s="408">
        <f t="shared" si="13"/>
        <v>304092.5</v>
      </c>
      <c r="BV9" s="408">
        <f t="shared" si="13"/>
        <v>304592.5</v>
      </c>
      <c r="BW9" s="408">
        <f t="shared" si="13"/>
        <v>305092.5</v>
      </c>
      <c r="BX9" s="408">
        <f t="shared" si="13"/>
        <v>305592.5</v>
      </c>
      <c r="BY9" s="408">
        <f t="shared" si="13"/>
        <v>306092.5</v>
      </c>
      <c r="BZ9" s="408">
        <f t="shared" si="13"/>
        <v>306592.5</v>
      </c>
      <c r="CA9" s="408">
        <f t="shared" si="13"/>
        <v>307092.5</v>
      </c>
      <c r="CB9" s="408">
        <f t="shared" si="13"/>
        <v>307592.5</v>
      </c>
      <c r="CC9" s="408">
        <f t="shared" si="13"/>
        <v>308092.5</v>
      </c>
      <c r="CD9" s="408">
        <f t="shared" si="13"/>
        <v>308592.5</v>
      </c>
      <c r="CE9" s="408">
        <f t="shared" si="13"/>
        <v>309092.5</v>
      </c>
      <c r="CF9" s="408">
        <f t="shared" si="13"/>
        <v>309592.5</v>
      </c>
      <c r="CG9" s="408">
        <f t="shared" si="13"/>
        <v>310092.5</v>
      </c>
      <c r="CH9" s="408">
        <f t="shared" si="13"/>
        <v>310592.5</v>
      </c>
      <c r="CI9" s="408">
        <f t="shared" si="13"/>
        <v>311092.5</v>
      </c>
      <c r="CJ9" s="408">
        <f t="shared" si="13"/>
        <v>311592.5</v>
      </c>
      <c r="CK9" s="408">
        <f t="shared" si="13"/>
        <v>312092.5</v>
      </c>
      <c r="CL9" s="408">
        <f t="shared" si="13"/>
        <v>312592.5</v>
      </c>
      <c r="CM9" s="408">
        <f t="shared" si="13"/>
        <v>313092.5</v>
      </c>
      <c r="CN9" s="408">
        <f t="shared" ref="CN9:DF9" si="14">CM11</f>
        <v>313592.5</v>
      </c>
      <c r="CO9" s="408">
        <f t="shared" si="14"/>
        <v>314092.5</v>
      </c>
      <c r="CP9" s="408">
        <f t="shared" si="14"/>
        <v>314592.5</v>
      </c>
      <c r="CQ9" s="408">
        <f t="shared" si="14"/>
        <v>315092.5</v>
      </c>
      <c r="CR9" s="408">
        <f t="shared" si="14"/>
        <v>315592.5</v>
      </c>
      <c r="CS9" s="408">
        <f t="shared" si="14"/>
        <v>316092.5</v>
      </c>
      <c r="CT9" s="408">
        <f t="shared" si="14"/>
        <v>316592.5</v>
      </c>
      <c r="CU9" s="408">
        <f t="shared" si="14"/>
        <v>317092.5</v>
      </c>
      <c r="CV9" s="408">
        <f t="shared" si="14"/>
        <v>317592.5</v>
      </c>
      <c r="CW9" s="408">
        <f t="shared" si="14"/>
        <v>318092.5</v>
      </c>
      <c r="CX9" s="408">
        <f t="shared" si="14"/>
        <v>318592.5</v>
      </c>
      <c r="CY9" s="408">
        <f t="shared" si="14"/>
        <v>319092.5</v>
      </c>
      <c r="CZ9" s="408">
        <f t="shared" si="14"/>
        <v>319592.5</v>
      </c>
      <c r="DA9" s="408">
        <f t="shared" si="14"/>
        <v>320092.5</v>
      </c>
      <c r="DB9" s="408">
        <f t="shared" si="14"/>
        <v>320592.5</v>
      </c>
      <c r="DC9" s="408">
        <f t="shared" si="14"/>
        <v>321092.5</v>
      </c>
      <c r="DD9" s="408">
        <f t="shared" si="14"/>
        <v>321592.5</v>
      </c>
      <c r="DE9" s="408">
        <f t="shared" si="14"/>
        <v>322092.5</v>
      </c>
      <c r="DF9" s="408">
        <f t="shared" si="14"/>
        <v>322592.5</v>
      </c>
    </row>
    <row r="10" spans="1:110">
      <c r="A10" s="413" t="s">
        <v>491</v>
      </c>
      <c r="B10" s="410" t="s">
        <v>250</v>
      </c>
      <c r="C10" s="412">
        <v>6000</v>
      </c>
      <c r="D10" s="412">
        <v>6000</v>
      </c>
      <c r="E10" s="412">
        <v>6000</v>
      </c>
      <c r="F10" s="412">
        <v>3000</v>
      </c>
      <c r="G10" s="412">
        <v>5000</v>
      </c>
      <c r="H10" s="412">
        <v>5000</v>
      </c>
      <c r="I10" s="412">
        <v>5000</v>
      </c>
      <c r="J10" s="412">
        <v>5000</v>
      </c>
      <c r="K10" s="412">
        <v>5000</v>
      </c>
      <c r="L10" s="412">
        <v>5000</v>
      </c>
      <c r="M10" s="412">
        <v>5000</v>
      </c>
      <c r="N10" s="412">
        <v>5000</v>
      </c>
      <c r="O10" s="412">
        <v>2000</v>
      </c>
      <c r="P10" s="412">
        <v>2000</v>
      </c>
      <c r="Q10" s="412">
        <v>2000</v>
      </c>
      <c r="R10" s="412">
        <v>2000</v>
      </c>
      <c r="S10" s="412">
        <v>3000</v>
      </c>
      <c r="T10" s="412">
        <v>3000</v>
      </c>
      <c r="U10" s="412">
        <v>3000</v>
      </c>
      <c r="V10" s="412">
        <v>3000</v>
      </c>
      <c r="W10" s="412">
        <v>3000</v>
      </c>
      <c r="X10" s="412">
        <v>3000</v>
      </c>
      <c r="Y10" s="412">
        <v>5000</v>
      </c>
      <c r="Z10" s="412">
        <v>5000</v>
      </c>
      <c r="AA10" s="412">
        <v>1000</v>
      </c>
      <c r="AB10" s="412">
        <v>2000</v>
      </c>
      <c r="AC10" s="412">
        <v>3000</v>
      </c>
      <c r="AD10" s="412">
        <v>2000</v>
      </c>
      <c r="AE10" s="412">
        <v>2000</v>
      </c>
      <c r="AF10" s="412">
        <v>1000</v>
      </c>
      <c r="AG10" s="412">
        <v>1000</v>
      </c>
      <c r="AH10" s="412">
        <v>1000</v>
      </c>
      <c r="AI10" s="412">
        <v>1000</v>
      </c>
      <c r="AJ10" s="412">
        <v>1000</v>
      </c>
      <c r="AK10" s="412">
        <v>1000</v>
      </c>
      <c r="AL10" s="412">
        <v>1000</v>
      </c>
      <c r="AM10" s="412">
        <v>2000</v>
      </c>
      <c r="AN10" s="412">
        <v>2000</v>
      </c>
      <c r="AO10" s="412">
        <v>2000</v>
      </c>
      <c r="AP10" s="412">
        <v>2000</v>
      </c>
      <c r="AQ10" s="412">
        <v>2000</v>
      </c>
      <c r="AR10" s="412">
        <v>2000</v>
      </c>
      <c r="AS10" s="412">
        <v>2000</v>
      </c>
      <c r="AT10" s="412">
        <v>2000</v>
      </c>
      <c r="AU10" s="412">
        <v>2000</v>
      </c>
      <c r="AV10" s="412">
        <v>2000</v>
      </c>
      <c r="AW10" s="412">
        <v>2000</v>
      </c>
      <c r="AX10" s="412">
        <v>2000</v>
      </c>
      <c r="AY10" s="412">
        <v>1000</v>
      </c>
      <c r="AZ10" s="412">
        <v>1000</v>
      </c>
      <c r="BA10" s="412">
        <v>1000</v>
      </c>
      <c r="BB10" s="412">
        <v>1000</v>
      </c>
      <c r="BC10" s="412">
        <v>1000</v>
      </c>
      <c r="BD10" s="412">
        <v>1000</v>
      </c>
      <c r="BE10" s="412">
        <v>1000</v>
      </c>
      <c r="BF10" s="412">
        <v>1000</v>
      </c>
      <c r="BG10" s="412">
        <v>1000</v>
      </c>
      <c r="BH10" s="412">
        <v>1000</v>
      </c>
      <c r="BI10" s="412">
        <v>1000</v>
      </c>
      <c r="BJ10" s="412">
        <v>1000</v>
      </c>
      <c r="BK10" s="412">
        <v>500</v>
      </c>
      <c r="BL10" s="412">
        <v>500</v>
      </c>
      <c r="BM10" s="412">
        <v>500</v>
      </c>
      <c r="BN10" s="412">
        <v>500</v>
      </c>
      <c r="BO10" s="412">
        <v>500</v>
      </c>
      <c r="BP10" s="412">
        <v>500</v>
      </c>
      <c r="BQ10" s="412">
        <v>500</v>
      </c>
      <c r="BR10" s="412">
        <v>500</v>
      </c>
      <c r="BS10" s="412">
        <v>500</v>
      </c>
      <c r="BT10" s="412">
        <v>500</v>
      </c>
      <c r="BU10" s="412">
        <v>500</v>
      </c>
      <c r="BV10" s="412">
        <v>500</v>
      </c>
      <c r="BW10" s="412">
        <v>500</v>
      </c>
      <c r="BX10" s="412">
        <v>500</v>
      </c>
      <c r="BY10" s="412">
        <v>500</v>
      </c>
      <c r="BZ10" s="412">
        <v>500</v>
      </c>
      <c r="CA10" s="412">
        <v>500</v>
      </c>
      <c r="CB10" s="412">
        <v>500</v>
      </c>
      <c r="CC10" s="412">
        <v>500</v>
      </c>
      <c r="CD10" s="412">
        <v>500</v>
      </c>
      <c r="CE10" s="412">
        <v>500</v>
      </c>
      <c r="CF10" s="412">
        <v>500</v>
      </c>
      <c r="CG10" s="412">
        <v>500</v>
      </c>
      <c r="CH10" s="412">
        <v>500</v>
      </c>
      <c r="CI10" s="412">
        <v>500</v>
      </c>
      <c r="CJ10" s="412">
        <v>500</v>
      </c>
      <c r="CK10" s="412">
        <v>500</v>
      </c>
      <c r="CL10" s="412">
        <v>500</v>
      </c>
      <c r="CM10" s="412">
        <v>500</v>
      </c>
      <c r="CN10" s="412">
        <v>500</v>
      </c>
      <c r="CO10" s="412">
        <v>500</v>
      </c>
      <c r="CP10" s="412">
        <v>500</v>
      </c>
      <c r="CQ10" s="412">
        <v>500</v>
      </c>
      <c r="CR10" s="412">
        <v>500</v>
      </c>
      <c r="CS10" s="412">
        <v>500</v>
      </c>
      <c r="CT10" s="412">
        <v>500</v>
      </c>
      <c r="CU10" s="412">
        <v>500</v>
      </c>
      <c r="CV10" s="412">
        <v>500</v>
      </c>
      <c r="CW10" s="412">
        <v>500</v>
      </c>
      <c r="CX10" s="412">
        <v>500</v>
      </c>
      <c r="CY10" s="412">
        <v>500</v>
      </c>
      <c r="CZ10" s="412">
        <v>500</v>
      </c>
      <c r="DA10" s="412">
        <v>500</v>
      </c>
      <c r="DB10" s="412">
        <v>500</v>
      </c>
      <c r="DC10" s="412">
        <v>500</v>
      </c>
      <c r="DD10" s="412">
        <v>500</v>
      </c>
      <c r="DE10" s="412">
        <v>500</v>
      </c>
      <c r="DF10" s="412">
        <v>500</v>
      </c>
    </row>
    <row r="11" spans="1:110" ht="12.75" thickBot="1">
      <c r="A11" s="404" t="s">
        <v>492</v>
      </c>
      <c r="B11" s="410" t="s">
        <v>250</v>
      </c>
      <c r="C11" s="414">
        <f t="shared" ref="C11:AH11" si="15">SUM(C9:C10)</f>
        <v>186000</v>
      </c>
      <c r="D11" s="414">
        <f t="shared" si="15"/>
        <v>192000</v>
      </c>
      <c r="E11" s="414">
        <f t="shared" si="15"/>
        <v>198000</v>
      </c>
      <c r="F11" s="414">
        <f t="shared" si="15"/>
        <v>201000</v>
      </c>
      <c r="G11" s="414">
        <f t="shared" si="15"/>
        <v>206000</v>
      </c>
      <c r="H11" s="414">
        <f t="shared" si="15"/>
        <v>211000</v>
      </c>
      <c r="I11" s="414">
        <f t="shared" si="15"/>
        <v>216000</v>
      </c>
      <c r="J11" s="414">
        <f t="shared" si="15"/>
        <v>221000</v>
      </c>
      <c r="K11" s="414">
        <f t="shared" si="15"/>
        <v>226000</v>
      </c>
      <c r="L11" s="414">
        <f t="shared" si="15"/>
        <v>231000</v>
      </c>
      <c r="M11" s="414">
        <f t="shared" si="15"/>
        <v>236000</v>
      </c>
      <c r="N11" s="414">
        <f t="shared" si="15"/>
        <v>241000</v>
      </c>
      <c r="O11" s="414">
        <f t="shared" si="15"/>
        <v>220000</v>
      </c>
      <c r="P11" s="414">
        <f t="shared" si="15"/>
        <v>222000</v>
      </c>
      <c r="Q11" s="414">
        <f t="shared" si="15"/>
        <v>224000</v>
      </c>
      <c r="R11" s="414">
        <f t="shared" si="15"/>
        <v>226000</v>
      </c>
      <c r="S11" s="414">
        <f t="shared" si="15"/>
        <v>229000</v>
      </c>
      <c r="T11" s="414">
        <f t="shared" si="15"/>
        <v>232000</v>
      </c>
      <c r="U11" s="414">
        <f t="shared" si="15"/>
        <v>235000</v>
      </c>
      <c r="V11" s="414">
        <f t="shared" si="15"/>
        <v>238000</v>
      </c>
      <c r="W11" s="414">
        <f t="shared" si="15"/>
        <v>241000</v>
      </c>
      <c r="X11" s="414">
        <f t="shared" si="15"/>
        <v>244000</v>
      </c>
      <c r="Y11" s="414">
        <f t="shared" si="15"/>
        <v>249000</v>
      </c>
      <c r="Z11" s="414">
        <f t="shared" si="15"/>
        <v>254000</v>
      </c>
      <c r="AA11" s="414">
        <f t="shared" si="15"/>
        <v>247000</v>
      </c>
      <c r="AB11" s="414">
        <f t="shared" si="15"/>
        <v>249000</v>
      </c>
      <c r="AC11" s="414">
        <f t="shared" si="15"/>
        <v>252000</v>
      </c>
      <c r="AD11" s="414">
        <f t="shared" si="15"/>
        <v>254000</v>
      </c>
      <c r="AE11" s="414">
        <f t="shared" si="15"/>
        <v>256000</v>
      </c>
      <c r="AF11" s="414">
        <f t="shared" si="15"/>
        <v>257000</v>
      </c>
      <c r="AG11" s="414">
        <f t="shared" si="15"/>
        <v>258000</v>
      </c>
      <c r="AH11" s="414">
        <f t="shared" si="15"/>
        <v>259000</v>
      </c>
      <c r="AI11" s="414">
        <f t="shared" ref="AI11:CT11" si="16">SUM(AI9:AI10)</f>
        <v>260000</v>
      </c>
      <c r="AJ11" s="414">
        <f t="shared" si="16"/>
        <v>261000</v>
      </c>
      <c r="AK11" s="414">
        <f t="shared" si="16"/>
        <v>262000</v>
      </c>
      <c r="AL11" s="414">
        <f t="shared" si="16"/>
        <v>263000</v>
      </c>
      <c r="AM11" s="414">
        <f t="shared" si="16"/>
        <v>265000</v>
      </c>
      <c r="AN11" s="414">
        <f t="shared" si="16"/>
        <v>267000</v>
      </c>
      <c r="AO11" s="414">
        <f t="shared" si="16"/>
        <v>269000</v>
      </c>
      <c r="AP11" s="414">
        <f t="shared" si="16"/>
        <v>271000</v>
      </c>
      <c r="AQ11" s="414">
        <f t="shared" si="16"/>
        <v>273000</v>
      </c>
      <c r="AR11" s="414">
        <f t="shared" si="16"/>
        <v>275000</v>
      </c>
      <c r="AS11" s="414">
        <f t="shared" si="16"/>
        <v>277000</v>
      </c>
      <c r="AT11" s="414">
        <f t="shared" si="16"/>
        <v>279000</v>
      </c>
      <c r="AU11" s="414">
        <f t="shared" si="16"/>
        <v>281000</v>
      </c>
      <c r="AV11" s="414">
        <f>SUM(AV9:AV10)</f>
        <v>283092.5</v>
      </c>
      <c r="AW11" s="414">
        <f t="shared" si="16"/>
        <v>285092.5</v>
      </c>
      <c r="AX11" s="414">
        <f t="shared" si="16"/>
        <v>287092.5</v>
      </c>
      <c r="AY11" s="414">
        <f t="shared" si="16"/>
        <v>288092.5</v>
      </c>
      <c r="AZ11" s="414">
        <f t="shared" si="16"/>
        <v>289092.5</v>
      </c>
      <c r="BA11" s="414">
        <f t="shared" si="16"/>
        <v>290092.5</v>
      </c>
      <c r="BB11" s="414">
        <f t="shared" si="16"/>
        <v>291092.5</v>
      </c>
      <c r="BC11" s="414">
        <f t="shared" si="16"/>
        <v>292092.5</v>
      </c>
      <c r="BD11" s="414">
        <f t="shared" si="16"/>
        <v>293092.5</v>
      </c>
      <c r="BE11" s="414">
        <f t="shared" si="16"/>
        <v>294092.5</v>
      </c>
      <c r="BF11" s="414">
        <f t="shared" si="16"/>
        <v>295092.5</v>
      </c>
      <c r="BG11" s="414">
        <f t="shared" si="16"/>
        <v>296092.5</v>
      </c>
      <c r="BH11" s="414">
        <f t="shared" si="16"/>
        <v>297092.5</v>
      </c>
      <c r="BI11" s="414">
        <f t="shared" si="16"/>
        <v>298092.5</v>
      </c>
      <c r="BJ11" s="414">
        <f t="shared" si="16"/>
        <v>299092.5</v>
      </c>
      <c r="BK11" s="414">
        <f t="shared" si="16"/>
        <v>299592.5</v>
      </c>
      <c r="BL11" s="414">
        <f t="shared" si="16"/>
        <v>300092.5</v>
      </c>
      <c r="BM11" s="414">
        <f t="shared" si="16"/>
        <v>300592.5</v>
      </c>
      <c r="BN11" s="414">
        <f t="shared" si="16"/>
        <v>301092.5</v>
      </c>
      <c r="BO11" s="414">
        <f t="shared" si="16"/>
        <v>301592.5</v>
      </c>
      <c r="BP11" s="414">
        <f t="shared" si="16"/>
        <v>302092.5</v>
      </c>
      <c r="BQ11" s="414">
        <f t="shared" si="16"/>
        <v>302592.5</v>
      </c>
      <c r="BR11" s="414">
        <f t="shared" si="16"/>
        <v>303092.5</v>
      </c>
      <c r="BS11" s="414">
        <f t="shared" si="16"/>
        <v>303592.5</v>
      </c>
      <c r="BT11" s="414">
        <f t="shared" si="16"/>
        <v>304092.5</v>
      </c>
      <c r="BU11" s="414">
        <f t="shared" si="16"/>
        <v>304592.5</v>
      </c>
      <c r="BV11" s="414">
        <f t="shared" si="16"/>
        <v>305092.5</v>
      </c>
      <c r="BW11" s="414">
        <f t="shared" si="16"/>
        <v>305592.5</v>
      </c>
      <c r="BX11" s="414">
        <f t="shared" si="16"/>
        <v>306092.5</v>
      </c>
      <c r="BY11" s="414">
        <f t="shared" si="16"/>
        <v>306592.5</v>
      </c>
      <c r="BZ11" s="414">
        <f t="shared" si="16"/>
        <v>307092.5</v>
      </c>
      <c r="CA11" s="414">
        <f t="shared" si="16"/>
        <v>307592.5</v>
      </c>
      <c r="CB11" s="414">
        <f t="shared" si="16"/>
        <v>308092.5</v>
      </c>
      <c r="CC11" s="414">
        <f t="shared" si="16"/>
        <v>308592.5</v>
      </c>
      <c r="CD11" s="414">
        <f t="shared" si="16"/>
        <v>309092.5</v>
      </c>
      <c r="CE11" s="414">
        <f t="shared" si="16"/>
        <v>309592.5</v>
      </c>
      <c r="CF11" s="414">
        <f t="shared" si="16"/>
        <v>310092.5</v>
      </c>
      <c r="CG11" s="414">
        <f t="shared" si="16"/>
        <v>310592.5</v>
      </c>
      <c r="CH11" s="414">
        <f t="shared" si="16"/>
        <v>311092.5</v>
      </c>
      <c r="CI11" s="414">
        <f t="shared" si="16"/>
        <v>311592.5</v>
      </c>
      <c r="CJ11" s="414">
        <f t="shared" si="16"/>
        <v>312092.5</v>
      </c>
      <c r="CK11" s="414">
        <f t="shared" si="16"/>
        <v>312592.5</v>
      </c>
      <c r="CL11" s="414">
        <f t="shared" si="16"/>
        <v>313092.5</v>
      </c>
      <c r="CM11" s="414">
        <f t="shared" si="16"/>
        <v>313592.5</v>
      </c>
      <c r="CN11" s="414">
        <f t="shared" si="16"/>
        <v>314092.5</v>
      </c>
      <c r="CO11" s="414">
        <f t="shared" si="16"/>
        <v>314592.5</v>
      </c>
      <c r="CP11" s="414">
        <f t="shared" si="16"/>
        <v>315092.5</v>
      </c>
      <c r="CQ11" s="414">
        <f t="shared" si="16"/>
        <v>315592.5</v>
      </c>
      <c r="CR11" s="414">
        <f t="shared" si="16"/>
        <v>316092.5</v>
      </c>
      <c r="CS11" s="414">
        <f t="shared" si="16"/>
        <v>316592.5</v>
      </c>
      <c r="CT11" s="414">
        <f t="shared" si="16"/>
        <v>317092.5</v>
      </c>
      <c r="CU11" s="414">
        <f t="shared" ref="CU11:DF11" si="17">SUM(CU9:CU10)</f>
        <v>317592.5</v>
      </c>
      <c r="CV11" s="414">
        <f t="shared" si="17"/>
        <v>318092.5</v>
      </c>
      <c r="CW11" s="414">
        <f t="shared" si="17"/>
        <v>318592.5</v>
      </c>
      <c r="CX11" s="414">
        <f t="shared" si="17"/>
        <v>319092.5</v>
      </c>
      <c r="CY11" s="414">
        <f t="shared" si="17"/>
        <v>319592.5</v>
      </c>
      <c r="CZ11" s="414">
        <f t="shared" si="17"/>
        <v>320092.5</v>
      </c>
      <c r="DA11" s="414">
        <f t="shared" si="17"/>
        <v>320592.5</v>
      </c>
      <c r="DB11" s="414">
        <f t="shared" si="17"/>
        <v>321092.5</v>
      </c>
      <c r="DC11" s="414">
        <f t="shared" si="17"/>
        <v>321592.5</v>
      </c>
      <c r="DD11" s="414">
        <f t="shared" si="17"/>
        <v>322092.5</v>
      </c>
      <c r="DE11" s="414">
        <f t="shared" si="17"/>
        <v>322592.5</v>
      </c>
      <c r="DF11" s="414">
        <f t="shared" si="17"/>
        <v>323092.5</v>
      </c>
    </row>
    <row r="12" spans="1:110" ht="12.75" thickTop="1">
      <c r="A12" s="413"/>
      <c r="B12" s="410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41"/>
      <c r="S12" s="341"/>
      <c r="T12" s="34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</row>
    <row r="13" spans="1:110">
      <c r="A13" s="413" t="s">
        <v>493</v>
      </c>
      <c r="B13" s="410" t="s">
        <v>494</v>
      </c>
      <c r="C13" s="341">
        <v>0.44</v>
      </c>
      <c r="D13" s="341">
        <f>C13</f>
        <v>0.44</v>
      </c>
      <c r="E13" s="341">
        <f>D13</f>
        <v>0.44</v>
      </c>
      <c r="F13" s="341">
        <f>E13</f>
        <v>0.44</v>
      </c>
      <c r="G13" s="341">
        <f>F13</f>
        <v>0.44</v>
      </c>
      <c r="H13" s="341">
        <f>G13</f>
        <v>0.44</v>
      </c>
      <c r="I13" s="341">
        <v>0.44</v>
      </c>
      <c r="J13" s="341">
        <v>0.44</v>
      </c>
      <c r="K13" s="341">
        <v>0.44</v>
      </c>
      <c r="L13" s="341">
        <v>0.44</v>
      </c>
      <c r="M13" s="341">
        <v>0.44</v>
      </c>
      <c r="N13" s="341">
        <v>0.44</v>
      </c>
      <c r="O13" s="341">
        <v>0.38</v>
      </c>
      <c r="P13" s="341">
        <v>0.38</v>
      </c>
      <c r="Q13" s="341">
        <v>0.38</v>
      </c>
      <c r="R13" s="341">
        <v>0.42</v>
      </c>
      <c r="S13" s="341">
        <v>0.42</v>
      </c>
      <c r="T13" s="341">
        <v>0.42</v>
      </c>
      <c r="U13" s="341">
        <v>0.42</v>
      </c>
      <c r="V13" s="341">
        <v>0.42</v>
      </c>
      <c r="W13" s="341">
        <v>0.42</v>
      </c>
      <c r="X13" s="341">
        <v>0.42</v>
      </c>
      <c r="Y13" s="341">
        <v>0.42</v>
      </c>
      <c r="Z13" s="341">
        <v>0.42</v>
      </c>
      <c r="AA13" s="415">
        <v>0.39999999999999997</v>
      </c>
      <c r="AB13" s="415">
        <v>0.39999999999999997</v>
      </c>
      <c r="AC13" s="415">
        <v>0.39999999999999997</v>
      </c>
      <c r="AD13" s="415">
        <v>0.39999999999999997</v>
      </c>
      <c r="AE13" s="415">
        <v>0.39999999999999997</v>
      </c>
      <c r="AF13" s="415">
        <v>0.39999999999999997</v>
      </c>
      <c r="AG13" s="415">
        <v>0.39999999999999997</v>
      </c>
      <c r="AH13" s="415">
        <v>0.39999999999999997</v>
      </c>
      <c r="AI13" s="415">
        <v>0.39999999999999997</v>
      </c>
      <c r="AJ13" s="415">
        <v>0.39999999999999997</v>
      </c>
      <c r="AK13" s="415">
        <v>0.39999999999999997</v>
      </c>
      <c r="AL13" s="415">
        <v>0.39999999999999997</v>
      </c>
      <c r="AM13" s="415">
        <v>0.39999999999999997</v>
      </c>
      <c r="AN13" s="415">
        <v>0.39999999999999997</v>
      </c>
      <c r="AO13" s="415">
        <v>0.39999999999999997</v>
      </c>
      <c r="AP13" s="415">
        <v>0.39999999999999997</v>
      </c>
      <c r="AQ13" s="415">
        <v>0.39999999999999997</v>
      </c>
      <c r="AR13" s="415">
        <v>0.39999999999999997</v>
      </c>
      <c r="AS13" s="415">
        <v>0.39999999999999997</v>
      </c>
      <c r="AT13" s="415">
        <v>0.39999999999999997</v>
      </c>
      <c r="AU13" s="415">
        <v>0.39999999999999997</v>
      </c>
      <c r="AV13" s="415">
        <v>0.39999999999999997</v>
      </c>
      <c r="AW13" s="415">
        <v>0.39999999999999997</v>
      </c>
      <c r="AX13" s="415">
        <v>0.39999999999999997</v>
      </c>
      <c r="AY13" s="544">
        <v>0.39999999999999997</v>
      </c>
      <c r="AZ13" s="415">
        <f>AY13</f>
        <v>0.39999999999999997</v>
      </c>
      <c r="BA13" s="415">
        <f t="shared" ref="BA13:BJ13" si="18">AZ13</f>
        <v>0.39999999999999997</v>
      </c>
      <c r="BB13" s="415">
        <f t="shared" si="18"/>
        <v>0.39999999999999997</v>
      </c>
      <c r="BC13" s="415">
        <f t="shared" si="18"/>
        <v>0.39999999999999997</v>
      </c>
      <c r="BD13" s="415">
        <f t="shared" si="18"/>
        <v>0.39999999999999997</v>
      </c>
      <c r="BE13" s="415">
        <f t="shared" si="18"/>
        <v>0.39999999999999997</v>
      </c>
      <c r="BF13" s="415">
        <f t="shared" si="18"/>
        <v>0.39999999999999997</v>
      </c>
      <c r="BG13" s="415">
        <f t="shared" si="18"/>
        <v>0.39999999999999997</v>
      </c>
      <c r="BH13" s="415">
        <f t="shared" si="18"/>
        <v>0.39999999999999997</v>
      </c>
      <c r="BI13" s="415">
        <f t="shared" si="18"/>
        <v>0.39999999999999997</v>
      </c>
      <c r="BJ13" s="415">
        <f t="shared" si="18"/>
        <v>0.39999999999999997</v>
      </c>
      <c r="BK13" s="544">
        <v>0.43</v>
      </c>
      <c r="BL13" s="415">
        <v>0.43</v>
      </c>
      <c r="BM13" s="415">
        <v>0.43</v>
      </c>
      <c r="BN13" s="415">
        <v>0.43</v>
      </c>
      <c r="BO13" s="415">
        <v>0.43</v>
      </c>
      <c r="BP13" s="415">
        <v>0.43</v>
      </c>
      <c r="BQ13" s="415">
        <v>0.43</v>
      </c>
      <c r="BR13" s="415">
        <v>0.43</v>
      </c>
      <c r="BS13" s="415">
        <v>0.43</v>
      </c>
      <c r="BT13" s="415">
        <v>0.43</v>
      </c>
      <c r="BU13" s="415">
        <v>0.43</v>
      </c>
      <c r="BV13" s="415">
        <v>0.43</v>
      </c>
      <c r="BW13" s="415">
        <v>0.43</v>
      </c>
      <c r="BX13" s="415">
        <v>0.43</v>
      </c>
      <c r="BY13" s="415">
        <v>0.43</v>
      </c>
      <c r="BZ13" s="415">
        <v>0.43</v>
      </c>
      <c r="CA13" s="415">
        <v>0.43</v>
      </c>
      <c r="CB13" s="415">
        <v>0.43</v>
      </c>
      <c r="CC13" s="415">
        <v>0.43</v>
      </c>
      <c r="CD13" s="415">
        <v>0.43</v>
      </c>
      <c r="CE13" s="415">
        <v>0.43</v>
      </c>
      <c r="CF13" s="415">
        <v>0.435</v>
      </c>
      <c r="CG13" s="415">
        <v>0.435</v>
      </c>
      <c r="CH13" s="415">
        <v>0.435</v>
      </c>
      <c r="CI13" s="415">
        <v>0.435</v>
      </c>
      <c r="CJ13" s="415">
        <v>0.435</v>
      </c>
      <c r="CK13" s="415">
        <v>0.435</v>
      </c>
      <c r="CL13" s="415">
        <v>0.435</v>
      </c>
      <c r="CM13" s="415">
        <v>0.435</v>
      </c>
      <c r="CN13" s="415">
        <v>0.435</v>
      </c>
      <c r="CO13" s="415">
        <v>0.435</v>
      </c>
      <c r="CP13" s="415">
        <v>0.435</v>
      </c>
      <c r="CQ13" s="415">
        <v>0.435</v>
      </c>
      <c r="CR13" s="415">
        <v>0.435</v>
      </c>
      <c r="CS13" s="415">
        <v>0.435</v>
      </c>
      <c r="CT13" s="415">
        <v>0.435</v>
      </c>
      <c r="CU13" s="415">
        <v>0.435</v>
      </c>
      <c r="CV13" s="415">
        <v>0.435</v>
      </c>
      <c r="CW13" s="415">
        <v>0.435</v>
      </c>
      <c r="CX13" s="415">
        <v>0.435</v>
      </c>
      <c r="CY13" s="415">
        <v>0.435</v>
      </c>
      <c r="CZ13" s="415">
        <v>0.435</v>
      </c>
      <c r="DA13" s="415">
        <v>0.435</v>
      </c>
      <c r="DB13" s="415">
        <v>0.435</v>
      </c>
      <c r="DC13" s="415">
        <v>0.435</v>
      </c>
      <c r="DD13" s="415">
        <v>0.435</v>
      </c>
      <c r="DE13" s="415">
        <v>0.435</v>
      </c>
      <c r="DF13" s="415">
        <v>0.435</v>
      </c>
    </row>
    <row r="14" spans="1:110">
      <c r="A14" s="413" t="s">
        <v>495</v>
      </c>
      <c r="B14" s="410" t="s">
        <v>496</v>
      </c>
      <c r="C14" s="341">
        <f t="shared" ref="C14:BN14" si="19">(C13/$B$22)*1000</f>
        <v>97.777777777777786</v>
      </c>
      <c r="D14" s="341">
        <f t="shared" si="19"/>
        <v>97.777777777777786</v>
      </c>
      <c r="E14" s="341">
        <f t="shared" si="19"/>
        <v>97.777777777777786</v>
      </c>
      <c r="F14" s="341">
        <f t="shared" si="19"/>
        <v>97.777777777777786</v>
      </c>
      <c r="G14" s="341">
        <f t="shared" si="19"/>
        <v>97.777777777777786</v>
      </c>
      <c r="H14" s="341">
        <f t="shared" si="19"/>
        <v>97.777777777777786</v>
      </c>
      <c r="I14" s="341">
        <f t="shared" si="19"/>
        <v>97.777777777777786</v>
      </c>
      <c r="J14" s="341">
        <f t="shared" si="19"/>
        <v>97.777777777777786</v>
      </c>
      <c r="K14" s="341">
        <f t="shared" si="19"/>
        <v>97.777777777777786</v>
      </c>
      <c r="L14" s="341">
        <f t="shared" si="19"/>
        <v>97.777777777777786</v>
      </c>
      <c r="M14" s="341">
        <f t="shared" si="19"/>
        <v>97.777777777777786</v>
      </c>
      <c r="N14" s="341">
        <f t="shared" si="19"/>
        <v>97.777777777777786</v>
      </c>
      <c r="O14" s="341">
        <f t="shared" si="19"/>
        <v>84.444444444444443</v>
      </c>
      <c r="P14" s="341">
        <f t="shared" si="19"/>
        <v>84.444444444444443</v>
      </c>
      <c r="Q14" s="341">
        <f t="shared" si="19"/>
        <v>84.444444444444443</v>
      </c>
      <c r="R14" s="341">
        <f t="shared" si="19"/>
        <v>93.333333333333329</v>
      </c>
      <c r="S14" s="341">
        <f t="shared" si="19"/>
        <v>93.333333333333329</v>
      </c>
      <c r="T14" s="341">
        <f t="shared" si="19"/>
        <v>93.333333333333329</v>
      </c>
      <c r="U14" s="341">
        <f t="shared" si="19"/>
        <v>93.333333333333329</v>
      </c>
      <c r="V14" s="341">
        <f t="shared" si="19"/>
        <v>93.333333333333329</v>
      </c>
      <c r="W14" s="341">
        <f t="shared" si="19"/>
        <v>93.333333333333329</v>
      </c>
      <c r="X14" s="341">
        <f t="shared" si="19"/>
        <v>93.333333333333329</v>
      </c>
      <c r="Y14" s="341">
        <f t="shared" si="19"/>
        <v>93.333333333333329</v>
      </c>
      <c r="Z14" s="341">
        <f t="shared" si="19"/>
        <v>93.333333333333329</v>
      </c>
      <c r="AA14" s="341">
        <f t="shared" si="19"/>
        <v>88.888888888888872</v>
      </c>
      <c r="AB14" s="341">
        <f t="shared" si="19"/>
        <v>88.888888888888872</v>
      </c>
      <c r="AC14" s="341">
        <f t="shared" si="19"/>
        <v>88.888888888888872</v>
      </c>
      <c r="AD14" s="341">
        <f t="shared" si="19"/>
        <v>88.888888888888872</v>
      </c>
      <c r="AE14" s="341">
        <f t="shared" si="19"/>
        <v>88.888888888888872</v>
      </c>
      <c r="AF14" s="341">
        <f t="shared" si="19"/>
        <v>88.888888888888872</v>
      </c>
      <c r="AG14" s="341">
        <f t="shared" si="19"/>
        <v>88.888888888888872</v>
      </c>
      <c r="AH14" s="341">
        <f t="shared" si="19"/>
        <v>88.888888888888872</v>
      </c>
      <c r="AI14" s="341">
        <f t="shared" si="19"/>
        <v>88.888888888888872</v>
      </c>
      <c r="AJ14" s="341">
        <f t="shared" si="19"/>
        <v>88.888888888888872</v>
      </c>
      <c r="AK14" s="341">
        <f t="shared" si="19"/>
        <v>88.888888888888872</v>
      </c>
      <c r="AL14" s="341">
        <f t="shared" si="19"/>
        <v>88.888888888888872</v>
      </c>
      <c r="AM14" s="341">
        <f t="shared" si="19"/>
        <v>88.888888888888872</v>
      </c>
      <c r="AN14" s="341">
        <f t="shared" si="19"/>
        <v>88.888888888888872</v>
      </c>
      <c r="AO14" s="341">
        <f t="shared" si="19"/>
        <v>88.888888888888872</v>
      </c>
      <c r="AP14" s="341">
        <f t="shared" si="19"/>
        <v>88.888888888888872</v>
      </c>
      <c r="AQ14" s="341">
        <f t="shared" si="19"/>
        <v>88.888888888888872</v>
      </c>
      <c r="AR14" s="341">
        <f t="shared" si="19"/>
        <v>88.888888888888872</v>
      </c>
      <c r="AS14" s="341">
        <f t="shared" si="19"/>
        <v>88.888888888888872</v>
      </c>
      <c r="AT14" s="341">
        <f t="shared" si="19"/>
        <v>88.888888888888872</v>
      </c>
      <c r="AU14" s="341">
        <f t="shared" si="19"/>
        <v>88.888888888888872</v>
      </c>
      <c r="AV14" s="341">
        <f t="shared" si="19"/>
        <v>88.888888888888872</v>
      </c>
      <c r="AW14" s="341">
        <f t="shared" si="19"/>
        <v>88.888888888888872</v>
      </c>
      <c r="AX14" s="341">
        <f t="shared" si="19"/>
        <v>88.888888888888872</v>
      </c>
      <c r="AY14" s="341">
        <f t="shared" si="19"/>
        <v>88.888888888888872</v>
      </c>
      <c r="AZ14" s="341">
        <f t="shared" si="19"/>
        <v>88.888888888888872</v>
      </c>
      <c r="BA14" s="341">
        <f t="shared" si="19"/>
        <v>88.888888888888872</v>
      </c>
      <c r="BB14" s="341">
        <f t="shared" si="19"/>
        <v>88.888888888888872</v>
      </c>
      <c r="BC14" s="341">
        <f t="shared" si="19"/>
        <v>88.888888888888872</v>
      </c>
      <c r="BD14" s="341">
        <f t="shared" si="19"/>
        <v>88.888888888888872</v>
      </c>
      <c r="BE14" s="341">
        <f t="shared" si="19"/>
        <v>88.888888888888872</v>
      </c>
      <c r="BF14" s="341">
        <f t="shared" si="19"/>
        <v>88.888888888888872</v>
      </c>
      <c r="BG14" s="341">
        <f t="shared" si="19"/>
        <v>88.888888888888872</v>
      </c>
      <c r="BH14" s="341">
        <f t="shared" si="19"/>
        <v>88.888888888888872</v>
      </c>
      <c r="BI14" s="341">
        <f t="shared" si="19"/>
        <v>88.888888888888872</v>
      </c>
      <c r="BJ14" s="341">
        <f t="shared" si="19"/>
        <v>88.888888888888872</v>
      </c>
      <c r="BK14" s="341">
        <f t="shared" si="19"/>
        <v>95.555555555555557</v>
      </c>
      <c r="BL14" s="341">
        <f t="shared" si="19"/>
        <v>95.555555555555557</v>
      </c>
      <c r="BM14" s="341">
        <f t="shared" si="19"/>
        <v>95.555555555555557</v>
      </c>
      <c r="BN14" s="341">
        <f t="shared" si="19"/>
        <v>95.555555555555557</v>
      </c>
      <c r="BO14" s="341">
        <f t="shared" ref="BO14:DF14" si="20">(BO13/$B$22)*1000</f>
        <v>95.555555555555557</v>
      </c>
      <c r="BP14" s="341">
        <f t="shared" si="20"/>
        <v>95.555555555555557</v>
      </c>
      <c r="BQ14" s="341">
        <f t="shared" si="20"/>
        <v>95.555555555555557</v>
      </c>
      <c r="BR14" s="341">
        <f t="shared" si="20"/>
        <v>95.555555555555557</v>
      </c>
      <c r="BS14" s="341">
        <f t="shared" si="20"/>
        <v>95.555555555555557</v>
      </c>
      <c r="BT14" s="341">
        <f t="shared" si="20"/>
        <v>95.555555555555557</v>
      </c>
      <c r="BU14" s="341">
        <f t="shared" si="20"/>
        <v>95.555555555555557</v>
      </c>
      <c r="BV14" s="341">
        <f t="shared" si="20"/>
        <v>95.555555555555557</v>
      </c>
      <c r="BW14" s="341">
        <f t="shared" si="20"/>
        <v>95.555555555555557</v>
      </c>
      <c r="BX14" s="341">
        <f t="shared" si="20"/>
        <v>95.555555555555557</v>
      </c>
      <c r="BY14" s="341">
        <f t="shared" si="20"/>
        <v>95.555555555555557</v>
      </c>
      <c r="BZ14" s="341">
        <f t="shared" si="20"/>
        <v>95.555555555555557</v>
      </c>
      <c r="CA14" s="341">
        <f t="shared" si="20"/>
        <v>95.555555555555557</v>
      </c>
      <c r="CB14" s="341">
        <f t="shared" si="20"/>
        <v>95.555555555555557</v>
      </c>
      <c r="CC14" s="341">
        <f t="shared" si="20"/>
        <v>95.555555555555557</v>
      </c>
      <c r="CD14" s="341">
        <f t="shared" si="20"/>
        <v>95.555555555555557</v>
      </c>
      <c r="CE14" s="341">
        <f t="shared" si="20"/>
        <v>95.555555555555557</v>
      </c>
      <c r="CF14" s="341">
        <f t="shared" si="20"/>
        <v>96.666666666666671</v>
      </c>
      <c r="CG14" s="341">
        <f t="shared" si="20"/>
        <v>96.666666666666671</v>
      </c>
      <c r="CH14" s="341">
        <f t="shared" si="20"/>
        <v>96.666666666666671</v>
      </c>
      <c r="CI14" s="341">
        <f t="shared" si="20"/>
        <v>96.666666666666671</v>
      </c>
      <c r="CJ14" s="341">
        <f t="shared" si="20"/>
        <v>96.666666666666671</v>
      </c>
      <c r="CK14" s="341">
        <f t="shared" si="20"/>
        <v>96.666666666666671</v>
      </c>
      <c r="CL14" s="341">
        <f t="shared" si="20"/>
        <v>96.666666666666671</v>
      </c>
      <c r="CM14" s="341">
        <f t="shared" si="20"/>
        <v>96.666666666666671</v>
      </c>
      <c r="CN14" s="341">
        <f t="shared" si="20"/>
        <v>96.666666666666671</v>
      </c>
      <c r="CO14" s="341">
        <f t="shared" si="20"/>
        <v>96.666666666666671</v>
      </c>
      <c r="CP14" s="341">
        <f t="shared" si="20"/>
        <v>96.666666666666671</v>
      </c>
      <c r="CQ14" s="341">
        <f t="shared" si="20"/>
        <v>96.666666666666671</v>
      </c>
      <c r="CR14" s="341">
        <f t="shared" si="20"/>
        <v>96.666666666666671</v>
      </c>
      <c r="CS14" s="341">
        <f t="shared" si="20"/>
        <v>96.666666666666671</v>
      </c>
      <c r="CT14" s="341">
        <f t="shared" si="20"/>
        <v>96.666666666666671</v>
      </c>
      <c r="CU14" s="341">
        <f t="shared" si="20"/>
        <v>96.666666666666671</v>
      </c>
      <c r="CV14" s="341">
        <f t="shared" si="20"/>
        <v>96.666666666666671</v>
      </c>
      <c r="CW14" s="341">
        <f t="shared" si="20"/>
        <v>96.666666666666671</v>
      </c>
      <c r="CX14" s="341">
        <f t="shared" si="20"/>
        <v>96.666666666666671</v>
      </c>
      <c r="CY14" s="341">
        <f t="shared" si="20"/>
        <v>96.666666666666671</v>
      </c>
      <c r="CZ14" s="341">
        <f t="shared" si="20"/>
        <v>96.666666666666671</v>
      </c>
      <c r="DA14" s="341">
        <f t="shared" si="20"/>
        <v>96.666666666666671</v>
      </c>
      <c r="DB14" s="341">
        <f t="shared" si="20"/>
        <v>96.666666666666671</v>
      </c>
      <c r="DC14" s="341">
        <f t="shared" si="20"/>
        <v>96.666666666666671</v>
      </c>
      <c r="DD14" s="341">
        <f t="shared" si="20"/>
        <v>96.666666666666671</v>
      </c>
      <c r="DE14" s="341">
        <f t="shared" si="20"/>
        <v>96.666666666666671</v>
      </c>
      <c r="DF14" s="341">
        <f t="shared" si="20"/>
        <v>96.666666666666671</v>
      </c>
    </row>
    <row r="15" spans="1:110">
      <c r="A15" s="413" t="s">
        <v>497</v>
      </c>
      <c r="B15" s="410" t="s">
        <v>494</v>
      </c>
      <c r="C15" s="416">
        <f t="shared" ref="C15:BN15" si="21">C11*C13</f>
        <v>81840</v>
      </c>
      <c r="D15" s="416">
        <f t="shared" si="21"/>
        <v>84480</v>
      </c>
      <c r="E15" s="416">
        <f t="shared" si="21"/>
        <v>87120</v>
      </c>
      <c r="F15" s="416">
        <f t="shared" si="21"/>
        <v>88440</v>
      </c>
      <c r="G15" s="416">
        <f t="shared" si="21"/>
        <v>90640</v>
      </c>
      <c r="H15" s="416">
        <f t="shared" si="21"/>
        <v>92840</v>
      </c>
      <c r="I15" s="416">
        <f t="shared" si="21"/>
        <v>95040</v>
      </c>
      <c r="J15" s="416">
        <f t="shared" si="21"/>
        <v>97240</v>
      </c>
      <c r="K15" s="416">
        <f t="shared" si="21"/>
        <v>99440</v>
      </c>
      <c r="L15" s="416">
        <f t="shared" si="21"/>
        <v>101640</v>
      </c>
      <c r="M15" s="416">
        <f t="shared" si="21"/>
        <v>103840</v>
      </c>
      <c r="N15" s="416">
        <f t="shared" si="21"/>
        <v>106040</v>
      </c>
      <c r="O15" s="416">
        <f t="shared" si="21"/>
        <v>83600</v>
      </c>
      <c r="P15" s="416">
        <f t="shared" si="21"/>
        <v>84360</v>
      </c>
      <c r="Q15" s="416">
        <f t="shared" si="21"/>
        <v>85120</v>
      </c>
      <c r="R15" s="416">
        <f t="shared" si="21"/>
        <v>94920</v>
      </c>
      <c r="S15" s="416">
        <f t="shared" si="21"/>
        <v>96180</v>
      </c>
      <c r="T15" s="416">
        <f t="shared" si="21"/>
        <v>97440</v>
      </c>
      <c r="U15" s="416">
        <f t="shared" si="21"/>
        <v>98700</v>
      </c>
      <c r="V15" s="416">
        <f t="shared" si="21"/>
        <v>99960</v>
      </c>
      <c r="W15" s="416">
        <f t="shared" si="21"/>
        <v>101220</v>
      </c>
      <c r="X15" s="416">
        <f t="shared" si="21"/>
        <v>102480</v>
      </c>
      <c r="Y15" s="416">
        <f t="shared" si="21"/>
        <v>104580</v>
      </c>
      <c r="Z15" s="416">
        <f t="shared" si="21"/>
        <v>106680</v>
      </c>
      <c r="AA15" s="416">
        <f t="shared" si="21"/>
        <v>98799.999999999985</v>
      </c>
      <c r="AB15" s="416">
        <f t="shared" si="21"/>
        <v>99599.999999999985</v>
      </c>
      <c r="AC15" s="416">
        <f t="shared" si="21"/>
        <v>100799.99999999999</v>
      </c>
      <c r="AD15" s="416">
        <f t="shared" si="21"/>
        <v>101599.99999999999</v>
      </c>
      <c r="AE15" s="416">
        <f t="shared" si="21"/>
        <v>102399.99999999999</v>
      </c>
      <c r="AF15" s="416">
        <f t="shared" si="21"/>
        <v>102799.99999999999</v>
      </c>
      <c r="AG15" s="416">
        <f t="shared" si="21"/>
        <v>103199.99999999999</v>
      </c>
      <c r="AH15" s="416">
        <f t="shared" si="21"/>
        <v>103599.99999999999</v>
      </c>
      <c r="AI15" s="416">
        <f t="shared" si="21"/>
        <v>103999.99999999999</v>
      </c>
      <c r="AJ15" s="416">
        <f t="shared" si="21"/>
        <v>104399.99999999999</v>
      </c>
      <c r="AK15" s="416">
        <f t="shared" si="21"/>
        <v>104799.99999999999</v>
      </c>
      <c r="AL15" s="416">
        <f t="shared" si="21"/>
        <v>105199.99999999999</v>
      </c>
      <c r="AM15" s="416">
        <f t="shared" si="21"/>
        <v>105999.99999999999</v>
      </c>
      <c r="AN15" s="416">
        <f t="shared" si="21"/>
        <v>106799.99999999999</v>
      </c>
      <c r="AO15" s="416">
        <f t="shared" si="21"/>
        <v>107599.99999999999</v>
      </c>
      <c r="AP15" s="416">
        <f t="shared" si="21"/>
        <v>108399.99999999999</v>
      </c>
      <c r="AQ15" s="416">
        <f t="shared" si="21"/>
        <v>109199.99999999999</v>
      </c>
      <c r="AR15" s="416">
        <f t="shared" si="21"/>
        <v>109999.99999999999</v>
      </c>
      <c r="AS15" s="416">
        <f t="shared" si="21"/>
        <v>110799.99999999999</v>
      </c>
      <c r="AT15" s="416">
        <f t="shared" si="21"/>
        <v>111599.99999999999</v>
      </c>
      <c r="AU15" s="416">
        <f t="shared" si="21"/>
        <v>112399.99999999999</v>
      </c>
      <c r="AV15" s="416">
        <f t="shared" si="21"/>
        <v>113236.99999999999</v>
      </c>
      <c r="AW15" s="416">
        <f t="shared" si="21"/>
        <v>114036.99999999999</v>
      </c>
      <c r="AX15" s="416">
        <f t="shared" si="21"/>
        <v>114836.99999999999</v>
      </c>
      <c r="AY15" s="416">
        <f t="shared" si="21"/>
        <v>115236.99999999999</v>
      </c>
      <c r="AZ15" s="416">
        <f t="shared" si="21"/>
        <v>115636.99999999999</v>
      </c>
      <c r="BA15" s="416">
        <f t="shared" si="21"/>
        <v>116036.99999999999</v>
      </c>
      <c r="BB15" s="416">
        <f t="shared" si="21"/>
        <v>116436.99999999999</v>
      </c>
      <c r="BC15" s="416">
        <f t="shared" si="21"/>
        <v>116836.99999999999</v>
      </c>
      <c r="BD15" s="416">
        <f t="shared" si="21"/>
        <v>117236.99999999999</v>
      </c>
      <c r="BE15" s="416">
        <f t="shared" si="21"/>
        <v>117636.99999999999</v>
      </c>
      <c r="BF15" s="416">
        <f t="shared" si="21"/>
        <v>118036.99999999999</v>
      </c>
      <c r="BG15" s="416">
        <f t="shared" si="21"/>
        <v>118436.99999999999</v>
      </c>
      <c r="BH15" s="416">
        <f t="shared" si="21"/>
        <v>118836.99999999999</v>
      </c>
      <c r="BI15" s="416">
        <f t="shared" si="21"/>
        <v>119236.99999999999</v>
      </c>
      <c r="BJ15" s="416">
        <f t="shared" si="21"/>
        <v>119636.99999999999</v>
      </c>
      <c r="BK15" s="416">
        <f t="shared" si="21"/>
        <v>128824.77499999999</v>
      </c>
      <c r="BL15" s="416">
        <f t="shared" si="21"/>
        <v>129039.77499999999</v>
      </c>
      <c r="BM15" s="416">
        <f t="shared" si="21"/>
        <v>129254.77499999999</v>
      </c>
      <c r="BN15" s="416">
        <f t="shared" si="21"/>
        <v>129469.77499999999</v>
      </c>
      <c r="BO15" s="416">
        <f t="shared" ref="BO15:DF15" si="22">BO11*BO13</f>
        <v>129684.77499999999</v>
      </c>
      <c r="BP15" s="416">
        <f t="shared" si="22"/>
        <v>129899.77499999999</v>
      </c>
      <c r="BQ15" s="416">
        <f t="shared" si="22"/>
        <v>130114.77499999999</v>
      </c>
      <c r="BR15" s="416">
        <f t="shared" si="22"/>
        <v>130329.77499999999</v>
      </c>
      <c r="BS15" s="416">
        <f t="shared" si="22"/>
        <v>130544.77499999999</v>
      </c>
      <c r="BT15" s="416">
        <f t="shared" si="22"/>
        <v>130759.77499999999</v>
      </c>
      <c r="BU15" s="416">
        <f t="shared" si="22"/>
        <v>130974.77499999999</v>
      </c>
      <c r="BV15" s="416">
        <f t="shared" si="22"/>
        <v>131189.77499999999</v>
      </c>
      <c r="BW15" s="416">
        <f t="shared" si="22"/>
        <v>131404.77499999999</v>
      </c>
      <c r="BX15" s="416">
        <f t="shared" si="22"/>
        <v>131619.77499999999</v>
      </c>
      <c r="BY15" s="416">
        <f t="shared" si="22"/>
        <v>131834.77499999999</v>
      </c>
      <c r="BZ15" s="416">
        <f t="shared" si="22"/>
        <v>132049.77499999999</v>
      </c>
      <c r="CA15" s="416">
        <f t="shared" si="22"/>
        <v>132264.77499999999</v>
      </c>
      <c r="CB15" s="416">
        <f t="shared" si="22"/>
        <v>132479.77499999999</v>
      </c>
      <c r="CC15" s="416">
        <f t="shared" si="22"/>
        <v>132694.77499999999</v>
      </c>
      <c r="CD15" s="416">
        <f t="shared" si="22"/>
        <v>132909.77499999999</v>
      </c>
      <c r="CE15" s="416">
        <f t="shared" si="22"/>
        <v>133124.77499999999</v>
      </c>
      <c r="CF15" s="416">
        <f t="shared" si="22"/>
        <v>134890.23749999999</v>
      </c>
      <c r="CG15" s="416">
        <f t="shared" si="22"/>
        <v>135107.73749999999</v>
      </c>
      <c r="CH15" s="416">
        <f t="shared" si="22"/>
        <v>135325.23749999999</v>
      </c>
      <c r="CI15" s="416">
        <f t="shared" si="22"/>
        <v>135542.73749999999</v>
      </c>
      <c r="CJ15" s="416">
        <f t="shared" si="22"/>
        <v>135760.23749999999</v>
      </c>
      <c r="CK15" s="416">
        <f t="shared" si="22"/>
        <v>135977.73749999999</v>
      </c>
      <c r="CL15" s="416">
        <f t="shared" si="22"/>
        <v>136195.23749999999</v>
      </c>
      <c r="CM15" s="416">
        <f t="shared" si="22"/>
        <v>136412.73749999999</v>
      </c>
      <c r="CN15" s="416">
        <f t="shared" si="22"/>
        <v>136630.23749999999</v>
      </c>
      <c r="CO15" s="416">
        <f t="shared" si="22"/>
        <v>136847.73749999999</v>
      </c>
      <c r="CP15" s="416">
        <f t="shared" si="22"/>
        <v>137065.23749999999</v>
      </c>
      <c r="CQ15" s="416">
        <f t="shared" si="22"/>
        <v>137282.73749999999</v>
      </c>
      <c r="CR15" s="416">
        <f t="shared" si="22"/>
        <v>137500.23749999999</v>
      </c>
      <c r="CS15" s="416">
        <f t="shared" si="22"/>
        <v>137717.73749999999</v>
      </c>
      <c r="CT15" s="416">
        <f t="shared" si="22"/>
        <v>137935.23749999999</v>
      </c>
      <c r="CU15" s="416">
        <f t="shared" si="22"/>
        <v>138152.73749999999</v>
      </c>
      <c r="CV15" s="416">
        <f t="shared" si="22"/>
        <v>138370.23749999999</v>
      </c>
      <c r="CW15" s="416">
        <f t="shared" si="22"/>
        <v>138587.73749999999</v>
      </c>
      <c r="CX15" s="416">
        <f t="shared" si="22"/>
        <v>138805.23749999999</v>
      </c>
      <c r="CY15" s="416">
        <f t="shared" si="22"/>
        <v>139022.73749999999</v>
      </c>
      <c r="CZ15" s="416">
        <f t="shared" si="22"/>
        <v>139240.23749999999</v>
      </c>
      <c r="DA15" s="416">
        <f t="shared" si="22"/>
        <v>139457.73749999999</v>
      </c>
      <c r="DB15" s="416">
        <f t="shared" si="22"/>
        <v>139675.23749999999</v>
      </c>
      <c r="DC15" s="416">
        <f t="shared" si="22"/>
        <v>139892.73749999999</v>
      </c>
      <c r="DD15" s="416">
        <f t="shared" si="22"/>
        <v>140110.23749999999</v>
      </c>
      <c r="DE15" s="416">
        <f t="shared" si="22"/>
        <v>140327.73749999999</v>
      </c>
      <c r="DF15" s="416">
        <f t="shared" si="22"/>
        <v>140545.23749999999</v>
      </c>
    </row>
    <row r="16" spans="1:110">
      <c r="A16" s="413" t="s">
        <v>498</v>
      </c>
      <c r="B16" s="410" t="s">
        <v>239</v>
      </c>
      <c r="C16" s="341">
        <v>80</v>
      </c>
      <c r="D16" s="341">
        <v>80</v>
      </c>
      <c r="E16" s="341">
        <v>80</v>
      </c>
      <c r="F16" s="341">
        <v>80</v>
      </c>
      <c r="G16" s="341">
        <v>80</v>
      </c>
      <c r="H16" s="341">
        <v>80</v>
      </c>
      <c r="I16" s="341">
        <v>80</v>
      </c>
      <c r="J16" s="341">
        <v>80</v>
      </c>
      <c r="K16" s="341">
        <v>80</v>
      </c>
      <c r="L16" s="341">
        <v>80</v>
      </c>
      <c r="M16" s="341">
        <v>80</v>
      </c>
      <c r="N16" s="341">
        <v>80</v>
      </c>
      <c r="O16" s="341">
        <v>80</v>
      </c>
      <c r="P16" s="341">
        <v>80</v>
      </c>
      <c r="Q16" s="341">
        <v>80</v>
      </c>
      <c r="R16" s="341">
        <v>80</v>
      </c>
      <c r="S16" s="341">
        <v>80</v>
      </c>
      <c r="T16" s="341">
        <v>80</v>
      </c>
      <c r="U16" s="341">
        <v>80</v>
      </c>
      <c r="V16" s="341">
        <v>80</v>
      </c>
      <c r="W16" s="341">
        <v>80</v>
      </c>
      <c r="X16" s="341">
        <v>80</v>
      </c>
      <c r="Y16" s="341">
        <v>80</v>
      </c>
      <c r="Z16" s="341">
        <v>80</v>
      </c>
      <c r="AA16" s="341">
        <v>80</v>
      </c>
      <c r="AB16" s="341">
        <v>80</v>
      </c>
      <c r="AC16" s="341">
        <v>80</v>
      </c>
      <c r="AD16" s="341">
        <v>80</v>
      </c>
      <c r="AE16" s="341">
        <v>80</v>
      </c>
      <c r="AF16" s="341">
        <v>80</v>
      </c>
      <c r="AG16" s="341">
        <v>80</v>
      </c>
      <c r="AH16" s="341">
        <v>80</v>
      </c>
      <c r="AI16" s="341">
        <v>80</v>
      </c>
      <c r="AJ16" s="341">
        <v>80</v>
      </c>
      <c r="AK16" s="341">
        <v>80</v>
      </c>
      <c r="AL16" s="341">
        <v>80</v>
      </c>
      <c r="AM16" s="341">
        <v>80</v>
      </c>
      <c r="AN16" s="341">
        <v>80</v>
      </c>
      <c r="AO16" s="341">
        <v>80</v>
      </c>
      <c r="AP16" s="341">
        <v>80</v>
      </c>
      <c r="AQ16" s="341">
        <v>80</v>
      </c>
      <c r="AR16" s="341">
        <v>80</v>
      </c>
      <c r="AS16" s="341">
        <v>80</v>
      </c>
      <c r="AT16" s="341">
        <v>80</v>
      </c>
      <c r="AU16" s="341">
        <v>80</v>
      </c>
      <c r="AV16" s="341">
        <v>80</v>
      </c>
      <c r="AW16" s="341">
        <v>80</v>
      </c>
      <c r="AX16" s="341">
        <v>80</v>
      </c>
      <c r="AY16" s="544">
        <v>80</v>
      </c>
      <c r="AZ16" s="341">
        <f>AY16</f>
        <v>80</v>
      </c>
      <c r="BA16" s="341">
        <f t="shared" ref="BA16:BJ16" si="23">AZ16</f>
        <v>80</v>
      </c>
      <c r="BB16" s="341">
        <f t="shared" si="23"/>
        <v>80</v>
      </c>
      <c r="BC16" s="341">
        <f t="shared" si="23"/>
        <v>80</v>
      </c>
      <c r="BD16" s="341">
        <f t="shared" si="23"/>
        <v>80</v>
      </c>
      <c r="BE16" s="341">
        <f t="shared" si="23"/>
        <v>80</v>
      </c>
      <c r="BF16" s="341">
        <f t="shared" si="23"/>
        <v>80</v>
      </c>
      <c r="BG16" s="341">
        <f t="shared" si="23"/>
        <v>80</v>
      </c>
      <c r="BH16" s="341">
        <f t="shared" si="23"/>
        <v>80</v>
      </c>
      <c r="BI16" s="341">
        <f t="shared" si="23"/>
        <v>80</v>
      </c>
      <c r="BJ16" s="341">
        <f t="shared" si="23"/>
        <v>80</v>
      </c>
      <c r="BK16" s="426">
        <v>85</v>
      </c>
      <c r="BL16" s="341">
        <v>85</v>
      </c>
      <c r="BM16" s="341">
        <v>85</v>
      </c>
      <c r="BN16" s="341">
        <v>85</v>
      </c>
      <c r="BO16" s="341">
        <v>85</v>
      </c>
      <c r="BP16" s="341">
        <v>85</v>
      </c>
      <c r="BQ16" s="341">
        <v>85</v>
      </c>
      <c r="BR16" s="341">
        <v>85</v>
      </c>
      <c r="BS16" s="341">
        <v>85</v>
      </c>
      <c r="BT16" s="341">
        <v>85</v>
      </c>
      <c r="BU16" s="341">
        <v>85</v>
      </c>
      <c r="BV16" s="341">
        <v>85</v>
      </c>
      <c r="BW16" s="341">
        <v>90</v>
      </c>
      <c r="BX16" s="341">
        <v>90</v>
      </c>
      <c r="BY16" s="341">
        <v>90</v>
      </c>
      <c r="BZ16" s="341">
        <v>90</v>
      </c>
      <c r="CA16" s="341">
        <v>90</v>
      </c>
      <c r="CB16" s="341">
        <v>90</v>
      </c>
      <c r="CC16" s="341">
        <v>90</v>
      </c>
      <c r="CD16" s="341">
        <v>90</v>
      </c>
      <c r="CE16" s="341">
        <v>90</v>
      </c>
      <c r="CF16" s="341">
        <v>90</v>
      </c>
      <c r="CG16" s="341">
        <v>90</v>
      </c>
      <c r="CH16" s="341">
        <v>90</v>
      </c>
      <c r="CI16" s="341">
        <v>90</v>
      </c>
      <c r="CJ16" s="341">
        <v>90</v>
      </c>
      <c r="CK16" s="341">
        <v>90</v>
      </c>
      <c r="CL16" s="341">
        <v>90</v>
      </c>
      <c r="CM16" s="341">
        <v>90</v>
      </c>
      <c r="CN16" s="341">
        <v>90</v>
      </c>
      <c r="CO16" s="341">
        <v>90</v>
      </c>
      <c r="CP16" s="341">
        <v>90</v>
      </c>
      <c r="CQ16" s="341">
        <v>90</v>
      </c>
      <c r="CR16" s="341">
        <v>90</v>
      </c>
      <c r="CS16" s="341">
        <v>90</v>
      </c>
      <c r="CT16" s="341">
        <v>90</v>
      </c>
      <c r="CU16" s="341">
        <v>90</v>
      </c>
      <c r="CV16" s="341">
        <v>90</v>
      </c>
      <c r="CW16" s="341">
        <v>90</v>
      </c>
      <c r="CX16" s="341">
        <v>90</v>
      </c>
      <c r="CY16" s="341">
        <v>90</v>
      </c>
      <c r="CZ16" s="341">
        <v>90</v>
      </c>
      <c r="DA16" s="341">
        <v>90</v>
      </c>
      <c r="DB16" s="341">
        <v>90</v>
      </c>
      <c r="DC16" s="341">
        <v>90</v>
      </c>
      <c r="DD16" s="341">
        <v>90</v>
      </c>
      <c r="DE16" s="341">
        <v>90</v>
      </c>
      <c r="DF16" s="341">
        <v>90</v>
      </c>
    </row>
    <row r="17" spans="1:110" ht="12" customHeight="1">
      <c r="A17" s="413" t="s">
        <v>499</v>
      </c>
      <c r="B17" s="410" t="s">
        <v>500</v>
      </c>
      <c r="C17" s="341">
        <f t="shared" ref="C17:BN17" si="24">DAY(C1)</f>
        <v>30</v>
      </c>
      <c r="D17" s="341">
        <f t="shared" si="24"/>
        <v>31</v>
      </c>
      <c r="E17" s="341">
        <f t="shared" si="24"/>
        <v>30</v>
      </c>
      <c r="F17" s="341">
        <f t="shared" si="24"/>
        <v>31</v>
      </c>
      <c r="G17" s="341">
        <f t="shared" si="24"/>
        <v>31</v>
      </c>
      <c r="H17" s="341">
        <f t="shared" si="24"/>
        <v>30</v>
      </c>
      <c r="I17" s="341">
        <f t="shared" si="24"/>
        <v>31</v>
      </c>
      <c r="J17" s="341">
        <f t="shared" si="24"/>
        <v>30</v>
      </c>
      <c r="K17" s="341">
        <f t="shared" si="24"/>
        <v>31</v>
      </c>
      <c r="L17" s="341">
        <f t="shared" si="24"/>
        <v>31</v>
      </c>
      <c r="M17" s="341">
        <f t="shared" si="24"/>
        <v>28</v>
      </c>
      <c r="N17" s="341">
        <f t="shared" si="24"/>
        <v>31</v>
      </c>
      <c r="O17" s="341">
        <f t="shared" si="24"/>
        <v>30</v>
      </c>
      <c r="P17" s="341">
        <f t="shared" si="24"/>
        <v>31</v>
      </c>
      <c r="Q17" s="341">
        <f t="shared" si="24"/>
        <v>30</v>
      </c>
      <c r="R17" s="341">
        <f t="shared" si="24"/>
        <v>31</v>
      </c>
      <c r="S17" s="341">
        <f t="shared" si="24"/>
        <v>31</v>
      </c>
      <c r="T17" s="341">
        <f t="shared" si="24"/>
        <v>30</v>
      </c>
      <c r="U17" s="341">
        <f t="shared" si="24"/>
        <v>31</v>
      </c>
      <c r="V17" s="341">
        <f t="shared" si="24"/>
        <v>30</v>
      </c>
      <c r="W17" s="341">
        <f t="shared" si="24"/>
        <v>31</v>
      </c>
      <c r="X17" s="341">
        <f t="shared" si="24"/>
        <v>31</v>
      </c>
      <c r="Y17" s="341">
        <f t="shared" si="24"/>
        <v>28</v>
      </c>
      <c r="Z17" s="341">
        <f t="shared" si="24"/>
        <v>31</v>
      </c>
      <c r="AA17" s="341">
        <f t="shared" si="24"/>
        <v>30</v>
      </c>
      <c r="AB17" s="341">
        <f t="shared" si="24"/>
        <v>31</v>
      </c>
      <c r="AC17" s="341">
        <f t="shared" si="24"/>
        <v>30</v>
      </c>
      <c r="AD17" s="341">
        <f t="shared" si="24"/>
        <v>31</v>
      </c>
      <c r="AE17" s="341">
        <f t="shared" si="24"/>
        <v>31</v>
      </c>
      <c r="AF17" s="341">
        <f t="shared" si="24"/>
        <v>30</v>
      </c>
      <c r="AG17" s="341">
        <f t="shared" si="24"/>
        <v>31</v>
      </c>
      <c r="AH17" s="341">
        <f t="shared" si="24"/>
        <v>30</v>
      </c>
      <c r="AI17" s="341">
        <f t="shared" si="24"/>
        <v>31</v>
      </c>
      <c r="AJ17" s="341">
        <f t="shared" si="24"/>
        <v>31</v>
      </c>
      <c r="AK17" s="341">
        <f t="shared" si="24"/>
        <v>28</v>
      </c>
      <c r="AL17" s="341">
        <f t="shared" si="24"/>
        <v>31</v>
      </c>
      <c r="AM17" s="341">
        <f t="shared" si="24"/>
        <v>30</v>
      </c>
      <c r="AN17" s="341">
        <f t="shared" si="24"/>
        <v>31</v>
      </c>
      <c r="AO17" s="341">
        <f t="shared" si="24"/>
        <v>30</v>
      </c>
      <c r="AP17" s="341">
        <f t="shared" si="24"/>
        <v>31</v>
      </c>
      <c r="AQ17" s="341">
        <f t="shared" si="24"/>
        <v>31</v>
      </c>
      <c r="AR17" s="341">
        <f t="shared" si="24"/>
        <v>30</v>
      </c>
      <c r="AS17" s="341">
        <f t="shared" si="24"/>
        <v>31</v>
      </c>
      <c r="AT17" s="341">
        <f t="shared" si="24"/>
        <v>30</v>
      </c>
      <c r="AU17" s="341">
        <f t="shared" si="24"/>
        <v>31</v>
      </c>
      <c r="AV17" s="341">
        <f t="shared" si="24"/>
        <v>31</v>
      </c>
      <c r="AW17" s="341">
        <f t="shared" si="24"/>
        <v>29</v>
      </c>
      <c r="AX17" s="341">
        <f t="shared" si="24"/>
        <v>31</v>
      </c>
      <c r="AY17" s="341">
        <f t="shared" si="24"/>
        <v>30</v>
      </c>
      <c r="AZ17" s="341">
        <f t="shared" si="24"/>
        <v>31</v>
      </c>
      <c r="BA17" s="341">
        <f t="shared" si="24"/>
        <v>30</v>
      </c>
      <c r="BB17" s="341">
        <f t="shared" si="24"/>
        <v>31</v>
      </c>
      <c r="BC17" s="341">
        <f t="shared" si="24"/>
        <v>31</v>
      </c>
      <c r="BD17" s="341">
        <f t="shared" si="24"/>
        <v>30</v>
      </c>
      <c r="BE17" s="341">
        <f t="shared" si="24"/>
        <v>31</v>
      </c>
      <c r="BF17" s="341">
        <f t="shared" si="24"/>
        <v>30</v>
      </c>
      <c r="BG17" s="341">
        <f t="shared" si="24"/>
        <v>31</v>
      </c>
      <c r="BH17" s="341">
        <f t="shared" si="24"/>
        <v>31</v>
      </c>
      <c r="BI17" s="341">
        <f t="shared" si="24"/>
        <v>28</v>
      </c>
      <c r="BJ17" s="341">
        <f t="shared" si="24"/>
        <v>31</v>
      </c>
      <c r="BK17" s="341">
        <f t="shared" si="24"/>
        <v>30</v>
      </c>
      <c r="BL17" s="341">
        <f t="shared" si="24"/>
        <v>31</v>
      </c>
      <c r="BM17" s="341">
        <f t="shared" si="24"/>
        <v>30</v>
      </c>
      <c r="BN17" s="341">
        <f t="shared" si="24"/>
        <v>31</v>
      </c>
      <c r="BO17" s="341">
        <f t="shared" ref="BO17:DF17" si="25">DAY(BO1)</f>
        <v>31</v>
      </c>
      <c r="BP17" s="341">
        <f t="shared" si="25"/>
        <v>30</v>
      </c>
      <c r="BQ17" s="341">
        <f t="shared" si="25"/>
        <v>31</v>
      </c>
      <c r="BR17" s="341">
        <f t="shared" si="25"/>
        <v>30</v>
      </c>
      <c r="BS17" s="341">
        <f t="shared" si="25"/>
        <v>31</v>
      </c>
      <c r="BT17" s="341">
        <f t="shared" si="25"/>
        <v>31</v>
      </c>
      <c r="BU17" s="341">
        <f t="shared" si="25"/>
        <v>28</v>
      </c>
      <c r="BV17" s="341">
        <f t="shared" si="25"/>
        <v>31</v>
      </c>
      <c r="BW17" s="341">
        <f t="shared" si="25"/>
        <v>30</v>
      </c>
      <c r="BX17" s="341">
        <f t="shared" si="25"/>
        <v>31</v>
      </c>
      <c r="BY17" s="341">
        <f t="shared" si="25"/>
        <v>30</v>
      </c>
      <c r="BZ17" s="341">
        <f t="shared" si="25"/>
        <v>31</v>
      </c>
      <c r="CA17" s="341">
        <f t="shared" si="25"/>
        <v>31</v>
      </c>
      <c r="CB17" s="341">
        <f t="shared" si="25"/>
        <v>30</v>
      </c>
      <c r="CC17" s="341">
        <f t="shared" si="25"/>
        <v>31</v>
      </c>
      <c r="CD17" s="341">
        <f t="shared" si="25"/>
        <v>30</v>
      </c>
      <c r="CE17" s="341">
        <f t="shared" si="25"/>
        <v>31</v>
      </c>
      <c r="CF17" s="341">
        <f t="shared" si="25"/>
        <v>31</v>
      </c>
      <c r="CG17" s="341">
        <f t="shared" si="25"/>
        <v>28</v>
      </c>
      <c r="CH17" s="341">
        <f t="shared" si="25"/>
        <v>31</v>
      </c>
      <c r="CI17" s="341">
        <f t="shared" si="25"/>
        <v>30</v>
      </c>
      <c r="CJ17" s="341">
        <f t="shared" si="25"/>
        <v>31</v>
      </c>
      <c r="CK17" s="341">
        <f t="shared" si="25"/>
        <v>30</v>
      </c>
      <c r="CL17" s="341">
        <f t="shared" si="25"/>
        <v>31</v>
      </c>
      <c r="CM17" s="341">
        <f t="shared" si="25"/>
        <v>31</v>
      </c>
      <c r="CN17" s="341">
        <f t="shared" si="25"/>
        <v>30</v>
      </c>
      <c r="CO17" s="341">
        <f t="shared" si="25"/>
        <v>31</v>
      </c>
      <c r="CP17" s="341">
        <f t="shared" si="25"/>
        <v>30</v>
      </c>
      <c r="CQ17" s="341">
        <f t="shared" si="25"/>
        <v>31</v>
      </c>
      <c r="CR17" s="341">
        <f t="shared" si="25"/>
        <v>31</v>
      </c>
      <c r="CS17" s="341">
        <f t="shared" si="25"/>
        <v>29</v>
      </c>
      <c r="CT17" s="341">
        <f t="shared" si="25"/>
        <v>31</v>
      </c>
      <c r="CU17" s="341">
        <f t="shared" si="25"/>
        <v>30</v>
      </c>
      <c r="CV17" s="341">
        <f t="shared" si="25"/>
        <v>31</v>
      </c>
      <c r="CW17" s="341">
        <f t="shared" si="25"/>
        <v>30</v>
      </c>
      <c r="CX17" s="341">
        <f t="shared" si="25"/>
        <v>31</v>
      </c>
      <c r="CY17" s="341">
        <f t="shared" si="25"/>
        <v>31</v>
      </c>
      <c r="CZ17" s="341">
        <f t="shared" si="25"/>
        <v>30</v>
      </c>
      <c r="DA17" s="341">
        <f t="shared" si="25"/>
        <v>31</v>
      </c>
      <c r="DB17" s="341">
        <f t="shared" si="25"/>
        <v>30</v>
      </c>
      <c r="DC17" s="341">
        <f t="shared" si="25"/>
        <v>31</v>
      </c>
      <c r="DD17" s="341">
        <f t="shared" si="25"/>
        <v>31</v>
      </c>
      <c r="DE17" s="341">
        <f t="shared" si="25"/>
        <v>28</v>
      </c>
      <c r="DF17" s="341">
        <f t="shared" si="25"/>
        <v>31</v>
      </c>
    </row>
    <row r="18" spans="1:110" ht="12" customHeight="1" thickBot="1">
      <c r="A18" s="404" t="s">
        <v>501</v>
      </c>
      <c r="B18" s="410" t="s">
        <v>502</v>
      </c>
      <c r="C18" s="343">
        <f t="shared" ref="C18:BN18" si="26">C15*C16%*C17</f>
        <v>1964160</v>
      </c>
      <c r="D18" s="343">
        <f t="shared" si="26"/>
        <v>2095104</v>
      </c>
      <c r="E18" s="343">
        <f t="shared" si="26"/>
        <v>2090880</v>
      </c>
      <c r="F18" s="343">
        <f t="shared" si="26"/>
        <v>2193312</v>
      </c>
      <c r="G18" s="343">
        <f t="shared" si="26"/>
        <v>2247872</v>
      </c>
      <c r="H18" s="343">
        <f t="shared" si="26"/>
        <v>2228160</v>
      </c>
      <c r="I18" s="343">
        <f t="shared" si="26"/>
        <v>2356992</v>
      </c>
      <c r="J18" s="343">
        <f t="shared" si="26"/>
        <v>2333760</v>
      </c>
      <c r="K18" s="343">
        <f t="shared" si="26"/>
        <v>2466112</v>
      </c>
      <c r="L18" s="343">
        <f t="shared" si="26"/>
        <v>2520672</v>
      </c>
      <c r="M18" s="343">
        <f t="shared" si="26"/>
        <v>2326016</v>
      </c>
      <c r="N18" s="343">
        <f t="shared" si="26"/>
        <v>2629792</v>
      </c>
      <c r="O18" s="343">
        <f t="shared" si="26"/>
        <v>2006400</v>
      </c>
      <c r="P18" s="343">
        <f t="shared" si="26"/>
        <v>2092128</v>
      </c>
      <c r="Q18" s="343">
        <f t="shared" si="26"/>
        <v>2042880</v>
      </c>
      <c r="R18" s="343">
        <f t="shared" si="26"/>
        <v>2354016</v>
      </c>
      <c r="S18" s="343">
        <f t="shared" si="26"/>
        <v>2385264</v>
      </c>
      <c r="T18" s="343">
        <f t="shared" si="26"/>
        <v>2338560</v>
      </c>
      <c r="U18" s="343">
        <f t="shared" si="26"/>
        <v>2447760</v>
      </c>
      <c r="V18" s="343">
        <f t="shared" si="26"/>
        <v>2399040</v>
      </c>
      <c r="W18" s="343">
        <f t="shared" si="26"/>
        <v>2510256</v>
      </c>
      <c r="X18" s="343">
        <f t="shared" si="26"/>
        <v>2541504</v>
      </c>
      <c r="Y18" s="343">
        <f t="shared" si="26"/>
        <v>2342592</v>
      </c>
      <c r="Z18" s="343">
        <f t="shared" si="26"/>
        <v>2645664</v>
      </c>
      <c r="AA18" s="343">
        <f t="shared" si="26"/>
        <v>2371200</v>
      </c>
      <c r="AB18" s="343">
        <f t="shared" si="26"/>
        <v>2470080</v>
      </c>
      <c r="AC18" s="343">
        <f t="shared" si="26"/>
        <v>2419200</v>
      </c>
      <c r="AD18" s="343">
        <f t="shared" si="26"/>
        <v>2519680</v>
      </c>
      <c r="AE18" s="343">
        <f t="shared" si="26"/>
        <v>2539520</v>
      </c>
      <c r="AF18" s="343">
        <f t="shared" si="26"/>
        <v>2467200</v>
      </c>
      <c r="AG18" s="343">
        <f t="shared" si="26"/>
        <v>2559360</v>
      </c>
      <c r="AH18" s="343">
        <f t="shared" si="26"/>
        <v>2486400</v>
      </c>
      <c r="AI18" s="343">
        <f t="shared" si="26"/>
        <v>2579200</v>
      </c>
      <c r="AJ18" s="343">
        <f t="shared" si="26"/>
        <v>2589120</v>
      </c>
      <c r="AK18" s="343">
        <f t="shared" si="26"/>
        <v>2347520</v>
      </c>
      <c r="AL18" s="343">
        <f t="shared" si="26"/>
        <v>2608960</v>
      </c>
      <c r="AM18" s="343">
        <f t="shared" si="26"/>
        <v>2544000</v>
      </c>
      <c r="AN18" s="343">
        <f t="shared" si="26"/>
        <v>2648640</v>
      </c>
      <c r="AO18" s="343">
        <f t="shared" si="26"/>
        <v>2582400</v>
      </c>
      <c r="AP18" s="343">
        <f t="shared" si="26"/>
        <v>2688320</v>
      </c>
      <c r="AQ18" s="343">
        <f t="shared" si="26"/>
        <v>2708160</v>
      </c>
      <c r="AR18" s="343">
        <f t="shared" si="26"/>
        <v>2640000</v>
      </c>
      <c r="AS18" s="343">
        <f t="shared" si="26"/>
        <v>2747840</v>
      </c>
      <c r="AT18" s="343">
        <f t="shared" si="26"/>
        <v>2678400</v>
      </c>
      <c r="AU18" s="343">
        <f t="shared" si="26"/>
        <v>2787520</v>
      </c>
      <c r="AV18" s="343">
        <f t="shared" si="26"/>
        <v>2808277.5999999996</v>
      </c>
      <c r="AW18" s="343">
        <f t="shared" si="26"/>
        <v>2645658.4</v>
      </c>
      <c r="AX18" s="343">
        <f t="shared" si="26"/>
        <v>2847957.5999999996</v>
      </c>
      <c r="AY18" s="343">
        <f t="shared" si="26"/>
        <v>2765687.9999999995</v>
      </c>
      <c r="AZ18" s="343">
        <f t="shared" si="26"/>
        <v>2867797.5999999996</v>
      </c>
      <c r="BA18" s="343">
        <f t="shared" si="26"/>
        <v>2784887.9999999995</v>
      </c>
      <c r="BB18" s="343">
        <f t="shared" si="26"/>
        <v>2887637.5999999996</v>
      </c>
      <c r="BC18" s="343">
        <f t="shared" si="26"/>
        <v>2897557.5999999996</v>
      </c>
      <c r="BD18" s="343">
        <f t="shared" si="26"/>
        <v>2813687.9999999995</v>
      </c>
      <c r="BE18" s="343">
        <f t="shared" si="26"/>
        <v>2917397.5999999996</v>
      </c>
      <c r="BF18" s="343">
        <f t="shared" si="26"/>
        <v>2832887.9999999995</v>
      </c>
      <c r="BG18" s="343">
        <f t="shared" si="26"/>
        <v>2937237.5999999996</v>
      </c>
      <c r="BH18" s="343">
        <f t="shared" si="26"/>
        <v>2947157.5999999996</v>
      </c>
      <c r="BI18" s="343">
        <f t="shared" si="26"/>
        <v>2670908.7999999998</v>
      </c>
      <c r="BJ18" s="343">
        <f t="shared" si="26"/>
        <v>2966997.5999999996</v>
      </c>
      <c r="BK18" s="343">
        <f t="shared" si="26"/>
        <v>3285031.7624999997</v>
      </c>
      <c r="BL18" s="343">
        <f t="shared" si="26"/>
        <v>3400198.07125</v>
      </c>
      <c r="BM18" s="343">
        <f t="shared" si="26"/>
        <v>3295996.7624999997</v>
      </c>
      <c r="BN18" s="343">
        <f t="shared" si="26"/>
        <v>3411528.57125</v>
      </c>
      <c r="BO18" s="343">
        <f t="shared" ref="BO18:DF18" si="27">BO15*BO16%*BO17</f>
        <v>3417193.82125</v>
      </c>
      <c r="BP18" s="343">
        <f t="shared" si="27"/>
        <v>3312444.2624999997</v>
      </c>
      <c r="BQ18" s="343">
        <f t="shared" si="27"/>
        <v>3428524.32125</v>
      </c>
      <c r="BR18" s="343">
        <f t="shared" si="27"/>
        <v>3323409.2624999997</v>
      </c>
      <c r="BS18" s="343">
        <f t="shared" si="27"/>
        <v>3439854.82125</v>
      </c>
      <c r="BT18" s="343">
        <f t="shared" si="27"/>
        <v>3445520.07125</v>
      </c>
      <c r="BU18" s="343">
        <f t="shared" si="27"/>
        <v>3117199.645</v>
      </c>
      <c r="BV18" s="343">
        <f t="shared" si="27"/>
        <v>3456850.57125</v>
      </c>
      <c r="BW18" s="343">
        <f t="shared" si="27"/>
        <v>3547928.9249999998</v>
      </c>
      <c r="BX18" s="343">
        <f t="shared" si="27"/>
        <v>3672191.7225000001</v>
      </c>
      <c r="BY18" s="343">
        <f t="shared" si="27"/>
        <v>3559538.9249999998</v>
      </c>
      <c r="BZ18" s="343">
        <f t="shared" si="27"/>
        <v>3684188.7225000001</v>
      </c>
      <c r="CA18" s="343">
        <f t="shared" si="27"/>
        <v>3690187.2225000001</v>
      </c>
      <c r="CB18" s="343">
        <f t="shared" si="27"/>
        <v>3576953.9249999998</v>
      </c>
      <c r="CC18" s="343">
        <f t="shared" si="27"/>
        <v>3702184.2225000001</v>
      </c>
      <c r="CD18" s="343">
        <f t="shared" si="27"/>
        <v>3588563.9249999998</v>
      </c>
      <c r="CE18" s="343">
        <f t="shared" si="27"/>
        <v>3714181.2225000001</v>
      </c>
      <c r="CF18" s="343">
        <f t="shared" si="27"/>
        <v>3763437.6262499997</v>
      </c>
      <c r="CG18" s="343">
        <f t="shared" si="27"/>
        <v>3404714.9849999999</v>
      </c>
      <c r="CH18" s="343">
        <f t="shared" si="27"/>
        <v>3775574.1262499997</v>
      </c>
      <c r="CI18" s="343">
        <f t="shared" si="27"/>
        <v>3659653.9124999996</v>
      </c>
      <c r="CJ18" s="343">
        <f t="shared" si="27"/>
        <v>3787710.6262499997</v>
      </c>
      <c r="CK18" s="343">
        <f t="shared" si="27"/>
        <v>3671398.9124999996</v>
      </c>
      <c r="CL18" s="343">
        <f t="shared" si="27"/>
        <v>3799847.1262499997</v>
      </c>
      <c r="CM18" s="343">
        <f t="shared" si="27"/>
        <v>3805915.3762499997</v>
      </c>
      <c r="CN18" s="343">
        <f t="shared" si="27"/>
        <v>3689016.4124999996</v>
      </c>
      <c r="CO18" s="343">
        <f t="shared" si="27"/>
        <v>3818051.8762499997</v>
      </c>
      <c r="CP18" s="343">
        <f t="shared" si="27"/>
        <v>3700761.4124999996</v>
      </c>
      <c r="CQ18" s="343">
        <f t="shared" si="27"/>
        <v>3830188.3762499997</v>
      </c>
      <c r="CR18" s="343">
        <f t="shared" si="27"/>
        <v>3836256.6262499997</v>
      </c>
      <c r="CS18" s="343">
        <f t="shared" si="27"/>
        <v>3594432.94875</v>
      </c>
      <c r="CT18" s="343">
        <f t="shared" si="27"/>
        <v>3848393.1262499997</v>
      </c>
      <c r="CU18" s="343">
        <f t="shared" si="27"/>
        <v>3730123.9124999996</v>
      </c>
      <c r="CV18" s="343">
        <f t="shared" si="27"/>
        <v>3860529.6262499997</v>
      </c>
      <c r="CW18" s="343">
        <f t="shared" si="27"/>
        <v>3741868.9124999996</v>
      </c>
      <c r="CX18" s="343">
        <f t="shared" si="27"/>
        <v>3872666.1262499997</v>
      </c>
      <c r="CY18" s="343">
        <f t="shared" si="27"/>
        <v>3878734.3762499997</v>
      </c>
      <c r="CZ18" s="343">
        <f t="shared" si="27"/>
        <v>3759486.4124999996</v>
      </c>
      <c r="DA18" s="343">
        <f t="shared" si="27"/>
        <v>3890870.8762499997</v>
      </c>
      <c r="DB18" s="343">
        <f t="shared" si="27"/>
        <v>3771231.4124999996</v>
      </c>
      <c r="DC18" s="343">
        <f t="shared" si="27"/>
        <v>3903007.3762499997</v>
      </c>
      <c r="DD18" s="343">
        <f t="shared" si="27"/>
        <v>3909075.6262499997</v>
      </c>
      <c r="DE18" s="343">
        <f t="shared" si="27"/>
        <v>3536258.9849999999</v>
      </c>
      <c r="DF18" s="343">
        <f t="shared" si="27"/>
        <v>3921212.1262499997</v>
      </c>
    </row>
    <row r="19" spans="1:110" ht="12" customHeight="1" thickTop="1">
      <c r="A19" s="404"/>
      <c r="B19" s="41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</row>
    <row r="20" spans="1:110" ht="12" customHeight="1">
      <c r="A20" s="413" t="s">
        <v>503</v>
      </c>
      <c r="B20" s="417" t="s">
        <v>504</v>
      </c>
      <c r="C20" s="341">
        <v>0</v>
      </c>
      <c r="D20" s="341">
        <v>0</v>
      </c>
      <c r="E20" s="341">
        <v>0</v>
      </c>
      <c r="F20" s="341">
        <v>0</v>
      </c>
      <c r="G20" s="341">
        <v>0</v>
      </c>
      <c r="H20" s="341">
        <v>0</v>
      </c>
      <c r="I20" s="341">
        <v>0</v>
      </c>
      <c r="J20" s="341">
        <v>0</v>
      </c>
      <c r="K20" s="341">
        <v>0</v>
      </c>
      <c r="L20" s="341">
        <v>0</v>
      </c>
      <c r="M20" s="341">
        <v>0</v>
      </c>
      <c r="N20" s="341">
        <v>0</v>
      </c>
      <c r="O20" s="341">
        <v>0</v>
      </c>
      <c r="P20" s="341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41">
        <v>0</v>
      </c>
      <c r="W20" s="341">
        <v>0</v>
      </c>
      <c r="X20" s="341">
        <v>0</v>
      </c>
      <c r="Y20" s="341">
        <v>0</v>
      </c>
      <c r="Z20" s="341">
        <v>0</v>
      </c>
      <c r="AA20" s="341">
        <v>0</v>
      </c>
      <c r="AB20" s="341">
        <v>0</v>
      </c>
      <c r="AC20" s="341">
        <v>0</v>
      </c>
      <c r="AD20" s="341">
        <v>0</v>
      </c>
      <c r="AE20" s="341">
        <v>0</v>
      </c>
      <c r="AF20" s="341">
        <v>0</v>
      </c>
      <c r="AG20" s="341">
        <v>0</v>
      </c>
      <c r="AH20" s="341">
        <v>0</v>
      </c>
      <c r="AI20" s="341">
        <v>0</v>
      </c>
      <c r="AJ20" s="341">
        <v>0</v>
      </c>
      <c r="AK20" s="341">
        <v>0</v>
      </c>
      <c r="AL20" s="341">
        <v>0</v>
      </c>
      <c r="AM20" s="341">
        <v>0</v>
      </c>
      <c r="AN20" s="341">
        <v>0</v>
      </c>
      <c r="AO20" s="341">
        <v>0</v>
      </c>
      <c r="AP20" s="341">
        <v>0</v>
      </c>
      <c r="AQ20" s="341">
        <v>0</v>
      </c>
      <c r="AR20" s="341">
        <v>0</v>
      </c>
      <c r="AS20" s="341">
        <v>0</v>
      </c>
      <c r="AT20" s="341">
        <v>0</v>
      </c>
      <c r="AU20" s="341">
        <v>0</v>
      </c>
      <c r="AV20" s="341">
        <v>0</v>
      </c>
      <c r="AW20" s="341">
        <v>0</v>
      </c>
      <c r="AX20" s="341">
        <v>0</v>
      </c>
      <c r="AY20" s="341">
        <v>0</v>
      </c>
      <c r="AZ20" s="341">
        <v>0</v>
      </c>
      <c r="BA20" s="341">
        <v>0</v>
      </c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>
        <v>0</v>
      </c>
      <c r="BM20" s="341">
        <v>0</v>
      </c>
      <c r="BN20" s="341">
        <v>0</v>
      </c>
      <c r="BO20" s="341">
        <v>0</v>
      </c>
      <c r="BP20" s="341">
        <v>0</v>
      </c>
      <c r="BQ20" s="341">
        <v>0</v>
      </c>
      <c r="BR20" s="341">
        <v>0</v>
      </c>
      <c r="BS20" s="341">
        <v>0</v>
      </c>
      <c r="BT20" s="341">
        <v>0</v>
      </c>
      <c r="BU20" s="341">
        <v>0</v>
      </c>
      <c r="BV20" s="341">
        <v>0</v>
      </c>
      <c r="BW20" s="341">
        <v>0</v>
      </c>
      <c r="BX20" s="341">
        <v>0</v>
      </c>
      <c r="BY20" s="341">
        <v>0</v>
      </c>
      <c r="BZ20" s="341">
        <v>0</v>
      </c>
      <c r="CA20" s="341">
        <v>0</v>
      </c>
      <c r="CB20" s="341">
        <v>0</v>
      </c>
      <c r="CC20" s="341">
        <v>0</v>
      </c>
      <c r="CD20" s="341">
        <v>0</v>
      </c>
      <c r="CE20" s="341">
        <v>0</v>
      </c>
      <c r="CF20" s="341">
        <v>0</v>
      </c>
      <c r="CG20" s="341">
        <v>0</v>
      </c>
      <c r="CH20" s="341">
        <v>0</v>
      </c>
      <c r="CI20" s="341">
        <v>0</v>
      </c>
      <c r="CJ20" s="341">
        <v>0</v>
      </c>
      <c r="CK20" s="341">
        <v>0</v>
      </c>
      <c r="CL20" s="341">
        <v>0</v>
      </c>
      <c r="CM20" s="341">
        <v>0</v>
      </c>
      <c r="CN20" s="341">
        <v>0</v>
      </c>
      <c r="CO20" s="341">
        <v>0</v>
      </c>
      <c r="CP20" s="341">
        <v>0</v>
      </c>
      <c r="CQ20" s="341">
        <v>0</v>
      </c>
      <c r="CR20" s="341">
        <v>0</v>
      </c>
      <c r="CS20" s="341">
        <v>0</v>
      </c>
      <c r="CT20" s="341">
        <v>0</v>
      </c>
      <c r="CU20" s="341">
        <v>0</v>
      </c>
      <c r="CV20" s="341">
        <v>0</v>
      </c>
      <c r="CW20" s="341">
        <v>0</v>
      </c>
      <c r="CX20" s="341">
        <v>0</v>
      </c>
      <c r="CY20" s="341">
        <v>0</v>
      </c>
      <c r="CZ20" s="341">
        <v>0</v>
      </c>
      <c r="DA20" s="341">
        <v>0</v>
      </c>
      <c r="DB20" s="341">
        <v>0</v>
      </c>
      <c r="DC20" s="341">
        <v>0</v>
      </c>
      <c r="DD20" s="341">
        <v>0</v>
      </c>
      <c r="DE20" s="341">
        <v>0</v>
      </c>
      <c r="DF20" s="341">
        <v>0</v>
      </c>
    </row>
    <row r="21" spans="1:110" ht="12" customHeight="1">
      <c r="A21" s="413" t="s">
        <v>505</v>
      </c>
      <c r="B21" s="417" t="s">
        <v>504</v>
      </c>
      <c r="C21" s="341">
        <v>0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358753.41253815009</v>
      </c>
      <c r="J21" s="341">
        <f t="shared" ref="J21:T21" si="28">I21</f>
        <v>358753.41253815009</v>
      </c>
      <c r="K21" s="341">
        <f t="shared" si="28"/>
        <v>358753.41253815009</v>
      </c>
      <c r="L21" s="341">
        <f t="shared" si="28"/>
        <v>358753.41253815009</v>
      </c>
      <c r="M21" s="341">
        <f t="shared" si="28"/>
        <v>358753.41253815009</v>
      </c>
      <c r="N21" s="341">
        <f t="shared" si="28"/>
        <v>358753.41253815009</v>
      </c>
      <c r="O21" s="341">
        <f t="shared" si="28"/>
        <v>358753.41253815009</v>
      </c>
      <c r="P21" s="341">
        <f t="shared" si="28"/>
        <v>358753.41253815009</v>
      </c>
      <c r="Q21" s="341">
        <f t="shared" si="28"/>
        <v>358753.41253815009</v>
      </c>
      <c r="R21" s="341">
        <f t="shared" si="28"/>
        <v>358753.41253815009</v>
      </c>
      <c r="S21" s="341">
        <f t="shared" si="28"/>
        <v>358753.41253815009</v>
      </c>
      <c r="T21" s="341">
        <f t="shared" si="28"/>
        <v>358753.41253815009</v>
      </c>
      <c r="U21" s="341">
        <v>373743.76179660228</v>
      </c>
      <c r="V21" s="341">
        <f t="shared" ref="V21:AF21" si="29">U21</f>
        <v>373743.76179660228</v>
      </c>
      <c r="W21" s="341">
        <f t="shared" si="29"/>
        <v>373743.76179660228</v>
      </c>
      <c r="X21" s="341">
        <f t="shared" si="29"/>
        <v>373743.76179660228</v>
      </c>
      <c r="Y21" s="341">
        <f t="shared" si="29"/>
        <v>373743.76179660228</v>
      </c>
      <c r="Z21" s="341">
        <f t="shared" si="29"/>
        <v>373743.76179660228</v>
      </c>
      <c r="AA21" s="341">
        <f t="shared" si="29"/>
        <v>373743.76179660228</v>
      </c>
      <c r="AB21" s="341">
        <f t="shared" si="29"/>
        <v>373743.76179660228</v>
      </c>
      <c r="AC21" s="341">
        <f t="shared" si="29"/>
        <v>373743.76179660228</v>
      </c>
      <c r="AD21" s="341">
        <f t="shared" si="29"/>
        <v>373743.76179660228</v>
      </c>
      <c r="AE21" s="341">
        <f t="shared" si="29"/>
        <v>373743.76179660228</v>
      </c>
      <c r="AF21" s="341">
        <f t="shared" si="29"/>
        <v>373743.76179660228</v>
      </c>
      <c r="AG21" s="341">
        <v>394201.23373080947</v>
      </c>
      <c r="AH21" s="341">
        <f t="shared" ref="AH21:AR21" si="30">AG21</f>
        <v>394201.23373080947</v>
      </c>
      <c r="AI21" s="341">
        <f t="shared" si="30"/>
        <v>394201.23373080947</v>
      </c>
      <c r="AJ21" s="341">
        <f t="shared" si="30"/>
        <v>394201.23373080947</v>
      </c>
      <c r="AK21" s="341">
        <f t="shared" si="30"/>
        <v>394201.23373080947</v>
      </c>
      <c r="AL21" s="341">
        <f t="shared" si="30"/>
        <v>394201.23373080947</v>
      </c>
      <c r="AM21" s="341">
        <f t="shared" si="30"/>
        <v>394201.23373080947</v>
      </c>
      <c r="AN21" s="341">
        <f t="shared" si="30"/>
        <v>394201.23373080947</v>
      </c>
      <c r="AO21" s="341">
        <f t="shared" si="30"/>
        <v>394201.23373080947</v>
      </c>
      <c r="AP21" s="341">
        <f t="shared" si="30"/>
        <v>394201.23373080947</v>
      </c>
      <c r="AQ21" s="341">
        <f t="shared" si="30"/>
        <v>394201.23373080947</v>
      </c>
      <c r="AR21" s="341">
        <f t="shared" si="30"/>
        <v>394201.23373080947</v>
      </c>
      <c r="AS21" s="341">
        <v>416699.19580723433</v>
      </c>
      <c r="AT21" s="341">
        <f t="shared" ref="AT21:BD21" si="31">AS21</f>
        <v>416699.19580723433</v>
      </c>
      <c r="AU21" s="341">
        <f t="shared" si="31"/>
        <v>416699.19580723433</v>
      </c>
      <c r="AV21" s="341">
        <f t="shared" si="31"/>
        <v>416699.19580723433</v>
      </c>
      <c r="AW21" s="341">
        <f t="shared" si="31"/>
        <v>416699.19580723433</v>
      </c>
      <c r="AX21" s="341">
        <f t="shared" si="31"/>
        <v>416699.19580723433</v>
      </c>
      <c r="AY21" s="341">
        <f t="shared" si="31"/>
        <v>416699.19580723433</v>
      </c>
      <c r="AZ21" s="341">
        <f t="shared" si="31"/>
        <v>416699.19580723433</v>
      </c>
      <c r="BA21" s="341">
        <f t="shared" si="31"/>
        <v>416699.19580723433</v>
      </c>
      <c r="BB21" s="341">
        <f t="shared" si="31"/>
        <v>416699.19580723433</v>
      </c>
      <c r="BC21" s="341">
        <f t="shared" si="31"/>
        <v>416699.19580723433</v>
      </c>
      <c r="BD21" s="341">
        <f t="shared" si="31"/>
        <v>416699.19580723433</v>
      </c>
      <c r="BE21" s="341">
        <v>440304.44265471783</v>
      </c>
      <c r="BF21" s="341">
        <f t="shared" ref="BF21:BP21" si="32">BE21</f>
        <v>440304.44265471783</v>
      </c>
      <c r="BG21" s="341">
        <f t="shared" si="32"/>
        <v>440304.44265471783</v>
      </c>
      <c r="BH21" s="341">
        <f t="shared" si="32"/>
        <v>440304.44265471783</v>
      </c>
      <c r="BI21" s="341">
        <f t="shared" si="32"/>
        <v>440304.44265471783</v>
      </c>
      <c r="BJ21" s="341">
        <f t="shared" si="32"/>
        <v>440304.44265471783</v>
      </c>
      <c r="BK21" s="341">
        <f t="shared" si="32"/>
        <v>440304.44265471783</v>
      </c>
      <c r="BL21" s="341">
        <f t="shared" si="32"/>
        <v>440304.44265471783</v>
      </c>
      <c r="BM21" s="341">
        <f t="shared" si="32"/>
        <v>440304.44265471783</v>
      </c>
      <c r="BN21" s="341">
        <f t="shared" si="32"/>
        <v>440304.44265471783</v>
      </c>
      <c r="BO21" s="341">
        <f t="shared" si="32"/>
        <v>440304.44265471783</v>
      </c>
      <c r="BP21" s="341">
        <f t="shared" si="32"/>
        <v>440304.44265471783</v>
      </c>
      <c r="BQ21" s="341">
        <v>465666.00018637266</v>
      </c>
      <c r="BR21" s="341">
        <f t="shared" ref="BR21:CB21" si="33">BQ21</f>
        <v>465666.00018637266</v>
      </c>
      <c r="BS21" s="341">
        <f t="shared" si="33"/>
        <v>465666.00018637266</v>
      </c>
      <c r="BT21" s="341">
        <f t="shared" si="33"/>
        <v>465666.00018637266</v>
      </c>
      <c r="BU21" s="341">
        <f t="shared" si="33"/>
        <v>465666.00018637266</v>
      </c>
      <c r="BV21" s="341">
        <f t="shared" si="33"/>
        <v>465666.00018637266</v>
      </c>
      <c r="BW21" s="341">
        <f t="shared" si="33"/>
        <v>465666.00018637266</v>
      </c>
      <c r="BX21" s="341">
        <f t="shared" si="33"/>
        <v>465666.00018637266</v>
      </c>
      <c r="BY21" s="341">
        <f t="shared" si="33"/>
        <v>465666.00018637266</v>
      </c>
      <c r="BZ21" s="341">
        <f t="shared" si="33"/>
        <v>465666.00018637266</v>
      </c>
      <c r="CA21" s="341">
        <f t="shared" si="33"/>
        <v>465666.00018637266</v>
      </c>
      <c r="CB21" s="341">
        <f t="shared" si="33"/>
        <v>465666.00018637266</v>
      </c>
      <c r="CC21" s="341">
        <v>493678.34702365217</v>
      </c>
      <c r="CD21" s="341">
        <f t="shared" ref="CD21:CN21" si="34">CC21</f>
        <v>493678.34702365217</v>
      </c>
      <c r="CE21" s="341">
        <f t="shared" si="34"/>
        <v>493678.34702365217</v>
      </c>
      <c r="CF21" s="341">
        <f t="shared" si="34"/>
        <v>493678.34702365217</v>
      </c>
      <c r="CG21" s="341">
        <f t="shared" si="34"/>
        <v>493678.34702365217</v>
      </c>
      <c r="CH21" s="341">
        <f t="shared" si="34"/>
        <v>493678.34702365217</v>
      </c>
      <c r="CI21" s="341">
        <f t="shared" si="34"/>
        <v>493678.34702365217</v>
      </c>
      <c r="CJ21" s="341">
        <f t="shared" si="34"/>
        <v>493678.34702365217</v>
      </c>
      <c r="CK21" s="341">
        <f t="shared" si="34"/>
        <v>493678.34702365217</v>
      </c>
      <c r="CL21" s="341">
        <f t="shared" si="34"/>
        <v>493678.34702365217</v>
      </c>
      <c r="CM21" s="341">
        <f t="shared" si="34"/>
        <v>493678.34702365217</v>
      </c>
      <c r="CN21" s="341">
        <f t="shared" si="34"/>
        <v>493678.34702365217</v>
      </c>
      <c r="CO21" s="341">
        <v>520411.92841687193</v>
      </c>
      <c r="CP21" s="341">
        <f t="shared" ref="CP21:DF21" si="35">CO21</f>
        <v>520411.92841687193</v>
      </c>
      <c r="CQ21" s="341">
        <f t="shared" si="35"/>
        <v>520411.92841687193</v>
      </c>
      <c r="CR21" s="341">
        <f t="shared" si="35"/>
        <v>520411.92841687193</v>
      </c>
      <c r="CS21" s="341">
        <f t="shared" si="35"/>
        <v>520411.92841687193</v>
      </c>
      <c r="CT21" s="341">
        <f t="shared" si="35"/>
        <v>520411.92841687193</v>
      </c>
      <c r="CU21" s="341">
        <f t="shared" si="35"/>
        <v>520411.92841687193</v>
      </c>
      <c r="CV21" s="341">
        <f t="shared" si="35"/>
        <v>520411.92841687193</v>
      </c>
      <c r="CW21" s="341">
        <f t="shared" si="35"/>
        <v>520411.92841687193</v>
      </c>
      <c r="CX21" s="341">
        <f t="shared" si="35"/>
        <v>520411.92841687193</v>
      </c>
      <c r="CY21" s="341">
        <f t="shared" si="35"/>
        <v>520411.92841687193</v>
      </c>
      <c r="CZ21" s="341">
        <f t="shared" si="35"/>
        <v>520411.92841687193</v>
      </c>
      <c r="DA21" s="341">
        <f t="shared" si="35"/>
        <v>520411.92841687193</v>
      </c>
      <c r="DB21" s="341">
        <f t="shared" si="35"/>
        <v>520411.92841687193</v>
      </c>
      <c r="DC21" s="341">
        <f t="shared" si="35"/>
        <v>520411.92841687193</v>
      </c>
      <c r="DD21" s="341">
        <f t="shared" si="35"/>
        <v>520411.92841687193</v>
      </c>
      <c r="DE21" s="341">
        <f t="shared" si="35"/>
        <v>520411.92841687193</v>
      </c>
      <c r="DF21" s="341">
        <f t="shared" si="35"/>
        <v>520411.92841687193</v>
      </c>
    </row>
    <row r="22" spans="1:110" ht="12" customHeight="1">
      <c r="A22" s="413" t="s">
        <v>506</v>
      </c>
      <c r="B22" s="417">
        <v>4.5</v>
      </c>
    </row>
    <row r="23" spans="1:110" ht="12" customHeight="1">
      <c r="Z23" s="418"/>
    </row>
    <row r="24" spans="1:110" s="422" customFormat="1" ht="12" customHeight="1">
      <c r="A24" s="419" t="s">
        <v>507</v>
      </c>
      <c r="B24" s="420" t="s">
        <v>502</v>
      </c>
      <c r="C24" s="421">
        <f t="shared" ref="C24:BN24" si="36">C18*100/C16</f>
        <v>2455200</v>
      </c>
      <c r="D24" s="421">
        <f t="shared" si="36"/>
        <v>2618880</v>
      </c>
      <c r="E24" s="421">
        <f t="shared" si="36"/>
        <v>2613600</v>
      </c>
      <c r="F24" s="421">
        <f t="shared" si="36"/>
        <v>2741640</v>
      </c>
      <c r="G24" s="421">
        <f t="shared" si="36"/>
        <v>2809840</v>
      </c>
      <c r="H24" s="421">
        <f t="shared" si="36"/>
        <v>2785200</v>
      </c>
      <c r="I24" s="421">
        <f t="shared" si="36"/>
        <v>2946240</v>
      </c>
      <c r="J24" s="421">
        <f t="shared" si="36"/>
        <v>2917200</v>
      </c>
      <c r="K24" s="421">
        <f t="shared" si="36"/>
        <v>3082640</v>
      </c>
      <c r="L24" s="421">
        <f t="shared" si="36"/>
        <v>3150840</v>
      </c>
      <c r="M24" s="421">
        <f t="shared" si="36"/>
        <v>2907520</v>
      </c>
      <c r="N24" s="421">
        <f t="shared" si="36"/>
        <v>3287240</v>
      </c>
      <c r="O24" s="421">
        <f t="shared" si="36"/>
        <v>2508000</v>
      </c>
      <c r="P24" s="421">
        <f t="shared" si="36"/>
        <v>2615160</v>
      </c>
      <c r="Q24" s="421">
        <f t="shared" si="36"/>
        <v>2553600</v>
      </c>
      <c r="R24" s="421">
        <f t="shared" si="36"/>
        <v>2942520</v>
      </c>
      <c r="S24" s="421">
        <f t="shared" si="36"/>
        <v>2981580</v>
      </c>
      <c r="T24" s="421">
        <f t="shared" si="36"/>
        <v>2923200</v>
      </c>
      <c r="U24" s="421">
        <f t="shared" si="36"/>
        <v>3059700</v>
      </c>
      <c r="V24" s="421">
        <f t="shared" si="36"/>
        <v>2998800</v>
      </c>
      <c r="W24" s="421">
        <f t="shared" si="36"/>
        <v>3137820</v>
      </c>
      <c r="X24" s="421">
        <f t="shared" si="36"/>
        <v>3176880</v>
      </c>
      <c r="Y24" s="421">
        <f t="shared" si="36"/>
        <v>2928240</v>
      </c>
      <c r="Z24" s="421">
        <f t="shared" si="36"/>
        <v>3307080</v>
      </c>
      <c r="AA24" s="421">
        <f t="shared" si="36"/>
        <v>2964000</v>
      </c>
      <c r="AB24" s="421">
        <f t="shared" si="36"/>
        <v>3087600</v>
      </c>
      <c r="AC24" s="421">
        <f t="shared" si="36"/>
        <v>3024000</v>
      </c>
      <c r="AD24" s="421">
        <f t="shared" si="36"/>
        <v>3149600</v>
      </c>
      <c r="AE24" s="421">
        <f t="shared" si="36"/>
        <v>3174400</v>
      </c>
      <c r="AF24" s="421">
        <f t="shared" si="36"/>
        <v>3084000</v>
      </c>
      <c r="AG24" s="421">
        <f t="shared" si="36"/>
        <v>3199200</v>
      </c>
      <c r="AH24" s="421">
        <f t="shared" si="36"/>
        <v>3108000</v>
      </c>
      <c r="AI24" s="421">
        <f t="shared" si="36"/>
        <v>3224000</v>
      </c>
      <c r="AJ24" s="421">
        <f t="shared" si="36"/>
        <v>3236400</v>
      </c>
      <c r="AK24" s="421">
        <f t="shared" si="36"/>
        <v>2934400</v>
      </c>
      <c r="AL24" s="421">
        <f t="shared" si="36"/>
        <v>3261200</v>
      </c>
      <c r="AM24" s="421">
        <f t="shared" si="36"/>
        <v>3180000</v>
      </c>
      <c r="AN24" s="421">
        <f t="shared" si="36"/>
        <v>3310800</v>
      </c>
      <c r="AO24" s="421">
        <f t="shared" si="36"/>
        <v>3228000</v>
      </c>
      <c r="AP24" s="421">
        <f t="shared" si="36"/>
        <v>3360400</v>
      </c>
      <c r="AQ24" s="421">
        <f t="shared" si="36"/>
        <v>3385200</v>
      </c>
      <c r="AR24" s="421">
        <f t="shared" si="36"/>
        <v>3300000</v>
      </c>
      <c r="AS24" s="421">
        <f t="shared" si="36"/>
        <v>3434800</v>
      </c>
      <c r="AT24" s="421">
        <f t="shared" si="36"/>
        <v>3348000</v>
      </c>
      <c r="AU24" s="421">
        <f t="shared" si="36"/>
        <v>3484400</v>
      </c>
      <c r="AV24" s="421">
        <f t="shared" si="36"/>
        <v>3510346.9999999991</v>
      </c>
      <c r="AW24" s="421">
        <f t="shared" si="36"/>
        <v>3307073</v>
      </c>
      <c r="AX24" s="421">
        <f t="shared" si="36"/>
        <v>3559946.9999999991</v>
      </c>
      <c r="AY24" s="421">
        <f t="shared" si="36"/>
        <v>3457109.9999999991</v>
      </c>
      <c r="AZ24" s="421">
        <f t="shared" si="36"/>
        <v>3584746.9999999991</v>
      </c>
      <c r="BA24" s="421">
        <f t="shared" si="36"/>
        <v>3481109.9999999991</v>
      </c>
      <c r="BB24" s="421">
        <f t="shared" si="36"/>
        <v>3609546.9999999991</v>
      </c>
      <c r="BC24" s="421">
        <f t="shared" si="36"/>
        <v>3621946.9999999991</v>
      </c>
      <c r="BD24" s="421">
        <f t="shared" si="36"/>
        <v>3517109.9999999991</v>
      </c>
      <c r="BE24" s="421">
        <f t="shared" si="36"/>
        <v>3646746.9999999991</v>
      </c>
      <c r="BF24" s="421">
        <f t="shared" si="36"/>
        <v>3541109.9999999991</v>
      </c>
      <c r="BG24" s="421">
        <f t="shared" si="36"/>
        <v>3671546.9999999991</v>
      </c>
      <c r="BH24" s="421">
        <f t="shared" si="36"/>
        <v>3683946.9999999991</v>
      </c>
      <c r="BI24" s="421">
        <f t="shared" si="36"/>
        <v>3338635.9999999995</v>
      </c>
      <c r="BJ24" s="421">
        <f t="shared" si="36"/>
        <v>3708746.9999999991</v>
      </c>
      <c r="BK24" s="421">
        <f t="shared" si="36"/>
        <v>3864743.25</v>
      </c>
      <c r="BL24" s="421">
        <f t="shared" si="36"/>
        <v>4000233.0249999999</v>
      </c>
      <c r="BM24" s="421">
        <f t="shared" si="36"/>
        <v>3877643.25</v>
      </c>
      <c r="BN24" s="421">
        <f t="shared" si="36"/>
        <v>4013563.0249999999</v>
      </c>
      <c r="BO24" s="421">
        <f t="shared" ref="BO24:DF24" si="37">BO18*100/BO16</f>
        <v>4020228.0249999999</v>
      </c>
      <c r="BP24" s="421">
        <f t="shared" si="37"/>
        <v>3896993.25</v>
      </c>
      <c r="BQ24" s="421">
        <f t="shared" si="37"/>
        <v>4033558.0249999999</v>
      </c>
      <c r="BR24" s="421">
        <f t="shared" si="37"/>
        <v>3909893.25</v>
      </c>
      <c r="BS24" s="421">
        <f t="shared" si="37"/>
        <v>4046888.0249999999</v>
      </c>
      <c r="BT24" s="421">
        <f t="shared" si="37"/>
        <v>4053553.0249999999</v>
      </c>
      <c r="BU24" s="421">
        <f t="shared" si="37"/>
        <v>3667293.7</v>
      </c>
      <c r="BV24" s="421">
        <f t="shared" si="37"/>
        <v>4066883.0249999999</v>
      </c>
      <c r="BW24" s="421">
        <f t="shared" si="37"/>
        <v>3942143.25</v>
      </c>
      <c r="BX24" s="421">
        <f t="shared" si="37"/>
        <v>4080213.0249999999</v>
      </c>
      <c r="BY24" s="421">
        <f t="shared" si="37"/>
        <v>3955043.25</v>
      </c>
      <c r="BZ24" s="421">
        <f t="shared" si="37"/>
        <v>4093543.0249999999</v>
      </c>
      <c r="CA24" s="421">
        <f t="shared" si="37"/>
        <v>4100208.0249999999</v>
      </c>
      <c r="CB24" s="421">
        <f t="shared" si="37"/>
        <v>3974393.25</v>
      </c>
      <c r="CC24" s="421">
        <f t="shared" si="37"/>
        <v>4113538.0249999999</v>
      </c>
      <c r="CD24" s="421">
        <f t="shared" si="37"/>
        <v>3987293.25</v>
      </c>
      <c r="CE24" s="421">
        <f t="shared" si="37"/>
        <v>4126868.0249999999</v>
      </c>
      <c r="CF24" s="421">
        <f t="shared" si="37"/>
        <v>4181597.3624999998</v>
      </c>
      <c r="CG24" s="421">
        <f t="shared" si="37"/>
        <v>3783016.65</v>
      </c>
      <c r="CH24" s="421">
        <f t="shared" si="37"/>
        <v>4195082.3624999998</v>
      </c>
      <c r="CI24" s="421">
        <f t="shared" si="37"/>
        <v>4066282.1249999995</v>
      </c>
      <c r="CJ24" s="421">
        <f t="shared" si="37"/>
        <v>4208567.3624999998</v>
      </c>
      <c r="CK24" s="421">
        <f t="shared" si="37"/>
        <v>4079332.1249999995</v>
      </c>
      <c r="CL24" s="421">
        <f t="shared" si="37"/>
        <v>4222052.3624999998</v>
      </c>
      <c r="CM24" s="421">
        <f t="shared" si="37"/>
        <v>4228794.8624999998</v>
      </c>
      <c r="CN24" s="421">
        <f t="shared" si="37"/>
        <v>4098907.1249999995</v>
      </c>
      <c r="CO24" s="421">
        <f t="shared" si="37"/>
        <v>4242279.8624999998</v>
      </c>
      <c r="CP24" s="421">
        <f t="shared" si="37"/>
        <v>4111957.1249999995</v>
      </c>
      <c r="CQ24" s="421">
        <f t="shared" si="37"/>
        <v>4255764.8624999998</v>
      </c>
      <c r="CR24" s="421">
        <f t="shared" si="37"/>
        <v>4262507.3624999998</v>
      </c>
      <c r="CS24" s="421">
        <f t="shared" si="37"/>
        <v>3993814.3875000002</v>
      </c>
      <c r="CT24" s="421">
        <f t="shared" si="37"/>
        <v>4275992.3624999998</v>
      </c>
      <c r="CU24" s="421">
        <f t="shared" si="37"/>
        <v>4144582.1249999995</v>
      </c>
      <c r="CV24" s="421">
        <f t="shared" si="37"/>
        <v>4289477.3624999998</v>
      </c>
      <c r="CW24" s="421">
        <f t="shared" si="37"/>
        <v>4157632.1249999995</v>
      </c>
      <c r="CX24" s="421">
        <f t="shared" si="37"/>
        <v>4302962.3624999998</v>
      </c>
      <c r="CY24" s="421">
        <f t="shared" si="37"/>
        <v>4309704.8624999998</v>
      </c>
      <c r="CZ24" s="421">
        <f t="shared" si="37"/>
        <v>4177207.1249999995</v>
      </c>
      <c r="DA24" s="421">
        <f t="shared" si="37"/>
        <v>4323189.8624999998</v>
      </c>
      <c r="DB24" s="421">
        <f t="shared" si="37"/>
        <v>4190257.1249999995</v>
      </c>
      <c r="DC24" s="421">
        <f t="shared" si="37"/>
        <v>4336674.8624999998</v>
      </c>
      <c r="DD24" s="421">
        <f t="shared" si="37"/>
        <v>4343417.3624999998</v>
      </c>
      <c r="DE24" s="421">
        <f t="shared" si="37"/>
        <v>3929176.65</v>
      </c>
      <c r="DF24" s="421">
        <f t="shared" si="37"/>
        <v>4356902.3624999998</v>
      </c>
    </row>
    <row r="25" spans="1:110" s="422" customFormat="1" ht="12" customHeight="1">
      <c r="A25" s="419" t="s">
        <v>508</v>
      </c>
      <c r="B25" s="420" t="s">
        <v>502</v>
      </c>
      <c r="C25" s="423">
        <f t="shared" ref="C25:BN25" si="38">(42+7.5)*4.545*1000*C17</f>
        <v>6749325</v>
      </c>
      <c r="D25" s="423">
        <f t="shared" si="38"/>
        <v>6974302.5</v>
      </c>
      <c r="E25" s="423">
        <f t="shared" si="38"/>
        <v>6749325</v>
      </c>
      <c r="F25" s="423">
        <f t="shared" si="38"/>
        <v>6974302.5</v>
      </c>
      <c r="G25" s="423">
        <f t="shared" si="38"/>
        <v>6974302.5</v>
      </c>
      <c r="H25" s="423">
        <f t="shared" si="38"/>
        <v>6749325</v>
      </c>
      <c r="I25" s="423">
        <f t="shared" si="38"/>
        <v>6974302.5</v>
      </c>
      <c r="J25" s="423">
        <f t="shared" si="38"/>
        <v>6749325</v>
      </c>
      <c r="K25" s="423">
        <f t="shared" si="38"/>
        <v>6974302.5</v>
      </c>
      <c r="L25" s="423">
        <f t="shared" si="38"/>
        <v>6974302.5</v>
      </c>
      <c r="M25" s="423">
        <f t="shared" si="38"/>
        <v>6299370</v>
      </c>
      <c r="N25" s="423">
        <f t="shared" si="38"/>
        <v>6974302.5</v>
      </c>
      <c r="O25" s="423">
        <f t="shared" si="38"/>
        <v>6749325</v>
      </c>
      <c r="P25" s="423">
        <f t="shared" si="38"/>
        <v>6974302.5</v>
      </c>
      <c r="Q25" s="423">
        <f t="shared" si="38"/>
        <v>6749325</v>
      </c>
      <c r="R25" s="423">
        <f t="shared" si="38"/>
        <v>6974302.5</v>
      </c>
      <c r="S25" s="423">
        <f t="shared" si="38"/>
        <v>6974302.5</v>
      </c>
      <c r="T25" s="423">
        <f t="shared" si="38"/>
        <v>6749325</v>
      </c>
      <c r="U25" s="423">
        <f t="shared" si="38"/>
        <v>6974302.5</v>
      </c>
      <c r="V25" s="423">
        <f t="shared" si="38"/>
        <v>6749325</v>
      </c>
      <c r="W25" s="423">
        <f t="shared" si="38"/>
        <v>6974302.5</v>
      </c>
      <c r="X25" s="423">
        <f t="shared" si="38"/>
        <v>6974302.5</v>
      </c>
      <c r="Y25" s="423">
        <f t="shared" si="38"/>
        <v>6299370</v>
      </c>
      <c r="Z25" s="423">
        <f t="shared" si="38"/>
        <v>6974302.5</v>
      </c>
      <c r="AA25" s="423">
        <f t="shared" si="38"/>
        <v>6749325</v>
      </c>
      <c r="AB25" s="423">
        <f t="shared" si="38"/>
        <v>6974302.5</v>
      </c>
      <c r="AC25" s="423">
        <f t="shared" si="38"/>
        <v>6749325</v>
      </c>
      <c r="AD25" s="423">
        <f t="shared" si="38"/>
        <v>6974302.5</v>
      </c>
      <c r="AE25" s="423">
        <f t="shared" si="38"/>
        <v>6974302.5</v>
      </c>
      <c r="AF25" s="423">
        <f t="shared" si="38"/>
        <v>6749325</v>
      </c>
      <c r="AG25" s="423">
        <f t="shared" si="38"/>
        <v>6974302.5</v>
      </c>
      <c r="AH25" s="423">
        <f t="shared" si="38"/>
        <v>6749325</v>
      </c>
      <c r="AI25" s="423">
        <f t="shared" si="38"/>
        <v>6974302.5</v>
      </c>
      <c r="AJ25" s="423">
        <f t="shared" si="38"/>
        <v>6974302.5</v>
      </c>
      <c r="AK25" s="423">
        <f t="shared" si="38"/>
        <v>6299370</v>
      </c>
      <c r="AL25" s="423">
        <f t="shared" si="38"/>
        <v>6974302.5</v>
      </c>
      <c r="AM25" s="423">
        <f t="shared" si="38"/>
        <v>6749325</v>
      </c>
      <c r="AN25" s="423">
        <f t="shared" si="38"/>
        <v>6974302.5</v>
      </c>
      <c r="AO25" s="423">
        <f t="shared" si="38"/>
        <v>6749325</v>
      </c>
      <c r="AP25" s="423">
        <f t="shared" si="38"/>
        <v>6974302.5</v>
      </c>
      <c r="AQ25" s="423">
        <f t="shared" si="38"/>
        <v>6974302.5</v>
      </c>
      <c r="AR25" s="423">
        <f t="shared" si="38"/>
        <v>6749325</v>
      </c>
      <c r="AS25" s="423">
        <f t="shared" si="38"/>
        <v>6974302.5</v>
      </c>
      <c r="AT25" s="423">
        <f t="shared" si="38"/>
        <v>6749325</v>
      </c>
      <c r="AU25" s="423">
        <f t="shared" si="38"/>
        <v>6974302.5</v>
      </c>
      <c r="AV25" s="423">
        <f t="shared" si="38"/>
        <v>6974302.5</v>
      </c>
      <c r="AW25" s="423">
        <f t="shared" si="38"/>
        <v>6524347.5</v>
      </c>
      <c r="AX25" s="423">
        <f t="shared" si="38"/>
        <v>6974302.5</v>
      </c>
      <c r="AY25" s="423">
        <f t="shared" si="38"/>
        <v>6749325</v>
      </c>
      <c r="AZ25" s="423">
        <f t="shared" si="38"/>
        <v>6974302.5</v>
      </c>
      <c r="BA25" s="423">
        <f t="shared" si="38"/>
        <v>6749325</v>
      </c>
      <c r="BB25" s="423">
        <f t="shared" si="38"/>
        <v>6974302.5</v>
      </c>
      <c r="BC25" s="423">
        <f t="shared" si="38"/>
        <v>6974302.5</v>
      </c>
      <c r="BD25" s="423">
        <f t="shared" si="38"/>
        <v>6749325</v>
      </c>
      <c r="BE25" s="423">
        <f t="shared" si="38"/>
        <v>6974302.5</v>
      </c>
      <c r="BF25" s="423">
        <f t="shared" si="38"/>
        <v>6749325</v>
      </c>
      <c r="BG25" s="423">
        <f t="shared" si="38"/>
        <v>6974302.5</v>
      </c>
      <c r="BH25" s="423">
        <f t="shared" si="38"/>
        <v>6974302.5</v>
      </c>
      <c r="BI25" s="423">
        <f t="shared" si="38"/>
        <v>6299370</v>
      </c>
      <c r="BJ25" s="423">
        <f t="shared" si="38"/>
        <v>6974302.5</v>
      </c>
      <c r="BK25" s="423">
        <f t="shared" si="38"/>
        <v>6749325</v>
      </c>
      <c r="BL25" s="423">
        <f t="shared" si="38"/>
        <v>6974302.5</v>
      </c>
      <c r="BM25" s="423">
        <f t="shared" si="38"/>
        <v>6749325</v>
      </c>
      <c r="BN25" s="423">
        <f t="shared" si="38"/>
        <v>6974302.5</v>
      </c>
      <c r="BO25" s="423">
        <f t="shared" ref="BO25:DF25" si="39">(42+7.5)*4.545*1000*BO17</f>
        <v>6974302.5</v>
      </c>
      <c r="BP25" s="423">
        <f t="shared" si="39"/>
        <v>6749325</v>
      </c>
      <c r="BQ25" s="423">
        <f t="shared" si="39"/>
        <v>6974302.5</v>
      </c>
      <c r="BR25" s="423">
        <f t="shared" si="39"/>
        <v>6749325</v>
      </c>
      <c r="BS25" s="423">
        <f t="shared" si="39"/>
        <v>6974302.5</v>
      </c>
      <c r="BT25" s="423">
        <f t="shared" si="39"/>
        <v>6974302.5</v>
      </c>
      <c r="BU25" s="423">
        <f t="shared" si="39"/>
        <v>6299370</v>
      </c>
      <c r="BV25" s="423">
        <f t="shared" si="39"/>
        <v>6974302.5</v>
      </c>
      <c r="BW25" s="423">
        <f t="shared" si="39"/>
        <v>6749325</v>
      </c>
      <c r="BX25" s="423">
        <f t="shared" si="39"/>
        <v>6974302.5</v>
      </c>
      <c r="BY25" s="423">
        <f t="shared" si="39"/>
        <v>6749325</v>
      </c>
      <c r="BZ25" s="423">
        <f t="shared" si="39"/>
        <v>6974302.5</v>
      </c>
      <c r="CA25" s="423">
        <f t="shared" si="39"/>
        <v>6974302.5</v>
      </c>
      <c r="CB25" s="423">
        <f t="shared" si="39"/>
        <v>6749325</v>
      </c>
      <c r="CC25" s="423">
        <f t="shared" si="39"/>
        <v>6974302.5</v>
      </c>
      <c r="CD25" s="423">
        <f t="shared" si="39"/>
        <v>6749325</v>
      </c>
      <c r="CE25" s="423">
        <f t="shared" si="39"/>
        <v>6974302.5</v>
      </c>
      <c r="CF25" s="423">
        <f t="shared" si="39"/>
        <v>6974302.5</v>
      </c>
      <c r="CG25" s="423">
        <f t="shared" si="39"/>
        <v>6299370</v>
      </c>
      <c r="CH25" s="423">
        <f t="shared" si="39"/>
        <v>6974302.5</v>
      </c>
      <c r="CI25" s="423">
        <f t="shared" si="39"/>
        <v>6749325</v>
      </c>
      <c r="CJ25" s="423">
        <f t="shared" si="39"/>
        <v>6974302.5</v>
      </c>
      <c r="CK25" s="423">
        <f t="shared" si="39"/>
        <v>6749325</v>
      </c>
      <c r="CL25" s="423">
        <f t="shared" si="39"/>
        <v>6974302.5</v>
      </c>
      <c r="CM25" s="423">
        <f t="shared" si="39"/>
        <v>6974302.5</v>
      </c>
      <c r="CN25" s="423">
        <f t="shared" si="39"/>
        <v>6749325</v>
      </c>
      <c r="CO25" s="423">
        <f t="shared" si="39"/>
        <v>6974302.5</v>
      </c>
      <c r="CP25" s="423">
        <f t="shared" si="39"/>
        <v>6749325</v>
      </c>
      <c r="CQ25" s="423">
        <f t="shared" si="39"/>
        <v>6974302.5</v>
      </c>
      <c r="CR25" s="423">
        <f t="shared" si="39"/>
        <v>6974302.5</v>
      </c>
      <c r="CS25" s="423">
        <f t="shared" si="39"/>
        <v>6524347.5</v>
      </c>
      <c r="CT25" s="423">
        <f t="shared" si="39"/>
        <v>6974302.5</v>
      </c>
      <c r="CU25" s="423">
        <f t="shared" si="39"/>
        <v>6749325</v>
      </c>
      <c r="CV25" s="423">
        <f t="shared" si="39"/>
        <v>6974302.5</v>
      </c>
      <c r="CW25" s="423">
        <f t="shared" si="39"/>
        <v>6749325</v>
      </c>
      <c r="CX25" s="423">
        <f t="shared" si="39"/>
        <v>6974302.5</v>
      </c>
      <c r="CY25" s="423">
        <f t="shared" si="39"/>
        <v>6974302.5</v>
      </c>
      <c r="CZ25" s="423">
        <f t="shared" si="39"/>
        <v>6749325</v>
      </c>
      <c r="DA25" s="423">
        <f t="shared" si="39"/>
        <v>6974302.5</v>
      </c>
      <c r="DB25" s="423">
        <f t="shared" si="39"/>
        <v>6749325</v>
      </c>
      <c r="DC25" s="423">
        <f t="shared" si="39"/>
        <v>6974302.5</v>
      </c>
      <c r="DD25" s="423">
        <f t="shared" si="39"/>
        <v>6974302.5</v>
      </c>
      <c r="DE25" s="423">
        <f t="shared" si="39"/>
        <v>6299370</v>
      </c>
      <c r="DF25" s="423">
        <f t="shared" si="39"/>
        <v>6974302.5</v>
      </c>
    </row>
    <row r="26" spans="1:110" s="422" customFormat="1" ht="12" customHeight="1">
      <c r="A26" s="422" t="s">
        <v>509</v>
      </c>
      <c r="B26" s="420" t="s">
        <v>239</v>
      </c>
      <c r="C26" s="341">
        <f>IF(100-C24/C25%&lt;=15,15,100-C24/C25%)</f>
        <v>63.62302896956362</v>
      </c>
      <c r="D26" s="341">
        <f t="shared" ref="D26:N26" si="40">IF(100-D24/D25%&lt;=15,15,100-D24/D25%)</f>
        <v>62.449578291162446</v>
      </c>
      <c r="E26" s="341">
        <f t="shared" si="40"/>
        <v>61.276127612761279</v>
      </c>
      <c r="F26" s="341">
        <f t="shared" si="40"/>
        <v>60.689402273560688</v>
      </c>
      <c r="G26" s="341">
        <f t="shared" si="40"/>
        <v>59.711526708226373</v>
      </c>
      <c r="H26" s="341">
        <f t="shared" si="40"/>
        <v>58.733651142892064</v>
      </c>
      <c r="I26" s="341">
        <f t="shared" si="40"/>
        <v>57.755775577557749</v>
      </c>
      <c r="J26" s="341">
        <f t="shared" si="40"/>
        <v>56.777900012223448</v>
      </c>
      <c r="K26" s="341">
        <f t="shared" si="40"/>
        <v>55.800024446889132</v>
      </c>
      <c r="L26" s="341">
        <f t="shared" si="40"/>
        <v>54.822148881554817</v>
      </c>
      <c r="M26" s="341">
        <f t="shared" si="40"/>
        <v>53.844273316220509</v>
      </c>
      <c r="N26" s="341">
        <f t="shared" si="40"/>
        <v>52.866397750886193</v>
      </c>
      <c r="O26" s="341">
        <f>IF(100-O24/O25%&lt;=25,25,100-O24/O25%)</f>
        <v>62.840728517296171</v>
      </c>
      <c r="P26" s="341">
        <f t="shared" ref="P26:CA26" si="41">IF(100-P24/P25%&lt;=25,25,100-P24/P25%)</f>
        <v>62.502916958362498</v>
      </c>
      <c r="Q26" s="341">
        <f t="shared" si="41"/>
        <v>62.165105399428832</v>
      </c>
      <c r="R26" s="341">
        <f t="shared" si="41"/>
        <v>57.809114244757808</v>
      </c>
      <c r="S26" s="341">
        <f t="shared" si="41"/>
        <v>57.249058239157243</v>
      </c>
      <c r="T26" s="341">
        <f t="shared" si="41"/>
        <v>56.689002233556693</v>
      </c>
      <c r="U26" s="341">
        <f t="shared" si="41"/>
        <v>56.128946227956128</v>
      </c>
      <c r="V26" s="341">
        <f t="shared" si="41"/>
        <v>55.56889022235557</v>
      </c>
      <c r="W26" s="341">
        <f t="shared" si="41"/>
        <v>55.008834216755005</v>
      </c>
      <c r="X26" s="341">
        <f t="shared" si="41"/>
        <v>54.448778211154448</v>
      </c>
      <c r="Y26" s="341">
        <f t="shared" si="41"/>
        <v>53.515351535153513</v>
      </c>
      <c r="Z26" s="341">
        <f t="shared" si="41"/>
        <v>52.581924859152579</v>
      </c>
      <c r="AA26" s="341">
        <f t="shared" si="41"/>
        <v>56.084497338622754</v>
      </c>
      <c r="AB26" s="341">
        <f t="shared" si="41"/>
        <v>55.728906223955725</v>
      </c>
      <c r="AC26" s="341">
        <f t="shared" si="41"/>
        <v>55.195519551955194</v>
      </c>
      <c r="AD26" s="341">
        <f t="shared" si="41"/>
        <v>54.839928437288172</v>
      </c>
      <c r="AE26" s="341">
        <f t="shared" si="41"/>
        <v>54.484337322621144</v>
      </c>
      <c r="AF26" s="341">
        <f t="shared" si="41"/>
        <v>54.306541765287641</v>
      </c>
      <c r="AG26" s="341">
        <f t="shared" si="41"/>
        <v>54.128746207954123</v>
      </c>
      <c r="AH26" s="341">
        <f t="shared" si="41"/>
        <v>53.950950650620619</v>
      </c>
      <c r="AI26" s="341">
        <f t="shared" si="41"/>
        <v>53.773155093287102</v>
      </c>
      <c r="AJ26" s="341">
        <f t="shared" si="41"/>
        <v>53.595359535953591</v>
      </c>
      <c r="AK26" s="341">
        <f t="shared" si="41"/>
        <v>53.41756397862008</v>
      </c>
      <c r="AL26" s="341">
        <f t="shared" si="41"/>
        <v>53.23976842128657</v>
      </c>
      <c r="AM26" s="341">
        <f t="shared" si="41"/>
        <v>52.884177306619549</v>
      </c>
      <c r="AN26" s="341">
        <f t="shared" si="41"/>
        <v>52.528586191952527</v>
      </c>
      <c r="AO26" s="341">
        <f t="shared" si="41"/>
        <v>52.172995077285506</v>
      </c>
      <c r="AP26" s="341">
        <f t="shared" si="41"/>
        <v>51.817403962618478</v>
      </c>
      <c r="AQ26" s="341">
        <f t="shared" si="41"/>
        <v>51.461812847951457</v>
      </c>
      <c r="AR26" s="341">
        <f t="shared" si="41"/>
        <v>51.106221733284443</v>
      </c>
      <c r="AS26" s="341">
        <f t="shared" si="41"/>
        <v>50.750630618617414</v>
      </c>
      <c r="AT26" s="341">
        <f t="shared" si="41"/>
        <v>50.395039503950393</v>
      </c>
      <c r="AU26" s="341">
        <f t="shared" si="41"/>
        <v>50.039448389283372</v>
      </c>
      <c r="AV26" s="341">
        <f t="shared" si="41"/>
        <v>49.667411185563012</v>
      </c>
      <c r="AW26" s="341">
        <f t="shared" si="41"/>
        <v>49.311820070895976</v>
      </c>
      <c r="AX26" s="341">
        <f t="shared" si="41"/>
        <v>48.956228956228962</v>
      </c>
      <c r="AY26" s="341">
        <f t="shared" si="41"/>
        <v>48.778433398895459</v>
      </c>
      <c r="AZ26" s="341">
        <f t="shared" si="41"/>
        <v>48.600637841561941</v>
      </c>
      <c r="BA26" s="341">
        <f t="shared" si="41"/>
        <v>48.422842284228437</v>
      </c>
      <c r="BB26" s="341">
        <f t="shared" si="41"/>
        <v>48.24504672689492</v>
      </c>
      <c r="BC26" s="341">
        <f t="shared" si="41"/>
        <v>48.067251169561409</v>
      </c>
      <c r="BD26" s="341">
        <f t="shared" si="41"/>
        <v>47.889455612227906</v>
      </c>
      <c r="BE26" s="341">
        <f t="shared" si="41"/>
        <v>47.711660054894388</v>
      </c>
      <c r="BF26" s="341">
        <f t="shared" si="41"/>
        <v>47.533864497560884</v>
      </c>
      <c r="BG26" s="341">
        <f t="shared" si="41"/>
        <v>47.356068940227367</v>
      </c>
      <c r="BH26" s="341">
        <f t="shared" si="41"/>
        <v>47.178273382893856</v>
      </c>
      <c r="BI26" s="341">
        <f t="shared" si="41"/>
        <v>47.000477825560338</v>
      </c>
      <c r="BJ26" s="341">
        <f t="shared" si="41"/>
        <v>46.822682268226835</v>
      </c>
      <c r="BK26" s="341">
        <f t="shared" si="41"/>
        <v>42.73881832627707</v>
      </c>
      <c r="BL26" s="341">
        <f t="shared" si="41"/>
        <v>42.643253214210304</v>
      </c>
      <c r="BM26" s="341">
        <f t="shared" si="41"/>
        <v>42.547688102143546</v>
      </c>
      <c r="BN26" s="341">
        <f t="shared" si="41"/>
        <v>42.452122990076781</v>
      </c>
      <c r="BO26" s="341">
        <f t="shared" si="41"/>
        <v>42.356557878010022</v>
      </c>
      <c r="BP26" s="341">
        <f t="shared" si="41"/>
        <v>42.260992765943264</v>
      </c>
      <c r="BQ26" s="341">
        <f t="shared" si="41"/>
        <v>42.165427653876492</v>
      </c>
      <c r="BR26" s="341">
        <f t="shared" si="41"/>
        <v>42.069862541809734</v>
      </c>
      <c r="BS26" s="341">
        <f t="shared" si="41"/>
        <v>41.974297429742968</v>
      </c>
      <c r="BT26" s="341">
        <f t="shared" si="41"/>
        <v>41.87873231767621</v>
      </c>
      <c r="BU26" s="341">
        <f t="shared" si="41"/>
        <v>41.783167205609445</v>
      </c>
      <c r="BV26" s="341">
        <f t="shared" si="41"/>
        <v>41.687602093542687</v>
      </c>
      <c r="BW26" s="341">
        <f t="shared" si="41"/>
        <v>41.592036981475928</v>
      </c>
      <c r="BX26" s="341">
        <f t="shared" si="41"/>
        <v>41.496471869409163</v>
      </c>
      <c r="BY26" s="341">
        <f t="shared" si="41"/>
        <v>41.400906757342398</v>
      </c>
      <c r="BZ26" s="341">
        <f t="shared" si="41"/>
        <v>41.305341645275632</v>
      </c>
      <c r="CA26" s="341">
        <f t="shared" si="41"/>
        <v>41.209776533208874</v>
      </c>
      <c r="CB26" s="341">
        <f t="shared" ref="CB26:DF26" si="42">IF(100-CB24/CB25%&lt;=25,25,100-CB24/CB25%)</f>
        <v>41.114211421142116</v>
      </c>
      <c r="CC26" s="341">
        <f t="shared" si="42"/>
        <v>41.018646309075351</v>
      </c>
      <c r="CD26" s="341">
        <f t="shared" si="42"/>
        <v>40.923081197008592</v>
      </c>
      <c r="CE26" s="341">
        <f t="shared" si="42"/>
        <v>40.827516084941827</v>
      </c>
      <c r="CF26" s="341">
        <f t="shared" si="42"/>
        <v>40.042787612094543</v>
      </c>
      <c r="CG26" s="341">
        <f t="shared" si="42"/>
        <v>39.946111277794444</v>
      </c>
      <c r="CH26" s="341">
        <f t="shared" si="42"/>
        <v>39.849434943494344</v>
      </c>
      <c r="CI26" s="341">
        <f t="shared" si="42"/>
        <v>39.75275860919426</v>
      </c>
      <c r="CJ26" s="341">
        <f t="shared" si="42"/>
        <v>39.656082274894153</v>
      </c>
      <c r="CK26" s="341">
        <f t="shared" si="42"/>
        <v>39.559405940594068</v>
      </c>
      <c r="CL26" s="341">
        <f t="shared" si="42"/>
        <v>39.462729606293962</v>
      </c>
      <c r="CM26" s="341">
        <f t="shared" si="42"/>
        <v>39.366053271993863</v>
      </c>
      <c r="CN26" s="341">
        <f t="shared" si="42"/>
        <v>39.269376937693778</v>
      </c>
      <c r="CO26" s="341">
        <f t="shared" si="42"/>
        <v>39.172700603393672</v>
      </c>
      <c r="CP26" s="341">
        <f t="shared" si="42"/>
        <v>39.07602426909358</v>
      </c>
      <c r="CQ26" s="341">
        <f t="shared" si="42"/>
        <v>38.979347934793473</v>
      </c>
      <c r="CR26" s="341">
        <f t="shared" si="42"/>
        <v>38.882671600493381</v>
      </c>
      <c r="CS26" s="341">
        <f t="shared" si="42"/>
        <v>38.785995266193282</v>
      </c>
      <c r="CT26" s="341">
        <f t="shared" si="42"/>
        <v>38.68931893189319</v>
      </c>
      <c r="CU26" s="341">
        <f t="shared" si="42"/>
        <v>38.592642597593098</v>
      </c>
      <c r="CV26" s="341">
        <f t="shared" si="42"/>
        <v>38.495966263292992</v>
      </c>
      <c r="CW26" s="341">
        <f t="shared" si="42"/>
        <v>38.399289928992907</v>
      </c>
      <c r="CX26" s="341">
        <f t="shared" si="42"/>
        <v>38.302613594692801</v>
      </c>
      <c r="CY26" s="341">
        <f t="shared" si="42"/>
        <v>38.205937260392702</v>
      </c>
      <c r="CZ26" s="341">
        <f t="shared" si="42"/>
        <v>38.109260926092617</v>
      </c>
      <c r="DA26" s="341">
        <f t="shared" si="42"/>
        <v>38.01258459179251</v>
      </c>
      <c r="DB26" s="341">
        <f t="shared" si="42"/>
        <v>37.915908257492426</v>
      </c>
      <c r="DC26" s="341">
        <f t="shared" si="42"/>
        <v>37.819231923192319</v>
      </c>
      <c r="DD26" s="341">
        <f t="shared" si="42"/>
        <v>37.72255558889222</v>
      </c>
      <c r="DE26" s="341">
        <f t="shared" si="42"/>
        <v>37.625879254592121</v>
      </c>
      <c r="DF26" s="341">
        <f t="shared" si="42"/>
        <v>37.529202920292029</v>
      </c>
    </row>
    <row r="27" spans="1:110" ht="12" customHeight="1">
      <c r="A27" s="406" t="s">
        <v>510</v>
      </c>
      <c r="B27" s="420" t="s">
        <v>511</v>
      </c>
      <c r="C27" s="418">
        <f>C15/4.545/1000</f>
        <v>18.006600660066006</v>
      </c>
      <c r="D27" s="418">
        <f t="shared" ref="D27:BO27" si="43">D15/4.545/1000</f>
        <v>18.587458745874589</v>
      </c>
      <c r="E27" s="418">
        <f t="shared" si="43"/>
        <v>19.168316831683168</v>
      </c>
      <c r="F27" s="418">
        <f t="shared" si="43"/>
        <v>19.458745874587457</v>
      </c>
      <c r="G27" s="418">
        <f t="shared" si="43"/>
        <v>19.942794279427943</v>
      </c>
      <c r="H27" s="418">
        <f t="shared" si="43"/>
        <v>20.426842684268429</v>
      </c>
      <c r="I27" s="418">
        <f t="shared" si="43"/>
        <v>20.910891089108912</v>
      </c>
      <c r="J27" s="418">
        <f t="shared" si="43"/>
        <v>21.394939493949394</v>
      </c>
      <c r="K27" s="418">
        <f t="shared" si="43"/>
        <v>21.87898789878988</v>
      </c>
      <c r="L27" s="418">
        <f t="shared" si="43"/>
        <v>22.363036303630363</v>
      </c>
      <c r="M27" s="418">
        <f t="shared" si="43"/>
        <v>22.847084708470849</v>
      </c>
      <c r="N27" s="418">
        <f t="shared" si="43"/>
        <v>23.331133113311331</v>
      </c>
      <c r="O27" s="418">
        <f t="shared" si="43"/>
        <v>18.393839383938392</v>
      </c>
      <c r="P27" s="418">
        <f t="shared" si="43"/>
        <v>18.561056105610561</v>
      </c>
      <c r="Q27" s="418">
        <f t="shared" si="43"/>
        <v>18.72827282728273</v>
      </c>
      <c r="R27" s="418">
        <f t="shared" si="43"/>
        <v>20.884488448844884</v>
      </c>
      <c r="S27" s="418">
        <f t="shared" si="43"/>
        <v>21.161716171617162</v>
      </c>
      <c r="T27" s="418">
        <f t="shared" si="43"/>
        <v>21.438943894389439</v>
      </c>
      <c r="U27" s="418">
        <f t="shared" si="43"/>
        <v>21.716171617161717</v>
      </c>
      <c r="V27" s="418">
        <f t="shared" si="43"/>
        <v>21.993399339933994</v>
      </c>
      <c r="W27" s="418">
        <f t="shared" si="43"/>
        <v>22.270627062706268</v>
      </c>
      <c r="X27" s="418">
        <f t="shared" si="43"/>
        <v>22.547854785478545</v>
      </c>
      <c r="Y27" s="418">
        <f t="shared" si="43"/>
        <v>23.009900990099009</v>
      </c>
      <c r="Z27" s="418">
        <f t="shared" si="43"/>
        <v>23.471947194719473</v>
      </c>
      <c r="AA27" s="418">
        <f t="shared" si="43"/>
        <v>21.738173817381735</v>
      </c>
      <c r="AB27" s="418">
        <f t="shared" si="43"/>
        <v>21.914191419141911</v>
      </c>
      <c r="AC27" s="418">
        <f t="shared" si="43"/>
        <v>22.178217821782173</v>
      </c>
      <c r="AD27" s="418">
        <f t="shared" si="43"/>
        <v>22.354235423542352</v>
      </c>
      <c r="AE27" s="418">
        <f t="shared" si="43"/>
        <v>22.530253025302528</v>
      </c>
      <c r="AF27" s="418">
        <f t="shared" si="43"/>
        <v>22.618261826182614</v>
      </c>
      <c r="AG27" s="418">
        <f t="shared" si="43"/>
        <v>22.706270627062704</v>
      </c>
      <c r="AH27" s="418">
        <f t="shared" si="43"/>
        <v>22.79427942794279</v>
      </c>
      <c r="AI27" s="418">
        <f t="shared" si="43"/>
        <v>22.88228822882288</v>
      </c>
      <c r="AJ27" s="418">
        <f t="shared" si="43"/>
        <v>22.970297029702969</v>
      </c>
      <c r="AK27" s="418">
        <f t="shared" si="43"/>
        <v>23.058305830583055</v>
      </c>
      <c r="AL27" s="418">
        <f t="shared" si="43"/>
        <v>23.146314631463145</v>
      </c>
      <c r="AM27" s="418">
        <f t="shared" si="43"/>
        <v>23.322332233223317</v>
      </c>
      <c r="AN27" s="418">
        <f t="shared" si="43"/>
        <v>23.498349834983497</v>
      </c>
      <c r="AO27" s="418">
        <f t="shared" si="43"/>
        <v>23.674367436743672</v>
      </c>
      <c r="AP27" s="418">
        <f t="shared" si="43"/>
        <v>23.850385038503845</v>
      </c>
      <c r="AQ27" s="418">
        <f t="shared" si="43"/>
        <v>24.026402640264024</v>
      </c>
      <c r="AR27" s="418">
        <f t="shared" si="43"/>
        <v>24.2024202420242</v>
      </c>
      <c r="AS27" s="418">
        <f t="shared" si="43"/>
        <v>24.378437843784376</v>
      </c>
      <c r="AT27" s="418">
        <f t="shared" si="43"/>
        <v>24.554455445544551</v>
      </c>
      <c r="AU27" s="418">
        <f t="shared" si="43"/>
        <v>24.730473047304727</v>
      </c>
      <c r="AV27" s="418">
        <f t="shared" si="43"/>
        <v>24.914631463146311</v>
      </c>
      <c r="AW27" s="418">
        <f t="shared" si="43"/>
        <v>25.090649064906486</v>
      </c>
      <c r="AX27" s="418">
        <f t="shared" si="43"/>
        <v>25.266666666666666</v>
      </c>
      <c r="AY27" s="418">
        <f t="shared" si="43"/>
        <v>25.354675467546752</v>
      </c>
      <c r="AZ27" s="418">
        <f t="shared" si="43"/>
        <v>25.442684268426841</v>
      </c>
      <c r="BA27" s="418">
        <f t="shared" si="43"/>
        <v>25.530693069306928</v>
      </c>
      <c r="BB27" s="418">
        <f t="shared" si="43"/>
        <v>25.618701870187014</v>
      </c>
      <c r="BC27" s="418">
        <f t="shared" si="43"/>
        <v>25.706710671067103</v>
      </c>
      <c r="BD27" s="418">
        <f t="shared" si="43"/>
        <v>25.794719471947193</v>
      </c>
      <c r="BE27" s="418">
        <f t="shared" si="43"/>
        <v>25.882728272827279</v>
      </c>
      <c r="BF27" s="418">
        <f t="shared" si="43"/>
        <v>25.970737073707369</v>
      </c>
      <c r="BG27" s="418">
        <f t="shared" si="43"/>
        <v>26.058745874587459</v>
      </c>
      <c r="BH27" s="418">
        <f t="shared" si="43"/>
        <v>26.146754675467541</v>
      </c>
      <c r="BI27" s="418">
        <f t="shared" si="43"/>
        <v>26.234763476347631</v>
      </c>
      <c r="BJ27" s="418">
        <f t="shared" si="43"/>
        <v>26.32277227722772</v>
      </c>
      <c r="BK27" s="418">
        <f t="shared" si="43"/>
        <v>28.344284928492847</v>
      </c>
      <c r="BL27" s="418">
        <f t="shared" si="43"/>
        <v>28.391589658965895</v>
      </c>
      <c r="BM27" s="418">
        <f t="shared" si="43"/>
        <v>28.438894389438943</v>
      </c>
      <c r="BN27" s="418">
        <f t="shared" si="43"/>
        <v>28.486199119911991</v>
      </c>
      <c r="BO27" s="418">
        <f t="shared" si="43"/>
        <v>28.533503850385038</v>
      </c>
      <c r="BP27" s="418">
        <f t="shared" ref="BP27:DF27" si="44">BP15/4.545/1000</f>
        <v>28.580808580858083</v>
      </c>
      <c r="BQ27" s="418">
        <f t="shared" si="44"/>
        <v>28.628113311331134</v>
      </c>
      <c r="BR27" s="418">
        <f t="shared" si="44"/>
        <v>28.675418041804178</v>
      </c>
      <c r="BS27" s="418">
        <f t="shared" si="44"/>
        <v>28.722722772277226</v>
      </c>
      <c r="BT27" s="418">
        <f t="shared" si="44"/>
        <v>28.770027502750274</v>
      </c>
      <c r="BU27" s="418">
        <f t="shared" si="44"/>
        <v>28.817332233223322</v>
      </c>
      <c r="BV27" s="418">
        <f t="shared" si="44"/>
        <v>28.86463696369637</v>
      </c>
      <c r="BW27" s="418">
        <f t="shared" si="44"/>
        <v>28.911941694169414</v>
      </c>
      <c r="BX27" s="418">
        <f t="shared" si="44"/>
        <v>28.959246424642465</v>
      </c>
      <c r="BY27" s="418">
        <f t="shared" si="44"/>
        <v>29.00655115511551</v>
      </c>
      <c r="BZ27" s="418">
        <f t="shared" si="44"/>
        <v>29.053855885588558</v>
      </c>
      <c r="CA27" s="418">
        <f t="shared" si="44"/>
        <v>29.101160616061605</v>
      </c>
      <c r="CB27" s="418">
        <f t="shared" si="44"/>
        <v>29.148465346534653</v>
      </c>
      <c r="CC27" s="418">
        <f t="shared" si="44"/>
        <v>29.195770077007698</v>
      </c>
      <c r="CD27" s="418">
        <f t="shared" si="44"/>
        <v>29.243074807480749</v>
      </c>
      <c r="CE27" s="418">
        <f t="shared" si="44"/>
        <v>29.290379537953797</v>
      </c>
      <c r="CF27" s="418">
        <f t="shared" si="44"/>
        <v>29.6788201320132</v>
      </c>
      <c r="CG27" s="418">
        <f t="shared" si="44"/>
        <v>29.726674917491746</v>
      </c>
      <c r="CH27" s="418">
        <f t="shared" si="44"/>
        <v>29.774529702970295</v>
      </c>
      <c r="CI27" s="418">
        <f t="shared" si="44"/>
        <v>29.822384488448844</v>
      </c>
      <c r="CJ27" s="418">
        <f t="shared" si="44"/>
        <v>29.870239273927389</v>
      </c>
      <c r="CK27" s="418">
        <f t="shared" si="44"/>
        <v>29.918094059405938</v>
      </c>
      <c r="CL27" s="418">
        <f t="shared" si="44"/>
        <v>29.965948844884487</v>
      </c>
      <c r="CM27" s="418">
        <f t="shared" si="44"/>
        <v>30.013803630363032</v>
      </c>
      <c r="CN27" s="418">
        <f t="shared" si="44"/>
        <v>30.061658415841581</v>
      </c>
      <c r="CO27" s="418">
        <f t="shared" si="44"/>
        <v>30.10951320132013</v>
      </c>
      <c r="CP27" s="418">
        <f t="shared" si="44"/>
        <v>30.157367986798679</v>
      </c>
      <c r="CQ27" s="418">
        <f t="shared" si="44"/>
        <v>30.205222772277224</v>
      </c>
      <c r="CR27" s="418">
        <f t="shared" si="44"/>
        <v>30.253077557755773</v>
      </c>
      <c r="CS27" s="418">
        <f t="shared" si="44"/>
        <v>30.300932343234322</v>
      </c>
      <c r="CT27" s="418">
        <f t="shared" si="44"/>
        <v>30.348787128712868</v>
      </c>
      <c r="CU27" s="418">
        <f t="shared" si="44"/>
        <v>30.396641914191417</v>
      </c>
      <c r="CV27" s="418">
        <f t="shared" si="44"/>
        <v>30.444496699669966</v>
      </c>
      <c r="CW27" s="418">
        <f t="shared" si="44"/>
        <v>30.492351485148511</v>
      </c>
      <c r="CX27" s="418">
        <f t="shared" si="44"/>
        <v>30.54020627062706</v>
      </c>
      <c r="CY27" s="418">
        <f t="shared" si="44"/>
        <v>30.588061056105609</v>
      </c>
      <c r="CZ27" s="418">
        <f t="shared" si="44"/>
        <v>30.635915841584154</v>
      </c>
      <c r="DA27" s="418">
        <f t="shared" si="44"/>
        <v>30.683770627062707</v>
      </c>
      <c r="DB27" s="418">
        <f t="shared" si="44"/>
        <v>30.731625412541252</v>
      </c>
      <c r="DC27" s="418">
        <f t="shared" si="44"/>
        <v>30.779480198019797</v>
      </c>
      <c r="DD27" s="418">
        <f t="shared" si="44"/>
        <v>30.82733498349835</v>
      </c>
      <c r="DE27" s="418">
        <f t="shared" si="44"/>
        <v>30.875189768976895</v>
      </c>
      <c r="DF27" s="418">
        <f t="shared" si="44"/>
        <v>30.923044554455441</v>
      </c>
    </row>
    <row r="28" spans="1:110" ht="12" customHeight="1">
      <c r="A28" s="406" t="s">
        <v>512</v>
      </c>
      <c r="B28" s="420" t="s">
        <v>511</v>
      </c>
      <c r="C28" s="418">
        <f t="shared" ref="C28:N28" si="45">C27*100/85</f>
        <v>21.184236070665889</v>
      </c>
      <c r="D28" s="418">
        <f t="shared" si="45"/>
        <v>21.867598524558339</v>
      </c>
      <c r="E28" s="418">
        <f t="shared" si="45"/>
        <v>22.550960978450785</v>
      </c>
      <c r="F28" s="418">
        <f t="shared" si="45"/>
        <v>22.89264220539701</v>
      </c>
      <c r="G28" s="418">
        <f t="shared" si="45"/>
        <v>23.462110916974051</v>
      </c>
      <c r="H28" s="418">
        <f t="shared" si="45"/>
        <v>24.031579628551093</v>
      </c>
      <c r="I28" s="418">
        <f t="shared" si="45"/>
        <v>24.601048340128134</v>
      </c>
      <c r="J28" s="418">
        <f t="shared" si="45"/>
        <v>25.170517051705172</v>
      </c>
      <c r="K28" s="418">
        <f t="shared" si="45"/>
        <v>25.73998576328221</v>
      </c>
      <c r="L28" s="418">
        <f t="shared" si="45"/>
        <v>26.309454474859248</v>
      </c>
      <c r="M28" s="418">
        <f t="shared" si="45"/>
        <v>26.878923186436293</v>
      </c>
      <c r="N28" s="418">
        <f t="shared" si="45"/>
        <v>27.44839189801333</v>
      </c>
      <c r="O28" s="418">
        <f t="shared" ref="O28:BZ28" si="46">O27*100/75</f>
        <v>24.525119178584522</v>
      </c>
      <c r="P28" s="418">
        <f t="shared" si="46"/>
        <v>24.748074807480748</v>
      </c>
      <c r="Q28" s="418">
        <f t="shared" si="46"/>
        <v>24.971030436376974</v>
      </c>
      <c r="R28" s="418">
        <f t="shared" si="46"/>
        <v>27.845984598459847</v>
      </c>
      <c r="S28" s="418">
        <f t="shared" si="46"/>
        <v>28.215621562156219</v>
      </c>
      <c r="T28" s="418">
        <f t="shared" si="46"/>
        <v>28.585258525852588</v>
      </c>
      <c r="U28" s="418">
        <f t="shared" si="46"/>
        <v>28.954895489548957</v>
      </c>
      <c r="V28" s="418">
        <f t="shared" si="46"/>
        <v>29.324532453245325</v>
      </c>
      <c r="W28" s="418">
        <f t="shared" si="46"/>
        <v>29.694169416941691</v>
      </c>
      <c r="X28" s="418">
        <f t="shared" si="46"/>
        <v>30.063806380638059</v>
      </c>
      <c r="Y28" s="418">
        <f t="shared" si="46"/>
        <v>30.67986798679868</v>
      </c>
      <c r="Z28" s="418">
        <f t="shared" si="46"/>
        <v>31.295929592959297</v>
      </c>
      <c r="AA28" s="418">
        <f t="shared" si="46"/>
        <v>28.984231756508979</v>
      </c>
      <c r="AB28" s="418">
        <f t="shared" si="46"/>
        <v>29.218921892189215</v>
      </c>
      <c r="AC28" s="418">
        <f t="shared" si="46"/>
        <v>29.570957095709563</v>
      </c>
      <c r="AD28" s="418">
        <f t="shared" si="46"/>
        <v>29.805647231389806</v>
      </c>
      <c r="AE28" s="418">
        <f t="shared" si="46"/>
        <v>30.040337367070038</v>
      </c>
      <c r="AF28" s="418">
        <f t="shared" si="46"/>
        <v>30.157682434910154</v>
      </c>
      <c r="AG28" s="418">
        <f t="shared" si="46"/>
        <v>30.275027502750273</v>
      </c>
      <c r="AH28" s="418">
        <f t="shared" si="46"/>
        <v>30.392372570590386</v>
      </c>
      <c r="AI28" s="418">
        <f t="shared" si="46"/>
        <v>30.509717638430509</v>
      </c>
      <c r="AJ28" s="418">
        <f t="shared" si="46"/>
        <v>30.627062706270625</v>
      </c>
      <c r="AK28" s="418">
        <f t="shared" si="46"/>
        <v>30.744407774110737</v>
      </c>
      <c r="AL28" s="418">
        <f t="shared" si="46"/>
        <v>30.861752841950864</v>
      </c>
      <c r="AM28" s="418">
        <f t="shared" si="46"/>
        <v>31.096442977631092</v>
      </c>
      <c r="AN28" s="418">
        <f t="shared" si="46"/>
        <v>31.331133113311328</v>
      </c>
      <c r="AO28" s="418">
        <f t="shared" si="46"/>
        <v>31.565823248991563</v>
      </c>
      <c r="AP28" s="418">
        <f t="shared" si="46"/>
        <v>31.800513384671795</v>
      </c>
      <c r="AQ28" s="418">
        <f t="shared" si="46"/>
        <v>32.035203520352027</v>
      </c>
      <c r="AR28" s="418">
        <f t="shared" si="46"/>
        <v>32.269893656032266</v>
      </c>
      <c r="AS28" s="418">
        <f t="shared" si="46"/>
        <v>32.504583791712506</v>
      </c>
      <c r="AT28" s="418">
        <f t="shared" si="46"/>
        <v>32.73927392739273</v>
      </c>
      <c r="AU28" s="418">
        <f t="shared" si="46"/>
        <v>32.97396406307297</v>
      </c>
      <c r="AV28" s="418">
        <f t="shared" si="46"/>
        <v>33.219508617528412</v>
      </c>
      <c r="AW28" s="418">
        <f t="shared" si="46"/>
        <v>33.454198753208651</v>
      </c>
      <c r="AX28" s="418">
        <f t="shared" si="46"/>
        <v>33.68888888888889</v>
      </c>
      <c r="AY28" s="418">
        <f t="shared" si="46"/>
        <v>33.806233956729002</v>
      </c>
      <c r="AZ28" s="418">
        <f t="shared" si="46"/>
        <v>33.923579024569122</v>
      </c>
      <c r="BA28" s="418">
        <f t="shared" si="46"/>
        <v>34.040924092409234</v>
      </c>
      <c r="BB28" s="418">
        <f t="shared" si="46"/>
        <v>34.158269160249354</v>
      </c>
      <c r="BC28" s="418">
        <f t="shared" si="46"/>
        <v>34.275614228089474</v>
      </c>
      <c r="BD28" s="418">
        <f t="shared" si="46"/>
        <v>34.392959295929586</v>
      </c>
      <c r="BE28" s="418">
        <f t="shared" si="46"/>
        <v>34.510304363769706</v>
      </c>
      <c r="BF28" s="418">
        <f t="shared" si="46"/>
        <v>34.627649431609825</v>
      </c>
      <c r="BG28" s="418">
        <f t="shared" si="46"/>
        <v>34.744994499449945</v>
      </c>
      <c r="BH28" s="418">
        <f t="shared" si="46"/>
        <v>34.862339567290057</v>
      </c>
      <c r="BI28" s="418">
        <f t="shared" si="46"/>
        <v>34.979684635130177</v>
      </c>
      <c r="BJ28" s="418">
        <f t="shared" si="46"/>
        <v>35.097029702970289</v>
      </c>
      <c r="BK28" s="418">
        <f t="shared" si="46"/>
        <v>37.792379904657132</v>
      </c>
      <c r="BL28" s="418">
        <f t="shared" si="46"/>
        <v>37.855452878621193</v>
      </c>
      <c r="BM28" s="418">
        <f t="shared" si="46"/>
        <v>37.918525852585255</v>
      </c>
      <c r="BN28" s="418">
        <f t="shared" si="46"/>
        <v>37.981598826549316</v>
      </c>
      <c r="BO28" s="418">
        <f t="shared" si="46"/>
        <v>38.044671800513385</v>
      </c>
      <c r="BP28" s="418">
        <f t="shared" si="46"/>
        <v>38.107744774477446</v>
      </c>
      <c r="BQ28" s="418">
        <f t="shared" si="46"/>
        <v>38.170817748441515</v>
      </c>
      <c r="BR28" s="418">
        <f t="shared" si="46"/>
        <v>38.233890722405569</v>
      </c>
      <c r="BS28" s="418">
        <f t="shared" si="46"/>
        <v>38.29696369636963</v>
      </c>
      <c r="BT28" s="418">
        <f t="shared" si="46"/>
        <v>38.360036670333699</v>
      </c>
      <c r="BU28" s="418">
        <f t="shared" si="46"/>
        <v>38.423109644297767</v>
      </c>
      <c r="BV28" s="418">
        <f t="shared" si="46"/>
        <v>38.486182618261829</v>
      </c>
      <c r="BW28" s="418">
        <f t="shared" si="46"/>
        <v>38.549255592225883</v>
      </c>
      <c r="BX28" s="418">
        <f t="shared" si="46"/>
        <v>38.612328566189952</v>
      </c>
      <c r="BY28" s="418">
        <f t="shared" si="46"/>
        <v>38.675401540154013</v>
      </c>
      <c r="BZ28" s="418">
        <f t="shared" si="46"/>
        <v>38.738474514118082</v>
      </c>
      <c r="CA28" s="418">
        <f t="shared" ref="CA28:DE28" si="47">CA27*100/75</f>
        <v>38.801547488082143</v>
      </c>
      <c r="CB28" s="418">
        <f t="shared" si="47"/>
        <v>38.864620462046204</v>
      </c>
      <c r="CC28" s="418">
        <f t="shared" si="47"/>
        <v>38.927693436010259</v>
      </c>
      <c r="CD28" s="418">
        <f t="shared" si="47"/>
        <v>38.990766409974327</v>
      </c>
      <c r="CE28" s="418">
        <f t="shared" si="47"/>
        <v>39.053839383938396</v>
      </c>
      <c r="CF28" s="418">
        <f t="shared" si="47"/>
        <v>39.571760176017605</v>
      </c>
      <c r="CG28" s="418">
        <f t="shared" si="47"/>
        <v>39.635566556655661</v>
      </c>
      <c r="CH28" s="418">
        <f t="shared" si="47"/>
        <v>39.699372937293724</v>
      </c>
      <c r="CI28" s="418">
        <f t="shared" si="47"/>
        <v>39.763179317931787</v>
      </c>
      <c r="CJ28" s="418">
        <f t="shared" si="47"/>
        <v>39.826985698569857</v>
      </c>
      <c r="CK28" s="418">
        <f t="shared" si="47"/>
        <v>39.89079207920792</v>
      </c>
      <c r="CL28" s="418">
        <f t="shared" si="47"/>
        <v>39.954598459845982</v>
      </c>
      <c r="CM28" s="418">
        <f t="shared" si="47"/>
        <v>40.018404840484045</v>
      </c>
      <c r="CN28" s="418">
        <f t="shared" si="47"/>
        <v>40.082211221122108</v>
      </c>
      <c r="CO28" s="418">
        <f t="shared" si="47"/>
        <v>40.146017601760171</v>
      </c>
      <c r="CP28" s="418">
        <f t="shared" si="47"/>
        <v>40.209823982398241</v>
      </c>
      <c r="CQ28" s="418">
        <f t="shared" si="47"/>
        <v>40.273630363036297</v>
      </c>
      <c r="CR28" s="418">
        <f t="shared" si="47"/>
        <v>40.337436743674367</v>
      </c>
      <c r="CS28" s="418">
        <f t="shared" si="47"/>
        <v>40.40124312431243</v>
      </c>
      <c r="CT28" s="418">
        <f t="shared" si="47"/>
        <v>40.465049504950485</v>
      </c>
      <c r="CU28" s="418">
        <f t="shared" si="47"/>
        <v>40.528855885588555</v>
      </c>
      <c r="CV28" s="418">
        <f t="shared" si="47"/>
        <v>40.592662266226625</v>
      </c>
      <c r="CW28" s="418">
        <f t="shared" si="47"/>
        <v>40.656468646864681</v>
      </c>
      <c r="CX28" s="418">
        <f t="shared" si="47"/>
        <v>40.720275027502744</v>
      </c>
      <c r="CY28" s="418">
        <f t="shared" si="47"/>
        <v>40.784081408140807</v>
      </c>
      <c r="CZ28" s="418">
        <f t="shared" si="47"/>
        <v>40.847887788778877</v>
      </c>
      <c r="DA28" s="418">
        <f t="shared" si="47"/>
        <v>40.911694169416947</v>
      </c>
      <c r="DB28" s="418">
        <f t="shared" si="47"/>
        <v>40.975500550055003</v>
      </c>
      <c r="DC28" s="418">
        <f t="shared" si="47"/>
        <v>41.039306930693058</v>
      </c>
      <c r="DD28" s="418">
        <f t="shared" si="47"/>
        <v>41.103113311331136</v>
      </c>
      <c r="DE28" s="418">
        <f t="shared" si="47"/>
        <v>41.166919691969198</v>
      </c>
      <c r="DF28" s="418">
        <f>DF27*100/75</f>
        <v>41.230726072607254</v>
      </c>
    </row>
    <row r="29" spans="1:110" ht="12" customHeight="1">
      <c r="A29" s="424" t="s">
        <v>513</v>
      </c>
      <c r="B29" s="420" t="s">
        <v>511</v>
      </c>
      <c r="C29" s="418">
        <f>IF((C28-49.5)&lt;0,0,(C28-49.5))</f>
        <v>0</v>
      </c>
      <c r="D29" s="418">
        <f t="shared" ref="D29:BO29" si="48">IF((D28-49.5)&lt;0,0,(D28-49.5))</f>
        <v>0</v>
      </c>
      <c r="E29" s="418">
        <f t="shared" si="48"/>
        <v>0</v>
      </c>
      <c r="F29" s="418">
        <f t="shared" si="48"/>
        <v>0</v>
      </c>
      <c r="G29" s="418">
        <f t="shared" si="48"/>
        <v>0</v>
      </c>
      <c r="H29" s="418">
        <f t="shared" si="48"/>
        <v>0</v>
      </c>
      <c r="I29" s="418">
        <f t="shared" si="48"/>
        <v>0</v>
      </c>
      <c r="J29" s="418">
        <f t="shared" si="48"/>
        <v>0</v>
      </c>
      <c r="K29" s="418">
        <f t="shared" si="48"/>
        <v>0</v>
      </c>
      <c r="L29" s="418">
        <f t="shared" si="48"/>
        <v>0</v>
      </c>
      <c r="M29" s="418">
        <f t="shared" si="48"/>
        <v>0</v>
      </c>
      <c r="N29" s="418">
        <f t="shared" si="48"/>
        <v>0</v>
      </c>
      <c r="O29" s="418">
        <f t="shared" si="48"/>
        <v>0</v>
      </c>
      <c r="P29" s="418">
        <f t="shared" si="48"/>
        <v>0</v>
      </c>
      <c r="Q29" s="418">
        <f t="shared" si="48"/>
        <v>0</v>
      </c>
      <c r="R29" s="418">
        <f t="shared" si="48"/>
        <v>0</v>
      </c>
      <c r="S29" s="418">
        <f t="shared" si="48"/>
        <v>0</v>
      </c>
      <c r="T29" s="418">
        <f t="shared" si="48"/>
        <v>0</v>
      </c>
      <c r="U29" s="418">
        <f t="shared" si="48"/>
        <v>0</v>
      </c>
      <c r="V29" s="418">
        <f t="shared" si="48"/>
        <v>0</v>
      </c>
      <c r="W29" s="418">
        <f t="shared" si="48"/>
        <v>0</v>
      </c>
      <c r="X29" s="418">
        <f t="shared" si="48"/>
        <v>0</v>
      </c>
      <c r="Y29" s="418">
        <f t="shared" si="48"/>
        <v>0</v>
      </c>
      <c r="Z29" s="418">
        <f t="shared" si="48"/>
        <v>0</v>
      </c>
      <c r="AA29" s="418">
        <f t="shared" si="48"/>
        <v>0</v>
      </c>
      <c r="AB29" s="418">
        <f t="shared" si="48"/>
        <v>0</v>
      </c>
      <c r="AC29" s="418">
        <f t="shared" si="48"/>
        <v>0</v>
      </c>
      <c r="AD29" s="418">
        <f t="shared" si="48"/>
        <v>0</v>
      </c>
      <c r="AE29" s="418">
        <f t="shared" si="48"/>
        <v>0</v>
      </c>
      <c r="AF29" s="418">
        <f t="shared" si="48"/>
        <v>0</v>
      </c>
      <c r="AG29" s="418">
        <f t="shared" si="48"/>
        <v>0</v>
      </c>
      <c r="AH29" s="418">
        <f t="shared" si="48"/>
        <v>0</v>
      </c>
      <c r="AI29" s="418">
        <f t="shared" si="48"/>
        <v>0</v>
      </c>
      <c r="AJ29" s="418">
        <f t="shared" si="48"/>
        <v>0</v>
      </c>
      <c r="AK29" s="418">
        <f t="shared" si="48"/>
        <v>0</v>
      </c>
      <c r="AL29" s="418">
        <f t="shared" si="48"/>
        <v>0</v>
      </c>
      <c r="AM29" s="418">
        <f t="shared" si="48"/>
        <v>0</v>
      </c>
      <c r="AN29" s="418">
        <f t="shared" si="48"/>
        <v>0</v>
      </c>
      <c r="AO29" s="418">
        <f t="shared" si="48"/>
        <v>0</v>
      </c>
      <c r="AP29" s="418">
        <f t="shared" si="48"/>
        <v>0</v>
      </c>
      <c r="AQ29" s="418">
        <f t="shared" si="48"/>
        <v>0</v>
      </c>
      <c r="AR29" s="418">
        <f t="shared" si="48"/>
        <v>0</v>
      </c>
      <c r="AS29" s="418">
        <f t="shared" si="48"/>
        <v>0</v>
      </c>
      <c r="AT29" s="418">
        <f t="shared" si="48"/>
        <v>0</v>
      </c>
      <c r="AU29" s="418">
        <f t="shared" si="48"/>
        <v>0</v>
      </c>
      <c r="AV29" s="418">
        <f t="shared" si="48"/>
        <v>0</v>
      </c>
      <c r="AW29" s="418">
        <f t="shared" si="48"/>
        <v>0</v>
      </c>
      <c r="AX29" s="418">
        <f t="shared" si="48"/>
        <v>0</v>
      </c>
      <c r="AY29" s="418">
        <f t="shared" si="48"/>
        <v>0</v>
      </c>
      <c r="AZ29" s="418">
        <f t="shared" si="48"/>
        <v>0</v>
      </c>
      <c r="BA29" s="418">
        <f t="shared" si="48"/>
        <v>0</v>
      </c>
      <c r="BB29" s="418">
        <f t="shared" si="48"/>
        <v>0</v>
      </c>
      <c r="BC29" s="418">
        <f t="shared" si="48"/>
        <v>0</v>
      </c>
      <c r="BD29" s="418">
        <f t="shared" si="48"/>
        <v>0</v>
      </c>
      <c r="BE29" s="418">
        <f t="shared" si="48"/>
        <v>0</v>
      </c>
      <c r="BF29" s="418">
        <f t="shared" si="48"/>
        <v>0</v>
      </c>
      <c r="BG29" s="418">
        <f t="shared" si="48"/>
        <v>0</v>
      </c>
      <c r="BH29" s="418">
        <f t="shared" si="48"/>
        <v>0</v>
      </c>
      <c r="BI29" s="418">
        <f t="shared" si="48"/>
        <v>0</v>
      </c>
      <c r="BJ29" s="418">
        <f t="shared" si="48"/>
        <v>0</v>
      </c>
      <c r="BK29" s="418">
        <f t="shared" si="48"/>
        <v>0</v>
      </c>
      <c r="BL29" s="418">
        <f t="shared" si="48"/>
        <v>0</v>
      </c>
      <c r="BM29" s="418">
        <f t="shared" si="48"/>
        <v>0</v>
      </c>
      <c r="BN29" s="418">
        <f t="shared" si="48"/>
        <v>0</v>
      </c>
      <c r="BO29" s="418">
        <f t="shared" si="48"/>
        <v>0</v>
      </c>
      <c r="BP29" s="418">
        <f t="shared" ref="BP29:DF29" si="49">IF((BP28-49.5)&lt;0,0,(BP28-49.5))</f>
        <v>0</v>
      </c>
      <c r="BQ29" s="418">
        <f t="shared" si="49"/>
        <v>0</v>
      </c>
      <c r="BR29" s="418">
        <f t="shared" si="49"/>
        <v>0</v>
      </c>
      <c r="BS29" s="418">
        <f t="shared" si="49"/>
        <v>0</v>
      </c>
      <c r="BT29" s="418">
        <f t="shared" si="49"/>
        <v>0</v>
      </c>
      <c r="BU29" s="418">
        <f t="shared" si="49"/>
        <v>0</v>
      </c>
      <c r="BV29" s="418">
        <f t="shared" si="49"/>
        <v>0</v>
      </c>
      <c r="BW29" s="418">
        <f t="shared" si="49"/>
        <v>0</v>
      </c>
      <c r="BX29" s="418">
        <f t="shared" si="49"/>
        <v>0</v>
      </c>
      <c r="BY29" s="418">
        <f t="shared" si="49"/>
        <v>0</v>
      </c>
      <c r="BZ29" s="418">
        <f t="shared" si="49"/>
        <v>0</v>
      </c>
      <c r="CA29" s="418">
        <f t="shared" si="49"/>
        <v>0</v>
      </c>
      <c r="CB29" s="418">
        <f t="shared" si="49"/>
        <v>0</v>
      </c>
      <c r="CC29" s="418">
        <f t="shared" si="49"/>
        <v>0</v>
      </c>
      <c r="CD29" s="418">
        <f t="shared" si="49"/>
        <v>0</v>
      </c>
      <c r="CE29" s="418">
        <f t="shared" si="49"/>
        <v>0</v>
      </c>
      <c r="CF29" s="418">
        <f t="shared" si="49"/>
        <v>0</v>
      </c>
      <c r="CG29" s="418">
        <f t="shared" si="49"/>
        <v>0</v>
      </c>
      <c r="CH29" s="418">
        <f t="shared" si="49"/>
        <v>0</v>
      </c>
      <c r="CI29" s="418">
        <f t="shared" si="49"/>
        <v>0</v>
      </c>
      <c r="CJ29" s="418">
        <f t="shared" si="49"/>
        <v>0</v>
      </c>
      <c r="CK29" s="418">
        <f t="shared" si="49"/>
        <v>0</v>
      </c>
      <c r="CL29" s="418">
        <f t="shared" si="49"/>
        <v>0</v>
      </c>
      <c r="CM29" s="418">
        <f t="shared" si="49"/>
        <v>0</v>
      </c>
      <c r="CN29" s="418">
        <f t="shared" si="49"/>
        <v>0</v>
      </c>
      <c r="CO29" s="418">
        <f t="shared" si="49"/>
        <v>0</v>
      </c>
      <c r="CP29" s="418">
        <f t="shared" si="49"/>
        <v>0</v>
      </c>
      <c r="CQ29" s="418">
        <f t="shared" si="49"/>
        <v>0</v>
      </c>
      <c r="CR29" s="418">
        <f t="shared" si="49"/>
        <v>0</v>
      </c>
      <c r="CS29" s="418">
        <f t="shared" si="49"/>
        <v>0</v>
      </c>
      <c r="CT29" s="418">
        <f t="shared" si="49"/>
        <v>0</v>
      </c>
      <c r="CU29" s="418">
        <f t="shared" si="49"/>
        <v>0</v>
      </c>
      <c r="CV29" s="418">
        <f t="shared" si="49"/>
        <v>0</v>
      </c>
      <c r="CW29" s="418">
        <f t="shared" si="49"/>
        <v>0</v>
      </c>
      <c r="CX29" s="418">
        <f t="shared" si="49"/>
        <v>0</v>
      </c>
      <c r="CY29" s="418">
        <f t="shared" si="49"/>
        <v>0</v>
      </c>
      <c r="CZ29" s="418">
        <f t="shared" si="49"/>
        <v>0</v>
      </c>
      <c r="DA29" s="418">
        <f t="shared" si="49"/>
        <v>0</v>
      </c>
      <c r="DB29" s="418">
        <f t="shared" si="49"/>
        <v>0</v>
      </c>
      <c r="DC29" s="418">
        <f t="shared" si="49"/>
        <v>0</v>
      </c>
      <c r="DD29" s="418">
        <f t="shared" si="49"/>
        <v>0</v>
      </c>
      <c r="DE29" s="418">
        <f t="shared" si="49"/>
        <v>0</v>
      </c>
      <c r="DF29" s="418">
        <f t="shared" si="49"/>
        <v>0</v>
      </c>
    </row>
    <row r="30" spans="1:110" s="425" customFormat="1" ht="12" customHeight="1">
      <c r="O30" s="425" t="s">
        <v>313</v>
      </c>
      <c r="P30" s="425" t="s">
        <v>313</v>
      </c>
      <c r="Q30" s="425" t="s">
        <v>313</v>
      </c>
      <c r="R30" s="425" t="s">
        <v>313</v>
      </c>
      <c r="S30" s="425" t="s">
        <v>313</v>
      </c>
      <c r="T30" s="425" t="s">
        <v>313</v>
      </c>
      <c r="U30" s="425" t="s">
        <v>313</v>
      </c>
      <c r="V30" s="425" t="s">
        <v>313</v>
      </c>
      <c r="W30" s="425" t="s">
        <v>313</v>
      </c>
      <c r="X30" s="425" t="s">
        <v>313</v>
      </c>
      <c r="Y30" s="425" t="s">
        <v>313</v>
      </c>
      <c r="Z30" s="425" t="s">
        <v>313</v>
      </c>
      <c r="AA30" s="425" t="s">
        <v>314</v>
      </c>
      <c r="AB30" s="425" t="s">
        <v>314</v>
      </c>
      <c r="AC30" s="425" t="s">
        <v>314</v>
      </c>
      <c r="AD30" s="425" t="s">
        <v>314</v>
      </c>
      <c r="AE30" s="425" t="s">
        <v>314</v>
      </c>
      <c r="AF30" s="425" t="s">
        <v>314</v>
      </c>
      <c r="AG30" s="425" t="s">
        <v>314</v>
      </c>
      <c r="AH30" s="425" t="s">
        <v>314</v>
      </c>
      <c r="AI30" s="425" t="s">
        <v>314</v>
      </c>
      <c r="AJ30" s="425" t="s">
        <v>314</v>
      </c>
      <c r="AK30" s="425" t="s">
        <v>314</v>
      </c>
      <c r="AL30" s="425" t="s">
        <v>314</v>
      </c>
      <c r="AM30" s="425" t="s">
        <v>315</v>
      </c>
      <c r="AN30" s="425" t="s">
        <v>315</v>
      </c>
      <c r="AO30" s="425" t="s">
        <v>315</v>
      </c>
      <c r="AP30" s="425" t="s">
        <v>315</v>
      </c>
      <c r="AQ30" s="425" t="s">
        <v>315</v>
      </c>
      <c r="AR30" s="425" t="s">
        <v>315</v>
      </c>
      <c r="AS30" s="425" t="s">
        <v>315</v>
      </c>
      <c r="AT30" s="425" t="s">
        <v>315</v>
      </c>
      <c r="AU30" s="425" t="s">
        <v>315</v>
      </c>
      <c r="AV30" s="425" t="s">
        <v>315</v>
      </c>
      <c r="AW30" s="425" t="s">
        <v>315</v>
      </c>
      <c r="AX30" s="425" t="s">
        <v>315</v>
      </c>
      <c r="AY30" s="425" t="s">
        <v>316</v>
      </c>
      <c r="AZ30" s="425" t="s">
        <v>316</v>
      </c>
      <c r="BA30" s="425" t="s">
        <v>316</v>
      </c>
      <c r="BB30" s="425" t="s">
        <v>316</v>
      </c>
      <c r="BC30" s="425" t="s">
        <v>316</v>
      </c>
      <c r="BD30" s="425" t="s">
        <v>316</v>
      </c>
      <c r="BE30" s="425" t="s">
        <v>316</v>
      </c>
      <c r="BF30" s="425" t="s">
        <v>316</v>
      </c>
      <c r="BG30" s="425" t="s">
        <v>316</v>
      </c>
      <c r="BH30" s="425" t="s">
        <v>316</v>
      </c>
      <c r="BI30" s="425" t="s">
        <v>316</v>
      </c>
      <c r="BJ30" s="425" t="s">
        <v>316</v>
      </c>
      <c r="BK30" s="425" t="s">
        <v>317</v>
      </c>
      <c r="BL30" s="425" t="s">
        <v>317</v>
      </c>
      <c r="BM30" s="425" t="s">
        <v>317</v>
      </c>
      <c r="BN30" s="425" t="s">
        <v>317</v>
      </c>
      <c r="BO30" s="425" t="s">
        <v>317</v>
      </c>
      <c r="BP30" s="425" t="s">
        <v>317</v>
      </c>
      <c r="BQ30" s="425" t="s">
        <v>317</v>
      </c>
      <c r="BR30" s="425" t="s">
        <v>317</v>
      </c>
      <c r="BS30" s="425" t="s">
        <v>317</v>
      </c>
      <c r="BT30" s="425" t="s">
        <v>317</v>
      </c>
      <c r="BU30" s="425" t="s">
        <v>317</v>
      </c>
      <c r="BV30" s="425" t="s">
        <v>317</v>
      </c>
      <c r="BW30" s="425" t="s">
        <v>318</v>
      </c>
      <c r="BX30" s="425" t="s">
        <v>318</v>
      </c>
      <c r="BY30" s="425" t="s">
        <v>318</v>
      </c>
      <c r="BZ30" s="425" t="s">
        <v>318</v>
      </c>
      <c r="CA30" s="425" t="s">
        <v>318</v>
      </c>
      <c r="CB30" s="425" t="s">
        <v>318</v>
      </c>
      <c r="CC30" s="425" t="s">
        <v>318</v>
      </c>
      <c r="CD30" s="425" t="s">
        <v>318</v>
      </c>
      <c r="CE30" s="425" t="s">
        <v>318</v>
      </c>
      <c r="CF30" s="425" t="s">
        <v>318</v>
      </c>
      <c r="CG30" s="425" t="s">
        <v>318</v>
      </c>
      <c r="CH30" s="425" t="s">
        <v>318</v>
      </c>
      <c r="CI30" s="425" t="s">
        <v>319</v>
      </c>
      <c r="CJ30" s="425" t="s">
        <v>319</v>
      </c>
      <c r="CK30" s="425" t="s">
        <v>319</v>
      </c>
      <c r="CL30" s="425" t="s">
        <v>319</v>
      </c>
      <c r="CM30" s="425" t="s">
        <v>319</v>
      </c>
      <c r="CN30" s="425" t="s">
        <v>319</v>
      </c>
      <c r="CO30" s="425" t="s">
        <v>319</v>
      </c>
      <c r="CP30" s="425" t="s">
        <v>319</v>
      </c>
      <c r="CQ30" s="425" t="s">
        <v>319</v>
      </c>
      <c r="CR30" s="425" t="s">
        <v>319</v>
      </c>
      <c r="CS30" s="425" t="s">
        <v>319</v>
      </c>
      <c r="CT30" s="425" t="s">
        <v>319</v>
      </c>
      <c r="CU30" s="425" t="s">
        <v>320</v>
      </c>
      <c r="CV30" s="425" t="s">
        <v>320</v>
      </c>
      <c r="CW30" s="425" t="s">
        <v>320</v>
      </c>
      <c r="CX30" s="425" t="s">
        <v>320</v>
      </c>
      <c r="CY30" s="425" t="s">
        <v>320</v>
      </c>
      <c r="CZ30" s="425" t="s">
        <v>320</v>
      </c>
      <c r="DA30" s="425" t="s">
        <v>320</v>
      </c>
      <c r="DB30" s="425" t="s">
        <v>320</v>
      </c>
      <c r="DC30" s="425" t="s">
        <v>320</v>
      </c>
      <c r="DD30" s="425" t="s">
        <v>320</v>
      </c>
      <c r="DE30" s="425" t="s">
        <v>320</v>
      </c>
      <c r="DF30" s="425" t="s">
        <v>320</v>
      </c>
    </row>
    <row r="31" spans="1:110" ht="12" customHeight="1">
      <c r="O31" s="418">
        <f t="shared" ref="O31:BZ31" si="50">49.5-O27</f>
        <v>31.106160616061608</v>
      </c>
      <c r="P31" s="418">
        <f t="shared" si="50"/>
        <v>30.938943894389439</v>
      </c>
      <c r="Q31" s="418">
        <f t="shared" si="50"/>
        <v>30.77172717271727</v>
      </c>
      <c r="R31" s="418">
        <f t="shared" si="50"/>
        <v>28.615511551155116</v>
      </c>
      <c r="S31" s="418">
        <f t="shared" si="50"/>
        <v>28.338283828382838</v>
      </c>
      <c r="T31" s="418">
        <f t="shared" si="50"/>
        <v>28.061056105610561</v>
      </c>
      <c r="U31" s="418">
        <f t="shared" si="50"/>
        <v>27.783828382838283</v>
      </c>
      <c r="V31" s="418">
        <f t="shared" si="50"/>
        <v>27.506600660066006</v>
      </c>
      <c r="W31" s="418">
        <f t="shared" si="50"/>
        <v>27.229372937293732</v>
      </c>
      <c r="X31" s="418">
        <f t="shared" si="50"/>
        <v>26.952145214521455</v>
      </c>
      <c r="Y31" s="418">
        <f t="shared" si="50"/>
        <v>26.490099009900991</v>
      </c>
      <c r="Z31" s="418">
        <f t="shared" si="50"/>
        <v>26.028052805280527</v>
      </c>
      <c r="AA31" s="418">
        <f t="shared" si="50"/>
        <v>27.761826182618265</v>
      </c>
      <c r="AB31" s="418">
        <f t="shared" si="50"/>
        <v>27.585808580858089</v>
      </c>
      <c r="AC31" s="418">
        <f t="shared" si="50"/>
        <v>27.321782178217827</v>
      </c>
      <c r="AD31" s="418">
        <f t="shared" si="50"/>
        <v>27.145764576457648</v>
      </c>
      <c r="AE31" s="418">
        <f t="shared" si="50"/>
        <v>26.969746974697472</v>
      </c>
      <c r="AF31" s="418">
        <f t="shared" si="50"/>
        <v>26.881738173817386</v>
      </c>
      <c r="AG31" s="418">
        <f t="shared" si="50"/>
        <v>26.793729372937296</v>
      </c>
      <c r="AH31" s="418">
        <f t="shared" si="50"/>
        <v>26.70572057205721</v>
      </c>
      <c r="AI31" s="418">
        <f t="shared" si="50"/>
        <v>26.61771177117712</v>
      </c>
      <c r="AJ31" s="418">
        <f t="shared" si="50"/>
        <v>26.529702970297031</v>
      </c>
      <c r="AK31" s="418">
        <f t="shared" si="50"/>
        <v>26.441694169416945</v>
      </c>
      <c r="AL31" s="418">
        <f t="shared" si="50"/>
        <v>26.353685368536855</v>
      </c>
      <c r="AM31" s="418">
        <f t="shared" si="50"/>
        <v>26.177667766776683</v>
      </c>
      <c r="AN31" s="418">
        <f t="shared" si="50"/>
        <v>26.001650165016503</v>
      </c>
      <c r="AO31" s="418">
        <f t="shared" si="50"/>
        <v>25.825632563256328</v>
      </c>
      <c r="AP31" s="418">
        <f t="shared" si="50"/>
        <v>25.649614961496155</v>
      </c>
      <c r="AQ31" s="418">
        <f t="shared" si="50"/>
        <v>25.473597359735976</v>
      </c>
      <c r="AR31" s="418">
        <f t="shared" si="50"/>
        <v>25.2975797579758</v>
      </c>
      <c r="AS31" s="418">
        <f t="shared" si="50"/>
        <v>25.121562156215624</v>
      </c>
      <c r="AT31" s="418">
        <f t="shared" si="50"/>
        <v>24.945544554455449</v>
      </c>
      <c r="AU31" s="418">
        <f t="shared" si="50"/>
        <v>24.769526952695273</v>
      </c>
      <c r="AV31" s="418">
        <f t="shared" si="50"/>
        <v>24.585368536853689</v>
      </c>
      <c r="AW31" s="418">
        <f t="shared" si="50"/>
        <v>24.409350935093514</v>
      </c>
      <c r="AX31" s="418">
        <f t="shared" si="50"/>
        <v>24.233333333333334</v>
      </c>
      <c r="AY31" s="418">
        <f t="shared" si="50"/>
        <v>24.145324532453248</v>
      </c>
      <c r="AZ31" s="418">
        <f t="shared" si="50"/>
        <v>24.057315731573159</v>
      </c>
      <c r="BA31" s="418">
        <f t="shared" si="50"/>
        <v>23.969306930693072</v>
      </c>
      <c r="BB31" s="418">
        <f t="shared" si="50"/>
        <v>23.881298129812986</v>
      </c>
      <c r="BC31" s="418">
        <f t="shared" si="50"/>
        <v>23.793289328932897</v>
      </c>
      <c r="BD31" s="418">
        <f t="shared" si="50"/>
        <v>23.705280528052807</v>
      </c>
      <c r="BE31" s="418">
        <f t="shared" si="50"/>
        <v>23.617271727172721</v>
      </c>
      <c r="BF31" s="418">
        <f t="shared" si="50"/>
        <v>23.529262926292631</v>
      </c>
      <c r="BG31" s="418">
        <f t="shared" si="50"/>
        <v>23.441254125412541</v>
      </c>
      <c r="BH31" s="418">
        <f t="shared" si="50"/>
        <v>23.353245324532459</v>
      </c>
      <c r="BI31" s="418">
        <f t="shared" si="50"/>
        <v>23.265236523652369</v>
      </c>
      <c r="BJ31" s="418">
        <f t="shared" si="50"/>
        <v>23.17722772277228</v>
      </c>
      <c r="BK31" s="418">
        <f t="shared" si="50"/>
        <v>21.155715071507153</v>
      </c>
      <c r="BL31" s="418">
        <f t="shared" si="50"/>
        <v>21.108410341034105</v>
      </c>
      <c r="BM31" s="418">
        <f t="shared" si="50"/>
        <v>21.061105610561057</v>
      </c>
      <c r="BN31" s="418">
        <f t="shared" si="50"/>
        <v>21.013800880088009</v>
      </c>
      <c r="BO31" s="418">
        <f t="shared" si="50"/>
        <v>20.966496149614962</v>
      </c>
      <c r="BP31" s="418">
        <f t="shared" si="50"/>
        <v>20.919191419141917</v>
      </c>
      <c r="BQ31" s="418">
        <f t="shared" si="50"/>
        <v>20.871886688668866</v>
      </c>
      <c r="BR31" s="418">
        <f t="shared" si="50"/>
        <v>20.824581958195822</v>
      </c>
      <c r="BS31" s="418">
        <f t="shared" si="50"/>
        <v>20.777277227722774</v>
      </c>
      <c r="BT31" s="418">
        <f t="shared" si="50"/>
        <v>20.729972497249726</v>
      </c>
      <c r="BU31" s="418">
        <f t="shared" si="50"/>
        <v>20.682667766776678</v>
      </c>
      <c r="BV31" s="418">
        <f t="shared" si="50"/>
        <v>20.63536303630363</v>
      </c>
      <c r="BW31" s="418">
        <f t="shared" si="50"/>
        <v>20.588058305830586</v>
      </c>
      <c r="BX31" s="418">
        <f t="shared" si="50"/>
        <v>20.540753575357535</v>
      </c>
      <c r="BY31" s="418">
        <f t="shared" si="50"/>
        <v>20.49344884488449</v>
      </c>
      <c r="BZ31" s="418">
        <f t="shared" si="50"/>
        <v>20.446144114411442</v>
      </c>
      <c r="CA31" s="418">
        <f t="shared" ref="CA31:DE31" si="51">49.5-CA27</f>
        <v>20.398839383938395</v>
      </c>
      <c r="CB31" s="418">
        <f t="shared" si="51"/>
        <v>20.351534653465347</v>
      </c>
      <c r="CC31" s="418">
        <f t="shared" si="51"/>
        <v>20.304229922992302</v>
      </c>
      <c r="CD31" s="418">
        <f t="shared" si="51"/>
        <v>20.256925192519251</v>
      </c>
      <c r="CE31" s="418">
        <f t="shared" si="51"/>
        <v>20.209620462046203</v>
      </c>
      <c r="CF31" s="418">
        <f t="shared" si="51"/>
        <v>19.8211798679868</v>
      </c>
      <c r="CG31" s="418">
        <f t="shared" si="51"/>
        <v>19.773325082508254</v>
      </c>
      <c r="CH31" s="418">
        <f t="shared" si="51"/>
        <v>19.725470297029705</v>
      </c>
      <c r="CI31" s="418">
        <f t="shared" si="51"/>
        <v>19.677615511551156</v>
      </c>
      <c r="CJ31" s="418">
        <f t="shared" si="51"/>
        <v>19.629760726072611</v>
      </c>
      <c r="CK31" s="418">
        <f t="shared" si="51"/>
        <v>19.581905940594062</v>
      </c>
      <c r="CL31" s="418">
        <f t="shared" si="51"/>
        <v>19.534051155115513</v>
      </c>
      <c r="CM31" s="418">
        <f t="shared" si="51"/>
        <v>19.486196369636968</v>
      </c>
      <c r="CN31" s="418">
        <f t="shared" si="51"/>
        <v>19.438341584158419</v>
      </c>
      <c r="CO31" s="418">
        <f t="shared" si="51"/>
        <v>19.39048679867987</v>
      </c>
      <c r="CP31" s="418">
        <f t="shared" si="51"/>
        <v>19.342632013201321</v>
      </c>
      <c r="CQ31" s="418">
        <f t="shared" si="51"/>
        <v>19.294777227722776</v>
      </c>
      <c r="CR31" s="418">
        <f t="shared" si="51"/>
        <v>19.246922442244227</v>
      </c>
      <c r="CS31" s="418">
        <f t="shared" si="51"/>
        <v>19.199067656765678</v>
      </c>
      <c r="CT31" s="418">
        <f t="shared" si="51"/>
        <v>19.151212871287132</v>
      </c>
      <c r="CU31" s="418">
        <f t="shared" si="51"/>
        <v>19.103358085808583</v>
      </c>
      <c r="CV31" s="418">
        <f t="shared" si="51"/>
        <v>19.055503300330034</v>
      </c>
      <c r="CW31" s="418">
        <f t="shared" si="51"/>
        <v>19.007648514851489</v>
      </c>
      <c r="CX31" s="418">
        <f t="shared" si="51"/>
        <v>18.95979372937294</v>
      </c>
      <c r="CY31" s="418">
        <f t="shared" si="51"/>
        <v>18.911938943894391</v>
      </c>
      <c r="CZ31" s="418">
        <f t="shared" si="51"/>
        <v>18.864084158415846</v>
      </c>
      <c r="DA31" s="418">
        <f t="shared" si="51"/>
        <v>18.816229372937293</v>
      </c>
      <c r="DB31" s="418">
        <f t="shared" si="51"/>
        <v>18.768374587458748</v>
      </c>
      <c r="DC31" s="418">
        <f t="shared" si="51"/>
        <v>18.720519801980203</v>
      </c>
      <c r="DD31" s="418">
        <f t="shared" si="51"/>
        <v>18.67266501650165</v>
      </c>
      <c r="DE31" s="418">
        <f t="shared" si="51"/>
        <v>18.624810231023105</v>
      </c>
      <c r="DF31" s="418">
        <f>49.5-DF27</f>
        <v>18.576955445544559</v>
      </c>
    </row>
    <row r="32" spans="1:110" ht="12" customHeight="1">
      <c r="O32" s="341">
        <f t="shared" ref="O32:BZ32" si="52">O31/49.5%</f>
        <v>62.840728517296178</v>
      </c>
      <c r="P32" s="341">
        <f t="shared" si="52"/>
        <v>62.502916958362505</v>
      </c>
      <c r="Q32" s="341">
        <f t="shared" si="52"/>
        <v>62.165105399428832</v>
      </c>
      <c r="R32" s="341">
        <f t="shared" si="52"/>
        <v>57.809114244757808</v>
      </c>
      <c r="S32" s="341">
        <f t="shared" si="52"/>
        <v>57.24905823915725</v>
      </c>
      <c r="T32" s="341">
        <f t="shared" si="52"/>
        <v>56.689002233556693</v>
      </c>
      <c r="U32" s="341">
        <f t="shared" si="52"/>
        <v>56.128946227956128</v>
      </c>
      <c r="V32" s="341">
        <f t="shared" si="52"/>
        <v>55.56889022235557</v>
      </c>
      <c r="W32" s="341">
        <f t="shared" si="52"/>
        <v>55.008834216755012</v>
      </c>
      <c r="X32" s="341">
        <f t="shared" si="52"/>
        <v>54.448778211154455</v>
      </c>
      <c r="Y32" s="341">
        <f t="shared" si="52"/>
        <v>53.515351535153521</v>
      </c>
      <c r="Z32" s="341">
        <f t="shared" si="52"/>
        <v>52.581924859152579</v>
      </c>
      <c r="AA32" s="341">
        <f t="shared" si="52"/>
        <v>56.084497338622761</v>
      </c>
      <c r="AB32" s="341">
        <f t="shared" si="52"/>
        <v>55.728906223955732</v>
      </c>
      <c r="AC32" s="341">
        <f t="shared" si="52"/>
        <v>55.195519551955208</v>
      </c>
      <c r="AD32" s="341">
        <f t="shared" si="52"/>
        <v>54.839928437288179</v>
      </c>
      <c r="AE32" s="341">
        <f t="shared" si="52"/>
        <v>54.484337322621158</v>
      </c>
      <c r="AF32" s="341">
        <f t="shared" si="52"/>
        <v>54.306541765287648</v>
      </c>
      <c r="AG32" s="341">
        <f t="shared" si="52"/>
        <v>54.128746207954137</v>
      </c>
      <c r="AH32" s="341">
        <f t="shared" si="52"/>
        <v>53.950950650620626</v>
      </c>
      <c r="AI32" s="341">
        <f t="shared" si="52"/>
        <v>53.773155093287109</v>
      </c>
      <c r="AJ32" s="341">
        <f t="shared" si="52"/>
        <v>53.595359535953598</v>
      </c>
      <c r="AK32" s="341">
        <f t="shared" si="52"/>
        <v>53.417563978620088</v>
      </c>
      <c r="AL32" s="341">
        <f t="shared" si="52"/>
        <v>53.239768421286577</v>
      </c>
      <c r="AM32" s="341">
        <f t="shared" si="52"/>
        <v>52.884177306619563</v>
      </c>
      <c r="AN32" s="341">
        <f t="shared" si="52"/>
        <v>52.528586191952535</v>
      </c>
      <c r="AO32" s="341">
        <f t="shared" si="52"/>
        <v>52.172995077285513</v>
      </c>
      <c r="AP32" s="341">
        <f t="shared" si="52"/>
        <v>51.817403962618499</v>
      </c>
      <c r="AQ32" s="341">
        <f t="shared" si="52"/>
        <v>51.461812847951464</v>
      </c>
      <c r="AR32" s="341">
        <f t="shared" si="52"/>
        <v>51.106221733284443</v>
      </c>
      <c r="AS32" s="341">
        <f t="shared" si="52"/>
        <v>50.750630618617421</v>
      </c>
      <c r="AT32" s="341">
        <f t="shared" si="52"/>
        <v>50.3950395039504</v>
      </c>
      <c r="AU32" s="341">
        <f t="shared" si="52"/>
        <v>50.039448389283379</v>
      </c>
      <c r="AV32" s="341">
        <f t="shared" si="52"/>
        <v>49.667411185563012</v>
      </c>
      <c r="AW32" s="341">
        <f t="shared" si="52"/>
        <v>49.31182007089599</v>
      </c>
      <c r="AX32" s="341">
        <f t="shared" si="52"/>
        <v>48.956228956228962</v>
      </c>
      <c r="AY32" s="341">
        <f t="shared" si="52"/>
        <v>48.778433398895451</v>
      </c>
      <c r="AZ32" s="341">
        <f t="shared" si="52"/>
        <v>48.600637841561934</v>
      </c>
      <c r="BA32" s="341">
        <f t="shared" si="52"/>
        <v>48.42284228422843</v>
      </c>
      <c r="BB32" s="341">
        <f t="shared" si="52"/>
        <v>48.24504672689492</v>
      </c>
      <c r="BC32" s="341">
        <f t="shared" si="52"/>
        <v>48.067251169561409</v>
      </c>
      <c r="BD32" s="341">
        <f t="shared" si="52"/>
        <v>47.889455612227891</v>
      </c>
      <c r="BE32" s="341">
        <f t="shared" si="52"/>
        <v>47.711660054894388</v>
      </c>
      <c r="BF32" s="341">
        <f t="shared" si="52"/>
        <v>47.53386449756087</v>
      </c>
      <c r="BG32" s="341">
        <f t="shared" si="52"/>
        <v>47.35606894022736</v>
      </c>
      <c r="BH32" s="341">
        <f t="shared" si="52"/>
        <v>47.178273382893856</v>
      </c>
      <c r="BI32" s="341">
        <f t="shared" si="52"/>
        <v>47.000477825560345</v>
      </c>
      <c r="BJ32" s="341">
        <f t="shared" si="52"/>
        <v>46.822682268226828</v>
      </c>
      <c r="BK32" s="341">
        <f t="shared" si="52"/>
        <v>42.738818326277077</v>
      </c>
      <c r="BL32" s="341">
        <f t="shared" si="52"/>
        <v>42.643253214210311</v>
      </c>
      <c r="BM32" s="341">
        <f t="shared" si="52"/>
        <v>42.547688102143553</v>
      </c>
      <c r="BN32" s="341">
        <f t="shared" si="52"/>
        <v>42.452122990076788</v>
      </c>
      <c r="BO32" s="341">
        <f t="shared" si="52"/>
        <v>42.356557878010022</v>
      </c>
      <c r="BP32" s="341">
        <f t="shared" si="52"/>
        <v>42.260992765943264</v>
      </c>
      <c r="BQ32" s="341">
        <f t="shared" si="52"/>
        <v>42.165427653876499</v>
      </c>
      <c r="BR32" s="341">
        <f t="shared" si="52"/>
        <v>42.069862541809741</v>
      </c>
      <c r="BS32" s="341">
        <f t="shared" si="52"/>
        <v>41.974297429742975</v>
      </c>
      <c r="BT32" s="341">
        <f t="shared" si="52"/>
        <v>41.878732317676217</v>
      </c>
      <c r="BU32" s="341">
        <f t="shared" si="52"/>
        <v>41.783167205609452</v>
      </c>
      <c r="BV32" s="341">
        <f t="shared" si="52"/>
        <v>41.687602093542687</v>
      </c>
      <c r="BW32" s="341">
        <f t="shared" si="52"/>
        <v>41.592036981475928</v>
      </c>
      <c r="BX32" s="341">
        <f t="shared" si="52"/>
        <v>41.496471869409163</v>
      </c>
      <c r="BY32" s="341">
        <f t="shared" si="52"/>
        <v>41.400906757342405</v>
      </c>
      <c r="BZ32" s="341">
        <f t="shared" si="52"/>
        <v>41.305341645275639</v>
      </c>
      <c r="CA32" s="341">
        <f t="shared" ref="CA32:DE32" si="53">CA31/49.5%</f>
        <v>41.209776533208881</v>
      </c>
      <c r="CB32" s="341">
        <f t="shared" si="53"/>
        <v>41.114211421142116</v>
      </c>
      <c r="CC32" s="341">
        <f t="shared" si="53"/>
        <v>41.018646309075358</v>
      </c>
      <c r="CD32" s="341">
        <f t="shared" si="53"/>
        <v>40.923081197008585</v>
      </c>
      <c r="CE32" s="341">
        <f t="shared" si="53"/>
        <v>40.827516084941827</v>
      </c>
      <c r="CF32" s="341">
        <f t="shared" si="53"/>
        <v>40.042787612094543</v>
      </c>
      <c r="CG32" s="341">
        <f t="shared" si="53"/>
        <v>39.946111277794451</v>
      </c>
      <c r="CH32" s="341">
        <f t="shared" si="53"/>
        <v>39.849434943494352</v>
      </c>
      <c r="CI32" s="341">
        <f t="shared" si="53"/>
        <v>39.752758609194252</v>
      </c>
      <c r="CJ32" s="341">
        <f t="shared" si="53"/>
        <v>39.656082274894167</v>
      </c>
      <c r="CK32" s="341">
        <f t="shared" si="53"/>
        <v>39.559405940594068</v>
      </c>
      <c r="CL32" s="341">
        <f t="shared" si="53"/>
        <v>39.462729606293969</v>
      </c>
      <c r="CM32" s="341">
        <f t="shared" si="53"/>
        <v>39.366053271993877</v>
      </c>
      <c r="CN32" s="341">
        <f t="shared" si="53"/>
        <v>39.269376937693778</v>
      </c>
      <c r="CO32" s="341">
        <f t="shared" si="53"/>
        <v>39.172700603393679</v>
      </c>
      <c r="CP32" s="341">
        <f t="shared" si="53"/>
        <v>39.07602426909358</v>
      </c>
      <c r="CQ32" s="341">
        <f t="shared" si="53"/>
        <v>38.979347934793488</v>
      </c>
      <c r="CR32" s="341">
        <f t="shared" si="53"/>
        <v>38.882671600493389</v>
      </c>
      <c r="CS32" s="341">
        <f t="shared" si="53"/>
        <v>38.785995266193289</v>
      </c>
      <c r="CT32" s="341">
        <f t="shared" si="53"/>
        <v>38.689318931893197</v>
      </c>
      <c r="CU32" s="341">
        <f t="shared" si="53"/>
        <v>38.592642597593098</v>
      </c>
      <c r="CV32" s="341">
        <f t="shared" si="53"/>
        <v>38.495966263292999</v>
      </c>
      <c r="CW32" s="341">
        <f t="shared" si="53"/>
        <v>38.399289928992907</v>
      </c>
      <c r="CX32" s="341">
        <f t="shared" si="53"/>
        <v>38.302613594692808</v>
      </c>
      <c r="CY32" s="341">
        <f t="shared" si="53"/>
        <v>38.205937260392709</v>
      </c>
      <c r="CZ32" s="341">
        <f t="shared" si="53"/>
        <v>38.109260926092617</v>
      </c>
      <c r="DA32" s="341">
        <f t="shared" si="53"/>
        <v>38.01258459179251</v>
      </c>
      <c r="DB32" s="341">
        <f t="shared" si="53"/>
        <v>37.915908257492418</v>
      </c>
      <c r="DC32" s="341">
        <f t="shared" si="53"/>
        <v>37.819231923192326</v>
      </c>
      <c r="DD32" s="341">
        <f t="shared" si="53"/>
        <v>37.72255558889222</v>
      </c>
      <c r="DE32" s="341">
        <f t="shared" si="53"/>
        <v>37.625879254592128</v>
      </c>
      <c r="DF32" s="341">
        <f>DF31/49.5%</f>
        <v>37.529202920292036</v>
      </c>
    </row>
  </sheetData>
  <autoFilter ref="A1:DF29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23"/>
  <sheetViews>
    <sheetView zoomScaleNormal="100" workbookViewId="0">
      <pane xSplit="2" topLeftCell="AQ1" activePane="topRight" state="frozen"/>
      <selection activeCell="U8" sqref="U8"/>
      <selection pane="topRight" activeCell="C10" sqref="C10"/>
    </sheetView>
  </sheetViews>
  <sheetFormatPr defaultColWidth="8" defaultRowHeight="12" customHeight="1" outlineLevelCol="1"/>
  <cols>
    <col min="1" max="1" width="28.42578125" style="406" customWidth="1"/>
    <col min="2" max="2" width="7.7109375" style="406" customWidth="1"/>
    <col min="3" max="20" width="12.5703125" style="406" hidden="1" customWidth="1" outlineLevel="1"/>
    <col min="21" max="24" width="13.42578125" style="406" hidden="1" customWidth="1" outlineLevel="1"/>
    <col min="25" max="25" width="12.5703125" style="406" hidden="1" customWidth="1" outlineLevel="1"/>
    <col min="26" max="47" width="13.42578125" style="406" hidden="1" customWidth="1" outlineLevel="1"/>
    <col min="48" max="48" width="13.42578125" style="406" bestFit="1" customWidth="1" collapsed="1"/>
    <col min="49" max="110" width="13.42578125" style="406" bestFit="1" customWidth="1"/>
    <col min="111" max="16384" width="8" style="406"/>
  </cols>
  <sheetData>
    <row r="1" spans="1:110" s="425" customFormat="1" ht="12" customHeight="1">
      <c r="O1" s="425" t="s">
        <v>313</v>
      </c>
      <c r="P1" s="425" t="s">
        <v>313</v>
      </c>
      <c r="Q1" s="425" t="s">
        <v>313</v>
      </c>
      <c r="R1" s="425" t="s">
        <v>313</v>
      </c>
      <c r="S1" s="425" t="s">
        <v>313</v>
      </c>
      <c r="T1" s="425" t="s">
        <v>313</v>
      </c>
      <c r="U1" s="425" t="s">
        <v>313</v>
      </c>
      <c r="V1" s="425" t="s">
        <v>313</v>
      </c>
      <c r="W1" s="425" t="s">
        <v>313</v>
      </c>
      <c r="X1" s="425" t="s">
        <v>313</v>
      </c>
      <c r="Y1" s="425" t="s">
        <v>313</v>
      </c>
      <c r="Z1" s="425" t="s">
        <v>313</v>
      </c>
      <c r="AA1" s="425" t="s">
        <v>314</v>
      </c>
      <c r="AB1" s="425" t="s">
        <v>314</v>
      </c>
      <c r="AC1" s="425" t="s">
        <v>314</v>
      </c>
      <c r="AD1" s="425" t="s">
        <v>314</v>
      </c>
      <c r="AE1" s="425" t="s">
        <v>314</v>
      </c>
      <c r="AF1" s="425" t="s">
        <v>314</v>
      </c>
      <c r="AG1" s="425" t="s">
        <v>314</v>
      </c>
      <c r="AH1" s="425" t="s">
        <v>314</v>
      </c>
      <c r="AI1" s="425" t="s">
        <v>314</v>
      </c>
      <c r="AJ1" s="425" t="s">
        <v>314</v>
      </c>
      <c r="AK1" s="425" t="s">
        <v>314</v>
      </c>
      <c r="AL1" s="425" t="s">
        <v>314</v>
      </c>
      <c r="AM1" s="425" t="s">
        <v>315</v>
      </c>
      <c r="AN1" s="425" t="s">
        <v>315</v>
      </c>
      <c r="AO1" s="425" t="s">
        <v>315</v>
      </c>
      <c r="AP1" s="425" t="s">
        <v>315</v>
      </c>
      <c r="AQ1" s="425" t="s">
        <v>315</v>
      </c>
      <c r="AR1" s="425" t="s">
        <v>315</v>
      </c>
      <c r="AS1" s="425" t="s">
        <v>315</v>
      </c>
      <c r="AT1" s="425" t="s">
        <v>315</v>
      </c>
      <c r="AU1" s="425" t="s">
        <v>315</v>
      </c>
      <c r="AV1" s="425" t="s">
        <v>315</v>
      </c>
      <c r="AW1" s="425" t="s">
        <v>315</v>
      </c>
      <c r="AX1" s="425" t="s">
        <v>315</v>
      </c>
      <c r="AY1" s="425" t="s">
        <v>316</v>
      </c>
      <c r="AZ1" s="425" t="s">
        <v>316</v>
      </c>
      <c r="BA1" s="425" t="s">
        <v>316</v>
      </c>
      <c r="BB1" s="425" t="s">
        <v>316</v>
      </c>
      <c r="BC1" s="425" t="s">
        <v>316</v>
      </c>
      <c r="BD1" s="425" t="s">
        <v>316</v>
      </c>
      <c r="BE1" s="425" t="s">
        <v>316</v>
      </c>
      <c r="BF1" s="425" t="s">
        <v>316</v>
      </c>
      <c r="BG1" s="425" t="s">
        <v>316</v>
      </c>
      <c r="BH1" s="425" t="s">
        <v>316</v>
      </c>
      <c r="BI1" s="425" t="s">
        <v>316</v>
      </c>
      <c r="BJ1" s="425" t="s">
        <v>316</v>
      </c>
      <c r="BK1" s="425" t="s">
        <v>317</v>
      </c>
      <c r="BL1" s="425" t="s">
        <v>317</v>
      </c>
      <c r="BM1" s="425" t="s">
        <v>317</v>
      </c>
      <c r="BN1" s="425" t="s">
        <v>317</v>
      </c>
      <c r="BO1" s="425" t="s">
        <v>317</v>
      </c>
      <c r="BP1" s="425" t="s">
        <v>317</v>
      </c>
      <c r="BQ1" s="425" t="s">
        <v>317</v>
      </c>
      <c r="BR1" s="425" t="s">
        <v>317</v>
      </c>
      <c r="BS1" s="425" t="s">
        <v>317</v>
      </c>
      <c r="BT1" s="425" t="s">
        <v>317</v>
      </c>
      <c r="BU1" s="425" t="s">
        <v>317</v>
      </c>
      <c r="BV1" s="425" t="s">
        <v>317</v>
      </c>
      <c r="BW1" s="425" t="s">
        <v>318</v>
      </c>
      <c r="BX1" s="425" t="s">
        <v>318</v>
      </c>
      <c r="BY1" s="425" t="s">
        <v>318</v>
      </c>
      <c r="BZ1" s="425" t="s">
        <v>318</v>
      </c>
      <c r="CA1" s="425" t="s">
        <v>318</v>
      </c>
      <c r="CB1" s="425" t="s">
        <v>318</v>
      </c>
      <c r="CC1" s="425" t="s">
        <v>318</v>
      </c>
      <c r="CD1" s="425" t="s">
        <v>318</v>
      </c>
      <c r="CE1" s="425" t="s">
        <v>318</v>
      </c>
      <c r="CF1" s="425" t="s">
        <v>318</v>
      </c>
      <c r="CG1" s="425" t="s">
        <v>318</v>
      </c>
      <c r="CH1" s="425" t="s">
        <v>318</v>
      </c>
      <c r="CI1" s="425" t="s">
        <v>319</v>
      </c>
      <c r="CJ1" s="425" t="s">
        <v>319</v>
      </c>
      <c r="CK1" s="425" t="s">
        <v>319</v>
      </c>
      <c r="CL1" s="425" t="s">
        <v>319</v>
      </c>
      <c r="CM1" s="425" t="s">
        <v>319</v>
      </c>
      <c r="CN1" s="425" t="s">
        <v>319</v>
      </c>
      <c r="CO1" s="425" t="s">
        <v>319</v>
      </c>
      <c r="CP1" s="425" t="s">
        <v>319</v>
      </c>
      <c r="CQ1" s="425" t="s">
        <v>319</v>
      </c>
      <c r="CR1" s="425" t="s">
        <v>319</v>
      </c>
      <c r="CS1" s="425" t="s">
        <v>319</v>
      </c>
      <c r="CT1" s="425" t="s">
        <v>319</v>
      </c>
      <c r="CU1" s="425" t="s">
        <v>320</v>
      </c>
      <c r="CV1" s="425" t="s">
        <v>320</v>
      </c>
      <c r="CW1" s="425" t="s">
        <v>320</v>
      </c>
      <c r="CX1" s="425" t="s">
        <v>320</v>
      </c>
      <c r="CY1" s="425" t="s">
        <v>320</v>
      </c>
      <c r="CZ1" s="425" t="s">
        <v>320</v>
      </c>
      <c r="DA1" s="425" t="s">
        <v>320</v>
      </c>
      <c r="DB1" s="425" t="s">
        <v>320</v>
      </c>
      <c r="DC1" s="425" t="s">
        <v>320</v>
      </c>
      <c r="DD1" s="425" t="s">
        <v>320</v>
      </c>
      <c r="DE1" s="425" t="s">
        <v>320</v>
      </c>
      <c r="DF1" s="425" t="s">
        <v>320</v>
      </c>
    </row>
    <row r="2" spans="1:110" ht="12" customHeight="1">
      <c r="A2" s="404" t="s">
        <v>2</v>
      </c>
      <c r="B2" s="405" t="s">
        <v>484</v>
      </c>
      <c r="C2" s="332">
        <f>'Water Revenue'!C1</f>
        <v>43951</v>
      </c>
      <c r="D2" s="332">
        <f>'Water Revenue'!D1</f>
        <v>43982</v>
      </c>
      <c r="E2" s="332">
        <f>'Water Revenue'!E1</f>
        <v>44012</v>
      </c>
      <c r="F2" s="332">
        <f>'Water Revenue'!F1</f>
        <v>44043</v>
      </c>
      <c r="G2" s="332">
        <f>'Water Revenue'!G1</f>
        <v>44074</v>
      </c>
      <c r="H2" s="332">
        <f>'Water Revenue'!H1</f>
        <v>44104</v>
      </c>
      <c r="I2" s="332">
        <f>'Water Revenue'!I1</f>
        <v>44135</v>
      </c>
      <c r="J2" s="332">
        <f>'Water Revenue'!J1</f>
        <v>44165</v>
      </c>
      <c r="K2" s="332">
        <f>'Water Revenue'!K1</f>
        <v>44196</v>
      </c>
      <c r="L2" s="332">
        <f>'Water Revenue'!L1</f>
        <v>44227</v>
      </c>
      <c r="M2" s="332">
        <f>'Water Revenue'!M1</f>
        <v>44255</v>
      </c>
      <c r="N2" s="332">
        <f>'Water Revenue'!N1</f>
        <v>44286</v>
      </c>
      <c r="O2" s="332">
        <f>'Water Revenue'!O1</f>
        <v>44316</v>
      </c>
      <c r="P2" s="332">
        <f>'Water Revenue'!P1</f>
        <v>44347</v>
      </c>
      <c r="Q2" s="332">
        <f>'Water Revenue'!Q1</f>
        <v>44377</v>
      </c>
      <c r="R2" s="332">
        <f>'Water Revenue'!R1</f>
        <v>44408</v>
      </c>
      <c r="S2" s="332">
        <f>'Water Revenue'!S1</f>
        <v>44439</v>
      </c>
      <c r="T2" s="332">
        <f>'Water Revenue'!T1</f>
        <v>44469</v>
      </c>
      <c r="U2" s="332">
        <f>'Water Revenue'!U1</f>
        <v>44500</v>
      </c>
      <c r="V2" s="332">
        <f>'Water Revenue'!V1</f>
        <v>44530</v>
      </c>
      <c r="W2" s="332">
        <f>'Water Revenue'!W1</f>
        <v>44561</v>
      </c>
      <c r="X2" s="332">
        <f>'Water Revenue'!X1</f>
        <v>44592</v>
      </c>
      <c r="Y2" s="332">
        <f>'Water Revenue'!Y1</f>
        <v>44620</v>
      </c>
      <c r="Z2" s="332">
        <f>'Water Revenue'!Z1</f>
        <v>44651</v>
      </c>
      <c r="AA2" s="332">
        <f>'Water Revenue'!AA1</f>
        <v>44681</v>
      </c>
      <c r="AB2" s="332">
        <f>'Water Revenue'!AB1</f>
        <v>44712</v>
      </c>
      <c r="AC2" s="332">
        <f>'Water Revenue'!AC1</f>
        <v>44742</v>
      </c>
      <c r="AD2" s="332">
        <f>'Water Revenue'!AD1</f>
        <v>44773</v>
      </c>
      <c r="AE2" s="332">
        <f>'Water Revenue'!AE1</f>
        <v>44804</v>
      </c>
      <c r="AF2" s="332">
        <f>'Water Revenue'!AF1</f>
        <v>44834</v>
      </c>
      <c r="AG2" s="332">
        <f>'Water Revenue'!AG1</f>
        <v>44865</v>
      </c>
      <c r="AH2" s="332">
        <f>'Water Revenue'!AH1</f>
        <v>44895</v>
      </c>
      <c r="AI2" s="332">
        <f>'Water Revenue'!AI1</f>
        <v>44926</v>
      </c>
      <c r="AJ2" s="332">
        <f>'Water Revenue'!AJ1</f>
        <v>44957</v>
      </c>
      <c r="AK2" s="332">
        <f>'Water Revenue'!AK1</f>
        <v>44985</v>
      </c>
      <c r="AL2" s="332">
        <f>'Water Revenue'!AL1</f>
        <v>45016</v>
      </c>
      <c r="AM2" s="332">
        <f>'Water Revenue'!AM1</f>
        <v>45046</v>
      </c>
      <c r="AN2" s="332">
        <f>'Water Revenue'!AN1</f>
        <v>45077</v>
      </c>
      <c r="AO2" s="332">
        <f>'Water Revenue'!AO1</f>
        <v>45107</v>
      </c>
      <c r="AP2" s="332">
        <f>'Water Revenue'!AP1</f>
        <v>45138</v>
      </c>
      <c r="AQ2" s="332">
        <f>'Water Revenue'!AQ1</f>
        <v>45169</v>
      </c>
      <c r="AR2" s="332">
        <f>'Water Revenue'!AR1</f>
        <v>45199</v>
      </c>
      <c r="AS2" s="332">
        <f>'Water Revenue'!AS1</f>
        <v>45230</v>
      </c>
      <c r="AT2" s="332">
        <f>'Water Revenue'!AT1</f>
        <v>45260</v>
      </c>
      <c r="AU2" s="332">
        <f>'Water Revenue'!AU1</f>
        <v>45291</v>
      </c>
      <c r="AV2" s="332">
        <f>'Water Revenue'!AV1</f>
        <v>45322</v>
      </c>
      <c r="AW2" s="332">
        <f>'Water Revenue'!AW1</f>
        <v>45351</v>
      </c>
      <c r="AX2" s="332">
        <f>'Water Revenue'!AX1</f>
        <v>45382</v>
      </c>
      <c r="AY2" s="332">
        <f>'Water Revenue'!AY1</f>
        <v>45412</v>
      </c>
      <c r="AZ2" s="332">
        <f>'Water Revenue'!AZ1</f>
        <v>45443</v>
      </c>
      <c r="BA2" s="332">
        <f>'Water Revenue'!BA1</f>
        <v>45473</v>
      </c>
      <c r="BB2" s="332">
        <f>'Water Revenue'!BB1</f>
        <v>45504</v>
      </c>
      <c r="BC2" s="332">
        <f>'Water Revenue'!BC1</f>
        <v>45535</v>
      </c>
      <c r="BD2" s="332">
        <f>'Water Revenue'!BD1</f>
        <v>45565</v>
      </c>
      <c r="BE2" s="332">
        <f>'Water Revenue'!BE1</f>
        <v>45596</v>
      </c>
      <c r="BF2" s="332">
        <f>'Water Revenue'!BF1</f>
        <v>45626</v>
      </c>
      <c r="BG2" s="332">
        <f>'Water Revenue'!BG1</f>
        <v>45657</v>
      </c>
      <c r="BH2" s="332">
        <f>'Water Revenue'!BH1</f>
        <v>45688</v>
      </c>
      <c r="BI2" s="332">
        <f>'Water Revenue'!BI1</f>
        <v>45716</v>
      </c>
      <c r="BJ2" s="332">
        <f>'Water Revenue'!BJ1</f>
        <v>45747</v>
      </c>
      <c r="BK2" s="332">
        <f>'Water Revenue'!BK1</f>
        <v>45777</v>
      </c>
      <c r="BL2" s="332">
        <f>'Water Revenue'!BL1</f>
        <v>45808</v>
      </c>
      <c r="BM2" s="332">
        <f>'Water Revenue'!BM1</f>
        <v>45838</v>
      </c>
      <c r="BN2" s="332">
        <f>'Water Revenue'!BN1</f>
        <v>45869</v>
      </c>
      <c r="BO2" s="332">
        <f>'Water Revenue'!BO1</f>
        <v>45900</v>
      </c>
      <c r="BP2" s="332">
        <f>'Water Revenue'!BP1</f>
        <v>45930</v>
      </c>
      <c r="BQ2" s="332">
        <f>'Water Revenue'!BQ1</f>
        <v>45961</v>
      </c>
      <c r="BR2" s="332">
        <f>'Water Revenue'!BR1</f>
        <v>45991</v>
      </c>
      <c r="BS2" s="332">
        <f>'Water Revenue'!BS1</f>
        <v>46022</v>
      </c>
      <c r="BT2" s="332">
        <f>'Water Revenue'!BT1</f>
        <v>46053</v>
      </c>
      <c r="BU2" s="332">
        <f>'Water Revenue'!BU1</f>
        <v>46081</v>
      </c>
      <c r="BV2" s="332">
        <f>'Water Revenue'!BV1</f>
        <v>46112</v>
      </c>
      <c r="BW2" s="332">
        <f>'Water Revenue'!BW1</f>
        <v>46142</v>
      </c>
      <c r="BX2" s="332">
        <f>'Water Revenue'!BX1</f>
        <v>46173</v>
      </c>
      <c r="BY2" s="332">
        <f>'Water Revenue'!BY1</f>
        <v>46203</v>
      </c>
      <c r="BZ2" s="332">
        <f>'Water Revenue'!BZ1</f>
        <v>46234</v>
      </c>
      <c r="CA2" s="332">
        <f>'Water Revenue'!CA1</f>
        <v>46265</v>
      </c>
      <c r="CB2" s="332">
        <f>'Water Revenue'!CB1</f>
        <v>46295</v>
      </c>
      <c r="CC2" s="332">
        <f>'Water Revenue'!CC1</f>
        <v>46326</v>
      </c>
      <c r="CD2" s="332">
        <f>'Water Revenue'!CD1</f>
        <v>46356</v>
      </c>
      <c r="CE2" s="332">
        <f>'Water Revenue'!CE1</f>
        <v>46387</v>
      </c>
      <c r="CF2" s="332">
        <f>'Water Revenue'!CF1</f>
        <v>46418</v>
      </c>
      <c r="CG2" s="332">
        <f>'Water Revenue'!CG1</f>
        <v>46446</v>
      </c>
      <c r="CH2" s="332">
        <f>'Water Revenue'!CH1</f>
        <v>46477</v>
      </c>
      <c r="CI2" s="332">
        <f>'Water Revenue'!CI1</f>
        <v>46507</v>
      </c>
      <c r="CJ2" s="332">
        <f>'Water Revenue'!CJ1</f>
        <v>46538</v>
      </c>
      <c r="CK2" s="332">
        <f>'Water Revenue'!CK1</f>
        <v>46568</v>
      </c>
      <c r="CL2" s="332">
        <f>'Water Revenue'!CL1</f>
        <v>46599</v>
      </c>
      <c r="CM2" s="332">
        <f>'Water Revenue'!CM1</f>
        <v>46630</v>
      </c>
      <c r="CN2" s="332">
        <f>'Water Revenue'!CN1</f>
        <v>46660</v>
      </c>
      <c r="CO2" s="332">
        <f>'Water Revenue'!CO1</f>
        <v>46691</v>
      </c>
      <c r="CP2" s="332">
        <f>'Water Revenue'!CP1</f>
        <v>46721</v>
      </c>
      <c r="CQ2" s="332">
        <f>'Water Revenue'!CQ1</f>
        <v>46752</v>
      </c>
      <c r="CR2" s="332">
        <f>'Water Revenue'!CR1</f>
        <v>46783</v>
      </c>
      <c r="CS2" s="332">
        <f>'Water Revenue'!CS1</f>
        <v>46812</v>
      </c>
      <c r="CT2" s="332">
        <f>'Water Revenue'!CT1</f>
        <v>46843</v>
      </c>
      <c r="CU2" s="332">
        <f>'Water Revenue'!CU1</f>
        <v>46873</v>
      </c>
      <c r="CV2" s="332">
        <f>'Water Revenue'!CV1</f>
        <v>46904</v>
      </c>
      <c r="CW2" s="332">
        <f>'Water Revenue'!CW1</f>
        <v>46934</v>
      </c>
      <c r="CX2" s="332">
        <f>'Water Revenue'!CX1</f>
        <v>46965</v>
      </c>
      <c r="CY2" s="332">
        <f>'Water Revenue'!CY1</f>
        <v>46996</v>
      </c>
      <c r="CZ2" s="332">
        <f>'Water Revenue'!CZ1</f>
        <v>47026</v>
      </c>
      <c r="DA2" s="332">
        <f>'Water Revenue'!DA1</f>
        <v>47057</v>
      </c>
      <c r="DB2" s="332">
        <f>'Water Revenue'!DB1</f>
        <v>47087</v>
      </c>
      <c r="DC2" s="332">
        <f>'Water Revenue'!DC1</f>
        <v>47118</v>
      </c>
      <c r="DD2" s="332">
        <f>'Water Revenue'!DD1</f>
        <v>47149</v>
      </c>
      <c r="DE2" s="332">
        <f>'Water Revenue'!DE1</f>
        <v>47177</v>
      </c>
      <c r="DF2" s="332">
        <f>'Water Revenue'!DF1</f>
        <v>47208</v>
      </c>
    </row>
    <row r="3" spans="1:110" ht="12" customHeight="1">
      <c r="A3" s="413" t="s">
        <v>492</v>
      </c>
      <c r="B3" s="410" t="s">
        <v>250</v>
      </c>
      <c r="C3" s="341">
        <f>'Water Revenue'!C11</f>
        <v>186000</v>
      </c>
      <c r="D3" s="341">
        <f>'Water Revenue'!D11</f>
        <v>192000</v>
      </c>
      <c r="E3" s="341">
        <f>'Water Revenue'!E11</f>
        <v>198000</v>
      </c>
      <c r="F3" s="341">
        <f>'Water Revenue'!F11</f>
        <v>201000</v>
      </c>
      <c r="G3" s="341">
        <f>'Water Revenue'!G11</f>
        <v>206000</v>
      </c>
      <c r="H3" s="341">
        <f>'Water Revenue'!H11</f>
        <v>211000</v>
      </c>
      <c r="I3" s="341">
        <f>'Water Revenue'!I11</f>
        <v>216000</v>
      </c>
      <c r="J3" s="341">
        <f>'Water Revenue'!J11</f>
        <v>221000</v>
      </c>
      <c r="K3" s="341">
        <f>'Water Revenue'!K11</f>
        <v>226000</v>
      </c>
      <c r="L3" s="341">
        <f>'Water Revenue'!L11</f>
        <v>231000</v>
      </c>
      <c r="M3" s="341">
        <f>'Water Revenue'!M11</f>
        <v>236000</v>
      </c>
      <c r="N3" s="341">
        <f>'Water Revenue'!N11</f>
        <v>241000</v>
      </c>
      <c r="O3" s="341">
        <f>'Water Revenue'!O11</f>
        <v>220000</v>
      </c>
      <c r="P3" s="341">
        <f>'Water Revenue'!P11</f>
        <v>222000</v>
      </c>
      <c r="Q3" s="341">
        <f>'Water Revenue'!Q11</f>
        <v>224000</v>
      </c>
      <c r="R3" s="341">
        <f>'Water Revenue'!R11</f>
        <v>226000</v>
      </c>
      <c r="S3" s="341">
        <f>'Water Revenue'!S11</f>
        <v>229000</v>
      </c>
      <c r="T3" s="341">
        <f>'Water Revenue'!T11</f>
        <v>232000</v>
      </c>
      <c r="U3" s="341">
        <f>'Water Revenue'!U11</f>
        <v>235000</v>
      </c>
      <c r="V3" s="341">
        <f>'Water Revenue'!V11</f>
        <v>238000</v>
      </c>
      <c r="W3" s="341">
        <f>'Water Revenue'!W11</f>
        <v>241000</v>
      </c>
      <c r="X3" s="341">
        <f>'Water Revenue'!X11</f>
        <v>244000</v>
      </c>
      <c r="Y3" s="341">
        <f>'Water Revenue'!Y11</f>
        <v>249000</v>
      </c>
      <c r="Z3" s="341">
        <f>'Water Revenue'!Z11</f>
        <v>254000</v>
      </c>
      <c r="AA3" s="341">
        <f>'Water Revenue'!AA11</f>
        <v>247000</v>
      </c>
      <c r="AB3" s="341">
        <f>'Water Revenue'!AB11</f>
        <v>249000</v>
      </c>
      <c r="AC3" s="341">
        <f>'Water Revenue'!AC11</f>
        <v>252000</v>
      </c>
      <c r="AD3" s="341">
        <f>'Water Revenue'!AD11</f>
        <v>254000</v>
      </c>
      <c r="AE3" s="341">
        <f>'Water Revenue'!AE11</f>
        <v>256000</v>
      </c>
      <c r="AF3" s="341">
        <f>'Water Revenue'!AF11</f>
        <v>257000</v>
      </c>
      <c r="AG3" s="341">
        <f>'Water Revenue'!AG11</f>
        <v>258000</v>
      </c>
      <c r="AH3" s="341">
        <f>'Water Revenue'!AH11</f>
        <v>259000</v>
      </c>
      <c r="AI3" s="341">
        <f>'Water Revenue'!AI11</f>
        <v>260000</v>
      </c>
      <c r="AJ3" s="341">
        <f>'Water Revenue'!AJ11</f>
        <v>261000</v>
      </c>
      <c r="AK3" s="341">
        <f>'Water Revenue'!AK11</f>
        <v>262000</v>
      </c>
      <c r="AL3" s="341">
        <f>'Water Revenue'!AL11</f>
        <v>263000</v>
      </c>
      <c r="AM3" s="341">
        <f>'Water Revenue'!AM11</f>
        <v>265000</v>
      </c>
      <c r="AN3" s="341">
        <f>'Water Revenue'!AN11</f>
        <v>267000</v>
      </c>
      <c r="AO3" s="341">
        <f>'Water Revenue'!AO11</f>
        <v>269000</v>
      </c>
      <c r="AP3" s="341">
        <f>'Water Revenue'!AP11</f>
        <v>271000</v>
      </c>
      <c r="AQ3" s="341">
        <f>'Water Revenue'!AQ11</f>
        <v>273000</v>
      </c>
      <c r="AR3" s="341">
        <f>'Water Revenue'!AR11</f>
        <v>275000</v>
      </c>
      <c r="AS3" s="341">
        <f>'Water Revenue'!AS11</f>
        <v>277000</v>
      </c>
      <c r="AT3" s="341">
        <f>'Water Revenue'!AT11</f>
        <v>279000</v>
      </c>
      <c r="AU3" s="341">
        <f>'Water Revenue'!AU11</f>
        <v>281000</v>
      </c>
      <c r="AV3" s="341">
        <f>'Water Revenue'!AV11</f>
        <v>283092.5</v>
      </c>
      <c r="AW3" s="341">
        <f>'Water Revenue'!AW11</f>
        <v>285092.5</v>
      </c>
      <c r="AX3" s="341">
        <f>'Water Revenue'!AX11</f>
        <v>287092.5</v>
      </c>
      <c r="AY3" s="341">
        <f>'Water Revenue'!AY11</f>
        <v>288092.5</v>
      </c>
      <c r="AZ3" s="341">
        <f>'Water Revenue'!AZ11</f>
        <v>289092.5</v>
      </c>
      <c r="BA3" s="341">
        <f>'Water Revenue'!BA11</f>
        <v>290092.5</v>
      </c>
      <c r="BB3" s="341">
        <f>'Water Revenue'!BB11</f>
        <v>291092.5</v>
      </c>
      <c r="BC3" s="341">
        <f>'Water Revenue'!BC11</f>
        <v>292092.5</v>
      </c>
      <c r="BD3" s="341">
        <f>'Water Revenue'!BD11</f>
        <v>293092.5</v>
      </c>
      <c r="BE3" s="341">
        <f>'Water Revenue'!BE11</f>
        <v>294092.5</v>
      </c>
      <c r="BF3" s="341">
        <f>'Water Revenue'!BF11</f>
        <v>295092.5</v>
      </c>
      <c r="BG3" s="341">
        <f>'Water Revenue'!BG11</f>
        <v>296092.5</v>
      </c>
      <c r="BH3" s="341">
        <f>'Water Revenue'!BH11</f>
        <v>297092.5</v>
      </c>
      <c r="BI3" s="341">
        <f>'Water Revenue'!BI11</f>
        <v>298092.5</v>
      </c>
      <c r="BJ3" s="341">
        <f>'Water Revenue'!BJ11</f>
        <v>299092.5</v>
      </c>
      <c r="BK3" s="341">
        <f>'Water Revenue'!BK11</f>
        <v>299592.5</v>
      </c>
      <c r="BL3" s="341">
        <f>'Water Revenue'!BL11</f>
        <v>300092.5</v>
      </c>
      <c r="BM3" s="341">
        <f>'Water Revenue'!BM11</f>
        <v>300592.5</v>
      </c>
      <c r="BN3" s="341">
        <f>'Water Revenue'!BN11</f>
        <v>301092.5</v>
      </c>
      <c r="BO3" s="341">
        <f>'Water Revenue'!BO11</f>
        <v>301592.5</v>
      </c>
      <c r="BP3" s="341">
        <f>'Water Revenue'!BP11</f>
        <v>302092.5</v>
      </c>
      <c r="BQ3" s="341">
        <f>'Water Revenue'!BQ11</f>
        <v>302592.5</v>
      </c>
      <c r="BR3" s="341">
        <f>'Water Revenue'!BR11</f>
        <v>303092.5</v>
      </c>
      <c r="BS3" s="341">
        <f>'Water Revenue'!BS11</f>
        <v>303592.5</v>
      </c>
      <c r="BT3" s="341">
        <f>'Water Revenue'!BT11</f>
        <v>304092.5</v>
      </c>
      <c r="BU3" s="341">
        <f>'Water Revenue'!BU11</f>
        <v>304592.5</v>
      </c>
      <c r="BV3" s="341">
        <f>'Water Revenue'!BV11</f>
        <v>305092.5</v>
      </c>
      <c r="BW3" s="341">
        <f>'Water Revenue'!BW11</f>
        <v>305592.5</v>
      </c>
      <c r="BX3" s="341">
        <f>'Water Revenue'!BX11</f>
        <v>306092.5</v>
      </c>
      <c r="BY3" s="341">
        <f>'Water Revenue'!BY11</f>
        <v>306592.5</v>
      </c>
      <c r="BZ3" s="341">
        <f>'Water Revenue'!BZ11</f>
        <v>307092.5</v>
      </c>
      <c r="CA3" s="341">
        <f>'Water Revenue'!CA11</f>
        <v>307592.5</v>
      </c>
      <c r="CB3" s="341">
        <f>'Water Revenue'!CB11</f>
        <v>308092.5</v>
      </c>
      <c r="CC3" s="341">
        <f>'Water Revenue'!CC11</f>
        <v>308592.5</v>
      </c>
      <c r="CD3" s="341">
        <f>'Water Revenue'!CD11</f>
        <v>309092.5</v>
      </c>
      <c r="CE3" s="341">
        <f>'Water Revenue'!CE11</f>
        <v>309592.5</v>
      </c>
      <c r="CF3" s="341">
        <f>'Water Revenue'!CF11</f>
        <v>310092.5</v>
      </c>
      <c r="CG3" s="341">
        <f>'Water Revenue'!CG11</f>
        <v>310592.5</v>
      </c>
      <c r="CH3" s="341">
        <f>'Water Revenue'!CH11</f>
        <v>311092.5</v>
      </c>
      <c r="CI3" s="341">
        <f>'Water Revenue'!CI11</f>
        <v>311592.5</v>
      </c>
      <c r="CJ3" s="341">
        <f>'Water Revenue'!CJ11</f>
        <v>312092.5</v>
      </c>
      <c r="CK3" s="341">
        <f>'Water Revenue'!CK11</f>
        <v>312592.5</v>
      </c>
      <c r="CL3" s="341">
        <f>'Water Revenue'!CL11</f>
        <v>313092.5</v>
      </c>
      <c r="CM3" s="341">
        <f>'Water Revenue'!CM11</f>
        <v>313592.5</v>
      </c>
      <c r="CN3" s="341">
        <f>'Water Revenue'!CN11</f>
        <v>314092.5</v>
      </c>
      <c r="CO3" s="341">
        <f>'Water Revenue'!CO11</f>
        <v>314592.5</v>
      </c>
      <c r="CP3" s="341">
        <f>'Water Revenue'!CP11</f>
        <v>315092.5</v>
      </c>
      <c r="CQ3" s="341">
        <f>'Water Revenue'!CQ11</f>
        <v>315592.5</v>
      </c>
      <c r="CR3" s="341">
        <f>'Water Revenue'!CR11</f>
        <v>316092.5</v>
      </c>
      <c r="CS3" s="341">
        <f>'Water Revenue'!CS11</f>
        <v>316592.5</v>
      </c>
      <c r="CT3" s="341">
        <f>'Water Revenue'!CT11</f>
        <v>317092.5</v>
      </c>
      <c r="CU3" s="341">
        <f>'Water Revenue'!CU11</f>
        <v>317592.5</v>
      </c>
      <c r="CV3" s="341">
        <f>'Water Revenue'!CV11</f>
        <v>318092.5</v>
      </c>
      <c r="CW3" s="341">
        <f>'Water Revenue'!CW11</f>
        <v>318592.5</v>
      </c>
      <c r="CX3" s="341">
        <f>'Water Revenue'!CX11</f>
        <v>319092.5</v>
      </c>
      <c r="CY3" s="341">
        <f>'Water Revenue'!CY11</f>
        <v>319592.5</v>
      </c>
      <c r="CZ3" s="341">
        <f>'Water Revenue'!CZ11</f>
        <v>320092.5</v>
      </c>
      <c r="DA3" s="341">
        <f>'Water Revenue'!DA11</f>
        <v>320592.5</v>
      </c>
      <c r="DB3" s="341">
        <f>'Water Revenue'!DB11</f>
        <v>321092.5</v>
      </c>
      <c r="DC3" s="341">
        <f>'Water Revenue'!DC11</f>
        <v>321592.5</v>
      </c>
      <c r="DD3" s="341">
        <f>'Water Revenue'!DD11</f>
        <v>322092.5</v>
      </c>
      <c r="DE3" s="341">
        <f>'Water Revenue'!DE11</f>
        <v>322592.5</v>
      </c>
      <c r="DF3" s="341">
        <f>'Water Revenue'!DF11</f>
        <v>323092.5</v>
      </c>
    </row>
    <row r="4" spans="1:110" ht="12" customHeight="1">
      <c r="A4" s="413" t="s">
        <v>514</v>
      </c>
      <c r="B4" s="410" t="s">
        <v>494</v>
      </c>
      <c r="C4" s="341">
        <f>'Water Revenue'!C13</f>
        <v>0.44</v>
      </c>
      <c r="D4" s="341">
        <f>'Water Revenue'!D13</f>
        <v>0.44</v>
      </c>
      <c r="E4" s="341">
        <f>'Water Revenue'!E13</f>
        <v>0.44</v>
      </c>
      <c r="F4" s="341">
        <f>'Water Revenue'!F13</f>
        <v>0.44</v>
      </c>
      <c r="G4" s="341">
        <f>'Water Revenue'!G13</f>
        <v>0.44</v>
      </c>
      <c r="H4" s="341">
        <f>'Water Revenue'!H13</f>
        <v>0.44</v>
      </c>
      <c r="I4" s="341">
        <f>'Water Revenue'!I13</f>
        <v>0.44</v>
      </c>
      <c r="J4" s="341">
        <f>'Water Revenue'!J13</f>
        <v>0.44</v>
      </c>
      <c r="K4" s="341">
        <f>'Water Revenue'!K13</f>
        <v>0.44</v>
      </c>
      <c r="L4" s="341">
        <f>'Water Revenue'!L13</f>
        <v>0.44</v>
      </c>
      <c r="M4" s="341">
        <f>'Water Revenue'!M13</f>
        <v>0.44</v>
      </c>
      <c r="N4" s="341">
        <f>'Water Revenue'!N13</f>
        <v>0.44</v>
      </c>
      <c r="O4" s="341">
        <f>'Water Revenue'!O13</f>
        <v>0.38</v>
      </c>
      <c r="P4" s="341">
        <f>'Water Revenue'!P13</f>
        <v>0.38</v>
      </c>
      <c r="Q4" s="341">
        <f>'Water Revenue'!Q13</f>
        <v>0.38</v>
      </c>
      <c r="R4" s="341">
        <f>'Water Revenue'!R13</f>
        <v>0.42</v>
      </c>
      <c r="S4" s="341">
        <f>'Water Revenue'!S13</f>
        <v>0.42</v>
      </c>
      <c r="T4" s="341">
        <f>'Water Revenue'!T13</f>
        <v>0.42</v>
      </c>
      <c r="U4" s="341">
        <f>'Water Revenue'!U13</f>
        <v>0.42</v>
      </c>
      <c r="V4" s="341">
        <f>'Water Revenue'!V13</f>
        <v>0.42</v>
      </c>
      <c r="W4" s="341">
        <f>'Water Revenue'!W13</f>
        <v>0.42</v>
      </c>
      <c r="X4" s="341">
        <f>'Water Revenue'!X13</f>
        <v>0.42</v>
      </c>
      <c r="Y4" s="341">
        <f>'Water Revenue'!Y13</f>
        <v>0.42</v>
      </c>
      <c r="Z4" s="341">
        <f>'Water Revenue'!Z13</f>
        <v>0.42</v>
      </c>
      <c r="AA4" s="341">
        <f>'Water Revenue'!AA13</f>
        <v>0.39999999999999997</v>
      </c>
      <c r="AB4" s="341">
        <f>'Water Revenue'!AB13</f>
        <v>0.39999999999999997</v>
      </c>
      <c r="AC4" s="341">
        <f>'Water Revenue'!AC13</f>
        <v>0.39999999999999997</v>
      </c>
      <c r="AD4" s="341">
        <f>'Water Revenue'!AD13</f>
        <v>0.39999999999999997</v>
      </c>
      <c r="AE4" s="341">
        <f>'Water Revenue'!AE13</f>
        <v>0.39999999999999997</v>
      </c>
      <c r="AF4" s="341">
        <f>'Water Revenue'!AF13</f>
        <v>0.39999999999999997</v>
      </c>
      <c r="AG4" s="341">
        <f>'Water Revenue'!AG13</f>
        <v>0.39999999999999997</v>
      </c>
      <c r="AH4" s="341">
        <f>'Water Revenue'!AH13</f>
        <v>0.39999999999999997</v>
      </c>
      <c r="AI4" s="341">
        <f>'Water Revenue'!AI13</f>
        <v>0.39999999999999997</v>
      </c>
      <c r="AJ4" s="341">
        <f>'Water Revenue'!AJ13</f>
        <v>0.39999999999999997</v>
      </c>
      <c r="AK4" s="341">
        <f>'Water Revenue'!AK13</f>
        <v>0.39999999999999997</v>
      </c>
      <c r="AL4" s="341">
        <f>'Water Revenue'!AL13</f>
        <v>0.39999999999999997</v>
      </c>
      <c r="AM4" s="341">
        <f>'Water Revenue'!AM13</f>
        <v>0.39999999999999997</v>
      </c>
      <c r="AN4" s="341">
        <f>'Water Revenue'!AN13</f>
        <v>0.39999999999999997</v>
      </c>
      <c r="AO4" s="341">
        <f>'Water Revenue'!AO13</f>
        <v>0.39999999999999997</v>
      </c>
      <c r="AP4" s="341">
        <f>'Water Revenue'!AP13</f>
        <v>0.39999999999999997</v>
      </c>
      <c r="AQ4" s="341">
        <f>'Water Revenue'!AQ13</f>
        <v>0.39999999999999997</v>
      </c>
      <c r="AR4" s="341">
        <f>'Water Revenue'!AR13</f>
        <v>0.39999999999999997</v>
      </c>
      <c r="AS4" s="341">
        <f>'Water Revenue'!AS13</f>
        <v>0.39999999999999997</v>
      </c>
      <c r="AT4" s="341">
        <f>'Water Revenue'!AT13</f>
        <v>0.39999999999999997</v>
      </c>
      <c r="AU4" s="341">
        <f>'Water Revenue'!AU13</f>
        <v>0.39999999999999997</v>
      </c>
      <c r="AV4" s="341">
        <f>'Water Revenue'!AV13</f>
        <v>0.39999999999999997</v>
      </c>
      <c r="AW4" s="341">
        <f>'Water Revenue'!AW13</f>
        <v>0.39999999999999997</v>
      </c>
      <c r="AX4" s="341">
        <f>'Water Revenue'!AX13</f>
        <v>0.39999999999999997</v>
      </c>
      <c r="AY4" s="341">
        <f>'Water Revenue'!AY13</f>
        <v>0.39999999999999997</v>
      </c>
      <c r="AZ4" s="341">
        <f>'Water Revenue'!AZ13</f>
        <v>0.39999999999999997</v>
      </c>
      <c r="BA4" s="341">
        <f>'Water Revenue'!BA13</f>
        <v>0.39999999999999997</v>
      </c>
      <c r="BB4" s="341">
        <f>'Water Revenue'!BB13</f>
        <v>0.39999999999999997</v>
      </c>
      <c r="BC4" s="341">
        <f>'Water Revenue'!BC13</f>
        <v>0.39999999999999997</v>
      </c>
      <c r="BD4" s="341">
        <f>'Water Revenue'!BD13</f>
        <v>0.39999999999999997</v>
      </c>
      <c r="BE4" s="341">
        <f>'Water Revenue'!BE13</f>
        <v>0.39999999999999997</v>
      </c>
      <c r="BF4" s="341">
        <f>'Water Revenue'!BF13</f>
        <v>0.39999999999999997</v>
      </c>
      <c r="BG4" s="341">
        <f>'Water Revenue'!BG13</f>
        <v>0.39999999999999997</v>
      </c>
      <c r="BH4" s="341">
        <f>'Water Revenue'!BH13</f>
        <v>0.39999999999999997</v>
      </c>
      <c r="BI4" s="341">
        <f>'Water Revenue'!BI13</f>
        <v>0.39999999999999997</v>
      </c>
      <c r="BJ4" s="341">
        <f>'Water Revenue'!BJ13</f>
        <v>0.39999999999999997</v>
      </c>
      <c r="BK4" s="341">
        <f>'Water Revenue'!BK13</f>
        <v>0.43</v>
      </c>
      <c r="BL4" s="341">
        <f>'Water Revenue'!BL13</f>
        <v>0.43</v>
      </c>
      <c r="BM4" s="341">
        <f>'Water Revenue'!BM13</f>
        <v>0.43</v>
      </c>
      <c r="BN4" s="341">
        <f>'Water Revenue'!BN13</f>
        <v>0.43</v>
      </c>
      <c r="BO4" s="341">
        <f>'Water Revenue'!BO13</f>
        <v>0.43</v>
      </c>
      <c r="BP4" s="341">
        <f>'Water Revenue'!BP13</f>
        <v>0.43</v>
      </c>
      <c r="BQ4" s="341">
        <f>'Water Revenue'!BQ13</f>
        <v>0.43</v>
      </c>
      <c r="BR4" s="341">
        <f>'Water Revenue'!BR13</f>
        <v>0.43</v>
      </c>
      <c r="BS4" s="341">
        <f>'Water Revenue'!BS13</f>
        <v>0.43</v>
      </c>
      <c r="BT4" s="341">
        <f>'Water Revenue'!BT13</f>
        <v>0.43</v>
      </c>
      <c r="BU4" s="341">
        <f>'Water Revenue'!BU13</f>
        <v>0.43</v>
      </c>
      <c r="BV4" s="341">
        <f>'Water Revenue'!BV13</f>
        <v>0.43</v>
      </c>
      <c r="BW4" s="341">
        <f>'Water Revenue'!BW13</f>
        <v>0.43</v>
      </c>
      <c r="BX4" s="341">
        <f>'Water Revenue'!BX13</f>
        <v>0.43</v>
      </c>
      <c r="BY4" s="341">
        <f>'Water Revenue'!BY13</f>
        <v>0.43</v>
      </c>
      <c r="BZ4" s="341">
        <f>'Water Revenue'!BZ13</f>
        <v>0.43</v>
      </c>
      <c r="CA4" s="341">
        <f>'Water Revenue'!CA13</f>
        <v>0.43</v>
      </c>
      <c r="CB4" s="341">
        <f>'Water Revenue'!CB13</f>
        <v>0.43</v>
      </c>
      <c r="CC4" s="341">
        <f>'Water Revenue'!CC13</f>
        <v>0.43</v>
      </c>
      <c r="CD4" s="341">
        <f>'Water Revenue'!CD13</f>
        <v>0.43</v>
      </c>
      <c r="CE4" s="341">
        <f>'Water Revenue'!CE13</f>
        <v>0.43</v>
      </c>
      <c r="CF4" s="341">
        <f>'Water Revenue'!CF13</f>
        <v>0.435</v>
      </c>
      <c r="CG4" s="341">
        <f>'Water Revenue'!CG13</f>
        <v>0.435</v>
      </c>
      <c r="CH4" s="341">
        <f>'Water Revenue'!CH13</f>
        <v>0.435</v>
      </c>
      <c r="CI4" s="341">
        <f>'Water Revenue'!CI13</f>
        <v>0.435</v>
      </c>
      <c r="CJ4" s="341">
        <f>'Water Revenue'!CJ13</f>
        <v>0.435</v>
      </c>
      <c r="CK4" s="341">
        <f>'Water Revenue'!CK13</f>
        <v>0.435</v>
      </c>
      <c r="CL4" s="341">
        <f>'Water Revenue'!CL13</f>
        <v>0.435</v>
      </c>
      <c r="CM4" s="341">
        <f>'Water Revenue'!CM13</f>
        <v>0.435</v>
      </c>
      <c r="CN4" s="341">
        <f>'Water Revenue'!CN13</f>
        <v>0.435</v>
      </c>
      <c r="CO4" s="341">
        <f>'Water Revenue'!CO13</f>
        <v>0.435</v>
      </c>
      <c r="CP4" s="341">
        <f>'Water Revenue'!CP13</f>
        <v>0.435</v>
      </c>
      <c r="CQ4" s="341">
        <f>'Water Revenue'!CQ13</f>
        <v>0.435</v>
      </c>
      <c r="CR4" s="341">
        <f>'Water Revenue'!CR13</f>
        <v>0.435</v>
      </c>
      <c r="CS4" s="341">
        <f>'Water Revenue'!CS13</f>
        <v>0.435</v>
      </c>
      <c r="CT4" s="341">
        <f>'Water Revenue'!CT13</f>
        <v>0.435</v>
      </c>
      <c r="CU4" s="341">
        <f>'Water Revenue'!CU13</f>
        <v>0.435</v>
      </c>
      <c r="CV4" s="341">
        <f>'Water Revenue'!CV13</f>
        <v>0.435</v>
      </c>
      <c r="CW4" s="341">
        <f>'Water Revenue'!CW13</f>
        <v>0.435</v>
      </c>
      <c r="CX4" s="341">
        <f>'Water Revenue'!CX13</f>
        <v>0.435</v>
      </c>
      <c r="CY4" s="341">
        <f>'Water Revenue'!CY13</f>
        <v>0.435</v>
      </c>
      <c r="CZ4" s="341">
        <f>'Water Revenue'!CZ13</f>
        <v>0.435</v>
      </c>
      <c r="DA4" s="341">
        <f>'Water Revenue'!DA13</f>
        <v>0.435</v>
      </c>
      <c r="DB4" s="341">
        <f>'Water Revenue'!DB13</f>
        <v>0.435</v>
      </c>
      <c r="DC4" s="341">
        <f>'Water Revenue'!DC13</f>
        <v>0.435</v>
      </c>
      <c r="DD4" s="341">
        <f>'Water Revenue'!DD13</f>
        <v>0.435</v>
      </c>
      <c r="DE4" s="341">
        <f>'Water Revenue'!DE13</f>
        <v>0.435</v>
      </c>
      <c r="DF4" s="341">
        <f>'Water Revenue'!DF13</f>
        <v>0.435</v>
      </c>
    </row>
    <row r="5" spans="1:110" ht="12" customHeight="1">
      <c r="A5" s="413" t="s">
        <v>497</v>
      </c>
      <c r="B5" s="410" t="s">
        <v>494</v>
      </c>
      <c r="C5" s="416">
        <f t="shared" ref="C5:BN5" si="0">C3*C4</f>
        <v>81840</v>
      </c>
      <c r="D5" s="416">
        <f t="shared" si="0"/>
        <v>84480</v>
      </c>
      <c r="E5" s="416">
        <f t="shared" si="0"/>
        <v>87120</v>
      </c>
      <c r="F5" s="416">
        <f t="shared" si="0"/>
        <v>88440</v>
      </c>
      <c r="G5" s="416">
        <f t="shared" si="0"/>
        <v>90640</v>
      </c>
      <c r="H5" s="416">
        <f t="shared" si="0"/>
        <v>92840</v>
      </c>
      <c r="I5" s="416">
        <f t="shared" si="0"/>
        <v>95040</v>
      </c>
      <c r="J5" s="416">
        <f t="shared" si="0"/>
        <v>97240</v>
      </c>
      <c r="K5" s="416">
        <f t="shared" si="0"/>
        <v>99440</v>
      </c>
      <c r="L5" s="416">
        <f t="shared" si="0"/>
        <v>101640</v>
      </c>
      <c r="M5" s="416">
        <f t="shared" si="0"/>
        <v>103840</v>
      </c>
      <c r="N5" s="416">
        <f t="shared" si="0"/>
        <v>106040</v>
      </c>
      <c r="O5" s="416">
        <f t="shared" si="0"/>
        <v>83600</v>
      </c>
      <c r="P5" s="416">
        <f t="shared" si="0"/>
        <v>84360</v>
      </c>
      <c r="Q5" s="416">
        <f t="shared" si="0"/>
        <v>85120</v>
      </c>
      <c r="R5" s="416">
        <f t="shared" si="0"/>
        <v>94920</v>
      </c>
      <c r="S5" s="416">
        <f t="shared" si="0"/>
        <v>96180</v>
      </c>
      <c r="T5" s="416">
        <f t="shared" si="0"/>
        <v>97440</v>
      </c>
      <c r="U5" s="416">
        <f t="shared" si="0"/>
        <v>98700</v>
      </c>
      <c r="V5" s="416">
        <f t="shared" si="0"/>
        <v>99960</v>
      </c>
      <c r="W5" s="416">
        <f t="shared" si="0"/>
        <v>101220</v>
      </c>
      <c r="X5" s="416">
        <f t="shared" si="0"/>
        <v>102480</v>
      </c>
      <c r="Y5" s="416">
        <f t="shared" si="0"/>
        <v>104580</v>
      </c>
      <c r="Z5" s="416">
        <f t="shared" si="0"/>
        <v>106680</v>
      </c>
      <c r="AA5" s="416">
        <f t="shared" si="0"/>
        <v>98799.999999999985</v>
      </c>
      <c r="AB5" s="416">
        <f t="shared" si="0"/>
        <v>99599.999999999985</v>
      </c>
      <c r="AC5" s="416">
        <f t="shared" si="0"/>
        <v>100799.99999999999</v>
      </c>
      <c r="AD5" s="416">
        <f t="shared" si="0"/>
        <v>101599.99999999999</v>
      </c>
      <c r="AE5" s="416">
        <f t="shared" si="0"/>
        <v>102399.99999999999</v>
      </c>
      <c r="AF5" s="416">
        <f t="shared" si="0"/>
        <v>102799.99999999999</v>
      </c>
      <c r="AG5" s="416">
        <f t="shared" si="0"/>
        <v>103199.99999999999</v>
      </c>
      <c r="AH5" s="416">
        <f t="shared" si="0"/>
        <v>103599.99999999999</v>
      </c>
      <c r="AI5" s="416">
        <f t="shared" si="0"/>
        <v>103999.99999999999</v>
      </c>
      <c r="AJ5" s="416">
        <f t="shared" si="0"/>
        <v>104399.99999999999</v>
      </c>
      <c r="AK5" s="416">
        <f t="shared" si="0"/>
        <v>104799.99999999999</v>
      </c>
      <c r="AL5" s="416">
        <f t="shared" si="0"/>
        <v>105199.99999999999</v>
      </c>
      <c r="AM5" s="416">
        <f t="shared" si="0"/>
        <v>105999.99999999999</v>
      </c>
      <c r="AN5" s="416">
        <f t="shared" si="0"/>
        <v>106799.99999999999</v>
      </c>
      <c r="AO5" s="416">
        <f t="shared" si="0"/>
        <v>107599.99999999999</v>
      </c>
      <c r="AP5" s="416">
        <f t="shared" si="0"/>
        <v>108399.99999999999</v>
      </c>
      <c r="AQ5" s="416">
        <f t="shared" si="0"/>
        <v>109199.99999999999</v>
      </c>
      <c r="AR5" s="416">
        <f t="shared" si="0"/>
        <v>109999.99999999999</v>
      </c>
      <c r="AS5" s="416">
        <f t="shared" si="0"/>
        <v>110799.99999999999</v>
      </c>
      <c r="AT5" s="416">
        <f t="shared" si="0"/>
        <v>111599.99999999999</v>
      </c>
      <c r="AU5" s="416">
        <f t="shared" si="0"/>
        <v>112399.99999999999</v>
      </c>
      <c r="AV5" s="416">
        <f t="shared" si="0"/>
        <v>113236.99999999999</v>
      </c>
      <c r="AW5" s="416">
        <f t="shared" si="0"/>
        <v>114036.99999999999</v>
      </c>
      <c r="AX5" s="416">
        <f t="shared" si="0"/>
        <v>114836.99999999999</v>
      </c>
      <c r="AY5" s="416">
        <f t="shared" si="0"/>
        <v>115236.99999999999</v>
      </c>
      <c r="AZ5" s="416">
        <f t="shared" si="0"/>
        <v>115636.99999999999</v>
      </c>
      <c r="BA5" s="416">
        <f t="shared" si="0"/>
        <v>116036.99999999999</v>
      </c>
      <c r="BB5" s="416">
        <f t="shared" si="0"/>
        <v>116436.99999999999</v>
      </c>
      <c r="BC5" s="416">
        <f t="shared" si="0"/>
        <v>116836.99999999999</v>
      </c>
      <c r="BD5" s="416">
        <f t="shared" si="0"/>
        <v>117236.99999999999</v>
      </c>
      <c r="BE5" s="416">
        <f t="shared" si="0"/>
        <v>117636.99999999999</v>
      </c>
      <c r="BF5" s="416">
        <f t="shared" si="0"/>
        <v>118036.99999999999</v>
      </c>
      <c r="BG5" s="416">
        <f t="shared" si="0"/>
        <v>118436.99999999999</v>
      </c>
      <c r="BH5" s="416">
        <f t="shared" si="0"/>
        <v>118836.99999999999</v>
      </c>
      <c r="BI5" s="416">
        <f t="shared" si="0"/>
        <v>119236.99999999999</v>
      </c>
      <c r="BJ5" s="416">
        <f t="shared" si="0"/>
        <v>119636.99999999999</v>
      </c>
      <c r="BK5" s="416">
        <f t="shared" si="0"/>
        <v>128824.77499999999</v>
      </c>
      <c r="BL5" s="416">
        <f t="shared" si="0"/>
        <v>129039.77499999999</v>
      </c>
      <c r="BM5" s="416">
        <f t="shared" si="0"/>
        <v>129254.77499999999</v>
      </c>
      <c r="BN5" s="416">
        <f t="shared" si="0"/>
        <v>129469.77499999999</v>
      </c>
      <c r="BO5" s="416">
        <f t="shared" ref="BO5:DF5" si="1">BO3*BO4</f>
        <v>129684.77499999999</v>
      </c>
      <c r="BP5" s="416">
        <f t="shared" si="1"/>
        <v>129899.77499999999</v>
      </c>
      <c r="BQ5" s="416">
        <f t="shared" si="1"/>
        <v>130114.77499999999</v>
      </c>
      <c r="BR5" s="416">
        <f t="shared" si="1"/>
        <v>130329.77499999999</v>
      </c>
      <c r="BS5" s="416">
        <f t="shared" si="1"/>
        <v>130544.77499999999</v>
      </c>
      <c r="BT5" s="416">
        <f t="shared" si="1"/>
        <v>130759.77499999999</v>
      </c>
      <c r="BU5" s="416">
        <f t="shared" si="1"/>
        <v>130974.77499999999</v>
      </c>
      <c r="BV5" s="416">
        <f t="shared" si="1"/>
        <v>131189.77499999999</v>
      </c>
      <c r="BW5" s="416">
        <f t="shared" si="1"/>
        <v>131404.77499999999</v>
      </c>
      <c r="BX5" s="416">
        <f t="shared" si="1"/>
        <v>131619.77499999999</v>
      </c>
      <c r="BY5" s="416">
        <f t="shared" si="1"/>
        <v>131834.77499999999</v>
      </c>
      <c r="BZ5" s="416">
        <f t="shared" si="1"/>
        <v>132049.77499999999</v>
      </c>
      <c r="CA5" s="416">
        <f t="shared" si="1"/>
        <v>132264.77499999999</v>
      </c>
      <c r="CB5" s="416">
        <f t="shared" si="1"/>
        <v>132479.77499999999</v>
      </c>
      <c r="CC5" s="416">
        <f t="shared" si="1"/>
        <v>132694.77499999999</v>
      </c>
      <c r="CD5" s="416">
        <f t="shared" si="1"/>
        <v>132909.77499999999</v>
      </c>
      <c r="CE5" s="416">
        <f t="shared" si="1"/>
        <v>133124.77499999999</v>
      </c>
      <c r="CF5" s="416">
        <f t="shared" si="1"/>
        <v>134890.23749999999</v>
      </c>
      <c r="CG5" s="416">
        <f t="shared" si="1"/>
        <v>135107.73749999999</v>
      </c>
      <c r="CH5" s="416">
        <f t="shared" si="1"/>
        <v>135325.23749999999</v>
      </c>
      <c r="CI5" s="416">
        <f t="shared" si="1"/>
        <v>135542.73749999999</v>
      </c>
      <c r="CJ5" s="416">
        <f t="shared" si="1"/>
        <v>135760.23749999999</v>
      </c>
      <c r="CK5" s="416">
        <f t="shared" si="1"/>
        <v>135977.73749999999</v>
      </c>
      <c r="CL5" s="416">
        <f t="shared" si="1"/>
        <v>136195.23749999999</v>
      </c>
      <c r="CM5" s="416">
        <f t="shared" si="1"/>
        <v>136412.73749999999</v>
      </c>
      <c r="CN5" s="416">
        <f t="shared" si="1"/>
        <v>136630.23749999999</v>
      </c>
      <c r="CO5" s="416">
        <f t="shared" si="1"/>
        <v>136847.73749999999</v>
      </c>
      <c r="CP5" s="416">
        <f t="shared" si="1"/>
        <v>137065.23749999999</v>
      </c>
      <c r="CQ5" s="416">
        <f t="shared" si="1"/>
        <v>137282.73749999999</v>
      </c>
      <c r="CR5" s="416">
        <f t="shared" si="1"/>
        <v>137500.23749999999</v>
      </c>
      <c r="CS5" s="416">
        <f t="shared" si="1"/>
        <v>137717.73749999999</v>
      </c>
      <c r="CT5" s="416">
        <f t="shared" si="1"/>
        <v>137935.23749999999</v>
      </c>
      <c r="CU5" s="416">
        <f t="shared" si="1"/>
        <v>138152.73749999999</v>
      </c>
      <c r="CV5" s="416">
        <f t="shared" si="1"/>
        <v>138370.23749999999</v>
      </c>
      <c r="CW5" s="416">
        <f t="shared" si="1"/>
        <v>138587.73749999999</v>
      </c>
      <c r="CX5" s="416">
        <f t="shared" si="1"/>
        <v>138805.23749999999</v>
      </c>
      <c r="CY5" s="416">
        <f t="shared" si="1"/>
        <v>139022.73749999999</v>
      </c>
      <c r="CZ5" s="416">
        <f t="shared" si="1"/>
        <v>139240.23749999999</v>
      </c>
      <c r="DA5" s="416">
        <f t="shared" si="1"/>
        <v>139457.73749999999</v>
      </c>
      <c r="DB5" s="416">
        <f t="shared" si="1"/>
        <v>139675.23749999999</v>
      </c>
      <c r="DC5" s="416">
        <f t="shared" si="1"/>
        <v>139892.73749999999</v>
      </c>
      <c r="DD5" s="416">
        <f t="shared" si="1"/>
        <v>140110.23749999999</v>
      </c>
      <c r="DE5" s="416">
        <f t="shared" si="1"/>
        <v>140327.73749999999</v>
      </c>
      <c r="DF5" s="416">
        <f t="shared" si="1"/>
        <v>140545.23749999999</v>
      </c>
    </row>
    <row r="6" spans="1:110" ht="12" customHeight="1">
      <c r="A6" s="413" t="s">
        <v>515</v>
      </c>
      <c r="B6" s="410" t="s">
        <v>239</v>
      </c>
      <c r="C6" s="341">
        <f>'Water Revenue'!C16</f>
        <v>80</v>
      </c>
      <c r="D6" s="341">
        <f>'Water Revenue'!D16</f>
        <v>80</v>
      </c>
      <c r="E6" s="341">
        <f>'Water Revenue'!E16</f>
        <v>80</v>
      </c>
      <c r="F6" s="341">
        <f>'Water Revenue'!F16</f>
        <v>80</v>
      </c>
      <c r="G6" s="341">
        <f>'Water Revenue'!G16</f>
        <v>80</v>
      </c>
      <c r="H6" s="341">
        <f>'Water Revenue'!H16</f>
        <v>80</v>
      </c>
      <c r="I6" s="341">
        <f>'Water Revenue'!I16</f>
        <v>80</v>
      </c>
      <c r="J6" s="341">
        <f>'Water Revenue'!J16</f>
        <v>80</v>
      </c>
      <c r="K6" s="341">
        <f>'Water Revenue'!K16</f>
        <v>80</v>
      </c>
      <c r="L6" s="341">
        <f>'Water Revenue'!L16</f>
        <v>80</v>
      </c>
      <c r="M6" s="341">
        <f>'Water Revenue'!M16</f>
        <v>80</v>
      </c>
      <c r="N6" s="341">
        <f>'Water Revenue'!N16</f>
        <v>80</v>
      </c>
      <c r="O6" s="341">
        <f>'Water Revenue'!O16</f>
        <v>80</v>
      </c>
      <c r="P6" s="341">
        <f>'Water Revenue'!P16</f>
        <v>80</v>
      </c>
      <c r="Q6" s="341">
        <f>'Water Revenue'!Q16</f>
        <v>80</v>
      </c>
      <c r="R6" s="341">
        <f>'Water Revenue'!R16</f>
        <v>80</v>
      </c>
      <c r="S6" s="341">
        <f>'Water Revenue'!S16</f>
        <v>80</v>
      </c>
      <c r="T6" s="341">
        <f>'Water Revenue'!T16</f>
        <v>80</v>
      </c>
      <c r="U6" s="341">
        <f>'Water Revenue'!U16</f>
        <v>80</v>
      </c>
      <c r="V6" s="341">
        <f>'Water Revenue'!V16</f>
        <v>80</v>
      </c>
      <c r="W6" s="341">
        <f>'Water Revenue'!W16</f>
        <v>80</v>
      </c>
      <c r="X6" s="341">
        <f>'Water Revenue'!X16</f>
        <v>80</v>
      </c>
      <c r="Y6" s="341">
        <f>'Water Revenue'!Y16</f>
        <v>80</v>
      </c>
      <c r="Z6" s="341">
        <f>'Water Revenue'!Z16</f>
        <v>80</v>
      </c>
      <c r="AA6" s="341">
        <f>'Water Revenue'!AA16</f>
        <v>80</v>
      </c>
      <c r="AB6" s="341">
        <f>'Water Revenue'!AB16</f>
        <v>80</v>
      </c>
      <c r="AC6" s="341">
        <f>'Water Revenue'!AC16</f>
        <v>80</v>
      </c>
      <c r="AD6" s="341">
        <f>'Water Revenue'!AD16</f>
        <v>80</v>
      </c>
      <c r="AE6" s="341">
        <f>'Water Revenue'!AE16</f>
        <v>80</v>
      </c>
      <c r="AF6" s="341">
        <f>'Water Revenue'!AF16</f>
        <v>80</v>
      </c>
      <c r="AG6" s="341">
        <f>'Water Revenue'!AG16</f>
        <v>80</v>
      </c>
      <c r="AH6" s="341">
        <f>'Water Revenue'!AH16</f>
        <v>80</v>
      </c>
      <c r="AI6" s="341">
        <f>'Water Revenue'!AI16</f>
        <v>80</v>
      </c>
      <c r="AJ6" s="341">
        <f>'Water Revenue'!AJ16</f>
        <v>80</v>
      </c>
      <c r="AK6" s="341">
        <f>'Water Revenue'!AK16</f>
        <v>80</v>
      </c>
      <c r="AL6" s="341">
        <f>'Water Revenue'!AL16</f>
        <v>80</v>
      </c>
      <c r="AM6" s="341">
        <f>'Water Revenue'!AM16</f>
        <v>80</v>
      </c>
      <c r="AN6" s="341">
        <f>'Water Revenue'!AN16</f>
        <v>80</v>
      </c>
      <c r="AO6" s="341">
        <f>'Water Revenue'!AO16</f>
        <v>80</v>
      </c>
      <c r="AP6" s="341">
        <f>'Water Revenue'!AP16</f>
        <v>80</v>
      </c>
      <c r="AQ6" s="341">
        <f>'Water Revenue'!AQ16</f>
        <v>80</v>
      </c>
      <c r="AR6" s="341">
        <f>'Water Revenue'!AR16</f>
        <v>80</v>
      </c>
      <c r="AS6" s="341">
        <f>'Water Revenue'!AS16</f>
        <v>80</v>
      </c>
      <c r="AT6" s="341">
        <f>'Water Revenue'!AT16</f>
        <v>80</v>
      </c>
      <c r="AU6" s="341">
        <f>'Water Revenue'!AU16</f>
        <v>80</v>
      </c>
      <c r="AV6" s="341">
        <f>'Water Revenue'!AV16</f>
        <v>80</v>
      </c>
      <c r="AW6" s="341">
        <f>'Water Revenue'!AW16</f>
        <v>80</v>
      </c>
      <c r="AX6" s="341">
        <f>'Water Revenue'!AX16</f>
        <v>80</v>
      </c>
      <c r="AY6" s="341">
        <f>'Water Revenue'!AY16</f>
        <v>80</v>
      </c>
      <c r="AZ6" s="341">
        <f>'Water Revenue'!AZ16</f>
        <v>80</v>
      </c>
      <c r="BA6" s="341">
        <f>'Water Revenue'!BA16</f>
        <v>80</v>
      </c>
      <c r="BB6" s="341">
        <f>'Water Revenue'!BB16</f>
        <v>80</v>
      </c>
      <c r="BC6" s="341">
        <f>'Water Revenue'!BC16</f>
        <v>80</v>
      </c>
      <c r="BD6" s="341">
        <f>'Water Revenue'!BD16</f>
        <v>80</v>
      </c>
      <c r="BE6" s="341">
        <f>'Water Revenue'!BE16</f>
        <v>80</v>
      </c>
      <c r="BF6" s="341">
        <f>'Water Revenue'!BF16</f>
        <v>80</v>
      </c>
      <c r="BG6" s="341">
        <f>'Water Revenue'!BG16</f>
        <v>80</v>
      </c>
      <c r="BH6" s="341">
        <f>'Water Revenue'!BH16</f>
        <v>80</v>
      </c>
      <c r="BI6" s="341">
        <f>'Water Revenue'!BI16</f>
        <v>80</v>
      </c>
      <c r="BJ6" s="341">
        <f>'Water Revenue'!BJ16</f>
        <v>80</v>
      </c>
      <c r="BK6" s="341">
        <f>'Water Revenue'!BK16</f>
        <v>85</v>
      </c>
      <c r="BL6" s="341">
        <f>'Water Revenue'!BL16</f>
        <v>85</v>
      </c>
      <c r="BM6" s="341">
        <f>'Water Revenue'!BM16</f>
        <v>85</v>
      </c>
      <c r="BN6" s="341">
        <f>'Water Revenue'!BN16</f>
        <v>85</v>
      </c>
      <c r="BO6" s="341">
        <f>'Water Revenue'!BO16</f>
        <v>85</v>
      </c>
      <c r="BP6" s="341">
        <f>'Water Revenue'!BP16</f>
        <v>85</v>
      </c>
      <c r="BQ6" s="341">
        <f>'Water Revenue'!BQ16</f>
        <v>85</v>
      </c>
      <c r="BR6" s="341">
        <f>'Water Revenue'!BR16</f>
        <v>85</v>
      </c>
      <c r="BS6" s="341">
        <f>'Water Revenue'!BS16</f>
        <v>85</v>
      </c>
      <c r="BT6" s="341">
        <f>'Water Revenue'!BT16</f>
        <v>85</v>
      </c>
      <c r="BU6" s="341">
        <f>'Water Revenue'!BU16</f>
        <v>85</v>
      </c>
      <c r="BV6" s="341">
        <f>'Water Revenue'!BV16</f>
        <v>85</v>
      </c>
      <c r="BW6" s="341">
        <f>'Water Revenue'!BW16</f>
        <v>90</v>
      </c>
      <c r="BX6" s="341">
        <f>'Water Revenue'!BX16</f>
        <v>90</v>
      </c>
      <c r="BY6" s="341">
        <f>'Water Revenue'!BY16</f>
        <v>90</v>
      </c>
      <c r="BZ6" s="341">
        <f>'Water Revenue'!BZ16</f>
        <v>90</v>
      </c>
      <c r="CA6" s="341">
        <f>'Water Revenue'!CA16</f>
        <v>90</v>
      </c>
      <c r="CB6" s="341">
        <f>'Water Revenue'!CB16</f>
        <v>90</v>
      </c>
      <c r="CC6" s="341">
        <f>'Water Revenue'!CC16</f>
        <v>90</v>
      </c>
      <c r="CD6" s="341">
        <f>'Water Revenue'!CD16</f>
        <v>90</v>
      </c>
      <c r="CE6" s="341">
        <f>'Water Revenue'!CE16</f>
        <v>90</v>
      </c>
      <c r="CF6" s="341">
        <f>'Water Revenue'!CF16</f>
        <v>90</v>
      </c>
      <c r="CG6" s="341">
        <f>'Water Revenue'!CG16</f>
        <v>90</v>
      </c>
      <c r="CH6" s="341">
        <f>'Water Revenue'!CH16</f>
        <v>90</v>
      </c>
      <c r="CI6" s="341">
        <f>'Water Revenue'!CI16</f>
        <v>90</v>
      </c>
      <c r="CJ6" s="341">
        <f>'Water Revenue'!CJ16</f>
        <v>90</v>
      </c>
      <c r="CK6" s="341">
        <f>'Water Revenue'!CK16</f>
        <v>90</v>
      </c>
      <c r="CL6" s="341">
        <f>'Water Revenue'!CL16</f>
        <v>90</v>
      </c>
      <c r="CM6" s="341">
        <f>'Water Revenue'!CM16</f>
        <v>90</v>
      </c>
      <c r="CN6" s="341">
        <f>'Water Revenue'!CN16</f>
        <v>90</v>
      </c>
      <c r="CO6" s="341">
        <f>'Water Revenue'!CO16</f>
        <v>90</v>
      </c>
      <c r="CP6" s="341">
        <f>'Water Revenue'!CP16</f>
        <v>90</v>
      </c>
      <c r="CQ6" s="341">
        <f>'Water Revenue'!CQ16</f>
        <v>90</v>
      </c>
      <c r="CR6" s="341">
        <f>'Water Revenue'!CR16</f>
        <v>90</v>
      </c>
      <c r="CS6" s="341">
        <f>'Water Revenue'!CS16</f>
        <v>90</v>
      </c>
      <c r="CT6" s="341">
        <f>'Water Revenue'!CT16</f>
        <v>90</v>
      </c>
      <c r="CU6" s="341">
        <f>'Water Revenue'!CU16</f>
        <v>90</v>
      </c>
      <c r="CV6" s="341">
        <f>'Water Revenue'!CV16</f>
        <v>90</v>
      </c>
      <c r="CW6" s="341">
        <f>'Water Revenue'!CW16</f>
        <v>90</v>
      </c>
      <c r="CX6" s="341">
        <f>'Water Revenue'!CX16</f>
        <v>90</v>
      </c>
      <c r="CY6" s="341">
        <f>'Water Revenue'!CY16</f>
        <v>90</v>
      </c>
      <c r="CZ6" s="341">
        <f>'Water Revenue'!CZ16</f>
        <v>90</v>
      </c>
      <c r="DA6" s="341">
        <f>'Water Revenue'!DA16</f>
        <v>90</v>
      </c>
      <c r="DB6" s="341">
        <f>'Water Revenue'!DB16</f>
        <v>90</v>
      </c>
      <c r="DC6" s="341">
        <f>'Water Revenue'!DC16</f>
        <v>90</v>
      </c>
      <c r="DD6" s="341">
        <f>'Water Revenue'!DD16</f>
        <v>90</v>
      </c>
      <c r="DE6" s="341">
        <f>'Water Revenue'!DE16</f>
        <v>90</v>
      </c>
      <c r="DF6" s="341">
        <f>'Water Revenue'!DF16</f>
        <v>90</v>
      </c>
    </row>
    <row r="7" spans="1:110" ht="12" customHeight="1">
      <c r="A7" s="413" t="s">
        <v>499</v>
      </c>
      <c r="B7" s="410" t="s">
        <v>500</v>
      </c>
      <c r="C7" s="341">
        <f t="shared" ref="C7:BN7" si="2">DAY(C2)</f>
        <v>30</v>
      </c>
      <c r="D7" s="341">
        <f t="shared" si="2"/>
        <v>31</v>
      </c>
      <c r="E7" s="341">
        <f t="shared" si="2"/>
        <v>30</v>
      </c>
      <c r="F7" s="341">
        <f t="shared" si="2"/>
        <v>31</v>
      </c>
      <c r="G7" s="341">
        <f t="shared" si="2"/>
        <v>31</v>
      </c>
      <c r="H7" s="341">
        <f t="shared" si="2"/>
        <v>30</v>
      </c>
      <c r="I7" s="341">
        <f t="shared" si="2"/>
        <v>31</v>
      </c>
      <c r="J7" s="341">
        <f t="shared" si="2"/>
        <v>30</v>
      </c>
      <c r="K7" s="341">
        <f t="shared" si="2"/>
        <v>31</v>
      </c>
      <c r="L7" s="341">
        <f t="shared" si="2"/>
        <v>31</v>
      </c>
      <c r="M7" s="341">
        <f t="shared" si="2"/>
        <v>28</v>
      </c>
      <c r="N7" s="341">
        <f t="shared" si="2"/>
        <v>31</v>
      </c>
      <c r="O7" s="341">
        <f t="shared" si="2"/>
        <v>30</v>
      </c>
      <c r="P7" s="341">
        <f t="shared" si="2"/>
        <v>31</v>
      </c>
      <c r="Q7" s="341">
        <f t="shared" si="2"/>
        <v>30</v>
      </c>
      <c r="R7" s="341">
        <f t="shared" si="2"/>
        <v>31</v>
      </c>
      <c r="S7" s="341">
        <f t="shared" si="2"/>
        <v>31</v>
      </c>
      <c r="T7" s="341">
        <f t="shared" si="2"/>
        <v>30</v>
      </c>
      <c r="U7" s="341">
        <f t="shared" si="2"/>
        <v>31</v>
      </c>
      <c r="V7" s="341">
        <f t="shared" si="2"/>
        <v>30</v>
      </c>
      <c r="W7" s="341">
        <f t="shared" si="2"/>
        <v>31</v>
      </c>
      <c r="X7" s="341">
        <f t="shared" si="2"/>
        <v>31</v>
      </c>
      <c r="Y7" s="341">
        <f t="shared" si="2"/>
        <v>28</v>
      </c>
      <c r="Z7" s="341">
        <f t="shared" si="2"/>
        <v>31</v>
      </c>
      <c r="AA7" s="341">
        <f t="shared" si="2"/>
        <v>30</v>
      </c>
      <c r="AB7" s="341">
        <f t="shared" si="2"/>
        <v>31</v>
      </c>
      <c r="AC7" s="341">
        <f t="shared" si="2"/>
        <v>30</v>
      </c>
      <c r="AD7" s="341">
        <f t="shared" si="2"/>
        <v>31</v>
      </c>
      <c r="AE7" s="341">
        <f t="shared" si="2"/>
        <v>31</v>
      </c>
      <c r="AF7" s="341">
        <f t="shared" si="2"/>
        <v>30</v>
      </c>
      <c r="AG7" s="341">
        <f t="shared" si="2"/>
        <v>31</v>
      </c>
      <c r="AH7" s="341">
        <f t="shared" si="2"/>
        <v>30</v>
      </c>
      <c r="AI7" s="341">
        <f t="shared" si="2"/>
        <v>31</v>
      </c>
      <c r="AJ7" s="341">
        <f t="shared" si="2"/>
        <v>31</v>
      </c>
      <c r="AK7" s="341">
        <f t="shared" si="2"/>
        <v>28</v>
      </c>
      <c r="AL7" s="341">
        <f t="shared" si="2"/>
        <v>31</v>
      </c>
      <c r="AM7" s="341">
        <f t="shared" si="2"/>
        <v>30</v>
      </c>
      <c r="AN7" s="341">
        <f t="shared" si="2"/>
        <v>31</v>
      </c>
      <c r="AO7" s="341">
        <f t="shared" si="2"/>
        <v>30</v>
      </c>
      <c r="AP7" s="341">
        <f t="shared" si="2"/>
        <v>31</v>
      </c>
      <c r="AQ7" s="341">
        <f t="shared" si="2"/>
        <v>31</v>
      </c>
      <c r="AR7" s="341">
        <f t="shared" si="2"/>
        <v>30</v>
      </c>
      <c r="AS7" s="341">
        <f t="shared" si="2"/>
        <v>31</v>
      </c>
      <c r="AT7" s="341">
        <f t="shared" si="2"/>
        <v>30</v>
      </c>
      <c r="AU7" s="341">
        <f t="shared" si="2"/>
        <v>31</v>
      </c>
      <c r="AV7" s="341">
        <f t="shared" si="2"/>
        <v>31</v>
      </c>
      <c r="AW7" s="341">
        <f t="shared" si="2"/>
        <v>29</v>
      </c>
      <c r="AX7" s="341">
        <f t="shared" si="2"/>
        <v>31</v>
      </c>
      <c r="AY7" s="341">
        <f t="shared" si="2"/>
        <v>30</v>
      </c>
      <c r="AZ7" s="341">
        <f t="shared" si="2"/>
        <v>31</v>
      </c>
      <c r="BA7" s="341">
        <f t="shared" si="2"/>
        <v>30</v>
      </c>
      <c r="BB7" s="341">
        <f t="shared" si="2"/>
        <v>31</v>
      </c>
      <c r="BC7" s="341">
        <f t="shared" si="2"/>
        <v>31</v>
      </c>
      <c r="BD7" s="341">
        <f t="shared" si="2"/>
        <v>30</v>
      </c>
      <c r="BE7" s="341">
        <f t="shared" si="2"/>
        <v>31</v>
      </c>
      <c r="BF7" s="341">
        <f t="shared" si="2"/>
        <v>30</v>
      </c>
      <c r="BG7" s="341">
        <f t="shared" si="2"/>
        <v>31</v>
      </c>
      <c r="BH7" s="341">
        <f t="shared" si="2"/>
        <v>31</v>
      </c>
      <c r="BI7" s="341">
        <f t="shared" si="2"/>
        <v>28</v>
      </c>
      <c r="BJ7" s="341">
        <f t="shared" si="2"/>
        <v>31</v>
      </c>
      <c r="BK7" s="341">
        <f t="shared" si="2"/>
        <v>30</v>
      </c>
      <c r="BL7" s="341">
        <f t="shared" si="2"/>
        <v>31</v>
      </c>
      <c r="BM7" s="341">
        <f t="shared" si="2"/>
        <v>30</v>
      </c>
      <c r="BN7" s="341">
        <f t="shared" si="2"/>
        <v>31</v>
      </c>
      <c r="BO7" s="341">
        <f t="shared" ref="BO7:DF7" si="3">DAY(BO2)</f>
        <v>31</v>
      </c>
      <c r="BP7" s="341">
        <f t="shared" si="3"/>
        <v>30</v>
      </c>
      <c r="BQ7" s="341">
        <f t="shared" si="3"/>
        <v>31</v>
      </c>
      <c r="BR7" s="341">
        <f t="shared" si="3"/>
        <v>30</v>
      </c>
      <c r="BS7" s="341">
        <f t="shared" si="3"/>
        <v>31</v>
      </c>
      <c r="BT7" s="341">
        <f t="shared" si="3"/>
        <v>31</v>
      </c>
      <c r="BU7" s="341">
        <f t="shared" si="3"/>
        <v>28</v>
      </c>
      <c r="BV7" s="341">
        <f t="shared" si="3"/>
        <v>31</v>
      </c>
      <c r="BW7" s="341">
        <f t="shared" si="3"/>
        <v>30</v>
      </c>
      <c r="BX7" s="341">
        <f t="shared" si="3"/>
        <v>31</v>
      </c>
      <c r="BY7" s="341">
        <f t="shared" si="3"/>
        <v>30</v>
      </c>
      <c r="BZ7" s="341">
        <f t="shared" si="3"/>
        <v>31</v>
      </c>
      <c r="CA7" s="341">
        <f t="shared" si="3"/>
        <v>31</v>
      </c>
      <c r="CB7" s="341">
        <f t="shared" si="3"/>
        <v>30</v>
      </c>
      <c r="CC7" s="341">
        <f t="shared" si="3"/>
        <v>31</v>
      </c>
      <c r="CD7" s="341">
        <f t="shared" si="3"/>
        <v>30</v>
      </c>
      <c r="CE7" s="341">
        <f t="shared" si="3"/>
        <v>31</v>
      </c>
      <c r="CF7" s="341">
        <f t="shared" si="3"/>
        <v>31</v>
      </c>
      <c r="CG7" s="341">
        <f t="shared" si="3"/>
        <v>28</v>
      </c>
      <c r="CH7" s="341">
        <f t="shared" si="3"/>
        <v>31</v>
      </c>
      <c r="CI7" s="341">
        <f t="shared" si="3"/>
        <v>30</v>
      </c>
      <c r="CJ7" s="341">
        <f t="shared" si="3"/>
        <v>31</v>
      </c>
      <c r="CK7" s="341">
        <f t="shared" si="3"/>
        <v>30</v>
      </c>
      <c r="CL7" s="341">
        <f t="shared" si="3"/>
        <v>31</v>
      </c>
      <c r="CM7" s="341">
        <f t="shared" si="3"/>
        <v>31</v>
      </c>
      <c r="CN7" s="341">
        <f t="shared" si="3"/>
        <v>30</v>
      </c>
      <c r="CO7" s="341">
        <f t="shared" si="3"/>
        <v>31</v>
      </c>
      <c r="CP7" s="341">
        <f t="shared" si="3"/>
        <v>30</v>
      </c>
      <c r="CQ7" s="341">
        <f t="shared" si="3"/>
        <v>31</v>
      </c>
      <c r="CR7" s="341">
        <f t="shared" si="3"/>
        <v>31</v>
      </c>
      <c r="CS7" s="341">
        <f t="shared" si="3"/>
        <v>29</v>
      </c>
      <c r="CT7" s="341">
        <f t="shared" si="3"/>
        <v>31</v>
      </c>
      <c r="CU7" s="341">
        <f t="shared" si="3"/>
        <v>30</v>
      </c>
      <c r="CV7" s="341">
        <f t="shared" si="3"/>
        <v>31</v>
      </c>
      <c r="CW7" s="341">
        <f t="shared" si="3"/>
        <v>30</v>
      </c>
      <c r="CX7" s="341">
        <f t="shared" si="3"/>
        <v>31</v>
      </c>
      <c r="CY7" s="341">
        <f t="shared" si="3"/>
        <v>31</v>
      </c>
      <c r="CZ7" s="341">
        <f t="shared" si="3"/>
        <v>30</v>
      </c>
      <c r="DA7" s="341">
        <f t="shared" si="3"/>
        <v>31</v>
      </c>
      <c r="DB7" s="341">
        <f t="shared" si="3"/>
        <v>30</v>
      </c>
      <c r="DC7" s="341">
        <f t="shared" si="3"/>
        <v>31</v>
      </c>
      <c r="DD7" s="341">
        <f t="shared" si="3"/>
        <v>31</v>
      </c>
      <c r="DE7" s="341">
        <f t="shared" si="3"/>
        <v>28</v>
      </c>
      <c r="DF7" s="341">
        <f t="shared" si="3"/>
        <v>31</v>
      </c>
    </row>
    <row r="8" spans="1:110" ht="12" customHeight="1" thickBot="1">
      <c r="A8" s="404" t="s">
        <v>501</v>
      </c>
      <c r="B8" s="410" t="s">
        <v>502</v>
      </c>
      <c r="C8" s="343">
        <f t="shared" ref="C8:BN8" si="4">C5*C6%*C7</f>
        <v>1964160</v>
      </c>
      <c r="D8" s="343">
        <f t="shared" si="4"/>
        <v>2095104</v>
      </c>
      <c r="E8" s="343">
        <f t="shared" si="4"/>
        <v>2090880</v>
      </c>
      <c r="F8" s="343">
        <f t="shared" si="4"/>
        <v>2193312</v>
      </c>
      <c r="G8" s="343">
        <f t="shared" si="4"/>
        <v>2247872</v>
      </c>
      <c r="H8" s="343">
        <f t="shared" si="4"/>
        <v>2228160</v>
      </c>
      <c r="I8" s="343">
        <f t="shared" si="4"/>
        <v>2356992</v>
      </c>
      <c r="J8" s="343">
        <f t="shared" si="4"/>
        <v>2333760</v>
      </c>
      <c r="K8" s="343">
        <f t="shared" si="4"/>
        <v>2466112</v>
      </c>
      <c r="L8" s="343">
        <f t="shared" si="4"/>
        <v>2520672</v>
      </c>
      <c r="M8" s="343">
        <f t="shared" si="4"/>
        <v>2326016</v>
      </c>
      <c r="N8" s="343">
        <f t="shared" si="4"/>
        <v>2629792</v>
      </c>
      <c r="O8" s="343">
        <f t="shared" si="4"/>
        <v>2006400</v>
      </c>
      <c r="P8" s="343">
        <f t="shared" si="4"/>
        <v>2092128</v>
      </c>
      <c r="Q8" s="343">
        <f t="shared" si="4"/>
        <v>2042880</v>
      </c>
      <c r="R8" s="343">
        <f t="shared" si="4"/>
        <v>2354016</v>
      </c>
      <c r="S8" s="343">
        <f t="shared" si="4"/>
        <v>2385264</v>
      </c>
      <c r="T8" s="343">
        <f t="shared" si="4"/>
        <v>2338560</v>
      </c>
      <c r="U8" s="343">
        <f t="shared" si="4"/>
        <v>2447760</v>
      </c>
      <c r="V8" s="343">
        <f t="shared" si="4"/>
        <v>2399040</v>
      </c>
      <c r="W8" s="343">
        <f t="shared" si="4"/>
        <v>2510256</v>
      </c>
      <c r="X8" s="343">
        <f t="shared" si="4"/>
        <v>2541504</v>
      </c>
      <c r="Y8" s="343">
        <f t="shared" si="4"/>
        <v>2342592</v>
      </c>
      <c r="Z8" s="343">
        <f t="shared" si="4"/>
        <v>2645664</v>
      </c>
      <c r="AA8" s="343">
        <f t="shared" si="4"/>
        <v>2371200</v>
      </c>
      <c r="AB8" s="343">
        <f t="shared" si="4"/>
        <v>2470080</v>
      </c>
      <c r="AC8" s="343">
        <f t="shared" si="4"/>
        <v>2419200</v>
      </c>
      <c r="AD8" s="343">
        <f t="shared" si="4"/>
        <v>2519680</v>
      </c>
      <c r="AE8" s="343">
        <f t="shared" si="4"/>
        <v>2539520</v>
      </c>
      <c r="AF8" s="343">
        <f t="shared" si="4"/>
        <v>2467200</v>
      </c>
      <c r="AG8" s="343">
        <f t="shared" si="4"/>
        <v>2559360</v>
      </c>
      <c r="AH8" s="343">
        <f t="shared" si="4"/>
        <v>2486400</v>
      </c>
      <c r="AI8" s="343">
        <f t="shared" si="4"/>
        <v>2579200</v>
      </c>
      <c r="AJ8" s="343">
        <f t="shared" si="4"/>
        <v>2589120</v>
      </c>
      <c r="AK8" s="343">
        <f t="shared" si="4"/>
        <v>2347520</v>
      </c>
      <c r="AL8" s="343">
        <f t="shared" si="4"/>
        <v>2608960</v>
      </c>
      <c r="AM8" s="343">
        <f t="shared" si="4"/>
        <v>2544000</v>
      </c>
      <c r="AN8" s="343">
        <f t="shared" si="4"/>
        <v>2648640</v>
      </c>
      <c r="AO8" s="343">
        <f t="shared" si="4"/>
        <v>2582400</v>
      </c>
      <c r="AP8" s="343">
        <f t="shared" si="4"/>
        <v>2688320</v>
      </c>
      <c r="AQ8" s="343">
        <f t="shared" si="4"/>
        <v>2708160</v>
      </c>
      <c r="AR8" s="343">
        <f t="shared" si="4"/>
        <v>2640000</v>
      </c>
      <c r="AS8" s="343">
        <f t="shared" si="4"/>
        <v>2747840</v>
      </c>
      <c r="AT8" s="343">
        <f t="shared" si="4"/>
        <v>2678400</v>
      </c>
      <c r="AU8" s="343">
        <f t="shared" si="4"/>
        <v>2787520</v>
      </c>
      <c r="AV8" s="343">
        <f t="shared" si="4"/>
        <v>2808277.5999999996</v>
      </c>
      <c r="AW8" s="343">
        <f t="shared" si="4"/>
        <v>2645658.4</v>
      </c>
      <c r="AX8" s="343">
        <f t="shared" si="4"/>
        <v>2847957.5999999996</v>
      </c>
      <c r="AY8" s="343">
        <f t="shared" si="4"/>
        <v>2765687.9999999995</v>
      </c>
      <c r="AZ8" s="343">
        <f t="shared" si="4"/>
        <v>2867797.5999999996</v>
      </c>
      <c r="BA8" s="343">
        <f t="shared" si="4"/>
        <v>2784887.9999999995</v>
      </c>
      <c r="BB8" s="343">
        <f t="shared" si="4"/>
        <v>2887637.5999999996</v>
      </c>
      <c r="BC8" s="343">
        <f t="shared" si="4"/>
        <v>2897557.5999999996</v>
      </c>
      <c r="BD8" s="343">
        <f t="shared" si="4"/>
        <v>2813687.9999999995</v>
      </c>
      <c r="BE8" s="343">
        <f t="shared" si="4"/>
        <v>2917397.5999999996</v>
      </c>
      <c r="BF8" s="343">
        <f t="shared" si="4"/>
        <v>2832887.9999999995</v>
      </c>
      <c r="BG8" s="343">
        <f t="shared" si="4"/>
        <v>2937237.5999999996</v>
      </c>
      <c r="BH8" s="343">
        <f t="shared" si="4"/>
        <v>2947157.5999999996</v>
      </c>
      <c r="BI8" s="343">
        <f t="shared" si="4"/>
        <v>2670908.7999999998</v>
      </c>
      <c r="BJ8" s="343">
        <f t="shared" si="4"/>
        <v>2966997.5999999996</v>
      </c>
      <c r="BK8" s="343">
        <f t="shared" si="4"/>
        <v>3285031.7624999997</v>
      </c>
      <c r="BL8" s="343">
        <f t="shared" si="4"/>
        <v>3400198.07125</v>
      </c>
      <c r="BM8" s="343">
        <f t="shared" si="4"/>
        <v>3295996.7624999997</v>
      </c>
      <c r="BN8" s="343">
        <f t="shared" si="4"/>
        <v>3411528.57125</v>
      </c>
      <c r="BO8" s="343">
        <f t="shared" ref="BO8:DF8" si="5">BO5*BO6%*BO7</f>
        <v>3417193.82125</v>
      </c>
      <c r="BP8" s="343">
        <f t="shared" si="5"/>
        <v>3312444.2624999997</v>
      </c>
      <c r="BQ8" s="343">
        <f t="shared" si="5"/>
        <v>3428524.32125</v>
      </c>
      <c r="BR8" s="343">
        <f t="shared" si="5"/>
        <v>3323409.2624999997</v>
      </c>
      <c r="BS8" s="343">
        <f t="shared" si="5"/>
        <v>3439854.82125</v>
      </c>
      <c r="BT8" s="343">
        <f t="shared" si="5"/>
        <v>3445520.07125</v>
      </c>
      <c r="BU8" s="343">
        <f t="shared" si="5"/>
        <v>3117199.645</v>
      </c>
      <c r="BV8" s="343">
        <f t="shared" si="5"/>
        <v>3456850.57125</v>
      </c>
      <c r="BW8" s="343">
        <f t="shared" si="5"/>
        <v>3547928.9249999998</v>
      </c>
      <c r="BX8" s="343">
        <f t="shared" si="5"/>
        <v>3672191.7225000001</v>
      </c>
      <c r="BY8" s="343">
        <f t="shared" si="5"/>
        <v>3559538.9249999998</v>
      </c>
      <c r="BZ8" s="343">
        <f t="shared" si="5"/>
        <v>3684188.7225000001</v>
      </c>
      <c r="CA8" s="343">
        <f t="shared" si="5"/>
        <v>3690187.2225000001</v>
      </c>
      <c r="CB8" s="343">
        <f t="shared" si="5"/>
        <v>3576953.9249999998</v>
      </c>
      <c r="CC8" s="343">
        <f t="shared" si="5"/>
        <v>3702184.2225000001</v>
      </c>
      <c r="CD8" s="343">
        <f t="shared" si="5"/>
        <v>3588563.9249999998</v>
      </c>
      <c r="CE8" s="343">
        <f t="shared" si="5"/>
        <v>3714181.2225000001</v>
      </c>
      <c r="CF8" s="343">
        <f t="shared" si="5"/>
        <v>3763437.6262499997</v>
      </c>
      <c r="CG8" s="343">
        <f t="shared" si="5"/>
        <v>3404714.9849999999</v>
      </c>
      <c r="CH8" s="343">
        <f t="shared" si="5"/>
        <v>3775574.1262499997</v>
      </c>
      <c r="CI8" s="343">
        <f t="shared" si="5"/>
        <v>3659653.9124999996</v>
      </c>
      <c r="CJ8" s="343">
        <f t="shared" si="5"/>
        <v>3787710.6262499997</v>
      </c>
      <c r="CK8" s="343">
        <f t="shared" si="5"/>
        <v>3671398.9124999996</v>
      </c>
      <c r="CL8" s="343">
        <f t="shared" si="5"/>
        <v>3799847.1262499997</v>
      </c>
      <c r="CM8" s="343">
        <f t="shared" si="5"/>
        <v>3805915.3762499997</v>
      </c>
      <c r="CN8" s="343">
        <f t="shared" si="5"/>
        <v>3689016.4124999996</v>
      </c>
      <c r="CO8" s="343">
        <f t="shared" si="5"/>
        <v>3818051.8762499997</v>
      </c>
      <c r="CP8" s="343">
        <f t="shared" si="5"/>
        <v>3700761.4124999996</v>
      </c>
      <c r="CQ8" s="343">
        <f t="shared" si="5"/>
        <v>3830188.3762499997</v>
      </c>
      <c r="CR8" s="343">
        <f t="shared" si="5"/>
        <v>3836256.6262499997</v>
      </c>
      <c r="CS8" s="343">
        <f t="shared" si="5"/>
        <v>3594432.94875</v>
      </c>
      <c r="CT8" s="343">
        <f t="shared" si="5"/>
        <v>3848393.1262499997</v>
      </c>
      <c r="CU8" s="343">
        <f t="shared" si="5"/>
        <v>3730123.9124999996</v>
      </c>
      <c r="CV8" s="343">
        <f t="shared" si="5"/>
        <v>3860529.6262499997</v>
      </c>
      <c r="CW8" s="343">
        <f t="shared" si="5"/>
        <v>3741868.9124999996</v>
      </c>
      <c r="CX8" s="343">
        <f t="shared" si="5"/>
        <v>3872666.1262499997</v>
      </c>
      <c r="CY8" s="343">
        <f t="shared" si="5"/>
        <v>3878734.3762499997</v>
      </c>
      <c r="CZ8" s="343">
        <f t="shared" si="5"/>
        <v>3759486.4124999996</v>
      </c>
      <c r="DA8" s="343">
        <f t="shared" si="5"/>
        <v>3890870.8762499997</v>
      </c>
      <c r="DB8" s="343">
        <f t="shared" si="5"/>
        <v>3771231.4124999996</v>
      </c>
      <c r="DC8" s="343">
        <f t="shared" si="5"/>
        <v>3903007.3762499997</v>
      </c>
      <c r="DD8" s="343">
        <f t="shared" si="5"/>
        <v>3909075.6262499997</v>
      </c>
      <c r="DE8" s="343">
        <f t="shared" si="5"/>
        <v>3536258.9849999999</v>
      </c>
      <c r="DF8" s="343">
        <f t="shared" si="5"/>
        <v>3921212.1262499997</v>
      </c>
    </row>
    <row r="9" spans="1:110" ht="12" customHeight="1" thickTop="1">
      <c r="A9" s="413" t="s">
        <v>516</v>
      </c>
      <c r="B9" s="410"/>
      <c r="C9" s="426">
        <v>5</v>
      </c>
      <c r="D9" s="426">
        <v>0</v>
      </c>
      <c r="E9" s="426">
        <v>0</v>
      </c>
      <c r="F9" s="426">
        <v>0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341">
        <f t="shared" ref="O9:BZ9" si="6">C9</f>
        <v>5</v>
      </c>
      <c r="P9" s="341">
        <f t="shared" si="6"/>
        <v>0</v>
      </c>
      <c r="Q9" s="341">
        <f t="shared" si="6"/>
        <v>0</v>
      </c>
      <c r="R9" s="341">
        <f t="shared" si="6"/>
        <v>0</v>
      </c>
      <c r="S9" s="341">
        <f t="shared" si="6"/>
        <v>0</v>
      </c>
      <c r="T9" s="341">
        <f t="shared" si="6"/>
        <v>0</v>
      </c>
      <c r="U9" s="341">
        <f t="shared" si="6"/>
        <v>0</v>
      </c>
      <c r="V9" s="341">
        <f t="shared" si="6"/>
        <v>0</v>
      </c>
      <c r="W9" s="341">
        <f t="shared" si="6"/>
        <v>0</v>
      </c>
      <c r="X9" s="341">
        <f t="shared" si="6"/>
        <v>0</v>
      </c>
      <c r="Y9" s="341">
        <f t="shared" si="6"/>
        <v>0</v>
      </c>
      <c r="Z9" s="341">
        <f t="shared" si="6"/>
        <v>0</v>
      </c>
      <c r="AA9" s="341">
        <f t="shared" si="6"/>
        <v>5</v>
      </c>
      <c r="AB9" s="341">
        <f t="shared" si="6"/>
        <v>0</v>
      </c>
      <c r="AC9" s="341">
        <f t="shared" si="6"/>
        <v>0</v>
      </c>
      <c r="AD9" s="341">
        <f t="shared" si="6"/>
        <v>0</v>
      </c>
      <c r="AE9" s="341">
        <f t="shared" si="6"/>
        <v>0</v>
      </c>
      <c r="AF9" s="341">
        <f t="shared" si="6"/>
        <v>0</v>
      </c>
      <c r="AG9" s="341">
        <f t="shared" si="6"/>
        <v>0</v>
      </c>
      <c r="AH9" s="341">
        <f t="shared" si="6"/>
        <v>0</v>
      </c>
      <c r="AI9" s="341">
        <f t="shared" si="6"/>
        <v>0</v>
      </c>
      <c r="AJ9" s="341">
        <f t="shared" si="6"/>
        <v>0</v>
      </c>
      <c r="AK9" s="341">
        <f t="shared" si="6"/>
        <v>0</v>
      </c>
      <c r="AL9" s="341">
        <f t="shared" si="6"/>
        <v>0</v>
      </c>
      <c r="AM9" s="341">
        <f t="shared" si="6"/>
        <v>5</v>
      </c>
      <c r="AN9" s="341">
        <f t="shared" si="6"/>
        <v>0</v>
      </c>
      <c r="AO9" s="341">
        <f t="shared" si="6"/>
        <v>0</v>
      </c>
      <c r="AP9" s="341">
        <f t="shared" si="6"/>
        <v>0</v>
      </c>
      <c r="AQ9" s="341">
        <f t="shared" si="6"/>
        <v>0</v>
      </c>
      <c r="AR9" s="341">
        <f t="shared" si="6"/>
        <v>0</v>
      </c>
      <c r="AS9" s="341">
        <f t="shared" si="6"/>
        <v>0</v>
      </c>
      <c r="AT9" s="341">
        <f t="shared" si="6"/>
        <v>0</v>
      </c>
      <c r="AU9" s="341">
        <f t="shared" si="6"/>
        <v>0</v>
      </c>
      <c r="AV9" s="341">
        <f t="shared" si="6"/>
        <v>0</v>
      </c>
      <c r="AW9" s="341">
        <f t="shared" si="6"/>
        <v>0</v>
      </c>
      <c r="AX9" s="341">
        <f t="shared" si="6"/>
        <v>0</v>
      </c>
      <c r="AY9" s="341">
        <f t="shared" si="6"/>
        <v>5</v>
      </c>
      <c r="AZ9" s="341">
        <f t="shared" si="6"/>
        <v>0</v>
      </c>
      <c r="BA9" s="341">
        <f t="shared" si="6"/>
        <v>0</v>
      </c>
      <c r="BB9" s="341">
        <f t="shared" si="6"/>
        <v>0</v>
      </c>
      <c r="BC9" s="341">
        <f t="shared" si="6"/>
        <v>0</v>
      </c>
      <c r="BD9" s="341">
        <f t="shared" si="6"/>
        <v>0</v>
      </c>
      <c r="BE9" s="341">
        <f t="shared" si="6"/>
        <v>0</v>
      </c>
      <c r="BF9" s="341">
        <f t="shared" si="6"/>
        <v>0</v>
      </c>
      <c r="BG9" s="341">
        <f t="shared" si="6"/>
        <v>0</v>
      </c>
      <c r="BH9" s="341">
        <f t="shared" si="6"/>
        <v>0</v>
      </c>
      <c r="BI9" s="341">
        <f t="shared" si="6"/>
        <v>0</v>
      </c>
      <c r="BJ9" s="341">
        <f t="shared" si="6"/>
        <v>0</v>
      </c>
      <c r="BK9" s="341">
        <f t="shared" si="6"/>
        <v>5</v>
      </c>
      <c r="BL9" s="341">
        <f t="shared" si="6"/>
        <v>0</v>
      </c>
      <c r="BM9" s="341">
        <f t="shared" si="6"/>
        <v>0</v>
      </c>
      <c r="BN9" s="341">
        <f t="shared" si="6"/>
        <v>0</v>
      </c>
      <c r="BO9" s="341">
        <f t="shared" si="6"/>
        <v>0</v>
      </c>
      <c r="BP9" s="341">
        <f t="shared" si="6"/>
        <v>0</v>
      </c>
      <c r="BQ9" s="341">
        <f t="shared" si="6"/>
        <v>0</v>
      </c>
      <c r="BR9" s="341">
        <f t="shared" si="6"/>
        <v>0</v>
      </c>
      <c r="BS9" s="341">
        <f t="shared" si="6"/>
        <v>0</v>
      </c>
      <c r="BT9" s="341">
        <f t="shared" si="6"/>
        <v>0</v>
      </c>
      <c r="BU9" s="341">
        <f t="shared" si="6"/>
        <v>0</v>
      </c>
      <c r="BV9" s="341">
        <f t="shared" si="6"/>
        <v>0</v>
      </c>
      <c r="BW9" s="341">
        <f t="shared" si="6"/>
        <v>5</v>
      </c>
      <c r="BX9" s="341">
        <f t="shared" si="6"/>
        <v>0</v>
      </c>
      <c r="BY9" s="341">
        <f t="shared" si="6"/>
        <v>0</v>
      </c>
      <c r="BZ9" s="341">
        <f t="shared" si="6"/>
        <v>0</v>
      </c>
      <c r="CA9" s="341">
        <f t="shared" ref="CA9:DF9" si="7">BO9</f>
        <v>0</v>
      </c>
      <c r="CB9" s="341">
        <f t="shared" si="7"/>
        <v>0</v>
      </c>
      <c r="CC9" s="341">
        <f t="shared" si="7"/>
        <v>0</v>
      </c>
      <c r="CD9" s="341">
        <f t="shared" si="7"/>
        <v>0</v>
      </c>
      <c r="CE9" s="341">
        <f t="shared" si="7"/>
        <v>0</v>
      </c>
      <c r="CF9" s="341">
        <f t="shared" si="7"/>
        <v>0</v>
      </c>
      <c r="CG9" s="341">
        <f t="shared" si="7"/>
        <v>0</v>
      </c>
      <c r="CH9" s="341">
        <f t="shared" si="7"/>
        <v>0</v>
      </c>
      <c r="CI9" s="341">
        <f t="shared" si="7"/>
        <v>5</v>
      </c>
      <c r="CJ9" s="341">
        <f t="shared" si="7"/>
        <v>0</v>
      </c>
      <c r="CK9" s="341">
        <f t="shared" si="7"/>
        <v>0</v>
      </c>
      <c r="CL9" s="341">
        <f t="shared" si="7"/>
        <v>0</v>
      </c>
      <c r="CM9" s="341">
        <f t="shared" si="7"/>
        <v>0</v>
      </c>
      <c r="CN9" s="341">
        <f t="shared" si="7"/>
        <v>0</v>
      </c>
      <c r="CO9" s="341">
        <f t="shared" si="7"/>
        <v>0</v>
      </c>
      <c r="CP9" s="341">
        <f t="shared" si="7"/>
        <v>0</v>
      </c>
      <c r="CQ9" s="341">
        <f t="shared" si="7"/>
        <v>0</v>
      </c>
      <c r="CR9" s="341">
        <f t="shared" si="7"/>
        <v>0</v>
      </c>
      <c r="CS9" s="341">
        <f t="shared" si="7"/>
        <v>0</v>
      </c>
      <c r="CT9" s="341">
        <f t="shared" si="7"/>
        <v>0</v>
      </c>
      <c r="CU9" s="341">
        <f t="shared" si="7"/>
        <v>5</v>
      </c>
      <c r="CV9" s="341">
        <f t="shared" si="7"/>
        <v>0</v>
      </c>
      <c r="CW9" s="341">
        <f t="shared" si="7"/>
        <v>0</v>
      </c>
      <c r="CX9" s="341">
        <f t="shared" si="7"/>
        <v>0</v>
      </c>
      <c r="CY9" s="341">
        <f t="shared" si="7"/>
        <v>0</v>
      </c>
      <c r="CZ9" s="341">
        <f t="shared" si="7"/>
        <v>0</v>
      </c>
      <c r="DA9" s="341">
        <f t="shared" si="7"/>
        <v>0</v>
      </c>
      <c r="DB9" s="341">
        <f t="shared" si="7"/>
        <v>0</v>
      </c>
      <c r="DC9" s="341">
        <f t="shared" si="7"/>
        <v>0</v>
      </c>
      <c r="DD9" s="341">
        <f t="shared" si="7"/>
        <v>0</v>
      </c>
      <c r="DE9" s="341">
        <f t="shared" si="7"/>
        <v>0</v>
      </c>
      <c r="DF9" s="341">
        <f t="shared" si="7"/>
        <v>0</v>
      </c>
    </row>
    <row r="10" spans="1:110" ht="12" customHeight="1">
      <c r="A10" s="404" t="s">
        <v>517</v>
      </c>
      <c r="B10" s="410" t="s">
        <v>502</v>
      </c>
      <c r="C10" s="341">
        <f t="shared" ref="C10:BN10" si="8">C8</f>
        <v>1964160</v>
      </c>
      <c r="D10" s="341">
        <f t="shared" si="8"/>
        <v>2095104</v>
      </c>
      <c r="E10" s="341">
        <f t="shared" si="8"/>
        <v>2090880</v>
      </c>
      <c r="F10" s="341">
        <f t="shared" si="8"/>
        <v>2193312</v>
      </c>
      <c r="G10" s="341">
        <f t="shared" si="8"/>
        <v>2247872</v>
      </c>
      <c r="H10" s="341">
        <f t="shared" si="8"/>
        <v>2228160</v>
      </c>
      <c r="I10" s="341">
        <f t="shared" si="8"/>
        <v>2356992</v>
      </c>
      <c r="J10" s="341">
        <f t="shared" si="8"/>
        <v>2333760</v>
      </c>
      <c r="K10" s="341">
        <f t="shared" si="8"/>
        <v>2466112</v>
      </c>
      <c r="L10" s="341">
        <f t="shared" si="8"/>
        <v>2520672</v>
      </c>
      <c r="M10" s="341">
        <f t="shared" si="8"/>
        <v>2326016</v>
      </c>
      <c r="N10" s="341">
        <f t="shared" si="8"/>
        <v>2629792</v>
      </c>
      <c r="O10" s="341">
        <f t="shared" si="8"/>
        <v>2006400</v>
      </c>
      <c r="P10" s="341">
        <f t="shared" si="8"/>
        <v>2092128</v>
      </c>
      <c r="Q10" s="341">
        <f t="shared" si="8"/>
        <v>2042880</v>
      </c>
      <c r="R10" s="341">
        <f t="shared" si="8"/>
        <v>2354016</v>
      </c>
      <c r="S10" s="341">
        <f t="shared" si="8"/>
        <v>2385264</v>
      </c>
      <c r="T10" s="341">
        <f t="shared" si="8"/>
        <v>2338560</v>
      </c>
      <c r="U10" s="341">
        <f t="shared" si="8"/>
        <v>2447760</v>
      </c>
      <c r="V10" s="341">
        <f t="shared" si="8"/>
        <v>2399040</v>
      </c>
      <c r="W10" s="341">
        <f t="shared" si="8"/>
        <v>2510256</v>
      </c>
      <c r="X10" s="341">
        <f t="shared" si="8"/>
        <v>2541504</v>
      </c>
      <c r="Y10" s="341">
        <f t="shared" si="8"/>
        <v>2342592</v>
      </c>
      <c r="Z10" s="341">
        <f t="shared" si="8"/>
        <v>2645664</v>
      </c>
      <c r="AA10" s="341">
        <f t="shared" si="8"/>
        <v>2371200</v>
      </c>
      <c r="AB10" s="341">
        <f t="shared" si="8"/>
        <v>2470080</v>
      </c>
      <c r="AC10" s="341">
        <f t="shared" si="8"/>
        <v>2419200</v>
      </c>
      <c r="AD10" s="341">
        <f t="shared" si="8"/>
        <v>2519680</v>
      </c>
      <c r="AE10" s="341">
        <f t="shared" si="8"/>
        <v>2539520</v>
      </c>
      <c r="AF10" s="341">
        <f t="shared" si="8"/>
        <v>2467200</v>
      </c>
      <c r="AG10" s="341">
        <f t="shared" si="8"/>
        <v>2559360</v>
      </c>
      <c r="AH10" s="341">
        <f t="shared" si="8"/>
        <v>2486400</v>
      </c>
      <c r="AI10" s="341">
        <f t="shared" si="8"/>
        <v>2579200</v>
      </c>
      <c r="AJ10" s="341">
        <f t="shared" si="8"/>
        <v>2589120</v>
      </c>
      <c r="AK10" s="341">
        <f t="shared" si="8"/>
        <v>2347520</v>
      </c>
      <c r="AL10" s="341">
        <f t="shared" si="8"/>
        <v>2608960</v>
      </c>
      <c r="AM10" s="341">
        <f t="shared" si="8"/>
        <v>2544000</v>
      </c>
      <c r="AN10" s="341">
        <f t="shared" si="8"/>
        <v>2648640</v>
      </c>
      <c r="AO10" s="341">
        <f t="shared" si="8"/>
        <v>2582400</v>
      </c>
      <c r="AP10" s="341">
        <f t="shared" si="8"/>
        <v>2688320</v>
      </c>
      <c r="AQ10" s="341">
        <f t="shared" si="8"/>
        <v>2708160</v>
      </c>
      <c r="AR10" s="341">
        <f t="shared" si="8"/>
        <v>2640000</v>
      </c>
      <c r="AS10" s="341">
        <f t="shared" si="8"/>
        <v>2747840</v>
      </c>
      <c r="AT10" s="341">
        <f t="shared" si="8"/>
        <v>2678400</v>
      </c>
      <c r="AU10" s="341">
        <f t="shared" si="8"/>
        <v>2787520</v>
      </c>
      <c r="AV10" s="341">
        <f t="shared" si="8"/>
        <v>2808277.5999999996</v>
      </c>
      <c r="AW10" s="341">
        <f t="shared" si="8"/>
        <v>2645658.4</v>
      </c>
      <c r="AX10" s="341">
        <f t="shared" si="8"/>
        <v>2847957.5999999996</v>
      </c>
      <c r="AY10" s="341">
        <f t="shared" si="8"/>
        <v>2765687.9999999995</v>
      </c>
      <c r="AZ10" s="341">
        <f t="shared" si="8"/>
        <v>2867797.5999999996</v>
      </c>
      <c r="BA10" s="341">
        <f t="shared" si="8"/>
        <v>2784887.9999999995</v>
      </c>
      <c r="BB10" s="341">
        <f t="shared" si="8"/>
        <v>2887637.5999999996</v>
      </c>
      <c r="BC10" s="341">
        <f t="shared" si="8"/>
        <v>2897557.5999999996</v>
      </c>
      <c r="BD10" s="341">
        <f t="shared" si="8"/>
        <v>2813687.9999999995</v>
      </c>
      <c r="BE10" s="341">
        <f t="shared" si="8"/>
        <v>2917397.5999999996</v>
      </c>
      <c r="BF10" s="341">
        <f t="shared" si="8"/>
        <v>2832887.9999999995</v>
      </c>
      <c r="BG10" s="341">
        <f t="shared" si="8"/>
        <v>2937237.5999999996</v>
      </c>
      <c r="BH10" s="341">
        <f t="shared" si="8"/>
        <v>2947157.5999999996</v>
      </c>
      <c r="BI10" s="341">
        <f t="shared" si="8"/>
        <v>2670908.7999999998</v>
      </c>
      <c r="BJ10" s="341">
        <f t="shared" si="8"/>
        <v>2966997.5999999996</v>
      </c>
      <c r="BK10" s="341">
        <f t="shared" si="8"/>
        <v>3285031.7624999997</v>
      </c>
      <c r="BL10" s="341">
        <f t="shared" si="8"/>
        <v>3400198.07125</v>
      </c>
      <c r="BM10" s="341">
        <f t="shared" si="8"/>
        <v>3295996.7624999997</v>
      </c>
      <c r="BN10" s="341">
        <f t="shared" si="8"/>
        <v>3411528.57125</v>
      </c>
      <c r="BO10" s="341">
        <f t="shared" ref="BO10:DF10" si="9">BO8</f>
        <v>3417193.82125</v>
      </c>
      <c r="BP10" s="341">
        <f t="shared" si="9"/>
        <v>3312444.2624999997</v>
      </c>
      <c r="BQ10" s="341">
        <f t="shared" si="9"/>
        <v>3428524.32125</v>
      </c>
      <c r="BR10" s="341">
        <f t="shared" si="9"/>
        <v>3323409.2624999997</v>
      </c>
      <c r="BS10" s="341">
        <f t="shared" si="9"/>
        <v>3439854.82125</v>
      </c>
      <c r="BT10" s="341">
        <f t="shared" si="9"/>
        <v>3445520.07125</v>
      </c>
      <c r="BU10" s="341">
        <f t="shared" si="9"/>
        <v>3117199.645</v>
      </c>
      <c r="BV10" s="341">
        <f t="shared" si="9"/>
        <v>3456850.57125</v>
      </c>
      <c r="BW10" s="341">
        <f t="shared" si="9"/>
        <v>3547928.9249999998</v>
      </c>
      <c r="BX10" s="341">
        <f t="shared" si="9"/>
        <v>3672191.7225000001</v>
      </c>
      <c r="BY10" s="341">
        <f t="shared" si="9"/>
        <v>3559538.9249999998</v>
      </c>
      <c r="BZ10" s="341">
        <f t="shared" si="9"/>
        <v>3684188.7225000001</v>
      </c>
      <c r="CA10" s="341">
        <f t="shared" si="9"/>
        <v>3690187.2225000001</v>
      </c>
      <c r="CB10" s="341">
        <f t="shared" si="9"/>
        <v>3576953.9249999998</v>
      </c>
      <c r="CC10" s="341">
        <f t="shared" si="9"/>
        <v>3702184.2225000001</v>
      </c>
      <c r="CD10" s="341">
        <f t="shared" si="9"/>
        <v>3588563.9249999998</v>
      </c>
      <c r="CE10" s="341">
        <f t="shared" si="9"/>
        <v>3714181.2225000001</v>
      </c>
      <c r="CF10" s="341">
        <f t="shared" si="9"/>
        <v>3763437.6262499997</v>
      </c>
      <c r="CG10" s="341">
        <f t="shared" si="9"/>
        <v>3404714.9849999999</v>
      </c>
      <c r="CH10" s="341">
        <f t="shared" si="9"/>
        <v>3775574.1262499997</v>
      </c>
      <c r="CI10" s="341">
        <f t="shared" si="9"/>
        <v>3659653.9124999996</v>
      </c>
      <c r="CJ10" s="341">
        <f t="shared" si="9"/>
        <v>3787710.6262499997</v>
      </c>
      <c r="CK10" s="341">
        <f t="shared" si="9"/>
        <v>3671398.9124999996</v>
      </c>
      <c r="CL10" s="341">
        <f t="shared" si="9"/>
        <v>3799847.1262499997</v>
      </c>
      <c r="CM10" s="341">
        <f t="shared" si="9"/>
        <v>3805915.3762499997</v>
      </c>
      <c r="CN10" s="341">
        <f t="shared" si="9"/>
        <v>3689016.4124999996</v>
      </c>
      <c r="CO10" s="341">
        <f t="shared" si="9"/>
        <v>3818051.8762499997</v>
      </c>
      <c r="CP10" s="341">
        <f t="shared" si="9"/>
        <v>3700761.4124999996</v>
      </c>
      <c r="CQ10" s="341">
        <f t="shared" si="9"/>
        <v>3830188.3762499997</v>
      </c>
      <c r="CR10" s="341">
        <f t="shared" si="9"/>
        <v>3836256.6262499997</v>
      </c>
      <c r="CS10" s="341">
        <f t="shared" si="9"/>
        <v>3594432.94875</v>
      </c>
      <c r="CT10" s="341">
        <f t="shared" si="9"/>
        <v>3848393.1262499997</v>
      </c>
      <c r="CU10" s="341">
        <f t="shared" si="9"/>
        <v>3730123.9124999996</v>
      </c>
      <c r="CV10" s="341">
        <f t="shared" si="9"/>
        <v>3860529.6262499997</v>
      </c>
      <c r="CW10" s="341">
        <f t="shared" si="9"/>
        <v>3741868.9124999996</v>
      </c>
      <c r="CX10" s="341">
        <f t="shared" si="9"/>
        <v>3872666.1262499997</v>
      </c>
      <c r="CY10" s="341">
        <f t="shared" si="9"/>
        <v>3878734.3762499997</v>
      </c>
      <c r="CZ10" s="341">
        <f t="shared" si="9"/>
        <v>3759486.4124999996</v>
      </c>
      <c r="DA10" s="341">
        <f t="shared" si="9"/>
        <v>3890870.8762499997</v>
      </c>
      <c r="DB10" s="341">
        <f t="shared" si="9"/>
        <v>3771231.4124999996</v>
      </c>
      <c r="DC10" s="341">
        <f t="shared" si="9"/>
        <v>3903007.3762499997</v>
      </c>
      <c r="DD10" s="341">
        <f t="shared" si="9"/>
        <v>3909075.6262499997</v>
      </c>
      <c r="DE10" s="341">
        <f t="shared" si="9"/>
        <v>3536258.9849999999</v>
      </c>
      <c r="DF10" s="341">
        <f t="shared" si="9"/>
        <v>3921212.1262499997</v>
      </c>
    </row>
    <row r="11" spans="1:110" ht="12" customHeight="1">
      <c r="A11" s="413" t="s">
        <v>518</v>
      </c>
      <c r="B11" s="417" t="s">
        <v>504</v>
      </c>
      <c r="C11" s="426">
        <v>19.46</v>
      </c>
      <c r="D11" s="341">
        <f t="shared" ref="D11:BO11" si="10">C11*(100+D9)%</f>
        <v>19.46</v>
      </c>
      <c r="E11" s="341">
        <f t="shared" si="10"/>
        <v>19.46</v>
      </c>
      <c r="F11" s="341">
        <f t="shared" si="10"/>
        <v>19.46</v>
      </c>
      <c r="G11" s="341">
        <f t="shared" si="10"/>
        <v>19.46</v>
      </c>
      <c r="H11" s="341">
        <f t="shared" si="10"/>
        <v>19.46</v>
      </c>
      <c r="I11" s="341">
        <f t="shared" si="10"/>
        <v>19.46</v>
      </c>
      <c r="J11" s="341">
        <f t="shared" si="10"/>
        <v>19.46</v>
      </c>
      <c r="K11" s="341">
        <f t="shared" si="10"/>
        <v>19.46</v>
      </c>
      <c r="L11" s="341">
        <f t="shared" si="10"/>
        <v>19.46</v>
      </c>
      <c r="M11" s="341">
        <f t="shared" si="10"/>
        <v>19.46</v>
      </c>
      <c r="N11" s="341">
        <f t="shared" si="10"/>
        <v>19.46</v>
      </c>
      <c r="O11" s="341">
        <v>19.79</v>
      </c>
      <c r="P11" s="341">
        <f t="shared" si="10"/>
        <v>19.79</v>
      </c>
      <c r="Q11" s="341">
        <f t="shared" si="10"/>
        <v>19.79</v>
      </c>
      <c r="R11" s="341">
        <f t="shared" si="10"/>
        <v>19.79</v>
      </c>
      <c r="S11" s="341">
        <f t="shared" si="10"/>
        <v>19.79</v>
      </c>
      <c r="T11" s="341">
        <f t="shared" si="10"/>
        <v>19.79</v>
      </c>
      <c r="U11" s="341">
        <f t="shared" si="10"/>
        <v>19.79</v>
      </c>
      <c r="V11" s="341">
        <f t="shared" si="10"/>
        <v>19.79</v>
      </c>
      <c r="W11" s="341">
        <f t="shared" si="10"/>
        <v>19.79</v>
      </c>
      <c r="X11" s="341">
        <f t="shared" si="10"/>
        <v>19.79</v>
      </c>
      <c r="Y11" s="341">
        <f t="shared" si="10"/>
        <v>19.79</v>
      </c>
      <c r="Z11" s="341">
        <f t="shared" si="10"/>
        <v>19.79</v>
      </c>
      <c r="AA11" s="341">
        <v>21.02</v>
      </c>
      <c r="AB11" s="341">
        <f t="shared" si="10"/>
        <v>21.02</v>
      </c>
      <c r="AC11" s="341">
        <f t="shared" si="10"/>
        <v>21.02</v>
      </c>
      <c r="AD11" s="341">
        <f t="shared" si="10"/>
        <v>21.02</v>
      </c>
      <c r="AE11" s="341">
        <f t="shared" si="10"/>
        <v>21.02</v>
      </c>
      <c r="AF11" s="341">
        <f t="shared" si="10"/>
        <v>21.02</v>
      </c>
      <c r="AG11" s="341">
        <f t="shared" si="10"/>
        <v>21.02</v>
      </c>
      <c r="AH11" s="341">
        <f t="shared" si="10"/>
        <v>21.02</v>
      </c>
      <c r="AI11" s="341">
        <f t="shared" si="10"/>
        <v>21.02</v>
      </c>
      <c r="AJ11" s="341">
        <f t="shared" si="10"/>
        <v>21.02</v>
      </c>
      <c r="AK11" s="341">
        <f t="shared" si="10"/>
        <v>21.02</v>
      </c>
      <c r="AL11" s="341">
        <f t="shared" si="10"/>
        <v>21.02</v>
      </c>
      <c r="AM11" s="341">
        <f t="shared" si="10"/>
        <v>22.071000000000002</v>
      </c>
      <c r="AN11" s="341">
        <f t="shared" si="10"/>
        <v>22.071000000000002</v>
      </c>
      <c r="AO11" s="341">
        <f t="shared" si="10"/>
        <v>22.071000000000002</v>
      </c>
      <c r="AP11" s="341">
        <f t="shared" si="10"/>
        <v>22.071000000000002</v>
      </c>
      <c r="AQ11" s="341">
        <f t="shared" si="10"/>
        <v>22.071000000000002</v>
      </c>
      <c r="AR11" s="341">
        <f t="shared" si="10"/>
        <v>22.071000000000002</v>
      </c>
      <c r="AS11" s="341">
        <f t="shared" si="10"/>
        <v>22.071000000000002</v>
      </c>
      <c r="AT11" s="341">
        <f t="shared" si="10"/>
        <v>22.071000000000002</v>
      </c>
      <c r="AU11" s="341">
        <f t="shared" si="10"/>
        <v>22.071000000000002</v>
      </c>
      <c r="AV11" s="341">
        <f t="shared" si="10"/>
        <v>22.071000000000002</v>
      </c>
      <c r="AW11" s="341">
        <f t="shared" si="10"/>
        <v>22.071000000000002</v>
      </c>
      <c r="AX11" s="341">
        <f t="shared" si="10"/>
        <v>22.071000000000002</v>
      </c>
      <c r="AY11" s="341">
        <f t="shared" si="10"/>
        <v>23.174550000000004</v>
      </c>
      <c r="AZ11" s="341">
        <f t="shared" si="10"/>
        <v>23.174550000000004</v>
      </c>
      <c r="BA11" s="341">
        <f t="shared" si="10"/>
        <v>23.174550000000004</v>
      </c>
      <c r="BB11" s="341">
        <f t="shared" si="10"/>
        <v>23.174550000000004</v>
      </c>
      <c r="BC11" s="341">
        <f t="shared" si="10"/>
        <v>23.174550000000004</v>
      </c>
      <c r="BD11" s="341">
        <f t="shared" si="10"/>
        <v>23.174550000000004</v>
      </c>
      <c r="BE11" s="341">
        <f t="shared" si="10"/>
        <v>23.174550000000004</v>
      </c>
      <c r="BF11" s="341">
        <f t="shared" si="10"/>
        <v>23.174550000000004</v>
      </c>
      <c r="BG11" s="341">
        <f t="shared" si="10"/>
        <v>23.174550000000004</v>
      </c>
      <c r="BH11" s="341">
        <f t="shared" si="10"/>
        <v>23.174550000000004</v>
      </c>
      <c r="BI11" s="341">
        <f t="shared" si="10"/>
        <v>23.174550000000004</v>
      </c>
      <c r="BJ11" s="341">
        <f t="shared" si="10"/>
        <v>23.174550000000004</v>
      </c>
      <c r="BK11" s="341">
        <f t="shared" si="10"/>
        <v>24.333277500000005</v>
      </c>
      <c r="BL11" s="341">
        <f t="shared" si="10"/>
        <v>24.333277500000005</v>
      </c>
      <c r="BM11" s="341">
        <f t="shared" si="10"/>
        <v>24.333277500000005</v>
      </c>
      <c r="BN11" s="341">
        <f t="shared" si="10"/>
        <v>24.333277500000005</v>
      </c>
      <c r="BO11" s="341">
        <f t="shared" si="10"/>
        <v>24.333277500000005</v>
      </c>
      <c r="BP11" s="341">
        <f t="shared" ref="BP11:DF11" si="11">BO11*(100+BP9)%</f>
        <v>24.333277500000005</v>
      </c>
      <c r="BQ11" s="341">
        <f t="shared" si="11"/>
        <v>24.333277500000005</v>
      </c>
      <c r="BR11" s="341">
        <f t="shared" si="11"/>
        <v>24.333277500000005</v>
      </c>
      <c r="BS11" s="341">
        <f t="shared" si="11"/>
        <v>24.333277500000005</v>
      </c>
      <c r="BT11" s="341">
        <f t="shared" si="11"/>
        <v>24.333277500000005</v>
      </c>
      <c r="BU11" s="341">
        <f t="shared" si="11"/>
        <v>24.333277500000005</v>
      </c>
      <c r="BV11" s="341">
        <f t="shared" si="11"/>
        <v>24.333277500000005</v>
      </c>
      <c r="BW11" s="341">
        <f t="shared" si="11"/>
        <v>25.549941375000007</v>
      </c>
      <c r="BX11" s="341">
        <f t="shared" si="11"/>
        <v>25.549941375000007</v>
      </c>
      <c r="BY11" s="341">
        <f t="shared" si="11"/>
        <v>25.549941375000007</v>
      </c>
      <c r="BZ11" s="341">
        <f t="shared" si="11"/>
        <v>25.549941375000007</v>
      </c>
      <c r="CA11" s="341">
        <f t="shared" si="11"/>
        <v>25.549941375000007</v>
      </c>
      <c r="CB11" s="341">
        <f t="shared" si="11"/>
        <v>25.549941375000007</v>
      </c>
      <c r="CC11" s="341">
        <f t="shared" si="11"/>
        <v>25.549941375000007</v>
      </c>
      <c r="CD11" s="341">
        <f t="shared" si="11"/>
        <v>25.549941375000007</v>
      </c>
      <c r="CE11" s="341">
        <f t="shared" si="11"/>
        <v>25.549941375000007</v>
      </c>
      <c r="CF11" s="341">
        <f t="shared" si="11"/>
        <v>25.549941375000007</v>
      </c>
      <c r="CG11" s="341">
        <f t="shared" si="11"/>
        <v>25.549941375000007</v>
      </c>
      <c r="CH11" s="341">
        <f t="shared" si="11"/>
        <v>25.549941375000007</v>
      </c>
      <c r="CI11" s="341">
        <f t="shared" si="11"/>
        <v>26.827438443750008</v>
      </c>
      <c r="CJ11" s="341">
        <f t="shared" si="11"/>
        <v>26.827438443750008</v>
      </c>
      <c r="CK11" s="341">
        <f t="shared" si="11"/>
        <v>26.827438443750008</v>
      </c>
      <c r="CL11" s="341">
        <f t="shared" si="11"/>
        <v>26.827438443750008</v>
      </c>
      <c r="CM11" s="341">
        <f t="shared" si="11"/>
        <v>26.827438443750008</v>
      </c>
      <c r="CN11" s="341">
        <f t="shared" si="11"/>
        <v>26.827438443750008</v>
      </c>
      <c r="CO11" s="341">
        <f t="shared" si="11"/>
        <v>26.827438443750008</v>
      </c>
      <c r="CP11" s="341">
        <f t="shared" si="11"/>
        <v>26.827438443750008</v>
      </c>
      <c r="CQ11" s="341">
        <f t="shared" si="11"/>
        <v>26.827438443750008</v>
      </c>
      <c r="CR11" s="341">
        <f t="shared" si="11"/>
        <v>26.827438443750008</v>
      </c>
      <c r="CS11" s="341">
        <f t="shared" si="11"/>
        <v>26.827438443750008</v>
      </c>
      <c r="CT11" s="341">
        <f t="shared" si="11"/>
        <v>26.827438443750008</v>
      </c>
      <c r="CU11" s="341">
        <f t="shared" si="11"/>
        <v>28.16881036593751</v>
      </c>
      <c r="CV11" s="341">
        <f t="shared" si="11"/>
        <v>28.16881036593751</v>
      </c>
      <c r="CW11" s="341">
        <f t="shared" si="11"/>
        <v>28.16881036593751</v>
      </c>
      <c r="CX11" s="341">
        <f t="shared" si="11"/>
        <v>28.16881036593751</v>
      </c>
      <c r="CY11" s="341">
        <f t="shared" si="11"/>
        <v>28.16881036593751</v>
      </c>
      <c r="CZ11" s="341">
        <f t="shared" si="11"/>
        <v>28.16881036593751</v>
      </c>
      <c r="DA11" s="341">
        <f t="shared" si="11"/>
        <v>28.16881036593751</v>
      </c>
      <c r="DB11" s="341">
        <f t="shared" si="11"/>
        <v>28.16881036593751</v>
      </c>
      <c r="DC11" s="341">
        <f t="shared" si="11"/>
        <v>28.16881036593751</v>
      </c>
      <c r="DD11" s="341">
        <f t="shared" si="11"/>
        <v>28.16881036593751</v>
      </c>
      <c r="DE11" s="341">
        <f t="shared" si="11"/>
        <v>28.16881036593751</v>
      </c>
      <c r="DF11" s="341">
        <f t="shared" si="11"/>
        <v>28.16881036593751</v>
      </c>
    </row>
    <row r="12" spans="1:110" ht="12" customHeight="1">
      <c r="A12" s="413" t="s">
        <v>519</v>
      </c>
      <c r="B12" s="417" t="s">
        <v>504</v>
      </c>
      <c r="C12" s="426">
        <v>19.21</v>
      </c>
      <c r="D12" s="341">
        <f t="shared" ref="D12:BO12" si="12">C12*(100+D9)%</f>
        <v>19.21</v>
      </c>
      <c r="E12" s="341">
        <f t="shared" si="12"/>
        <v>19.21</v>
      </c>
      <c r="F12" s="341">
        <f t="shared" si="12"/>
        <v>19.21</v>
      </c>
      <c r="G12" s="341">
        <f t="shared" si="12"/>
        <v>19.21</v>
      </c>
      <c r="H12" s="341">
        <f t="shared" si="12"/>
        <v>19.21</v>
      </c>
      <c r="I12" s="341">
        <f t="shared" si="12"/>
        <v>19.21</v>
      </c>
      <c r="J12" s="341">
        <f t="shared" si="12"/>
        <v>19.21</v>
      </c>
      <c r="K12" s="341">
        <f t="shared" si="12"/>
        <v>19.21</v>
      </c>
      <c r="L12" s="341">
        <f t="shared" si="12"/>
        <v>19.21</v>
      </c>
      <c r="M12" s="341">
        <f t="shared" si="12"/>
        <v>19.21</v>
      </c>
      <c r="N12" s="341">
        <f t="shared" si="12"/>
        <v>19.21</v>
      </c>
      <c r="O12" s="341">
        <v>19.54</v>
      </c>
      <c r="P12" s="341">
        <f t="shared" si="12"/>
        <v>19.54</v>
      </c>
      <c r="Q12" s="341">
        <f t="shared" si="12"/>
        <v>19.54</v>
      </c>
      <c r="R12" s="341">
        <f t="shared" si="12"/>
        <v>19.54</v>
      </c>
      <c r="S12" s="341">
        <f t="shared" si="12"/>
        <v>19.54</v>
      </c>
      <c r="T12" s="341">
        <f t="shared" si="12"/>
        <v>19.54</v>
      </c>
      <c r="U12" s="341">
        <f t="shared" si="12"/>
        <v>19.54</v>
      </c>
      <c r="V12" s="341">
        <f t="shared" si="12"/>
        <v>19.54</v>
      </c>
      <c r="W12" s="341">
        <f t="shared" si="12"/>
        <v>19.54</v>
      </c>
      <c r="X12" s="341">
        <f t="shared" si="12"/>
        <v>19.54</v>
      </c>
      <c r="Y12" s="341">
        <f t="shared" si="12"/>
        <v>19.54</v>
      </c>
      <c r="Z12" s="341">
        <f t="shared" si="12"/>
        <v>19.54</v>
      </c>
      <c r="AA12" s="341">
        <f t="shared" si="12"/>
        <v>20.516999999999999</v>
      </c>
      <c r="AB12" s="341">
        <f t="shared" si="12"/>
        <v>20.516999999999999</v>
      </c>
      <c r="AC12" s="341">
        <f t="shared" si="12"/>
        <v>20.516999999999999</v>
      </c>
      <c r="AD12" s="341">
        <f t="shared" si="12"/>
        <v>20.516999999999999</v>
      </c>
      <c r="AE12" s="341">
        <f t="shared" si="12"/>
        <v>20.516999999999999</v>
      </c>
      <c r="AF12" s="341">
        <f t="shared" si="12"/>
        <v>20.516999999999999</v>
      </c>
      <c r="AG12" s="341">
        <f t="shared" si="12"/>
        <v>20.516999999999999</v>
      </c>
      <c r="AH12" s="341">
        <f t="shared" si="12"/>
        <v>20.516999999999999</v>
      </c>
      <c r="AI12" s="341">
        <f t="shared" si="12"/>
        <v>20.516999999999999</v>
      </c>
      <c r="AJ12" s="341">
        <f t="shared" si="12"/>
        <v>20.516999999999999</v>
      </c>
      <c r="AK12" s="341">
        <f t="shared" si="12"/>
        <v>20.516999999999999</v>
      </c>
      <c r="AL12" s="341">
        <f t="shared" si="12"/>
        <v>20.516999999999999</v>
      </c>
      <c r="AM12" s="341">
        <f t="shared" si="12"/>
        <v>21.542850000000001</v>
      </c>
      <c r="AN12" s="341">
        <f t="shared" si="12"/>
        <v>21.542850000000001</v>
      </c>
      <c r="AO12" s="341">
        <f t="shared" si="12"/>
        <v>21.542850000000001</v>
      </c>
      <c r="AP12" s="341">
        <f t="shared" si="12"/>
        <v>21.542850000000001</v>
      </c>
      <c r="AQ12" s="341">
        <f t="shared" si="12"/>
        <v>21.542850000000001</v>
      </c>
      <c r="AR12" s="341">
        <f t="shared" si="12"/>
        <v>21.542850000000001</v>
      </c>
      <c r="AS12" s="341">
        <f t="shared" si="12"/>
        <v>21.542850000000001</v>
      </c>
      <c r="AT12" s="587">
        <v>22.36</v>
      </c>
      <c r="AU12" s="341">
        <f>AT12*(100+AU9)%</f>
        <v>22.36</v>
      </c>
      <c r="AV12" s="341">
        <f>AU12*(100+AV9)%</f>
        <v>22.36</v>
      </c>
      <c r="AW12" s="341">
        <f t="shared" si="12"/>
        <v>22.36</v>
      </c>
      <c r="AX12" s="341">
        <f t="shared" si="12"/>
        <v>22.36</v>
      </c>
      <c r="AY12" s="341">
        <f t="shared" si="12"/>
        <v>23.478000000000002</v>
      </c>
      <c r="AZ12" s="341">
        <f t="shared" si="12"/>
        <v>23.478000000000002</v>
      </c>
      <c r="BA12" s="341">
        <f t="shared" si="12"/>
        <v>23.478000000000002</v>
      </c>
      <c r="BB12" s="341">
        <f t="shared" si="12"/>
        <v>23.478000000000002</v>
      </c>
      <c r="BC12" s="341">
        <f t="shared" si="12"/>
        <v>23.478000000000002</v>
      </c>
      <c r="BD12" s="341">
        <f t="shared" si="12"/>
        <v>23.478000000000002</v>
      </c>
      <c r="BE12" s="341">
        <f t="shared" si="12"/>
        <v>23.478000000000002</v>
      </c>
      <c r="BF12" s="341">
        <f t="shared" si="12"/>
        <v>23.478000000000002</v>
      </c>
      <c r="BG12" s="341">
        <f t="shared" si="12"/>
        <v>23.478000000000002</v>
      </c>
      <c r="BH12" s="341">
        <f t="shared" si="12"/>
        <v>23.478000000000002</v>
      </c>
      <c r="BI12" s="341">
        <f t="shared" si="12"/>
        <v>23.478000000000002</v>
      </c>
      <c r="BJ12" s="341">
        <f t="shared" si="12"/>
        <v>23.478000000000002</v>
      </c>
      <c r="BK12" s="341">
        <f t="shared" si="12"/>
        <v>24.651900000000001</v>
      </c>
      <c r="BL12" s="341">
        <f t="shared" si="12"/>
        <v>24.651900000000001</v>
      </c>
      <c r="BM12" s="341">
        <f t="shared" si="12"/>
        <v>24.651900000000001</v>
      </c>
      <c r="BN12" s="341">
        <f t="shared" si="12"/>
        <v>24.651900000000001</v>
      </c>
      <c r="BO12" s="341">
        <f t="shared" si="12"/>
        <v>24.651900000000001</v>
      </c>
      <c r="BP12" s="341">
        <f t="shared" ref="BP12:DF12" si="13">BO12*(100+BP9)%</f>
        <v>24.651900000000001</v>
      </c>
      <c r="BQ12" s="341">
        <f t="shared" si="13"/>
        <v>24.651900000000001</v>
      </c>
      <c r="BR12" s="341">
        <f t="shared" si="13"/>
        <v>24.651900000000001</v>
      </c>
      <c r="BS12" s="341">
        <f t="shared" si="13"/>
        <v>24.651900000000001</v>
      </c>
      <c r="BT12" s="341">
        <f t="shared" si="13"/>
        <v>24.651900000000001</v>
      </c>
      <c r="BU12" s="341">
        <f t="shared" si="13"/>
        <v>24.651900000000001</v>
      </c>
      <c r="BV12" s="341">
        <f t="shared" si="13"/>
        <v>24.651900000000001</v>
      </c>
      <c r="BW12" s="341">
        <f t="shared" si="13"/>
        <v>25.884495000000001</v>
      </c>
      <c r="BX12" s="341">
        <f t="shared" si="13"/>
        <v>25.884495000000001</v>
      </c>
      <c r="BY12" s="341">
        <f t="shared" si="13"/>
        <v>25.884495000000001</v>
      </c>
      <c r="BZ12" s="341">
        <f t="shared" si="13"/>
        <v>25.884495000000001</v>
      </c>
      <c r="CA12" s="341">
        <f t="shared" si="13"/>
        <v>25.884495000000001</v>
      </c>
      <c r="CB12" s="341">
        <f t="shared" si="13"/>
        <v>25.884495000000001</v>
      </c>
      <c r="CC12" s="341">
        <f t="shared" si="13"/>
        <v>25.884495000000001</v>
      </c>
      <c r="CD12" s="341">
        <f t="shared" si="13"/>
        <v>25.884495000000001</v>
      </c>
      <c r="CE12" s="341">
        <f t="shared" si="13"/>
        <v>25.884495000000001</v>
      </c>
      <c r="CF12" s="341">
        <f t="shared" si="13"/>
        <v>25.884495000000001</v>
      </c>
      <c r="CG12" s="341">
        <f t="shared" si="13"/>
        <v>25.884495000000001</v>
      </c>
      <c r="CH12" s="341">
        <f t="shared" si="13"/>
        <v>25.884495000000001</v>
      </c>
      <c r="CI12" s="341">
        <f t="shared" si="13"/>
        <v>27.178719750000003</v>
      </c>
      <c r="CJ12" s="341">
        <f t="shared" si="13"/>
        <v>27.178719750000003</v>
      </c>
      <c r="CK12" s="341">
        <f t="shared" si="13"/>
        <v>27.178719750000003</v>
      </c>
      <c r="CL12" s="341">
        <f t="shared" si="13"/>
        <v>27.178719750000003</v>
      </c>
      <c r="CM12" s="341">
        <f t="shared" si="13"/>
        <v>27.178719750000003</v>
      </c>
      <c r="CN12" s="341">
        <f t="shared" si="13"/>
        <v>27.178719750000003</v>
      </c>
      <c r="CO12" s="341">
        <f t="shared" si="13"/>
        <v>27.178719750000003</v>
      </c>
      <c r="CP12" s="341">
        <f t="shared" si="13"/>
        <v>27.178719750000003</v>
      </c>
      <c r="CQ12" s="341">
        <f t="shared" si="13"/>
        <v>27.178719750000003</v>
      </c>
      <c r="CR12" s="341">
        <f t="shared" si="13"/>
        <v>27.178719750000003</v>
      </c>
      <c r="CS12" s="341">
        <f t="shared" si="13"/>
        <v>27.178719750000003</v>
      </c>
      <c r="CT12" s="341">
        <f t="shared" si="13"/>
        <v>27.178719750000003</v>
      </c>
      <c r="CU12" s="341">
        <f t="shared" si="13"/>
        <v>28.537655737500003</v>
      </c>
      <c r="CV12" s="341">
        <f t="shared" si="13"/>
        <v>28.537655737500003</v>
      </c>
      <c r="CW12" s="341">
        <f t="shared" si="13"/>
        <v>28.537655737500003</v>
      </c>
      <c r="CX12" s="341">
        <f t="shared" si="13"/>
        <v>28.537655737500003</v>
      </c>
      <c r="CY12" s="341">
        <f t="shared" si="13"/>
        <v>28.537655737500003</v>
      </c>
      <c r="CZ12" s="341">
        <f t="shared" si="13"/>
        <v>28.537655737500003</v>
      </c>
      <c r="DA12" s="341">
        <f t="shared" si="13"/>
        <v>28.537655737500003</v>
      </c>
      <c r="DB12" s="341">
        <f t="shared" si="13"/>
        <v>28.537655737500003</v>
      </c>
      <c r="DC12" s="341">
        <f t="shared" si="13"/>
        <v>28.537655737500003</v>
      </c>
      <c r="DD12" s="341">
        <f t="shared" si="13"/>
        <v>28.537655737500003</v>
      </c>
      <c r="DE12" s="341">
        <f t="shared" si="13"/>
        <v>28.537655737500003</v>
      </c>
      <c r="DF12" s="341">
        <f t="shared" si="13"/>
        <v>28.537655737500003</v>
      </c>
    </row>
    <row r="13" spans="1:110" ht="12" customHeight="1" thickBot="1">
      <c r="A13" s="413" t="s">
        <v>520</v>
      </c>
      <c r="B13" s="417" t="s">
        <v>504</v>
      </c>
      <c r="C13" s="343">
        <f t="shared" ref="C13:BN13" si="14">(C8*C11)*C14</f>
        <v>38222553.600000001</v>
      </c>
      <c r="D13" s="343">
        <f t="shared" si="14"/>
        <v>40770723.840000004</v>
      </c>
      <c r="E13" s="343">
        <f t="shared" si="14"/>
        <v>40688524.800000004</v>
      </c>
      <c r="F13" s="343">
        <f t="shared" si="14"/>
        <v>42681851.520000003</v>
      </c>
      <c r="G13" s="343">
        <f t="shared" si="14"/>
        <v>43743589.120000005</v>
      </c>
      <c r="H13" s="343">
        <f t="shared" si="14"/>
        <v>43359993.600000001</v>
      </c>
      <c r="I13" s="343">
        <f t="shared" si="14"/>
        <v>45867064.32</v>
      </c>
      <c r="J13" s="343">
        <f t="shared" si="14"/>
        <v>45414969.600000001</v>
      </c>
      <c r="K13" s="343">
        <f t="shared" si="14"/>
        <v>47990539.520000003</v>
      </c>
      <c r="L13" s="343">
        <f t="shared" si="14"/>
        <v>49052277.120000005</v>
      </c>
      <c r="M13" s="343">
        <f t="shared" si="14"/>
        <v>45264271.359999999</v>
      </c>
      <c r="N13" s="343">
        <f t="shared" si="14"/>
        <v>51175752.32</v>
      </c>
      <c r="O13" s="343">
        <f t="shared" si="14"/>
        <v>39706656</v>
      </c>
      <c r="P13" s="343">
        <f t="shared" si="14"/>
        <v>41403213.119999997</v>
      </c>
      <c r="Q13" s="343">
        <f t="shared" si="14"/>
        <v>40428595.199999996</v>
      </c>
      <c r="R13" s="343">
        <f t="shared" si="14"/>
        <v>46585976.640000001</v>
      </c>
      <c r="S13" s="343">
        <f t="shared" si="14"/>
        <v>47204374.559999995</v>
      </c>
      <c r="T13" s="343">
        <f t="shared" si="14"/>
        <v>46280102.399999999</v>
      </c>
      <c r="U13" s="343">
        <f t="shared" si="14"/>
        <v>48441170.399999999</v>
      </c>
      <c r="V13" s="343">
        <f t="shared" si="14"/>
        <v>47477001.600000001</v>
      </c>
      <c r="W13" s="343">
        <f t="shared" si="14"/>
        <v>49677966.239999995</v>
      </c>
      <c r="X13" s="343">
        <f t="shared" si="14"/>
        <v>50296364.159999996</v>
      </c>
      <c r="Y13" s="343">
        <f t="shared" si="14"/>
        <v>46359895.68</v>
      </c>
      <c r="Z13" s="343">
        <f t="shared" si="14"/>
        <v>52357690.559999995</v>
      </c>
      <c r="AA13" s="343">
        <f t="shared" si="14"/>
        <v>49842624</v>
      </c>
      <c r="AB13" s="343">
        <f t="shared" si="14"/>
        <v>51921081.600000001</v>
      </c>
      <c r="AC13" s="343">
        <f t="shared" si="14"/>
        <v>50851584</v>
      </c>
      <c r="AD13" s="343">
        <f t="shared" si="14"/>
        <v>52963673.600000001</v>
      </c>
      <c r="AE13" s="343">
        <f t="shared" si="14"/>
        <v>53380710.399999999</v>
      </c>
      <c r="AF13" s="343">
        <f t="shared" si="14"/>
        <v>51860544</v>
      </c>
      <c r="AG13" s="343">
        <f t="shared" si="14"/>
        <v>53797747.199999996</v>
      </c>
      <c r="AH13" s="343">
        <f t="shared" si="14"/>
        <v>52264128</v>
      </c>
      <c r="AI13" s="343">
        <f t="shared" si="14"/>
        <v>54214784</v>
      </c>
      <c r="AJ13" s="343">
        <f t="shared" si="14"/>
        <v>54423302.399999999</v>
      </c>
      <c r="AK13" s="343">
        <f t="shared" si="14"/>
        <v>49344870.399999999</v>
      </c>
      <c r="AL13" s="343">
        <f t="shared" si="14"/>
        <v>54840339.199999996</v>
      </c>
      <c r="AM13" s="343">
        <f t="shared" si="14"/>
        <v>56148624.000000007</v>
      </c>
      <c r="AN13" s="343">
        <f t="shared" si="14"/>
        <v>58458133.440000005</v>
      </c>
      <c r="AO13" s="343">
        <f t="shared" si="14"/>
        <v>56996150.400000006</v>
      </c>
      <c r="AP13" s="343">
        <f t="shared" si="14"/>
        <v>59333910.720000006</v>
      </c>
      <c r="AQ13" s="343">
        <f t="shared" si="14"/>
        <v>59771799.360000007</v>
      </c>
      <c r="AR13" s="343">
        <f t="shared" si="14"/>
        <v>58267440.000000007</v>
      </c>
      <c r="AS13" s="343">
        <f t="shared" si="14"/>
        <v>60647576.640000001</v>
      </c>
      <c r="AT13" s="343">
        <f t="shared" si="14"/>
        <v>59114966.400000006</v>
      </c>
      <c r="AU13" s="343">
        <f t="shared" si="14"/>
        <v>61523353.920000002</v>
      </c>
      <c r="AV13" s="343">
        <f t="shared" si="14"/>
        <v>61981494.909599997</v>
      </c>
      <c r="AW13" s="343">
        <f t="shared" si="14"/>
        <v>58392326.546400003</v>
      </c>
      <c r="AX13" s="343">
        <f t="shared" si="14"/>
        <v>62857272.189599998</v>
      </c>
      <c r="AY13" s="343">
        <f t="shared" si="14"/>
        <v>64093574.840399995</v>
      </c>
      <c r="AZ13" s="343">
        <f t="shared" si="14"/>
        <v>66459918.871080004</v>
      </c>
      <c r="BA13" s="343">
        <f t="shared" si="14"/>
        <v>64538526.200400002</v>
      </c>
      <c r="BB13" s="343">
        <f t="shared" si="14"/>
        <v>66919701.943080001</v>
      </c>
      <c r="BC13" s="343">
        <f t="shared" si="14"/>
        <v>67149593.479080006</v>
      </c>
      <c r="BD13" s="343">
        <f t="shared" si="14"/>
        <v>65205953.240400001</v>
      </c>
      <c r="BE13" s="343">
        <f t="shared" si="14"/>
        <v>67609376.551080003</v>
      </c>
      <c r="BF13" s="343">
        <f t="shared" si="14"/>
        <v>65650904.600400001</v>
      </c>
      <c r="BG13" s="343">
        <f t="shared" si="14"/>
        <v>68069159.62308</v>
      </c>
      <c r="BH13" s="343">
        <f t="shared" si="14"/>
        <v>68299051.159079999</v>
      </c>
      <c r="BI13" s="343">
        <f t="shared" si="14"/>
        <v>61897109.531040005</v>
      </c>
      <c r="BJ13" s="343">
        <f t="shared" si="14"/>
        <v>68758834.231079996</v>
      </c>
      <c r="BK13" s="343">
        <f t="shared" si="14"/>
        <v>79935589.473226607</v>
      </c>
      <c r="BL13" s="343">
        <f t="shared" si="14"/>
        <v>82737963.222691044</v>
      </c>
      <c r="BM13" s="343">
        <f t="shared" si="14"/>
        <v>80202403.861014098</v>
      </c>
      <c r="BN13" s="343">
        <f t="shared" si="14"/>
        <v>83013671.423404783</v>
      </c>
      <c r="BO13" s="343">
        <f t="shared" ref="BO13:DF13" si="15">(BO8*BO11)*BO14</f>
        <v>83151525.52376166</v>
      </c>
      <c r="BP13" s="343">
        <f t="shared" si="15"/>
        <v>80602625.442695349</v>
      </c>
      <c r="BQ13" s="343">
        <f t="shared" si="15"/>
        <v>83427233.724475414</v>
      </c>
      <c r="BR13" s="343">
        <f t="shared" si="15"/>
        <v>80869439.830482855</v>
      </c>
      <c r="BS13" s="343">
        <f t="shared" si="15"/>
        <v>83702941.925189167</v>
      </c>
      <c r="BT13" s="343">
        <f t="shared" si="15"/>
        <v>83840796.025546044</v>
      </c>
      <c r="BU13" s="343">
        <f t="shared" si="15"/>
        <v>75851683.984686509</v>
      </c>
      <c r="BV13" s="343">
        <f t="shared" si="15"/>
        <v>84116504.226259783</v>
      </c>
      <c r="BW13" s="343">
        <f t="shared" si="15"/>
        <v>90649376.036416784</v>
      </c>
      <c r="BX13" s="343">
        <f t="shared" si="15"/>
        <v>93824283.227635294</v>
      </c>
      <c r="BY13" s="343">
        <f t="shared" si="15"/>
        <v>90946010.855780542</v>
      </c>
      <c r="BZ13" s="343">
        <f t="shared" si="15"/>
        <v>94130805.874311179</v>
      </c>
      <c r="CA13" s="343">
        <f t="shared" si="15"/>
        <v>94284067.197649106</v>
      </c>
      <c r="CB13" s="343">
        <f t="shared" si="15"/>
        <v>91390963.084826171</v>
      </c>
      <c r="CC13" s="343">
        <f t="shared" si="15"/>
        <v>94590589.844324991</v>
      </c>
      <c r="CD13" s="343">
        <f t="shared" si="15"/>
        <v>91687597.904189914</v>
      </c>
      <c r="CE13" s="343">
        <f t="shared" si="15"/>
        <v>94897112.491000861</v>
      </c>
      <c r="CF13" s="343">
        <f t="shared" si="15"/>
        <v>96155610.719156682</v>
      </c>
      <c r="CG13" s="343">
        <f t="shared" si="15"/>
        <v>86990268.265334025</v>
      </c>
      <c r="CH13" s="343">
        <f t="shared" si="15"/>
        <v>96465697.582654372</v>
      </c>
      <c r="CI13" s="343">
        <f t="shared" si="15"/>
        <v>98179140.063022614</v>
      </c>
      <c r="CJ13" s="343">
        <f t="shared" si="15"/>
        <v>101614573.66845967</v>
      </c>
      <c r="CK13" s="343">
        <f t="shared" si="15"/>
        <v>98494228.327544466</v>
      </c>
      <c r="CL13" s="343">
        <f t="shared" si="15"/>
        <v>101940164.87513223</v>
      </c>
      <c r="CM13" s="343">
        <f t="shared" si="15"/>
        <v>102102960.47846852</v>
      </c>
      <c r="CN13" s="343">
        <f t="shared" si="15"/>
        <v>98966860.724327222</v>
      </c>
      <c r="CO13" s="343">
        <f t="shared" si="15"/>
        <v>102428551.68514109</v>
      </c>
      <c r="CP13" s="343">
        <f t="shared" si="15"/>
        <v>99281948.988849074</v>
      </c>
      <c r="CQ13" s="343">
        <f t="shared" si="15"/>
        <v>102754142.89181367</v>
      </c>
      <c r="CR13" s="343">
        <f t="shared" si="15"/>
        <v>102916938.49514996</v>
      </c>
      <c r="CS13" s="343">
        <f t="shared" si="15"/>
        <v>96429428.672777459</v>
      </c>
      <c r="CT13" s="343">
        <f t="shared" si="15"/>
        <v>103242529.70182252</v>
      </c>
      <c r="CU13" s="343">
        <f t="shared" si="15"/>
        <v>105073153.13266137</v>
      </c>
      <c r="CV13" s="343">
        <f t="shared" si="15"/>
        <v>108746526.95391986</v>
      </c>
      <c r="CW13" s="343">
        <f t="shared" si="15"/>
        <v>105403995.81040931</v>
      </c>
      <c r="CX13" s="343">
        <f t="shared" si="15"/>
        <v>109088397.72092606</v>
      </c>
      <c r="CY13" s="343">
        <f t="shared" si="15"/>
        <v>109259333.10442916</v>
      </c>
      <c r="CZ13" s="343">
        <f t="shared" si="15"/>
        <v>105900259.82703121</v>
      </c>
      <c r="DA13" s="343">
        <f t="shared" si="15"/>
        <v>109601203.87143536</v>
      </c>
      <c r="DB13" s="343">
        <f t="shared" si="15"/>
        <v>106231102.50477915</v>
      </c>
      <c r="DC13" s="343">
        <f t="shared" si="15"/>
        <v>109943074.63844156</v>
      </c>
      <c r="DD13" s="343">
        <f t="shared" si="15"/>
        <v>110114010.02194466</v>
      </c>
      <c r="DE13" s="343">
        <f t="shared" si="15"/>
        <v>99612208.753307655</v>
      </c>
      <c r="DF13" s="343">
        <f t="shared" si="15"/>
        <v>110455880.78895086</v>
      </c>
    </row>
    <row r="14" spans="1:110" s="429" customFormat="1" ht="12" customHeight="1" thickTop="1">
      <c r="A14" s="404" t="s">
        <v>521</v>
      </c>
      <c r="B14" s="427"/>
      <c r="C14" s="428">
        <v>1</v>
      </c>
      <c r="D14" s="418">
        <f t="shared" ref="D14:BO14" si="16">C14</f>
        <v>1</v>
      </c>
      <c r="E14" s="418">
        <f t="shared" si="16"/>
        <v>1</v>
      </c>
      <c r="F14" s="418">
        <f t="shared" si="16"/>
        <v>1</v>
      </c>
      <c r="G14" s="418">
        <f t="shared" si="16"/>
        <v>1</v>
      </c>
      <c r="H14" s="418">
        <f t="shared" si="16"/>
        <v>1</v>
      </c>
      <c r="I14" s="418">
        <f t="shared" si="16"/>
        <v>1</v>
      </c>
      <c r="J14" s="418">
        <f t="shared" si="16"/>
        <v>1</v>
      </c>
      <c r="K14" s="418">
        <f t="shared" si="16"/>
        <v>1</v>
      </c>
      <c r="L14" s="418">
        <f t="shared" si="16"/>
        <v>1</v>
      </c>
      <c r="M14" s="418">
        <f t="shared" si="16"/>
        <v>1</v>
      </c>
      <c r="N14" s="418">
        <f t="shared" si="16"/>
        <v>1</v>
      </c>
      <c r="O14" s="418">
        <f>N14</f>
        <v>1</v>
      </c>
      <c r="P14" s="418">
        <f t="shared" si="16"/>
        <v>1</v>
      </c>
      <c r="Q14" s="418">
        <f t="shared" si="16"/>
        <v>1</v>
      </c>
      <c r="R14" s="418">
        <f t="shared" si="16"/>
        <v>1</v>
      </c>
      <c r="S14" s="418">
        <f t="shared" si="16"/>
        <v>1</v>
      </c>
      <c r="T14" s="418">
        <f t="shared" si="16"/>
        <v>1</v>
      </c>
      <c r="U14" s="418">
        <f t="shared" si="16"/>
        <v>1</v>
      </c>
      <c r="V14" s="418">
        <f t="shared" si="16"/>
        <v>1</v>
      </c>
      <c r="W14" s="418">
        <f t="shared" si="16"/>
        <v>1</v>
      </c>
      <c r="X14" s="418">
        <f t="shared" si="16"/>
        <v>1</v>
      </c>
      <c r="Y14" s="418">
        <f t="shared" si="16"/>
        <v>1</v>
      </c>
      <c r="Z14" s="418">
        <f t="shared" si="16"/>
        <v>1</v>
      </c>
      <c r="AA14" s="418">
        <f t="shared" si="16"/>
        <v>1</v>
      </c>
      <c r="AB14" s="418">
        <f t="shared" si="16"/>
        <v>1</v>
      </c>
      <c r="AC14" s="418">
        <f t="shared" si="16"/>
        <v>1</v>
      </c>
      <c r="AD14" s="418">
        <f t="shared" si="16"/>
        <v>1</v>
      </c>
      <c r="AE14" s="418">
        <f t="shared" si="16"/>
        <v>1</v>
      </c>
      <c r="AF14" s="418">
        <f t="shared" si="16"/>
        <v>1</v>
      </c>
      <c r="AG14" s="418">
        <f t="shared" si="16"/>
        <v>1</v>
      </c>
      <c r="AH14" s="418">
        <f t="shared" si="16"/>
        <v>1</v>
      </c>
      <c r="AI14" s="418">
        <f t="shared" si="16"/>
        <v>1</v>
      </c>
      <c r="AJ14" s="418">
        <f t="shared" si="16"/>
        <v>1</v>
      </c>
      <c r="AK14" s="418">
        <f t="shared" si="16"/>
        <v>1</v>
      </c>
      <c r="AL14" s="418">
        <f t="shared" si="16"/>
        <v>1</v>
      </c>
      <c r="AM14" s="418">
        <f t="shared" si="16"/>
        <v>1</v>
      </c>
      <c r="AN14" s="418">
        <f t="shared" si="16"/>
        <v>1</v>
      </c>
      <c r="AO14" s="418">
        <f t="shared" si="16"/>
        <v>1</v>
      </c>
      <c r="AP14" s="418">
        <f t="shared" si="16"/>
        <v>1</v>
      </c>
      <c r="AQ14" s="418">
        <f t="shared" si="16"/>
        <v>1</v>
      </c>
      <c r="AR14" s="418">
        <f t="shared" si="16"/>
        <v>1</v>
      </c>
      <c r="AS14" s="418">
        <f t="shared" si="16"/>
        <v>1</v>
      </c>
      <c r="AT14" s="418">
        <f t="shared" si="16"/>
        <v>1</v>
      </c>
      <c r="AU14" s="418">
        <f t="shared" si="16"/>
        <v>1</v>
      </c>
      <c r="AV14" s="418">
        <f t="shared" si="16"/>
        <v>1</v>
      </c>
      <c r="AW14" s="418">
        <f t="shared" si="16"/>
        <v>1</v>
      </c>
      <c r="AX14" s="418">
        <f t="shared" si="16"/>
        <v>1</v>
      </c>
      <c r="AY14" s="418">
        <f t="shared" si="16"/>
        <v>1</v>
      </c>
      <c r="AZ14" s="418">
        <f t="shared" si="16"/>
        <v>1</v>
      </c>
      <c r="BA14" s="418">
        <f t="shared" si="16"/>
        <v>1</v>
      </c>
      <c r="BB14" s="418">
        <f t="shared" si="16"/>
        <v>1</v>
      </c>
      <c r="BC14" s="418">
        <f t="shared" si="16"/>
        <v>1</v>
      </c>
      <c r="BD14" s="418">
        <f t="shared" si="16"/>
        <v>1</v>
      </c>
      <c r="BE14" s="418">
        <f t="shared" si="16"/>
        <v>1</v>
      </c>
      <c r="BF14" s="418">
        <f t="shared" si="16"/>
        <v>1</v>
      </c>
      <c r="BG14" s="418">
        <f t="shared" si="16"/>
        <v>1</v>
      </c>
      <c r="BH14" s="418">
        <f t="shared" si="16"/>
        <v>1</v>
      </c>
      <c r="BI14" s="418">
        <f t="shared" si="16"/>
        <v>1</v>
      </c>
      <c r="BJ14" s="418">
        <f t="shared" si="16"/>
        <v>1</v>
      </c>
      <c r="BK14" s="418">
        <f t="shared" si="16"/>
        <v>1</v>
      </c>
      <c r="BL14" s="418">
        <f t="shared" si="16"/>
        <v>1</v>
      </c>
      <c r="BM14" s="418">
        <f t="shared" si="16"/>
        <v>1</v>
      </c>
      <c r="BN14" s="418">
        <f t="shared" si="16"/>
        <v>1</v>
      </c>
      <c r="BO14" s="418">
        <f t="shared" si="16"/>
        <v>1</v>
      </c>
      <c r="BP14" s="418">
        <f t="shared" ref="BP14:DF14" si="17">BO14</f>
        <v>1</v>
      </c>
      <c r="BQ14" s="418">
        <f t="shared" si="17"/>
        <v>1</v>
      </c>
      <c r="BR14" s="418">
        <f t="shared" si="17"/>
        <v>1</v>
      </c>
      <c r="BS14" s="418">
        <f t="shared" si="17"/>
        <v>1</v>
      </c>
      <c r="BT14" s="418">
        <f t="shared" si="17"/>
        <v>1</v>
      </c>
      <c r="BU14" s="418">
        <f t="shared" si="17"/>
        <v>1</v>
      </c>
      <c r="BV14" s="418">
        <f t="shared" si="17"/>
        <v>1</v>
      </c>
      <c r="BW14" s="418">
        <f t="shared" si="17"/>
        <v>1</v>
      </c>
      <c r="BX14" s="418">
        <f t="shared" si="17"/>
        <v>1</v>
      </c>
      <c r="BY14" s="418">
        <f t="shared" si="17"/>
        <v>1</v>
      </c>
      <c r="BZ14" s="418">
        <f t="shared" si="17"/>
        <v>1</v>
      </c>
      <c r="CA14" s="418">
        <f t="shared" si="17"/>
        <v>1</v>
      </c>
      <c r="CB14" s="418">
        <f t="shared" si="17"/>
        <v>1</v>
      </c>
      <c r="CC14" s="418">
        <f t="shared" si="17"/>
        <v>1</v>
      </c>
      <c r="CD14" s="418">
        <f t="shared" si="17"/>
        <v>1</v>
      </c>
      <c r="CE14" s="418">
        <f t="shared" si="17"/>
        <v>1</v>
      </c>
      <c r="CF14" s="418">
        <f t="shared" si="17"/>
        <v>1</v>
      </c>
      <c r="CG14" s="418">
        <f t="shared" si="17"/>
        <v>1</v>
      </c>
      <c r="CH14" s="418">
        <f t="shared" si="17"/>
        <v>1</v>
      </c>
      <c r="CI14" s="418">
        <f t="shared" si="17"/>
        <v>1</v>
      </c>
      <c r="CJ14" s="418">
        <f t="shared" si="17"/>
        <v>1</v>
      </c>
      <c r="CK14" s="418">
        <f t="shared" si="17"/>
        <v>1</v>
      </c>
      <c r="CL14" s="418">
        <f t="shared" si="17"/>
        <v>1</v>
      </c>
      <c r="CM14" s="418">
        <f t="shared" si="17"/>
        <v>1</v>
      </c>
      <c r="CN14" s="418">
        <f t="shared" si="17"/>
        <v>1</v>
      </c>
      <c r="CO14" s="418">
        <f t="shared" si="17"/>
        <v>1</v>
      </c>
      <c r="CP14" s="418">
        <f t="shared" si="17"/>
        <v>1</v>
      </c>
      <c r="CQ14" s="418">
        <f t="shared" si="17"/>
        <v>1</v>
      </c>
      <c r="CR14" s="418">
        <f t="shared" si="17"/>
        <v>1</v>
      </c>
      <c r="CS14" s="418">
        <f t="shared" si="17"/>
        <v>1</v>
      </c>
      <c r="CT14" s="418">
        <f t="shared" si="17"/>
        <v>1</v>
      </c>
      <c r="CU14" s="418">
        <f t="shared" si="17"/>
        <v>1</v>
      </c>
      <c r="CV14" s="418">
        <f t="shared" si="17"/>
        <v>1</v>
      </c>
      <c r="CW14" s="418">
        <f t="shared" si="17"/>
        <v>1</v>
      </c>
      <c r="CX14" s="418">
        <f t="shared" si="17"/>
        <v>1</v>
      </c>
      <c r="CY14" s="418">
        <f t="shared" si="17"/>
        <v>1</v>
      </c>
      <c r="CZ14" s="418">
        <f t="shared" si="17"/>
        <v>1</v>
      </c>
      <c r="DA14" s="418">
        <f t="shared" si="17"/>
        <v>1</v>
      </c>
      <c r="DB14" s="418">
        <f t="shared" si="17"/>
        <v>1</v>
      </c>
      <c r="DC14" s="418">
        <f t="shared" si="17"/>
        <v>1</v>
      </c>
      <c r="DD14" s="418">
        <f t="shared" si="17"/>
        <v>1</v>
      </c>
      <c r="DE14" s="418">
        <f t="shared" si="17"/>
        <v>1</v>
      </c>
      <c r="DF14" s="418">
        <f t="shared" si="17"/>
        <v>1</v>
      </c>
    </row>
    <row r="15" spans="1:110" s="432" customFormat="1" ht="12" customHeight="1">
      <c r="A15" s="430" t="s">
        <v>514</v>
      </c>
      <c r="B15" s="431">
        <v>4.5</v>
      </c>
      <c r="C15" s="341">
        <f t="shared" ref="C15:BN15" si="18">C4/$B$15*1000</f>
        <v>97.777777777777786</v>
      </c>
      <c r="D15" s="341">
        <f t="shared" si="18"/>
        <v>97.777777777777786</v>
      </c>
      <c r="E15" s="341">
        <f t="shared" si="18"/>
        <v>97.777777777777786</v>
      </c>
      <c r="F15" s="341">
        <f t="shared" si="18"/>
        <v>97.777777777777786</v>
      </c>
      <c r="G15" s="341">
        <f t="shared" si="18"/>
        <v>97.777777777777786</v>
      </c>
      <c r="H15" s="341">
        <f t="shared" si="18"/>
        <v>97.777777777777786</v>
      </c>
      <c r="I15" s="341">
        <f t="shared" si="18"/>
        <v>97.777777777777786</v>
      </c>
      <c r="J15" s="341">
        <f t="shared" si="18"/>
        <v>97.777777777777786</v>
      </c>
      <c r="K15" s="341">
        <f t="shared" si="18"/>
        <v>97.777777777777786</v>
      </c>
      <c r="L15" s="341">
        <f t="shared" si="18"/>
        <v>97.777777777777786</v>
      </c>
      <c r="M15" s="341">
        <f t="shared" si="18"/>
        <v>97.777777777777786</v>
      </c>
      <c r="N15" s="341">
        <f t="shared" si="18"/>
        <v>97.777777777777786</v>
      </c>
      <c r="O15" s="341">
        <f t="shared" si="18"/>
        <v>84.444444444444443</v>
      </c>
      <c r="P15" s="341">
        <f t="shared" si="18"/>
        <v>84.444444444444443</v>
      </c>
      <c r="Q15" s="341">
        <f t="shared" si="18"/>
        <v>84.444444444444443</v>
      </c>
      <c r="R15" s="341">
        <f t="shared" si="18"/>
        <v>93.333333333333329</v>
      </c>
      <c r="S15" s="341">
        <f t="shared" si="18"/>
        <v>93.333333333333329</v>
      </c>
      <c r="T15" s="341">
        <f t="shared" si="18"/>
        <v>93.333333333333329</v>
      </c>
      <c r="U15" s="341">
        <f t="shared" si="18"/>
        <v>93.333333333333329</v>
      </c>
      <c r="V15" s="341">
        <f t="shared" si="18"/>
        <v>93.333333333333329</v>
      </c>
      <c r="W15" s="341">
        <f t="shared" si="18"/>
        <v>93.333333333333329</v>
      </c>
      <c r="X15" s="341">
        <f t="shared" si="18"/>
        <v>93.333333333333329</v>
      </c>
      <c r="Y15" s="341">
        <f t="shared" si="18"/>
        <v>93.333333333333329</v>
      </c>
      <c r="Z15" s="341">
        <f t="shared" si="18"/>
        <v>93.333333333333329</v>
      </c>
      <c r="AA15" s="341">
        <f t="shared" si="18"/>
        <v>88.888888888888872</v>
      </c>
      <c r="AB15" s="341">
        <f t="shared" si="18"/>
        <v>88.888888888888872</v>
      </c>
      <c r="AC15" s="341">
        <f t="shared" si="18"/>
        <v>88.888888888888872</v>
      </c>
      <c r="AD15" s="341">
        <f t="shared" si="18"/>
        <v>88.888888888888872</v>
      </c>
      <c r="AE15" s="341">
        <f t="shared" si="18"/>
        <v>88.888888888888872</v>
      </c>
      <c r="AF15" s="341">
        <f t="shared" si="18"/>
        <v>88.888888888888872</v>
      </c>
      <c r="AG15" s="341">
        <f t="shared" si="18"/>
        <v>88.888888888888872</v>
      </c>
      <c r="AH15" s="341">
        <f t="shared" si="18"/>
        <v>88.888888888888872</v>
      </c>
      <c r="AI15" s="341">
        <f t="shared" si="18"/>
        <v>88.888888888888872</v>
      </c>
      <c r="AJ15" s="341">
        <f t="shared" si="18"/>
        <v>88.888888888888872</v>
      </c>
      <c r="AK15" s="341">
        <f t="shared" si="18"/>
        <v>88.888888888888872</v>
      </c>
      <c r="AL15" s="341">
        <f t="shared" si="18"/>
        <v>88.888888888888872</v>
      </c>
      <c r="AM15" s="341">
        <f t="shared" si="18"/>
        <v>88.888888888888872</v>
      </c>
      <c r="AN15" s="341">
        <f t="shared" si="18"/>
        <v>88.888888888888872</v>
      </c>
      <c r="AO15" s="341">
        <f t="shared" si="18"/>
        <v>88.888888888888872</v>
      </c>
      <c r="AP15" s="341">
        <f t="shared" si="18"/>
        <v>88.888888888888872</v>
      </c>
      <c r="AQ15" s="341">
        <f t="shared" si="18"/>
        <v>88.888888888888872</v>
      </c>
      <c r="AR15" s="341">
        <f t="shared" si="18"/>
        <v>88.888888888888872</v>
      </c>
      <c r="AS15" s="341">
        <f t="shared" si="18"/>
        <v>88.888888888888872</v>
      </c>
      <c r="AT15" s="341">
        <f t="shared" si="18"/>
        <v>88.888888888888872</v>
      </c>
      <c r="AU15" s="341">
        <f t="shared" si="18"/>
        <v>88.888888888888872</v>
      </c>
      <c r="AV15" s="341">
        <f t="shared" si="18"/>
        <v>88.888888888888872</v>
      </c>
      <c r="AW15" s="341">
        <f t="shared" si="18"/>
        <v>88.888888888888872</v>
      </c>
      <c r="AX15" s="341">
        <f t="shared" si="18"/>
        <v>88.888888888888872</v>
      </c>
      <c r="AY15" s="341">
        <f t="shared" si="18"/>
        <v>88.888888888888872</v>
      </c>
      <c r="AZ15" s="341">
        <f t="shared" si="18"/>
        <v>88.888888888888872</v>
      </c>
      <c r="BA15" s="341">
        <f t="shared" si="18"/>
        <v>88.888888888888872</v>
      </c>
      <c r="BB15" s="341">
        <f t="shared" si="18"/>
        <v>88.888888888888872</v>
      </c>
      <c r="BC15" s="341">
        <f t="shared" si="18"/>
        <v>88.888888888888872</v>
      </c>
      <c r="BD15" s="341">
        <f t="shared" si="18"/>
        <v>88.888888888888872</v>
      </c>
      <c r="BE15" s="341">
        <f t="shared" si="18"/>
        <v>88.888888888888872</v>
      </c>
      <c r="BF15" s="341">
        <f t="shared" si="18"/>
        <v>88.888888888888872</v>
      </c>
      <c r="BG15" s="341">
        <f t="shared" si="18"/>
        <v>88.888888888888872</v>
      </c>
      <c r="BH15" s="341">
        <f t="shared" si="18"/>
        <v>88.888888888888872</v>
      </c>
      <c r="BI15" s="341">
        <f t="shared" si="18"/>
        <v>88.888888888888872</v>
      </c>
      <c r="BJ15" s="341">
        <f t="shared" si="18"/>
        <v>88.888888888888872</v>
      </c>
      <c r="BK15" s="341">
        <f t="shared" si="18"/>
        <v>95.555555555555557</v>
      </c>
      <c r="BL15" s="341">
        <f t="shared" si="18"/>
        <v>95.555555555555557</v>
      </c>
      <c r="BM15" s="341">
        <f t="shared" si="18"/>
        <v>95.555555555555557</v>
      </c>
      <c r="BN15" s="341">
        <f t="shared" si="18"/>
        <v>95.555555555555557</v>
      </c>
      <c r="BO15" s="341">
        <f t="shared" ref="BO15:DF15" si="19">BO4/$B$15*1000</f>
        <v>95.555555555555557</v>
      </c>
      <c r="BP15" s="341">
        <f t="shared" si="19"/>
        <v>95.555555555555557</v>
      </c>
      <c r="BQ15" s="341">
        <f t="shared" si="19"/>
        <v>95.555555555555557</v>
      </c>
      <c r="BR15" s="341">
        <f t="shared" si="19"/>
        <v>95.555555555555557</v>
      </c>
      <c r="BS15" s="341">
        <f t="shared" si="19"/>
        <v>95.555555555555557</v>
      </c>
      <c r="BT15" s="341">
        <f t="shared" si="19"/>
        <v>95.555555555555557</v>
      </c>
      <c r="BU15" s="341">
        <f t="shared" si="19"/>
        <v>95.555555555555557</v>
      </c>
      <c r="BV15" s="341">
        <f t="shared" si="19"/>
        <v>95.555555555555557</v>
      </c>
      <c r="BW15" s="341">
        <f t="shared" si="19"/>
        <v>95.555555555555557</v>
      </c>
      <c r="BX15" s="341">
        <f t="shared" si="19"/>
        <v>95.555555555555557</v>
      </c>
      <c r="BY15" s="341">
        <f t="shared" si="19"/>
        <v>95.555555555555557</v>
      </c>
      <c r="BZ15" s="341">
        <f t="shared" si="19"/>
        <v>95.555555555555557</v>
      </c>
      <c r="CA15" s="341">
        <f t="shared" si="19"/>
        <v>95.555555555555557</v>
      </c>
      <c r="CB15" s="341">
        <f t="shared" si="19"/>
        <v>95.555555555555557</v>
      </c>
      <c r="CC15" s="341">
        <f t="shared" si="19"/>
        <v>95.555555555555557</v>
      </c>
      <c r="CD15" s="341">
        <f t="shared" si="19"/>
        <v>95.555555555555557</v>
      </c>
      <c r="CE15" s="341">
        <f t="shared" si="19"/>
        <v>95.555555555555557</v>
      </c>
      <c r="CF15" s="341">
        <f t="shared" si="19"/>
        <v>96.666666666666671</v>
      </c>
      <c r="CG15" s="341">
        <f t="shared" si="19"/>
        <v>96.666666666666671</v>
      </c>
      <c r="CH15" s="341">
        <f t="shared" si="19"/>
        <v>96.666666666666671</v>
      </c>
      <c r="CI15" s="341">
        <f t="shared" si="19"/>
        <v>96.666666666666671</v>
      </c>
      <c r="CJ15" s="341">
        <f t="shared" si="19"/>
        <v>96.666666666666671</v>
      </c>
      <c r="CK15" s="341">
        <f t="shared" si="19"/>
        <v>96.666666666666671</v>
      </c>
      <c r="CL15" s="341">
        <f t="shared" si="19"/>
        <v>96.666666666666671</v>
      </c>
      <c r="CM15" s="341">
        <f t="shared" si="19"/>
        <v>96.666666666666671</v>
      </c>
      <c r="CN15" s="341">
        <f t="shared" si="19"/>
        <v>96.666666666666671</v>
      </c>
      <c r="CO15" s="341">
        <f t="shared" si="19"/>
        <v>96.666666666666671</v>
      </c>
      <c r="CP15" s="341">
        <f t="shared" si="19"/>
        <v>96.666666666666671</v>
      </c>
      <c r="CQ15" s="341">
        <f t="shared" si="19"/>
        <v>96.666666666666671</v>
      </c>
      <c r="CR15" s="341">
        <f t="shared" si="19"/>
        <v>96.666666666666671</v>
      </c>
      <c r="CS15" s="341">
        <f t="shared" si="19"/>
        <v>96.666666666666671</v>
      </c>
      <c r="CT15" s="341">
        <f t="shared" si="19"/>
        <v>96.666666666666671</v>
      </c>
      <c r="CU15" s="341">
        <f t="shared" si="19"/>
        <v>96.666666666666671</v>
      </c>
      <c r="CV15" s="341">
        <f t="shared" si="19"/>
        <v>96.666666666666671</v>
      </c>
      <c r="CW15" s="341">
        <f t="shared" si="19"/>
        <v>96.666666666666671</v>
      </c>
      <c r="CX15" s="341">
        <f t="shared" si="19"/>
        <v>96.666666666666671</v>
      </c>
      <c r="CY15" s="341">
        <f t="shared" si="19"/>
        <v>96.666666666666671</v>
      </c>
      <c r="CZ15" s="341">
        <f t="shared" si="19"/>
        <v>96.666666666666671</v>
      </c>
      <c r="DA15" s="341">
        <f t="shared" si="19"/>
        <v>96.666666666666671</v>
      </c>
      <c r="DB15" s="341">
        <f t="shared" si="19"/>
        <v>96.666666666666671</v>
      </c>
      <c r="DC15" s="341">
        <f t="shared" si="19"/>
        <v>96.666666666666671</v>
      </c>
      <c r="DD15" s="341">
        <f t="shared" si="19"/>
        <v>96.666666666666671</v>
      </c>
      <c r="DE15" s="341">
        <f t="shared" si="19"/>
        <v>96.666666666666671</v>
      </c>
      <c r="DF15" s="341">
        <f t="shared" si="19"/>
        <v>96.666666666666671</v>
      </c>
    </row>
    <row r="16" spans="1:110" ht="12" customHeight="1">
      <c r="A16" s="405" t="s">
        <v>485</v>
      </c>
      <c r="B16" s="410"/>
      <c r="C16" s="341">
        <f t="shared" ref="C16:BN16" si="20">C3*$B$15</f>
        <v>837000</v>
      </c>
      <c r="D16" s="341">
        <f t="shared" si="20"/>
        <v>864000</v>
      </c>
      <c r="E16" s="341">
        <f t="shared" si="20"/>
        <v>891000</v>
      </c>
      <c r="F16" s="341">
        <f t="shared" si="20"/>
        <v>904500</v>
      </c>
      <c r="G16" s="341">
        <f t="shared" si="20"/>
        <v>927000</v>
      </c>
      <c r="H16" s="341">
        <f t="shared" si="20"/>
        <v>949500</v>
      </c>
      <c r="I16" s="341">
        <f t="shared" si="20"/>
        <v>972000</v>
      </c>
      <c r="J16" s="341">
        <f t="shared" si="20"/>
        <v>994500</v>
      </c>
      <c r="K16" s="341">
        <f t="shared" si="20"/>
        <v>1017000</v>
      </c>
      <c r="L16" s="341">
        <f t="shared" si="20"/>
        <v>1039500</v>
      </c>
      <c r="M16" s="341">
        <f t="shared" si="20"/>
        <v>1062000</v>
      </c>
      <c r="N16" s="341">
        <f t="shared" si="20"/>
        <v>1084500</v>
      </c>
      <c r="O16" s="341">
        <f t="shared" si="20"/>
        <v>990000</v>
      </c>
      <c r="P16" s="341">
        <f t="shared" si="20"/>
        <v>999000</v>
      </c>
      <c r="Q16" s="341">
        <f t="shared" si="20"/>
        <v>1008000</v>
      </c>
      <c r="R16" s="341">
        <f t="shared" si="20"/>
        <v>1017000</v>
      </c>
      <c r="S16" s="341">
        <f t="shared" si="20"/>
        <v>1030500</v>
      </c>
      <c r="T16" s="341">
        <f t="shared" si="20"/>
        <v>1044000</v>
      </c>
      <c r="U16" s="341">
        <f t="shared" si="20"/>
        <v>1057500</v>
      </c>
      <c r="V16" s="341">
        <f t="shared" si="20"/>
        <v>1071000</v>
      </c>
      <c r="W16" s="341">
        <f t="shared" si="20"/>
        <v>1084500</v>
      </c>
      <c r="X16" s="341">
        <f t="shared" si="20"/>
        <v>1098000</v>
      </c>
      <c r="Y16" s="341">
        <f t="shared" si="20"/>
        <v>1120500</v>
      </c>
      <c r="Z16" s="341">
        <f t="shared" si="20"/>
        <v>1143000</v>
      </c>
      <c r="AA16" s="341">
        <f t="shared" si="20"/>
        <v>1111500</v>
      </c>
      <c r="AB16" s="341">
        <f t="shared" si="20"/>
        <v>1120500</v>
      </c>
      <c r="AC16" s="341">
        <f t="shared" si="20"/>
        <v>1134000</v>
      </c>
      <c r="AD16" s="341">
        <f t="shared" si="20"/>
        <v>1143000</v>
      </c>
      <c r="AE16" s="341">
        <f t="shared" si="20"/>
        <v>1152000</v>
      </c>
      <c r="AF16" s="341">
        <f t="shared" si="20"/>
        <v>1156500</v>
      </c>
      <c r="AG16" s="341">
        <f t="shared" si="20"/>
        <v>1161000</v>
      </c>
      <c r="AH16" s="341">
        <f t="shared" si="20"/>
        <v>1165500</v>
      </c>
      <c r="AI16" s="341">
        <f t="shared" si="20"/>
        <v>1170000</v>
      </c>
      <c r="AJ16" s="341">
        <f t="shared" si="20"/>
        <v>1174500</v>
      </c>
      <c r="AK16" s="341">
        <f t="shared" si="20"/>
        <v>1179000</v>
      </c>
      <c r="AL16" s="341">
        <f t="shared" si="20"/>
        <v>1183500</v>
      </c>
      <c r="AM16" s="341">
        <f t="shared" si="20"/>
        <v>1192500</v>
      </c>
      <c r="AN16" s="341">
        <f t="shared" si="20"/>
        <v>1201500</v>
      </c>
      <c r="AO16" s="341">
        <f t="shared" si="20"/>
        <v>1210500</v>
      </c>
      <c r="AP16" s="341">
        <f t="shared" si="20"/>
        <v>1219500</v>
      </c>
      <c r="AQ16" s="341">
        <f t="shared" si="20"/>
        <v>1228500</v>
      </c>
      <c r="AR16" s="341">
        <f t="shared" si="20"/>
        <v>1237500</v>
      </c>
      <c r="AS16" s="341">
        <f t="shared" si="20"/>
        <v>1246500</v>
      </c>
      <c r="AT16" s="341">
        <f t="shared" si="20"/>
        <v>1255500</v>
      </c>
      <c r="AU16" s="341">
        <f t="shared" si="20"/>
        <v>1264500</v>
      </c>
      <c r="AV16" s="341">
        <f t="shared" si="20"/>
        <v>1273916.25</v>
      </c>
      <c r="AW16" s="341">
        <f t="shared" si="20"/>
        <v>1282916.25</v>
      </c>
      <c r="AX16" s="341">
        <f t="shared" si="20"/>
        <v>1291916.25</v>
      </c>
      <c r="AY16" s="341">
        <f t="shared" si="20"/>
        <v>1296416.25</v>
      </c>
      <c r="AZ16" s="341">
        <f t="shared" si="20"/>
        <v>1300916.25</v>
      </c>
      <c r="BA16" s="341">
        <f t="shared" si="20"/>
        <v>1305416.25</v>
      </c>
      <c r="BB16" s="341">
        <f t="shared" si="20"/>
        <v>1309916.25</v>
      </c>
      <c r="BC16" s="341">
        <f t="shared" si="20"/>
        <v>1314416.25</v>
      </c>
      <c r="BD16" s="341">
        <f t="shared" si="20"/>
        <v>1318916.25</v>
      </c>
      <c r="BE16" s="341">
        <f t="shared" si="20"/>
        <v>1323416.25</v>
      </c>
      <c r="BF16" s="341">
        <f t="shared" si="20"/>
        <v>1327916.25</v>
      </c>
      <c r="BG16" s="341">
        <f t="shared" si="20"/>
        <v>1332416.25</v>
      </c>
      <c r="BH16" s="341">
        <f t="shared" si="20"/>
        <v>1336916.25</v>
      </c>
      <c r="BI16" s="341">
        <f t="shared" si="20"/>
        <v>1341416.25</v>
      </c>
      <c r="BJ16" s="341">
        <f t="shared" si="20"/>
        <v>1345916.25</v>
      </c>
      <c r="BK16" s="341">
        <f t="shared" si="20"/>
        <v>1348166.25</v>
      </c>
      <c r="BL16" s="341">
        <f t="shared" si="20"/>
        <v>1350416.25</v>
      </c>
      <c r="BM16" s="341">
        <f t="shared" si="20"/>
        <v>1352666.25</v>
      </c>
      <c r="BN16" s="341">
        <f t="shared" si="20"/>
        <v>1354916.25</v>
      </c>
      <c r="BO16" s="341">
        <f t="shared" ref="BO16:DF16" si="21">BO3*$B$15</f>
        <v>1357166.25</v>
      </c>
      <c r="BP16" s="341">
        <f t="shared" si="21"/>
        <v>1359416.25</v>
      </c>
      <c r="BQ16" s="341">
        <f t="shared" si="21"/>
        <v>1361666.25</v>
      </c>
      <c r="BR16" s="341">
        <f t="shared" si="21"/>
        <v>1363916.25</v>
      </c>
      <c r="BS16" s="341">
        <f t="shared" si="21"/>
        <v>1366166.25</v>
      </c>
      <c r="BT16" s="341">
        <f t="shared" si="21"/>
        <v>1368416.25</v>
      </c>
      <c r="BU16" s="341">
        <f t="shared" si="21"/>
        <v>1370666.25</v>
      </c>
      <c r="BV16" s="341">
        <f t="shared" si="21"/>
        <v>1372916.25</v>
      </c>
      <c r="BW16" s="341">
        <f t="shared" si="21"/>
        <v>1375166.25</v>
      </c>
      <c r="BX16" s="341">
        <f t="shared" si="21"/>
        <v>1377416.25</v>
      </c>
      <c r="BY16" s="341">
        <f t="shared" si="21"/>
        <v>1379666.25</v>
      </c>
      <c r="BZ16" s="341">
        <f t="shared" si="21"/>
        <v>1381916.25</v>
      </c>
      <c r="CA16" s="341">
        <f t="shared" si="21"/>
        <v>1384166.25</v>
      </c>
      <c r="CB16" s="341">
        <f t="shared" si="21"/>
        <v>1386416.25</v>
      </c>
      <c r="CC16" s="341">
        <f t="shared" si="21"/>
        <v>1388666.25</v>
      </c>
      <c r="CD16" s="341">
        <f t="shared" si="21"/>
        <v>1390916.25</v>
      </c>
      <c r="CE16" s="341">
        <f t="shared" si="21"/>
        <v>1393166.25</v>
      </c>
      <c r="CF16" s="341">
        <f t="shared" si="21"/>
        <v>1395416.25</v>
      </c>
      <c r="CG16" s="341">
        <f t="shared" si="21"/>
        <v>1397666.25</v>
      </c>
      <c r="CH16" s="341">
        <f t="shared" si="21"/>
        <v>1399916.25</v>
      </c>
      <c r="CI16" s="341">
        <f t="shared" si="21"/>
        <v>1402166.25</v>
      </c>
      <c r="CJ16" s="341">
        <f t="shared" si="21"/>
        <v>1404416.25</v>
      </c>
      <c r="CK16" s="341">
        <f t="shared" si="21"/>
        <v>1406666.25</v>
      </c>
      <c r="CL16" s="341">
        <f t="shared" si="21"/>
        <v>1408916.25</v>
      </c>
      <c r="CM16" s="341">
        <f t="shared" si="21"/>
        <v>1411166.25</v>
      </c>
      <c r="CN16" s="341">
        <f t="shared" si="21"/>
        <v>1413416.25</v>
      </c>
      <c r="CO16" s="341">
        <f t="shared" si="21"/>
        <v>1415666.25</v>
      </c>
      <c r="CP16" s="341">
        <f t="shared" si="21"/>
        <v>1417916.25</v>
      </c>
      <c r="CQ16" s="341">
        <f t="shared" si="21"/>
        <v>1420166.25</v>
      </c>
      <c r="CR16" s="341">
        <f t="shared" si="21"/>
        <v>1422416.25</v>
      </c>
      <c r="CS16" s="341">
        <f t="shared" si="21"/>
        <v>1424666.25</v>
      </c>
      <c r="CT16" s="341">
        <f t="shared" si="21"/>
        <v>1426916.25</v>
      </c>
      <c r="CU16" s="341">
        <f t="shared" si="21"/>
        <v>1429166.25</v>
      </c>
      <c r="CV16" s="341">
        <f t="shared" si="21"/>
        <v>1431416.25</v>
      </c>
      <c r="CW16" s="341">
        <f t="shared" si="21"/>
        <v>1433666.25</v>
      </c>
      <c r="CX16" s="341">
        <f t="shared" si="21"/>
        <v>1435916.25</v>
      </c>
      <c r="CY16" s="341">
        <f t="shared" si="21"/>
        <v>1438166.25</v>
      </c>
      <c r="CZ16" s="341">
        <f t="shared" si="21"/>
        <v>1440416.25</v>
      </c>
      <c r="DA16" s="341">
        <f t="shared" si="21"/>
        <v>1442666.25</v>
      </c>
      <c r="DB16" s="341">
        <f t="shared" si="21"/>
        <v>1444916.25</v>
      </c>
      <c r="DC16" s="341">
        <f t="shared" si="21"/>
        <v>1447166.25</v>
      </c>
      <c r="DD16" s="341">
        <f t="shared" si="21"/>
        <v>1449416.25</v>
      </c>
      <c r="DE16" s="341">
        <f t="shared" si="21"/>
        <v>1451666.25</v>
      </c>
      <c r="DF16" s="341">
        <f t="shared" si="21"/>
        <v>1453916.25</v>
      </c>
    </row>
    <row r="17" spans="1:110" ht="12" customHeight="1">
      <c r="A17" s="430" t="s">
        <v>522</v>
      </c>
      <c r="C17" s="433">
        <f t="shared" ref="C17:BN17" si="22">C5/4.545/1000</f>
        <v>18.006600660066006</v>
      </c>
      <c r="D17" s="433">
        <f t="shared" si="22"/>
        <v>18.587458745874589</v>
      </c>
      <c r="E17" s="433">
        <f t="shared" si="22"/>
        <v>19.168316831683168</v>
      </c>
      <c r="F17" s="433">
        <f t="shared" si="22"/>
        <v>19.458745874587457</v>
      </c>
      <c r="G17" s="433">
        <f t="shared" si="22"/>
        <v>19.942794279427943</v>
      </c>
      <c r="H17" s="433">
        <f t="shared" si="22"/>
        <v>20.426842684268429</v>
      </c>
      <c r="I17" s="433">
        <f t="shared" si="22"/>
        <v>20.910891089108912</v>
      </c>
      <c r="J17" s="433">
        <f t="shared" si="22"/>
        <v>21.394939493949394</v>
      </c>
      <c r="K17" s="433">
        <f t="shared" si="22"/>
        <v>21.87898789878988</v>
      </c>
      <c r="L17" s="433">
        <f t="shared" si="22"/>
        <v>22.363036303630363</v>
      </c>
      <c r="M17" s="433">
        <f t="shared" si="22"/>
        <v>22.847084708470849</v>
      </c>
      <c r="N17" s="433">
        <f t="shared" si="22"/>
        <v>23.331133113311331</v>
      </c>
      <c r="O17" s="433">
        <f t="shared" si="22"/>
        <v>18.393839383938392</v>
      </c>
      <c r="P17" s="433">
        <f t="shared" si="22"/>
        <v>18.561056105610561</v>
      </c>
      <c r="Q17" s="433">
        <f t="shared" si="22"/>
        <v>18.72827282728273</v>
      </c>
      <c r="R17" s="433">
        <f t="shared" si="22"/>
        <v>20.884488448844884</v>
      </c>
      <c r="S17" s="433">
        <f t="shared" si="22"/>
        <v>21.161716171617162</v>
      </c>
      <c r="T17" s="433">
        <f t="shared" si="22"/>
        <v>21.438943894389439</v>
      </c>
      <c r="U17" s="433">
        <f t="shared" si="22"/>
        <v>21.716171617161717</v>
      </c>
      <c r="V17" s="433">
        <f t="shared" si="22"/>
        <v>21.993399339933994</v>
      </c>
      <c r="W17" s="433">
        <f t="shared" si="22"/>
        <v>22.270627062706268</v>
      </c>
      <c r="X17" s="433">
        <f t="shared" si="22"/>
        <v>22.547854785478545</v>
      </c>
      <c r="Y17" s="433">
        <f t="shared" si="22"/>
        <v>23.009900990099009</v>
      </c>
      <c r="Z17" s="433">
        <f t="shared" si="22"/>
        <v>23.471947194719473</v>
      </c>
      <c r="AA17" s="433">
        <f t="shared" si="22"/>
        <v>21.738173817381735</v>
      </c>
      <c r="AB17" s="433">
        <f t="shared" si="22"/>
        <v>21.914191419141911</v>
      </c>
      <c r="AC17" s="433">
        <f t="shared" si="22"/>
        <v>22.178217821782173</v>
      </c>
      <c r="AD17" s="433">
        <f t="shared" si="22"/>
        <v>22.354235423542352</v>
      </c>
      <c r="AE17" s="433">
        <f t="shared" si="22"/>
        <v>22.530253025302528</v>
      </c>
      <c r="AF17" s="433">
        <f t="shared" si="22"/>
        <v>22.618261826182614</v>
      </c>
      <c r="AG17" s="433">
        <f t="shared" si="22"/>
        <v>22.706270627062704</v>
      </c>
      <c r="AH17" s="433">
        <f t="shared" si="22"/>
        <v>22.79427942794279</v>
      </c>
      <c r="AI17" s="433">
        <f t="shared" si="22"/>
        <v>22.88228822882288</v>
      </c>
      <c r="AJ17" s="433">
        <f t="shared" si="22"/>
        <v>22.970297029702969</v>
      </c>
      <c r="AK17" s="433">
        <f t="shared" si="22"/>
        <v>23.058305830583055</v>
      </c>
      <c r="AL17" s="433">
        <f t="shared" si="22"/>
        <v>23.146314631463145</v>
      </c>
      <c r="AM17" s="433">
        <f t="shared" si="22"/>
        <v>23.322332233223317</v>
      </c>
      <c r="AN17" s="433">
        <f t="shared" si="22"/>
        <v>23.498349834983497</v>
      </c>
      <c r="AO17" s="433">
        <f t="shared" si="22"/>
        <v>23.674367436743672</v>
      </c>
      <c r="AP17" s="433">
        <f t="shared" si="22"/>
        <v>23.850385038503845</v>
      </c>
      <c r="AQ17" s="433">
        <f t="shared" si="22"/>
        <v>24.026402640264024</v>
      </c>
      <c r="AR17" s="433">
        <f t="shared" si="22"/>
        <v>24.2024202420242</v>
      </c>
      <c r="AS17" s="433">
        <f t="shared" si="22"/>
        <v>24.378437843784376</v>
      </c>
      <c r="AT17" s="433">
        <f t="shared" si="22"/>
        <v>24.554455445544551</v>
      </c>
      <c r="AU17" s="433">
        <f t="shared" si="22"/>
        <v>24.730473047304727</v>
      </c>
      <c r="AV17" s="433">
        <f t="shared" si="22"/>
        <v>24.914631463146311</v>
      </c>
      <c r="AW17" s="433">
        <f t="shared" si="22"/>
        <v>25.090649064906486</v>
      </c>
      <c r="AX17" s="433">
        <f t="shared" si="22"/>
        <v>25.266666666666666</v>
      </c>
      <c r="AY17" s="433">
        <f t="shared" si="22"/>
        <v>25.354675467546752</v>
      </c>
      <c r="AZ17" s="433">
        <f t="shared" si="22"/>
        <v>25.442684268426841</v>
      </c>
      <c r="BA17" s="433">
        <f t="shared" si="22"/>
        <v>25.530693069306928</v>
      </c>
      <c r="BB17" s="433">
        <f t="shared" si="22"/>
        <v>25.618701870187014</v>
      </c>
      <c r="BC17" s="433">
        <f t="shared" si="22"/>
        <v>25.706710671067103</v>
      </c>
      <c r="BD17" s="433">
        <f t="shared" si="22"/>
        <v>25.794719471947193</v>
      </c>
      <c r="BE17" s="433">
        <f t="shared" si="22"/>
        <v>25.882728272827279</v>
      </c>
      <c r="BF17" s="433">
        <f t="shared" si="22"/>
        <v>25.970737073707369</v>
      </c>
      <c r="BG17" s="433">
        <f t="shared" si="22"/>
        <v>26.058745874587459</v>
      </c>
      <c r="BH17" s="433">
        <f t="shared" si="22"/>
        <v>26.146754675467541</v>
      </c>
      <c r="BI17" s="433">
        <f t="shared" si="22"/>
        <v>26.234763476347631</v>
      </c>
      <c r="BJ17" s="433">
        <f t="shared" si="22"/>
        <v>26.32277227722772</v>
      </c>
      <c r="BK17" s="433">
        <f t="shared" si="22"/>
        <v>28.344284928492847</v>
      </c>
      <c r="BL17" s="433">
        <f t="shared" si="22"/>
        <v>28.391589658965895</v>
      </c>
      <c r="BM17" s="433">
        <f t="shared" si="22"/>
        <v>28.438894389438943</v>
      </c>
      <c r="BN17" s="433">
        <f t="shared" si="22"/>
        <v>28.486199119911991</v>
      </c>
      <c r="BO17" s="433">
        <f t="shared" ref="BO17:DF17" si="23">BO5/4.545/1000</f>
        <v>28.533503850385038</v>
      </c>
      <c r="BP17" s="433">
        <f t="shared" si="23"/>
        <v>28.580808580858083</v>
      </c>
      <c r="BQ17" s="433">
        <f t="shared" si="23"/>
        <v>28.628113311331134</v>
      </c>
      <c r="BR17" s="433">
        <f t="shared" si="23"/>
        <v>28.675418041804178</v>
      </c>
      <c r="BS17" s="433">
        <f t="shared" si="23"/>
        <v>28.722722772277226</v>
      </c>
      <c r="BT17" s="433">
        <f t="shared" si="23"/>
        <v>28.770027502750274</v>
      </c>
      <c r="BU17" s="433">
        <f t="shared" si="23"/>
        <v>28.817332233223322</v>
      </c>
      <c r="BV17" s="433">
        <f t="shared" si="23"/>
        <v>28.86463696369637</v>
      </c>
      <c r="BW17" s="433">
        <f t="shared" si="23"/>
        <v>28.911941694169414</v>
      </c>
      <c r="BX17" s="433">
        <f t="shared" si="23"/>
        <v>28.959246424642465</v>
      </c>
      <c r="BY17" s="433">
        <f t="shared" si="23"/>
        <v>29.00655115511551</v>
      </c>
      <c r="BZ17" s="433">
        <f t="shared" si="23"/>
        <v>29.053855885588558</v>
      </c>
      <c r="CA17" s="433">
        <f t="shared" si="23"/>
        <v>29.101160616061605</v>
      </c>
      <c r="CB17" s="433">
        <f t="shared" si="23"/>
        <v>29.148465346534653</v>
      </c>
      <c r="CC17" s="433">
        <f t="shared" si="23"/>
        <v>29.195770077007698</v>
      </c>
      <c r="CD17" s="433">
        <f t="shared" si="23"/>
        <v>29.243074807480749</v>
      </c>
      <c r="CE17" s="433">
        <f t="shared" si="23"/>
        <v>29.290379537953797</v>
      </c>
      <c r="CF17" s="433">
        <f t="shared" si="23"/>
        <v>29.6788201320132</v>
      </c>
      <c r="CG17" s="433">
        <f t="shared" si="23"/>
        <v>29.726674917491746</v>
      </c>
      <c r="CH17" s="433">
        <f t="shared" si="23"/>
        <v>29.774529702970295</v>
      </c>
      <c r="CI17" s="433">
        <f t="shared" si="23"/>
        <v>29.822384488448844</v>
      </c>
      <c r="CJ17" s="433">
        <f t="shared" si="23"/>
        <v>29.870239273927389</v>
      </c>
      <c r="CK17" s="433">
        <f t="shared" si="23"/>
        <v>29.918094059405938</v>
      </c>
      <c r="CL17" s="433">
        <f t="shared" si="23"/>
        <v>29.965948844884487</v>
      </c>
      <c r="CM17" s="433">
        <f t="shared" si="23"/>
        <v>30.013803630363032</v>
      </c>
      <c r="CN17" s="433">
        <f t="shared" si="23"/>
        <v>30.061658415841581</v>
      </c>
      <c r="CO17" s="433">
        <f t="shared" si="23"/>
        <v>30.10951320132013</v>
      </c>
      <c r="CP17" s="433">
        <f t="shared" si="23"/>
        <v>30.157367986798679</v>
      </c>
      <c r="CQ17" s="433">
        <f t="shared" si="23"/>
        <v>30.205222772277224</v>
      </c>
      <c r="CR17" s="433">
        <f t="shared" si="23"/>
        <v>30.253077557755773</v>
      </c>
      <c r="CS17" s="433">
        <f t="shared" si="23"/>
        <v>30.300932343234322</v>
      </c>
      <c r="CT17" s="433">
        <f t="shared" si="23"/>
        <v>30.348787128712868</v>
      </c>
      <c r="CU17" s="433">
        <f t="shared" si="23"/>
        <v>30.396641914191417</v>
      </c>
      <c r="CV17" s="433">
        <f t="shared" si="23"/>
        <v>30.444496699669966</v>
      </c>
      <c r="CW17" s="433">
        <f t="shared" si="23"/>
        <v>30.492351485148511</v>
      </c>
      <c r="CX17" s="433">
        <f t="shared" si="23"/>
        <v>30.54020627062706</v>
      </c>
      <c r="CY17" s="433">
        <f t="shared" si="23"/>
        <v>30.588061056105609</v>
      </c>
      <c r="CZ17" s="433">
        <f t="shared" si="23"/>
        <v>30.635915841584154</v>
      </c>
      <c r="DA17" s="433">
        <f t="shared" si="23"/>
        <v>30.683770627062707</v>
      </c>
      <c r="DB17" s="433">
        <f t="shared" si="23"/>
        <v>30.731625412541252</v>
      </c>
      <c r="DC17" s="433">
        <f t="shared" si="23"/>
        <v>30.779480198019797</v>
      </c>
      <c r="DD17" s="433">
        <f t="shared" si="23"/>
        <v>30.82733498349835</v>
      </c>
      <c r="DE17" s="433">
        <f t="shared" si="23"/>
        <v>30.875189768976895</v>
      </c>
      <c r="DF17" s="433">
        <f t="shared" si="23"/>
        <v>30.923044554455441</v>
      </c>
    </row>
    <row r="18" spans="1:110" ht="12" customHeight="1">
      <c r="A18" s="430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  <c r="AE18" s="433"/>
      <c r="AF18" s="433"/>
      <c r="AG18" s="433"/>
      <c r="AH18" s="433"/>
      <c r="AI18" s="433"/>
      <c r="AJ18" s="433"/>
      <c r="AK18" s="433"/>
      <c r="AL18" s="433"/>
      <c r="AM18" s="433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3"/>
      <c r="BD18" s="433"/>
      <c r="BE18" s="433"/>
      <c r="BF18" s="433"/>
      <c r="BG18" s="433"/>
      <c r="BH18" s="433"/>
      <c r="BI18" s="433"/>
      <c r="BJ18" s="433"/>
      <c r="BK18" s="433"/>
      <c r="BL18" s="433"/>
      <c r="BM18" s="433"/>
      <c r="BN18" s="433"/>
      <c r="BO18" s="433"/>
      <c r="BP18" s="433"/>
      <c r="BQ18" s="433"/>
      <c r="BR18" s="433"/>
      <c r="BS18" s="433"/>
      <c r="BT18" s="433"/>
      <c r="BU18" s="433"/>
      <c r="BV18" s="433"/>
      <c r="BW18" s="433"/>
      <c r="BX18" s="433"/>
      <c r="BY18" s="433"/>
      <c r="BZ18" s="433"/>
      <c r="CA18" s="433"/>
      <c r="CB18" s="433"/>
      <c r="CC18" s="433"/>
      <c r="CD18" s="433"/>
      <c r="CE18" s="433"/>
      <c r="CF18" s="433"/>
      <c r="CG18" s="433"/>
      <c r="CH18" s="433"/>
      <c r="CI18" s="433"/>
      <c r="CJ18" s="433"/>
      <c r="CK18" s="433"/>
      <c r="CL18" s="433"/>
      <c r="CM18" s="433"/>
      <c r="CN18" s="433"/>
      <c r="CO18" s="433"/>
      <c r="CP18" s="433"/>
      <c r="CQ18" s="433"/>
      <c r="CR18" s="433"/>
      <c r="CS18" s="433"/>
      <c r="CT18" s="433"/>
      <c r="CU18" s="433"/>
      <c r="CV18" s="433"/>
      <c r="CW18" s="433"/>
      <c r="CX18" s="433"/>
      <c r="CY18" s="433"/>
      <c r="CZ18" s="433"/>
      <c r="DA18" s="433"/>
      <c r="DB18" s="433"/>
      <c r="DC18" s="433"/>
      <c r="DD18" s="433"/>
      <c r="DE18" s="433"/>
      <c r="DF18" s="433"/>
    </row>
    <row r="19" spans="1:110" ht="12" customHeight="1">
      <c r="A19" s="404" t="s">
        <v>523</v>
      </c>
      <c r="B19" s="430" t="s">
        <v>504</v>
      </c>
      <c r="C19" s="418">
        <f t="shared" ref="C19:BN19" si="24">C13-C20</f>
        <v>37731513.600000001</v>
      </c>
      <c r="D19" s="418">
        <f t="shared" si="24"/>
        <v>40246947.840000004</v>
      </c>
      <c r="E19" s="418">
        <f t="shared" si="24"/>
        <v>40165804.800000004</v>
      </c>
      <c r="F19" s="418">
        <f t="shared" si="24"/>
        <v>42133523.520000003</v>
      </c>
      <c r="G19" s="418">
        <f t="shared" si="24"/>
        <v>43181621.120000005</v>
      </c>
      <c r="H19" s="418">
        <f t="shared" si="24"/>
        <v>42802953.600000001</v>
      </c>
      <c r="I19" s="418">
        <f t="shared" si="24"/>
        <v>45277816.32</v>
      </c>
      <c r="J19" s="418">
        <f t="shared" si="24"/>
        <v>44831529.600000001</v>
      </c>
      <c r="K19" s="418">
        <f t="shared" si="24"/>
        <v>47374011.520000003</v>
      </c>
      <c r="L19" s="418">
        <f t="shared" si="24"/>
        <v>48422109.120000005</v>
      </c>
      <c r="M19" s="418">
        <f t="shared" si="24"/>
        <v>44682767.359999999</v>
      </c>
      <c r="N19" s="418">
        <f t="shared" si="24"/>
        <v>50518304.32</v>
      </c>
      <c r="O19" s="418">
        <f t="shared" si="24"/>
        <v>39205056</v>
      </c>
      <c r="P19" s="418">
        <f t="shared" si="24"/>
        <v>40880181.119999997</v>
      </c>
      <c r="Q19" s="418">
        <f t="shared" si="24"/>
        <v>39917875.199999996</v>
      </c>
      <c r="R19" s="418">
        <f t="shared" si="24"/>
        <v>45997472.640000001</v>
      </c>
      <c r="S19" s="418">
        <f t="shared" si="24"/>
        <v>46608058.559999995</v>
      </c>
      <c r="T19" s="418">
        <f t="shared" si="24"/>
        <v>45695462.399999999</v>
      </c>
      <c r="U19" s="418">
        <f t="shared" si="24"/>
        <v>47829230.399999999</v>
      </c>
      <c r="V19" s="418">
        <f t="shared" si="24"/>
        <v>46877241.600000001</v>
      </c>
      <c r="W19" s="418">
        <f t="shared" si="24"/>
        <v>49050402.239999995</v>
      </c>
      <c r="X19" s="418">
        <f t="shared" si="24"/>
        <v>49660988.159999996</v>
      </c>
      <c r="Y19" s="418">
        <f t="shared" si="24"/>
        <v>45774247.68</v>
      </c>
      <c r="Z19" s="418">
        <f t="shared" si="24"/>
        <v>51696274.559999995</v>
      </c>
      <c r="AA19" s="418">
        <f t="shared" si="24"/>
        <v>48649910.399999999</v>
      </c>
      <c r="AB19" s="418">
        <f t="shared" si="24"/>
        <v>50678631.359999999</v>
      </c>
      <c r="AC19" s="418">
        <f t="shared" si="24"/>
        <v>49634726.399999999</v>
      </c>
      <c r="AD19" s="418">
        <f t="shared" si="24"/>
        <v>51696274.560000002</v>
      </c>
      <c r="AE19" s="418">
        <f t="shared" si="24"/>
        <v>52103331.839999996</v>
      </c>
      <c r="AF19" s="418">
        <f t="shared" si="24"/>
        <v>50619542.400000006</v>
      </c>
      <c r="AG19" s="418">
        <f t="shared" si="24"/>
        <v>52510389.119999997</v>
      </c>
      <c r="AH19" s="418">
        <f t="shared" si="24"/>
        <v>51013468.800000004</v>
      </c>
      <c r="AI19" s="418">
        <f t="shared" si="24"/>
        <v>52917446.400000006</v>
      </c>
      <c r="AJ19" s="418">
        <f t="shared" si="24"/>
        <v>53120975.040000007</v>
      </c>
      <c r="AK19" s="418">
        <f t="shared" si="24"/>
        <v>48164067.839999996</v>
      </c>
      <c r="AL19" s="418">
        <f t="shared" si="24"/>
        <v>53528032.319999993</v>
      </c>
      <c r="AM19" s="418">
        <f t="shared" si="24"/>
        <v>54805010.400000006</v>
      </c>
      <c r="AN19" s="418">
        <f t="shared" si="24"/>
        <v>57059254.223999999</v>
      </c>
      <c r="AO19" s="418">
        <f t="shared" si="24"/>
        <v>55632255.840000004</v>
      </c>
      <c r="AP19" s="418">
        <f t="shared" si="24"/>
        <v>57914074.512000009</v>
      </c>
      <c r="AQ19" s="418">
        <f t="shared" si="24"/>
        <v>58341484.656000011</v>
      </c>
      <c r="AR19" s="418">
        <f t="shared" si="24"/>
        <v>56873124</v>
      </c>
      <c r="AS19" s="418">
        <f t="shared" si="24"/>
        <v>59196304.943999998</v>
      </c>
      <c r="AT19" s="418">
        <f t="shared" si="24"/>
        <v>59889023.999999993</v>
      </c>
      <c r="AU19" s="418">
        <f t="shared" si="24"/>
        <v>62328947.199999996</v>
      </c>
      <c r="AV19" s="418">
        <f t="shared" si="24"/>
        <v>62793087.135999992</v>
      </c>
      <c r="AW19" s="418">
        <f t="shared" si="24"/>
        <v>59156921.823999994</v>
      </c>
      <c r="AX19" s="418">
        <f t="shared" si="24"/>
        <v>63680331.935999997</v>
      </c>
      <c r="AY19" s="418">
        <f t="shared" si="24"/>
        <v>64932822.863999993</v>
      </c>
      <c r="AZ19" s="418">
        <f t="shared" si="24"/>
        <v>67330152.0528</v>
      </c>
      <c r="BA19" s="418">
        <f t="shared" si="24"/>
        <v>65383600.463999994</v>
      </c>
      <c r="BB19" s="418">
        <f t="shared" si="24"/>
        <v>67795955.572799996</v>
      </c>
      <c r="BC19" s="418">
        <f t="shared" si="24"/>
        <v>68028857.332800001</v>
      </c>
      <c r="BD19" s="418">
        <f t="shared" si="24"/>
        <v>66059766.863999993</v>
      </c>
      <c r="BE19" s="418">
        <f t="shared" si="24"/>
        <v>68494660.852799997</v>
      </c>
      <c r="BF19" s="418">
        <f t="shared" si="24"/>
        <v>66510544.464000002</v>
      </c>
      <c r="BG19" s="418">
        <f t="shared" si="24"/>
        <v>68960464.372799993</v>
      </c>
      <c r="BH19" s="418">
        <f t="shared" si="24"/>
        <v>69193366.132799983</v>
      </c>
      <c r="BI19" s="418">
        <f t="shared" si="24"/>
        <v>62707596.806399994</v>
      </c>
      <c r="BJ19" s="418">
        <f t="shared" si="24"/>
        <v>69659169.652799994</v>
      </c>
      <c r="BK19" s="418">
        <f t="shared" si="24"/>
        <v>80982274.505973756</v>
      </c>
      <c r="BL19" s="418">
        <f t="shared" si="24"/>
        <v>83821342.83264789</v>
      </c>
      <c r="BM19" s="418">
        <f t="shared" si="24"/>
        <v>81252582.589473739</v>
      </c>
      <c r="BN19" s="418">
        <f t="shared" si="24"/>
        <v>84100661.185597882</v>
      </c>
      <c r="BO19" s="418">
        <f t="shared" ref="BO19:DF19" si="25">BO13-BO20</f>
        <v>84240320.36207287</v>
      </c>
      <c r="BP19" s="418">
        <f t="shared" si="25"/>
        <v>81658044.714723751</v>
      </c>
      <c r="BQ19" s="418">
        <f t="shared" si="25"/>
        <v>84519638.715022877</v>
      </c>
      <c r="BR19" s="418">
        <f t="shared" si="25"/>
        <v>81928352.798223749</v>
      </c>
      <c r="BS19" s="418">
        <f t="shared" si="25"/>
        <v>84798957.067972884</v>
      </c>
      <c r="BT19" s="418">
        <f t="shared" si="25"/>
        <v>84938616.244447887</v>
      </c>
      <c r="BU19" s="418">
        <f t="shared" si="25"/>
        <v>76844893.928575516</v>
      </c>
      <c r="BV19" s="418">
        <f t="shared" si="25"/>
        <v>85217934.597397879</v>
      </c>
      <c r="BW19" s="418">
        <f t="shared" si="25"/>
        <v>91836348.519517869</v>
      </c>
      <c r="BX19" s="418">
        <f t="shared" si="25"/>
        <v>95052828.280092642</v>
      </c>
      <c r="BY19" s="418">
        <f t="shared" si="25"/>
        <v>92136867.506467879</v>
      </c>
      <c r="BZ19" s="418">
        <f t="shared" si="25"/>
        <v>95363364.566607654</v>
      </c>
      <c r="CA19" s="418">
        <f t="shared" si="25"/>
        <v>95518632.709865138</v>
      </c>
      <c r="CB19" s="418">
        <f t="shared" si="25"/>
        <v>92587645.986892879</v>
      </c>
      <c r="CC19" s="418">
        <f t="shared" si="25"/>
        <v>95829168.996380165</v>
      </c>
      <c r="CD19" s="418">
        <f t="shared" si="25"/>
        <v>92888164.973842874</v>
      </c>
      <c r="CE19" s="418">
        <f t="shared" si="25"/>
        <v>96139705.282895148</v>
      </c>
      <c r="CF19" s="418">
        <f t="shared" si="25"/>
        <v>97414682.419479996</v>
      </c>
      <c r="CG19" s="418">
        <f t="shared" si="25"/>
        <v>88129328.005657583</v>
      </c>
      <c r="CH19" s="418">
        <f t="shared" si="25"/>
        <v>97728829.593047485</v>
      </c>
      <c r="CI19" s="418">
        <f t="shared" si="25"/>
        <v>99464708.06982851</v>
      </c>
      <c r="CJ19" s="418">
        <f t="shared" si="25"/>
        <v>102945125.60494575</v>
      </c>
      <c r="CK19" s="418">
        <f t="shared" si="25"/>
        <v>99783922.133292273</v>
      </c>
      <c r="CL19" s="418">
        <f t="shared" si="25"/>
        <v>103274980.13719162</v>
      </c>
      <c r="CM19" s="418">
        <f t="shared" si="25"/>
        <v>103439907.40331456</v>
      </c>
      <c r="CN19" s="418">
        <f t="shared" si="25"/>
        <v>100262743.22848788</v>
      </c>
      <c r="CO19" s="418">
        <f t="shared" si="25"/>
        <v>103769761.93556042</v>
      </c>
      <c r="CP19" s="418">
        <f t="shared" si="25"/>
        <v>100581957.29195164</v>
      </c>
      <c r="CQ19" s="418">
        <f t="shared" si="25"/>
        <v>104099616.46780631</v>
      </c>
      <c r="CR19" s="418">
        <f t="shared" si="25"/>
        <v>104264543.73392925</v>
      </c>
      <c r="CS19" s="418">
        <f t="shared" si="25"/>
        <v>97692085.774242371</v>
      </c>
      <c r="CT19" s="418">
        <f t="shared" si="25"/>
        <v>104594398.26617512</v>
      </c>
      <c r="CU19" s="418">
        <f t="shared" si="25"/>
        <v>106448992.07314157</v>
      </c>
      <c r="CV19" s="418">
        <f t="shared" si="25"/>
        <v>110170465.43834205</v>
      </c>
      <c r="CW19" s="418">
        <f t="shared" si="25"/>
        <v>106784166.83977851</v>
      </c>
      <c r="CX19" s="418">
        <f t="shared" si="25"/>
        <v>110516812.69720022</v>
      </c>
      <c r="CY19" s="418">
        <f t="shared" si="25"/>
        <v>110689986.3266293</v>
      </c>
      <c r="CZ19" s="418">
        <f t="shared" si="25"/>
        <v>107286928.98973392</v>
      </c>
      <c r="DA19" s="418">
        <f t="shared" si="25"/>
        <v>111036333.58548747</v>
      </c>
      <c r="DB19" s="418">
        <f t="shared" si="25"/>
        <v>107622103.75637086</v>
      </c>
      <c r="DC19" s="418">
        <f t="shared" si="25"/>
        <v>111382680.84434566</v>
      </c>
      <c r="DD19" s="418">
        <f t="shared" si="25"/>
        <v>111555854.47377472</v>
      </c>
      <c r="DE19" s="418">
        <f t="shared" si="25"/>
        <v>100916541.51257119</v>
      </c>
      <c r="DF19" s="418">
        <f t="shared" si="25"/>
        <v>111902201.73263289</v>
      </c>
    </row>
    <row r="20" spans="1:110" ht="12" customHeight="1">
      <c r="A20" s="404" t="s">
        <v>524</v>
      </c>
      <c r="B20" s="430" t="s">
        <v>504</v>
      </c>
      <c r="C20" s="418">
        <f t="shared" ref="C20:BN20" si="26">C13-C13*C12/C11</f>
        <v>491040</v>
      </c>
      <c r="D20" s="418">
        <f t="shared" si="26"/>
        <v>523776</v>
      </c>
      <c r="E20" s="418">
        <f t="shared" si="26"/>
        <v>522720</v>
      </c>
      <c r="F20" s="418">
        <f t="shared" si="26"/>
        <v>548328</v>
      </c>
      <c r="G20" s="418">
        <f t="shared" si="26"/>
        <v>561968</v>
      </c>
      <c r="H20" s="418">
        <f t="shared" si="26"/>
        <v>557040</v>
      </c>
      <c r="I20" s="418">
        <f t="shared" si="26"/>
        <v>589248</v>
      </c>
      <c r="J20" s="418">
        <f t="shared" si="26"/>
        <v>583440</v>
      </c>
      <c r="K20" s="418">
        <f t="shared" si="26"/>
        <v>616528</v>
      </c>
      <c r="L20" s="418">
        <f t="shared" si="26"/>
        <v>630168</v>
      </c>
      <c r="M20" s="418">
        <f t="shared" si="26"/>
        <v>581504</v>
      </c>
      <c r="N20" s="418">
        <f t="shared" si="26"/>
        <v>657448</v>
      </c>
      <c r="O20" s="418">
        <f t="shared" si="26"/>
        <v>501600</v>
      </c>
      <c r="P20" s="418">
        <f t="shared" si="26"/>
        <v>523032</v>
      </c>
      <c r="Q20" s="418">
        <f t="shared" si="26"/>
        <v>510720</v>
      </c>
      <c r="R20" s="418">
        <f t="shared" si="26"/>
        <v>588504</v>
      </c>
      <c r="S20" s="418">
        <f t="shared" si="26"/>
        <v>596316</v>
      </c>
      <c r="T20" s="418">
        <f t="shared" si="26"/>
        <v>584640</v>
      </c>
      <c r="U20" s="418">
        <f t="shared" si="26"/>
        <v>611940</v>
      </c>
      <c r="V20" s="418">
        <f t="shared" si="26"/>
        <v>599760</v>
      </c>
      <c r="W20" s="418">
        <f t="shared" si="26"/>
        <v>627564</v>
      </c>
      <c r="X20" s="418">
        <f t="shared" si="26"/>
        <v>635376</v>
      </c>
      <c r="Y20" s="418">
        <f t="shared" si="26"/>
        <v>585648</v>
      </c>
      <c r="Z20" s="418">
        <f t="shared" si="26"/>
        <v>661416</v>
      </c>
      <c r="AA20" s="418">
        <f t="shared" si="26"/>
        <v>1192713.6000000015</v>
      </c>
      <c r="AB20" s="418">
        <f t="shared" si="26"/>
        <v>1242450.2400000021</v>
      </c>
      <c r="AC20" s="418">
        <f t="shared" si="26"/>
        <v>1216857.6000000015</v>
      </c>
      <c r="AD20" s="418">
        <f t="shared" si="26"/>
        <v>1267399.0399999991</v>
      </c>
      <c r="AE20" s="418">
        <f t="shared" si="26"/>
        <v>1277378.5600000024</v>
      </c>
      <c r="AF20" s="418">
        <f t="shared" si="26"/>
        <v>1241001.599999994</v>
      </c>
      <c r="AG20" s="418">
        <f t="shared" si="26"/>
        <v>1287358.0799999982</v>
      </c>
      <c r="AH20" s="418">
        <f t="shared" si="26"/>
        <v>1250659.1999999955</v>
      </c>
      <c r="AI20" s="418">
        <f t="shared" si="26"/>
        <v>1297337.599999994</v>
      </c>
      <c r="AJ20" s="418">
        <f t="shared" si="26"/>
        <v>1302327.359999992</v>
      </c>
      <c r="AK20" s="418">
        <f t="shared" si="26"/>
        <v>1180802.5600000024</v>
      </c>
      <c r="AL20" s="418">
        <f t="shared" si="26"/>
        <v>1312306.8800000027</v>
      </c>
      <c r="AM20" s="418">
        <f t="shared" si="26"/>
        <v>1343613.6000000015</v>
      </c>
      <c r="AN20" s="418">
        <f t="shared" si="26"/>
        <v>1398879.2160000056</v>
      </c>
      <c r="AO20" s="418">
        <f t="shared" si="26"/>
        <v>1363894.5600000024</v>
      </c>
      <c r="AP20" s="418">
        <f t="shared" si="26"/>
        <v>1419836.2079999968</v>
      </c>
      <c r="AQ20" s="418">
        <f t="shared" si="26"/>
        <v>1430314.7039999962</v>
      </c>
      <c r="AR20" s="418">
        <f t="shared" si="26"/>
        <v>1394316.0000000075</v>
      </c>
      <c r="AS20" s="418">
        <f t="shared" si="26"/>
        <v>1451271.6960000023</v>
      </c>
      <c r="AT20" s="418">
        <f t="shared" si="26"/>
        <v>-774057.59999998659</v>
      </c>
      <c r="AU20" s="418">
        <f t="shared" si="26"/>
        <v>-805593.27999999374</v>
      </c>
      <c r="AV20" s="418">
        <f t="shared" si="26"/>
        <v>-811592.22639999539</v>
      </c>
      <c r="AW20" s="418">
        <f t="shared" si="26"/>
        <v>-764595.27759999037</v>
      </c>
      <c r="AX20" s="418">
        <f t="shared" si="26"/>
        <v>-823059.74639999866</v>
      </c>
      <c r="AY20" s="418">
        <f t="shared" si="26"/>
        <v>-839248.02359999716</v>
      </c>
      <c r="AZ20" s="418">
        <f t="shared" si="26"/>
        <v>-870233.18171999604</v>
      </c>
      <c r="BA20" s="418">
        <f t="shared" si="26"/>
        <v>-845074.2635999918</v>
      </c>
      <c r="BB20" s="418">
        <f t="shared" si="26"/>
        <v>-876253.62971999496</v>
      </c>
      <c r="BC20" s="418">
        <f t="shared" si="26"/>
        <v>-879263.85371999443</v>
      </c>
      <c r="BD20" s="418">
        <f t="shared" si="26"/>
        <v>-853813.6235999912</v>
      </c>
      <c r="BE20" s="418">
        <f t="shared" si="26"/>
        <v>-885284.30171999335</v>
      </c>
      <c r="BF20" s="418">
        <f t="shared" si="26"/>
        <v>-859639.86360000074</v>
      </c>
      <c r="BG20" s="418">
        <f t="shared" si="26"/>
        <v>-891304.74971999228</v>
      </c>
      <c r="BH20" s="418">
        <f t="shared" si="26"/>
        <v>-894314.97371998429</v>
      </c>
      <c r="BI20" s="418">
        <f t="shared" si="26"/>
        <v>-810487.27535998821</v>
      </c>
      <c r="BJ20" s="418">
        <f t="shared" si="26"/>
        <v>-900335.42171999812</v>
      </c>
      <c r="BK20" s="418">
        <f t="shared" si="26"/>
        <v>-1046685.0327471495</v>
      </c>
      <c r="BL20" s="418">
        <f t="shared" si="26"/>
        <v>-1083379.6099568456</v>
      </c>
      <c r="BM20" s="418">
        <f t="shared" si="26"/>
        <v>-1050178.7284596413</v>
      </c>
      <c r="BN20" s="418">
        <f t="shared" si="26"/>
        <v>-1086989.7621930987</v>
      </c>
      <c r="BO20" s="418">
        <f t="shared" ref="BO20:DF20" si="27">BO13-BO13*BO12/BO11</f>
        <v>-1088794.8383112103</v>
      </c>
      <c r="BP20" s="418">
        <f t="shared" si="27"/>
        <v>-1055419.2720284015</v>
      </c>
      <c r="BQ20" s="418">
        <f t="shared" si="27"/>
        <v>-1092404.9905474633</v>
      </c>
      <c r="BR20" s="418">
        <f t="shared" si="27"/>
        <v>-1058912.9677408934</v>
      </c>
      <c r="BS20" s="418">
        <f t="shared" si="27"/>
        <v>-1096015.1427837163</v>
      </c>
      <c r="BT20" s="418">
        <f t="shared" si="27"/>
        <v>-1097820.2189018428</v>
      </c>
      <c r="BU20" s="418">
        <f t="shared" si="27"/>
        <v>-993209.94388900697</v>
      </c>
      <c r="BV20" s="418">
        <f t="shared" si="27"/>
        <v>-1101430.3711380959</v>
      </c>
      <c r="BW20" s="418">
        <f t="shared" si="27"/>
        <v>-1186972.4831010848</v>
      </c>
      <c r="BX20" s="418">
        <f t="shared" si="27"/>
        <v>-1228545.0524573475</v>
      </c>
      <c r="BY20" s="418">
        <f t="shared" si="27"/>
        <v>-1190856.6506873369</v>
      </c>
      <c r="BZ20" s="418">
        <f t="shared" si="27"/>
        <v>-1232558.6922964752</v>
      </c>
      <c r="CA20" s="418">
        <f t="shared" si="27"/>
        <v>-1234565.5122160316</v>
      </c>
      <c r="CB20" s="418">
        <f t="shared" si="27"/>
        <v>-1196682.9020667076</v>
      </c>
      <c r="CC20" s="418">
        <f t="shared" si="27"/>
        <v>-1238579.1520551741</v>
      </c>
      <c r="CD20" s="418">
        <f t="shared" si="27"/>
        <v>-1200567.0696529597</v>
      </c>
      <c r="CE20" s="418">
        <f t="shared" si="27"/>
        <v>-1242592.7918942869</v>
      </c>
      <c r="CF20" s="418">
        <f t="shared" si="27"/>
        <v>-1259071.7003233135</v>
      </c>
      <c r="CG20" s="418">
        <f t="shared" si="27"/>
        <v>-1139059.7403235584</v>
      </c>
      <c r="CH20" s="418">
        <f t="shared" si="27"/>
        <v>-1263132.0103931129</v>
      </c>
      <c r="CI20" s="418">
        <f t="shared" si="27"/>
        <v>-1285568.0068058968</v>
      </c>
      <c r="CJ20" s="418">
        <f t="shared" si="27"/>
        <v>-1330551.9364860803</v>
      </c>
      <c r="CK20" s="418">
        <f t="shared" si="27"/>
        <v>-1289693.805747807</v>
      </c>
      <c r="CL20" s="418">
        <f t="shared" si="27"/>
        <v>-1334815.2620593905</v>
      </c>
      <c r="CM20" s="418">
        <f t="shared" si="27"/>
        <v>-1336946.9248460382</v>
      </c>
      <c r="CN20" s="418">
        <f t="shared" si="27"/>
        <v>-1295882.5041606575</v>
      </c>
      <c r="CO20" s="418">
        <f t="shared" si="27"/>
        <v>-1341210.2504193336</v>
      </c>
      <c r="CP20" s="418">
        <f t="shared" si="27"/>
        <v>-1300008.3031025678</v>
      </c>
      <c r="CQ20" s="418">
        <f t="shared" si="27"/>
        <v>-1345473.5759926438</v>
      </c>
      <c r="CR20" s="418">
        <f t="shared" si="27"/>
        <v>-1347605.2387792915</v>
      </c>
      <c r="CS20" s="418">
        <f t="shared" si="27"/>
        <v>-1262657.1014649123</v>
      </c>
      <c r="CT20" s="418">
        <f t="shared" si="27"/>
        <v>-1351868.5643526018</v>
      </c>
      <c r="CU20" s="418">
        <f t="shared" si="27"/>
        <v>-1375838.9404802024</v>
      </c>
      <c r="CV20" s="418">
        <f t="shared" si="27"/>
        <v>-1423938.484422192</v>
      </c>
      <c r="CW20" s="418">
        <f t="shared" si="27"/>
        <v>-1380171.0293692052</v>
      </c>
      <c r="CX20" s="418">
        <f t="shared" si="27"/>
        <v>-1428414.9762741625</v>
      </c>
      <c r="CY20" s="418">
        <f t="shared" si="27"/>
        <v>-1430653.2222001404</v>
      </c>
      <c r="CZ20" s="418">
        <f t="shared" si="27"/>
        <v>-1386669.1627027094</v>
      </c>
      <c r="DA20" s="418">
        <f t="shared" si="27"/>
        <v>-1435129.7140521109</v>
      </c>
      <c r="DB20" s="418">
        <f t="shared" si="27"/>
        <v>-1391001.2515917122</v>
      </c>
      <c r="DC20" s="418">
        <f t="shared" si="27"/>
        <v>-1439606.2059040964</v>
      </c>
      <c r="DD20" s="418">
        <f t="shared" si="27"/>
        <v>-1441844.4518300593</v>
      </c>
      <c r="DE20" s="418">
        <f t="shared" si="27"/>
        <v>-1304332.7592635304</v>
      </c>
      <c r="DF20" s="418">
        <f t="shared" si="27"/>
        <v>-1446320.9436820298</v>
      </c>
    </row>
    <row r="22" spans="1:110" s="422" customFormat="1" ht="12" customHeight="1">
      <c r="A22" s="404" t="s">
        <v>520</v>
      </c>
      <c r="B22" s="434"/>
      <c r="C22" s="435">
        <f>C13*2/3</f>
        <v>25481702.400000002</v>
      </c>
      <c r="D22" s="435">
        <f>D13+C13-C22</f>
        <v>53511575.039999992</v>
      </c>
      <c r="E22" s="435">
        <f>E13*2/3</f>
        <v>27125683.200000003</v>
      </c>
      <c r="F22" s="435">
        <f>F13+E13-E22</f>
        <v>56244693.120000005</v>
      </c>
      <c r="G22" s="435">
        <f>G13*2/3</f>
        <v>29162392.74666667</v>
      </c>
      <c r="H22" s="435">
        <f>H13+G13-G22</f>
        <v>57941189.973333329</v>
      </c>
      <c r="I22" s="435">
        <f>I13*2/3</f>
        <v>30578042.879999999</v>
      </c>
      <c r="J22" s="435">
        <f>J13+I13-I22</f>
        <v>60703991.040000007</v>
      </c>
      <c r="K22" s="435">
        <f>K13*2/3</f>
        <v>31993693.013333336</v>
      </c>
      <c r="L22" s="435">
        <f>L13+K13-K22</f>
        <v>65049123.62666668</v>
      </c>
      <c r="M22" s="435">
        <f>M13*2/3</f>
        <v>30176180.906666666</v>
      </c>
      <c r="N22" s="435">
        <f>N13+M13-M22</f>
        <v>66263842.773333341</v>
      </c>
      <c r="O22" s="435">
        <f>O13*2/3</f>
        <v>26471104</v>
      </c>
      <c r="P22" s="435">
        <f>P13+O13-O22</f>
        <v>54638765.120000005</v>
      </c>
      <c r="Q22" s="435">
        <f>Q13*2/3</f>
        <v>26952396.799999997</v>
      </c>
      <c r="R22" s="435">
        <f>R13+Q13-Q22</f>
        <v>60062175.040000007</v>
      </c>
      <c r="S22" s="435">
        <f>S13*2/3</f>
        <v>31469583.039999995</v>
      </c>
      <c r="T22" s="435">
        <f>T13+S13-S22</f>
        <v>62014893.920000002</v>
      </c>
      <c r="U22" s="435">
        <f>U13*2/3</f>
        <v>32294113.599999998</v>
      </c>
      <c r="V22" s="435">
        <f>V13+U13-U22</f>
        <v>63624058.400000006</v>
      </c>
      <c r="W22" s="435">
        <f>W13*2/3</f>
        <v>33118644.159999996</v>
      </c>
      <c r="X22" s="435">
        <f>X13+W13-W22</f>
        <v>66855686.239999995</v>
      </c>
      <c r="Y22" s="435">
        <f>Y13*2/3</f>
        <v>30906597.120000001</v>
      </c>
      <c r="Z22" s="435">
        <f>Z13+Y13-Y22</f>
        <v>67810989.11999999</v>
      </c>
      <c r="AA22" s="435">
        <f>AA13*2/3</f>
        <v>33228416</v>
      </c>
      <c r="AB22" s="435">
        <f>AB13+AA13-AA22</f>
        <v>68535289.599999994</v>
      </c>
      <c r="AC22" s="435">
        <f>AC13*2/3</f>
        <v>33901056</v>
      </c>
      <c r="AD22" s="435">
        <f>AD13+AC13-AC22</f>
        <v>69914201.599999994</v>
      </c>
      <c r="AE22" s="435">
        <f>AE13*2/3</f>
        <v>35587140.266666666</v>
      </c>
      <c r="AF22" s="435">
        <f>AF13+AE13-AE22</f>
        <v>69654114.13333334</v>
      </c>
      <c r="AG22" s="435">
        <f>AG13*2/3</f>
        <v>35865164.799999997</v>
      </c>
      <c r="AH22" s="435">
        <f>AH13+AG13-AG22</f>
        <v>70196710.399999991</v>
      </c>
      <c r="AI22" s="435">
        <f>AI13*2/3</f>
        <v>36143189.333333336</v>
      </c>
      <c r="AJ22" s="435">
        <f>AJ13+AI13-AI22</f>
        <v>72494897.066666663</v>
      </c>
      <c r="AK22" s="435">
        <f>AK13*2/3</f>
        <v>32896580.266666666</v>
      </c>
      <c r="AL22" s="435">
        <f>AL13+AK13-AK22</f>
        <v>71288629.333333328</v>
      </c>
      <c r="AM22" s="435">
        <f>AM13*2/3</f>
        <v>37432416.000000007</v>
      </c>
      <c r="AN22" s="435">
        <f>AN13+AM13-AM22</f>
        <v>77174341.439999998</v>
      </c>
      <c r="AO22" s="435">
        <f>AO13*2/3</f>
        <v>37997433.600000001</v>
      </c>
      <c r="AP22" s="435">
        <f>AP13+AO13-AO22</f>
        <v>78332627.520000011</v>
      </c>
      <c r="AQ22" s="435">
        <f>AQ13*2/3</f>
        <v>39847866.240000002</v>
      </c>
      <c r="AR22" s="435">
        <f>AR13+AQ13-AQ22</f>
        <v>78191373.120000005</v>
      </c>
      <c r="AS22" s="435">
        <f>AS13*2/3</f>
        <v>40431717.759999998</v>
      </c>
      <c r="AT22" s="435">
        <f>AT13+AS13-AS22</f>
        <v>79330825.280000001</v>
      </c>
      <c r="AU22" s="435">
        <f>AU13*2/3</f>
        <v>41015569.280000001</v>
      </c>
      <c r="AV22" s="435">
        <f>AV13+AU13-AU22</f>
        <v>82489279.549600005</v>
      </c>
      <c r="AW22" s="435">
        <f>AW13*2/3</f>
        <v>38928217.6976</v>
      </c>
      <c r="AX22" s="435">
        <f>AX13+AW13-AW22</f>
        <v>82321381.038399994</v>
      </c>
      <c r="AY22" s="435">
        <f>AY13*2/3</f>
        <v>42729049.893599994</v>
      </c>
      <c r="AZ22" s="435">
        <f>AZ13+AY13-AY22</f>
        <v>87824443.817880005</v>
      </c>
      <c r="BA22" s="435">
        <f>BA13*2/3</f>
        <v>43025684.133600004</v>
      </c>
      <c r="BB22" s="435">
        <f>BB13+BA13-BA22</f>
        <v>88432544.009880006</v>
      </c>
      <c r="BC22" s="435">
        <f>BC13*2/3</f>
        <v>44766395.652720004</v>
      </c>
      <c r="BD22" s="435">
        <f>BD13+BC13-BC22</f>
        <v>87589151.066760004</v>
      </c>
      <c r="BE22" s="435">
        <f>BE13*2/3</f>
        <v>45072917.700720005</v>
      </c>
      <c r="BF22" s="435">
        <f>BF13+BE13-BE22</f>
        <v>88187363.450760007</v>
      </c>
      <c r="BG22" s="435">
        <f>BG13*2/3</f>
        <v>45379439.748719998</v>
      </c>
      <c r="BH22" s="435">
        <f>BH13+BG13-BG22</f>
        <v>90988771.033439994</v>
      </c>
      <c r="BI22" s="435">
        <f>BI13*2/3</f>
        <v>41264739.687360004</v>
      </c>
      <c r="BJ22" s="435">
        <f>BJ13+BI13-BI22</f>
        <v>89391204.074760005</v>
      </c>
      <c r="BK22" s="435">
        <f>BK13*2/3</f>
        <v>53290392.982151069</v>
      </c>
      <c r="BL22" s="435">
        <f>BL13+BK13-BK22</f>
        <v>109383159.7137666</v>
      </c>
      <c r="BM22" s="435">
        <f>BM13*2/3</f>
        <v>53468269.240676068</v>
      </c>
      <c r="BN22" s="435">
        <f>BN13+BM13-BM22</f>
        <v>109747806.04374281</v>
      </c>
      <c r="BO22" s="435">
        <f>BO13*2/3</f>
        <v>55434350.34917444</v>
      </c>
      <c r="BP22" s="435">
        <f>BP13+BO13-BO22</f>
        <v>108319800.61728257</v>
      </c>
      <c r="BQ22" s="435">
        <f>BQ13*2/3</f>
        <v>55618155.81631694</v>
      </c>
      <c r="BR22" s="435">
        <f>BR13+BQ13-BQ22</f>
        <v>108678517.73864135</v>
      </c>
      <c r="BS22" s="435">
        <f>BS13*2/3</f>
        <v>55801961.283459447</v>
      </c>
      <c r="BT22" s="435">
        <f>BT13+BS13-BS22</f>
        <v>111741776.66727576</v>
      </c>
      <c r="BU22" s="435">
        <f>BU13*2/3</f>
        <v>50567789.323124342</v>
      </c>
      <c r="BV22" s="435">
        <f>BV13+BU13-BU22</f>
        <v>109400398.88782194</v>
      </c>
      <c r="BW22" s="435">
        <f>BW13*2/3</f>
        <v>60432917.357611187</v>
      </c>
      <c r="BX22" s="435">
        <f>BX13+BW13-BW22</f>
        <v>124040741.90644091</v>
      </c>
      <c r="BY22" s="435">
        <f>BY13*2/3</f>
        <v>60630673.903853692</v>
      </c>
      <c r="BZ22" s="435">
        <f>BZ13+BY13-BY22</f>
        <v>124446142.82623804</v>
      </c>
      <c r="CA22" s="435">
        <f>CA13*2/3</f>
        <v>62856044.798432738</v>
      </c>
      <c r="CB22" s="435">
        <f>CB13+CA13-CA22</f>
        <v>122818985.48404256</v>
      </c>
      <c r="CC22" s="435">
        <f>CC13*2/3</f>
        <v>63060393.229549997</v>
      </c>
      <c r="CD22" s="435">
        <f>CD13+CC13-CC22</f>
        <v>123217794.51896489</v>
      </c>
      <c r="CE22" s="435">
        <f>CE13*2/3</f>
        <v>63264741.660667241</v>
      </c>
      <c r="CF22" s="435">
        <f>CF13+CE13-CE22</f>
        <v>127787981.5494903</v>
      </c>
      <c r="CG22" s="435">
        <f>CG13*2/3</f>
        <v>57993512.176889353</v>
      </c>
      <c r="CH22" s="435">
        <f>CH13+CG13-CG22</f>
        <v>125462453.67109904</v>
      </c>
      <c r="CI22" s="435">
        <f>CI13*2/3</f>
        <v>65452760.042015076</v>
      </c>
      <c r="CJ22" s="435">
        <f>CJ13+CI13-CI22</f>
        <v>134340953.68946719</v>
      </c>
      <c r="CK22" s="435">
        <f>CK13*2/3</f>
        <v>65662818.885029644</v>
      </c>
      <c r="CL22" s="435">
        <f>CL13+CK13-CK22</f>
        <v>134771574.31764707</v>
      </c>
      <c r="CM22" s="435">
        <f>CM13*2/3</f>
        <v>68068640.31897901</v>
      </c>
      <c r="CN22" s="435">
        <f>CN13+CM13-CM22</f>
        <v>133001180.88381673</v>
      </c>
      <c r="CO22" s="435">
        <f>CO13*2/3</f>
        <v>68285701.123427391</v>
      </c>
      <c r="CP22" s="435">
        <f>CP13+CO13-CO22</f>
        <v>133424799.55056277</v>
      </c>
      <c r="CQ22" s="435">
        <f>CQ13*2/3</f>
        <v>68502761.927875772</v>
      </c>
      <c r="CR22" s="435">
        <f>CR13+CQ13-CQ22</f>
        <v>137168319.45908785</v>
      </c>
      <c r="CS22" s="435">
        <f>CS13*2/3</f>
        <v>64286285.781851642</v>
      </c>
      <c r="CT22" s="435">
        <f>CT13+CS13-CS22</f>
        <v>135385672.59274834</v>
      </c>
      <c r="CU22" s="435">
        <f>CU13*2/3</f>
        <v>70048768.755107582</v>
      </c>
      <c r="CV22" s="435">
        <f>CV13+CU13-CU22</f>
        <v>143770911.33147365</v>
      </c>
      <c r="CW22" s="435">
        <f>CW13*2/3</f>
        <v>70269330.540272877</v>
      </c>
      <c r="CX22" s="435">
        <f>CX13+CW13-CW22</f>
        <v>144223062.99106246</v>
      </c>
      <c r="CY22" s="435">
        <f>CY13*2/3</f>
        <v>72839555.402952775</v>
      </c>
      <c r="CZ22" s="435">
        <f>CZ13+CY13-CY22</f>
        <v>142320037.52850759</v>
      </c>
      <c r="DA22" s="435">
        <f t="shared" ref="DA22:DF22" si="28">DA13+CZ13-CZ22</f>
        <v>73181426.169958979</v>
      </c>
      <c r="DB22" s="435">
        <f t="shared" si="28"/>
        <v>142650880.20625553</v>
      </c>
      <c r="DC22" s="435">
        <f t="shared" si="28"/>
        <v>73523296.936965197</v>
      </c>
      <c r="DD22" s="435">
        <f t="shared" si="28"/>
        <v>146533787.72342101</v>
      </c>
      <c r="DE22" s="435">
        <f t="shared" si="28"/>
        <v>63192431.051831305</v>
      </c>
      <c r="DF22" s="435">
        <f t="shared" si="28"/>
        <v>146875658.4904272</v>
      </c>
    </row>
    <row r="23" spans="1:110" ht="12" customHeight="1">
      <c r="AA23" s="436"/>
    </row>
  </sheetData>
  <autoFilter ref="A2:DF22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Y25"/>
  <sheetViews>
    <sheetView topLeftCell="AI6" zoomScaleNormal="100" workbookViewId="0">
      <selection activeCell="AX26" sqref="AX26"/>
    </sheetView>
  </sheetViews>
  <sheetFormatPr defaultColWidth="11.140625" defaultRowHeight="12" customHeight="1" outlineLevelCol="1"/>
  <cols>
    <col min="1" max="1" width="44" style="442" customWidth="1"/>
    <col min="2" max="25" width="11.28515625" style="310" hidden="1" customWidth="1"/>
    <col min="26" max="37" width="11.28515625" style="310" customWidth="1" outlineLevel="1"/>
    <col min="38" max="38" width="12.7109375" style="310" customWidth="1" outlineLevel="1"/>
    <col min="39" max="44" width="11.28515625" style="310" customWidth="1" outlineLevel="1"/>
    <col min="45" max="45" width="12.140625" style="310" customWidth="1" outlineLevel="1"/>
    <col min="46" max="46" width="11.28515625" style="310" customWidth="1" outlineLevel="1"/>
    <col min="47" max="67" width="12.140625" style="310" bestFit="1" customWidth="1"/>
    <col min="68" max="73" width="11.28515625" style="310" bestFit="1" customWidth="1"/>
    <col min="74" max="74" width="12.140625" style="310" bestFit="1" customWidth="1"/>
    <col min="75" max="79" width="11.28515625" style="310" bestFit="1" customWidth="1"/>
    <col min="80" max="80" width="12.28515625" style="310" bestFit="1" customWidth="1"/>
    <col min="81" max="85" width="11.42578125" style="310" bestFit="1" customWidth="1"/>
    <col min="86" max="86" width="12.28515625" style="310" bestFit="1" customWidth="1"/>
    <col min="87" max="91" width="11.42578125" style="310" bestFit="1" customWidth="1"/>
    <col min="92" max="92" width="12.28515625" style="310" bestFit="1" customWidth="1"/>
    <col min="93" max="97" width="11.42578125" style="310" bestFit="1" customWidth="1"/>
    <col min="98" max="103" width="11.28515625" style="310" bestFit="1" customWidth="1"/>
    <col min="104" max="16384" width="11.140625" style="310"/>
  </cols>
  <sheetData>
    <row r="1" spans="1:103" s="372" customFormat="1" ht="12" customHeight="1">
      <c r="A1" s="437" t="s">
        <v>2</v>
      </c>
      <c r="B1" s="438">
        <v>43951</v>
      </c>
      <c r="C1" s="438">
        <v>43982</v>
      </c>
      <c r="D1" s="438">
        <v>44012</v>
      </c>
      <c r="E1" s="438">
        <v>44043</v>
      </c>
      <c r="F1" s="438">
        <v>44074</v>
      </c>
      <c r="G1" s="438">
        <v>44104</v>
      </c>
      <c r="H1" s="438">
        <v>44135</v>
      </c>
      <c r="I1" s="438">
        <v>44165</v>
      </c>
      <c r="J1" s="438">
        <v>44196</v>
      </c>
      <c r="K1" s="438">
        <v>44227</v>
      </c>
      <c r="L1" s="438">
        <v>44255</v>
      </c>
      <c r="M1" s="438">
        <v>44286</v>
      </c>
      <c r="N1" s="438">
        <v>44316</v>
      </c>
      <c r="O1" s="438">
        <v>44347</v>
      </c>
      <c r="P1" s="438">
        <v>44377</v>
      </c>
      <c r="Q1" s="438">
        <v>44408</v>
      </c>
      <c r="R1" s="438">
        <v>44439</v>
      </c>
      <c r="S1" s="438">
        <v>44469</v>
      </c>
      <c r="T1" s="438">
        <v>44500</v>
      </c>
      <c r="U1" s="438">
        <v>44530</v>
      </c>
      <c r="V1" s="438">
        <v>44561</v>
      </c>
      <c r="W1" s="438">
        <v>44592</v>
      </c>
      <c r="X1" s="438">
        <v>44620</v>
      </c>
      <c r="Y1" s="438">
        <v>44651</v>
      </c>
      <c r="Z1" s="438">
        <v>44681</v>
      </c>
      <c r="AA1" s="438">
        <v>44712</v>
      </c>
      <c r="AB1" s="438">
        <v>44742</v>
      </c>
      <c r="AC1" s="438">
        <v>44773</v>
      </c>
      <c r="AD1" s="438">
        <v>44804</v>
      </c>
      <c r="AE1" s="438">
        <v>44834</v>
      </c>
      <c r="AF1" s="438">
        <v>44865</v>
      </c>
      <c r="AG1" s="438">
        <v>44895</v>
      </c>
      <c r="AH1" s="438">
        <v>44926</v>
      </c>
      <c r="AI1" s="438">
        <v>44957</v>
      </c>
      <c r="AJ1" s="438">
        <v>44985</v>
      </c>
      <c r="AK1" s="438">
        <v>45016</v>
      </c>
      <c r="AL1" s="438">
        <v>45046</v>
      </c>
      <c r="AM1" s="438">
        <v>45077</v>
      </c>
      <c r="AN1" s="438">
        <v>45107</v>
      </c>
      <c r="AO1" s="438">
        <v>45138</v>
      </c>
      <c r="AP1" s="438">
        <v>45169</v>
      </c>
      <c r="AQ1" s="438">
        <v>45199</v>
      </c>
      <c r="AR1" s="438">
        <v>45230</v>
      </c>
      <c r="AS1" s="438">
        <v>45260</v>
      </c>
      <c r="AT1" s="438">
        <v>45291</v>
      </c>
      <c r="AU1" s="438">
        <v>45322</v>
      </c>
      <c r="AV1" s="438">
        <v>45351</v>
      </c>
      <c r="AW1" s="438">
        <v>45382</v>
      </c>
      <c r="AX1" s="438">
        <v>45412</v>
      </c>
      <c r="AY1" s="438">
        <v>45443</v>
      </c>
      <c r="AZ1" s="438">
        <v>45473</v>
      </c>
      <c r="BA1" s="438">
        <v>45504</v>
      </c>
      <c r="BB1" s="438">
        <v>45535</v>
      </c>
      <c r="BC1" s="438">
        <v>45565</v>
      </c>
      <c r="BD1" s="438">
        <v>45596</v>
      </c>
      <c r="BE1" s="438">
        <v>45626</v>
      </c>
      <c r="BF1" s="438">
        <v>45657</v>
      </c>
      <c r="BG1" s="438">
        <v>45688</v>
      </c>
      <c r="BH1" s="438">
        <v>45716</v>
      </c>
      <c r="BI1" s="438">
        <v>45747</v>
      </c>
      <c r="BJ1" s="438">
        <v>45777</v>
      </c>
      <c r="BK1" s="438">
        <v>45808</v>
      </c>
      <c r="BL1" s="438">
        <v>45838</v>
      </c>
      <c r="BM1" s="438">
        <v>45869</v>
      </c>
      <c r="BN1" s="438">
        <v>45900</v>
      </c>
      <c r="BO1" s="438">
        <v>45930</v>
      </c>
      <c r="BP1" s="438">
        <v>45961</v>
      </c>
      <c r="BQ1" s="438">
        <v>45991</v>
      </c>
      <c r="BR1" s="438">
        <v>46022</v>
      </c>
      <c r="BS1" s="438">
        <v>46053</v>
      </c>
      <c r="BT1" s="438">
        <v>46081</v>
      </c>
      <c r="BU1" s="438">
        <v>46112</v>
      </c>
      <c r="BV1" s="438">
        <v>46142</v>
      </c>
      <c r="BW1" s="438">
        <v>46173</v>
      </c>
      <c r="BX1" s="438">
        <v>46203</v>
      </c>
      <c r="BY1" s="438">
        <v>46234</v>
      </c>
      <c r="BZ1" s="438">
        <v>46265</v>
      </c>
      <c r="CA1" s="438">
        <v>46295</v>
      </c>
      <c r="CB1" s="438">
        <v>46326</v>
      </c>
      <c r="CC1" s="438">
        <v>46356</v>
      </c>
      <c r="CD1" s="438">
        <v>46387</v>
      </c>
      <c r="CE1" s="438">
        <v>46418</v>
      </c>
      <c r="CF1" s="438">
        <v>46446</v>
      </c>
      <c r="CG1" s="438">
        <v>46477</v>
      </c>
      <c r="CH1" s="438">
        <v>46507</v>
      </c>
      <c r="CI1" s="438">
        <v>46538</v>
      </c>
      <c r="CJ1" s="438">
        <v>46568</v>
      </c>
      <c r="CK1" s="438">
        <v>46599</v>
      </c>
      <c r="CL1" s="438">
        <v>46630</v>
      </c>
      <c r="CM1" s="438">
        <v>46660</v>
      </c>
      <c r="CN1" s="438">
        <v>46691</v>
      </c>
      <c r="CO1" s="438">
        <v>46721</v>
      </c>
      <c r="CP1" s="438">
        <v>46752</v>
      </c>
      <c r="CQ1" s="438">
        <v>46783</v>
      </c>
      <c r="CR1" s="438">
        <v>46812</v>
      </c>
      <c r="CS1" s="438">
        <v>46843</v>
      </c>
      <c r="CT1" s="438">
        <v>46873</v>
      </c>
      <c r="CU1" s="438">
        <v>46904</v>
      </c>
      <c r="CV1" s="438">
        <v>46934</v>
      </c>
      <c r="CW1" s="438">
        <v>46965</v>
      </c>
      <c r="CX1" s="438">
        <v>46996</v>
      </c>
      <c r="CY1" s="438">
        <v>47026</v>
      </c>
    </row>
    <row r="2" spans="1:103" ht="12" customHeight="1">
      <c r="A2" s="310" t="s">
        <v>525</v>
      </c>
      <c r="B2" s="439">
        <v>52000</v>
      </c>
      <c r="C2" s="439">
        <v>52000</v>
      </c>
      <c r="D2" s="439">
        <v>52000</v>
      </c>
      <c r="E2" s="439">
        <v>52000</v>
      </c>
      <c r="F2" s="439">
        <v>52000</v>
      </c>
      <c r="G2" s="439">
        <v>52000</v>
      </c>
      <c r="H2" s="439">
        <v>52000</v>
      </c>
      <c r="I2" s="439">
        <v>52000</v>
      </c>
      <c r="J2" s="439">
        <v>52000</v>
      </c>
      <c r="K2" s="439">
        <v>52000</v>
      </c>
      <c r="L2" s="439">
        <v>52000</v>
      </c>
      <c r="M2" s="439">
        <v>52000</v>
      </c>
      <c r="N2" s="439">
        <v>27040</v>
      </c>
      <c r="O2" s="439">
        <v>27040</v>
      </c>
      <c r="P2" s="439">
        <v>27040</v>
      </c>
      <c r="Q2" s="439">
        <v>27040</v>
      </c>
      <c r="R2" s="439">
        <v>27040</v>
      </c>
      <c r="S2" s="439">
        <v>27040</v>
      </c>
      <c r="T2" s="439">
        <v>27040</v>
      </c>
      <c r="U2" s="439">
        <v>27040</v>
      </c>
      <c r="V2" s="439">
        <v>27040</v>
      </c>
      <c r="W2" s="439">
        <v>27040</v>
      </c>
      <c r="X2" s="439">
        <v>27040</v>
      </c>
      <c r="Y2" s="439">
        <v>27040</v>
      </c>
      <c r="Z2" s="439">
        <v>28121.600000000002</v>
      </c>
      <c r="AA2" s="439">
        <v>28121.600000000002</v>
      </c>
      <c r="AB2" s="439">
        <v>28121.600000000002</v>
      </c>
      <c r="AC2" s="439">
        <v>28121.600000000002</v>
      </c>
      <c r="AD2" s="439">
        <v>28121.600000000002</v>
      </c>
      <c r="AE2" s="439">
        <v>28121.600000000002</v>
      </c>
      <c r="AF2" s="439">
        <v>28121.600000000002</v>
      </c>
      <c r="AG2" s="439">
        <v>28121.600000000002</v>
      </c>
      <c r="AH2" s="439">
        <v>28121.600000000002</v>
      </c>
      <c r="AI2" s="439">
        <v>28121.600000000002</v>
      </c>
      <c r="AJ2" s="439">
        <v>28121.600000000002</v>
      </c>
      <c r="AK2" s="439">
        <v>28121.600000000002</v>
      </c>
      <c r="AL2" s="439">
        <v>29246.464000000004</v>
      </c>
      <c r="AM2" s="439">
        <v>29246.464000000004</v>
      </c>
      <c r="AN2" s="439">
        <v>29246.464000000004</v>
      </c>
      <c r="AO2" s="439">
        <v>29246.464000000004</v>
      </c>
      <c r="AP2" s="439">
        <v>29246.464000000004</v>
      </c>
      <c r="AQ2" s="439">
        <v>29246.464000000004</v>
      </c>
      <c r="AR2" s="439">
        <v>29246.464000000004</v>
      </c>
      <c r="AS2" s="439">
        <v>29246.464000000004</v>
      </c>
      <c r="AT2" s="439">
        <v>29246.464000000004</v>
      </c>
      <c r="AU2" s="439">
        <v>29246.464000000004</v>
      </c>
      <c r="AV2" s="439">
        <v>29246.464000000004</v>
      </c>
      <c r="AW2" s="439">
        <v>29246.464000000004</v>
      </c>
      <c r="AX2" s="439">
        <v>30416.322560000004</v>
      </c>
      <c r="AY2" s="439">
        <v>30416.322560000004</v>
      </c>
      <c r="AZ2" s="439">
        <v>30416.322560000004</v>
      </c>
      <c r="BA2" s="439">
        <v>30416.322560000004</v>
      </c>
      <c r="BB2" s="439">
        <v>30416.322560000004</v>
      </c>
      <c r="BC2" s="439">
        <v>30416.322560000004</v>
      </c>
      <c r="BD2" s="439">
        <v>30416.322560000004</v>
      </c>
      <c r="BE2" s="439">
        <v>30416.322560000004</v>
      </c>
      <c r="BF2" s="439">
        <v>30416.322560000004</v>
      </c>
      <c r="BG2" s="439">
        <v>30416.322560000004</v>
      </c>
      <c r="BH2" s="439">
        <v>30416.322560000004</v>
      </c>
      <c r="BI2" s="439">
        <v>30416.322560000004</v>
      </c>
      <c r="BJ2" s="439">
        <v>31632.975462400005</v>
      </c>
      <c r="BK2" s="439">
        <v>31632.975462400005</v>
      </c>
      <c r="BL2" s="439">
        <v>31632.975462400005</v>
      </c>
      <c r="BM2" s="439">
        <v>31632.975462400005</v>
      </c>
      <c r="BN2" s="439">
        <v>31632.975462400005</v>
      </c>
      <c r="BO2" s="439">
        <v>31632.975462400005</v>
      </c>
      <c r="BP2" s="439">
        <v>31632.975462400005</v>
      </c>
      <c r="BQ2" s="439">
        <v>31632.975462400005</v>
      </c>
      <c r="BR2" s="439">
        <v>31632.975462400005</v>
      </c>
      <c r="BS2" s="439">
        <v>31632.975462400005</v>
      </c>
      <c r="BT2" s="439">
        <v>31632.975462400005</v>
      </c>
      <c r="BU2" s="439">
        <v>31632.975462400005</v>
      </c>
      <c r="BV2" s="439">
        <v>32898.294480896009</v>
      </c>
      <c r="BW2" s="439">
        <v>32898.294480896009</v>
      </c>
      <c r="BX2" s="439">
        <v>32898.294480896009</v>
      </c>
      <c r="BY2" s="439">
        <v>32898.294480896009</v>
      </c>
      <c r="BZ2" s="439">
        <v>32898.294480896009</v>
      </c>
      <c r="CA2" s="439">
        <v>32898.294480896009</v>
      </c>
      <c r="CB2" s="439">
        <v>32898.294480896009</v>
      </c>
      <c r="CC2" s="439">
        <v>32898.294480896009</v>
      </c>
      <c r="CD2" s="439">
        <v>32898.294480896009</v>
      </c>
      <c r="CE2" s="439">
        <v>32898.294480896009</v>
      </c>
      <c r="CF2" s="439">
        <v>32898.294480896009</v>
      </c>
      <c r="CG2" s="439">
        <v>32898.294480896009</v>
      </c>
      <c r="CH2" s="439">
        <v>34214.226260131851</v>
      </c>
      <c r="CI2" s="439">
        <v>34214.226260131851</v>
      </c>
      <c r="CJ2" s="439">
        <v>34214.226260131851</v>
      </c>
      <c r="CK2" s="439">
        <v>34214.226260131851</v>
      </c>
      <c r="CL2" s="439">
        <v>34214.226260131851</v>
      </c>
      <c r="CM2" s="439">
        <v>34214.226260131851</v>
      </c>
      <c r="CN2" s="439">
        <v>34214.226260131851</v>
      </c>
      <c r="CO2" s="439">
        <v>34214.226260131851</v>
      </c>
      <c r="CP2" s="439">
        <v>34214.226260131851</v>
      </c>
      <c r="CQ2" s="439">
        <v>34214.226260131851</v>
      </c>
      <c r="CR2" s="439">
        <v>34214.226260131851</v>
      </c>
      <c r="CS2" s="439">
        <v>34214.226260131851</v>
      </c>
      <c r="CT2" s="439">
        <v>35582.795310537127</v>
      </c>
      <c r="CU2" s="439">
        <v>35582.795310537127</v>
      </c>
      <c r="CV2" s="439">
        <v>35582.795310537127</v>
      </c>
      <c r="CW2" s="439">
        <v>35582.795310537127</v>
      </c>
      <c r="CX2" s="439">
        <v>35582.795310537127</v>
      </c>
      <c r="CY2" s="439">
        <v>35582.795310537127</v>
      </c>
    </row>
    <row r="3" spans="1:103" ht="12" customHeight="1">
      <c r="A3" s="310" t="s">
        <v>526</v>
      </c>
      <c r="B3" s="439">
        <v>124069.42833333332</v>
      </c>
      <c r="C3" s="439">
        <v>124758.45</v>
      </c>
      <c r="D3" s="439">
        <v>125449.34</v>
      </c>
      <c r="E3" s="439">
        <v>126140.77083333331</v>
      </c>
      <c r="F3" s="439">
        <v>126831.5625</v>
      </c>
      <c r="G3" s="439">
        <v>127522.20666666667</v>
      </c>
      <c r="H3" s="439">
        <v>128211.62166666666</v>
      </c>
      <c r="I3" s="439">
        <v>128899.95499999999</v>
      </c>
      <c r="J3" s="439">
        <v>129588.28833333332</v>
      </c>
      <c r="K3" s="439">
        <v>130276.62166666666</v>
      </c>
      <c r="L3" s="439">
        <v>130964.95499999999</v>
      </c>
      <c r="M3" s="439">
        <v>131653.28833333333</v>
      </c>
      <c r="N3" s="439">
        <v>131948.28833333333</v>
      </c>
      <c r="O3" s="439">
        <v>132243.28833333333</v>
      </c>
      <c r="P3" s="439">
        <v>132538.28833333333</v>
      </c>
      <c r="Q3" s="439">
        <v>132833.28833333333</v>
      </c>
      <c r="R3" s="439">
        <v>133128.28833333333</v>
      </c>
      <c r="S3" s="439">
        <v>133423.28833333333</v>
      </c>
      <c r="T3" s="439">
        <v>133718.28833333333</v>
      </c>
      <c r="U3" s="439">
        <v>134013.28833333333</v>
      </c>
      <c r="V3" s="439">
        <v>134308.28833333333</v>
      </c>
      <c r="W3" s="439">
        <v>134603.28833333333</v>
      </c>
      <c r="X3" s="439">
        <v>134898.28833333333</v>
      </c>
      <c r="Y3" s="439">
        <v>135193.28833333333</v>
      </c>
      <c r="Z3" s="439">
        <v>135340.78833333333</v>
      </c>
      <c r="AA3" s="439">
        <v>135488.28833333333</v>
      </c>
      <c r="AB3" s="439">
        <v>135635.78833333333</v>
      </c>
      <c r="AC3" s="439">
        <v>135783.28833333333</v>
      </c>
      <c r="AD3" s="439">
        <v>135930.78833333333</v>
      </c>
      <c r="AE3" s="439">
        <v>136078.28833333333</v>
      </c>
      <c r="AF3" s="439">
        <v>136225.78833333333</v>
      </c>
      <c r="AG3" s="439">
        <v>136373.28833333333</v>
      </c>
      <c r="AH3" s="439">
        <v>136520.78833333333</v>
      </c>
      <c r="AI3" s="439">
        <v>136668.28833333333</v>
      </c>
      <c r="AJ3" s="439">
        <v>136815.78833333333</v>
      </c>
      <c r="AK3" s="439">
        <v>136963.28833333333</v>
      </c>
      <c r="AL3" s="439">
        <v>137061.62166666667</v>
      </c>
      <c r="AM3" s="439">
        <v>137159.95499999999</v>
      </c>
      <c r="AN3" s="439">
        <v>137258.28833333333</v>
      </c>
      <c r="AO3" s="439">
        <v>137356.62166666667</v>
      </c>
      <c r="AP3" s="439">
        <v>137454.95499999999</v>
      </c>
      <c r="AQ3" s="439">
        <v>137553.28833333333</v>
      </c>
      <c r="AR3" s="439">
        <v>137651.62166666667</v>
      </c>
      <c r="AS3" s="439">
        <v>137749.95499999999</v>
      </c>
      <c r="AT3" s="439">
        <v>137848.28833333333</v>
      </c>
      <c r="AU3" s="439">
        <v>137946.62166666667</v>
      </c>
      <c r="AV3" s="439">
        <v>138044.95499999999</v>
      </c>
      <c r="AW3" s="439">
        <v>138143.28833333333</v>
      </c>
      <c r="AX3" s="439">
        <v>138192.45499999999</v>
      </c>
      <c r="AY3" s="439">
        <v>138241.62166666667</v>
      </c>
      <c r="AZ3" s="439">
        <v>138290.78833333333</v>
      </c>
      <c r="BA3" s="439">
        <v>138339.95499999999</v>
      </c>
      <c r="BB3" s="439">
        <v>138389.12166666667</v>
      </c>
      <c r="BC3" s="439">
        <v>138438.28833333333</v>
      </c>
      <c r="BD3" s="439">
        <v>138487.45499999999</v>
      </c>
      <c r="BE3" s="439">
        <v>138536.62166666667</v>
      </c>
      <c r="BF3" s="439">
        <v>138585.78833333333</v>
      </c>
      <c r="BG3" s="439">
        <v>138634.95499999999</v>
      </c>
      <c r="BH3" s="439">
        <v>138684.12166666667</v>
      </c>
      <c r="BI3" s="439">
        <v>138733.28833333333</v>
      </c>
      <c r="BJ3" s="439">
        <v>138782.45499999999</v>
      </c>
      <c r="BK3" s="439">
        <v>138831.62166666667</v>
      </c>
      <c r="BL3" s="439">
        <v>138880.78833333333</v>
      </c>
      <c r="BM3" s="439">
        <v>138929.95499999999</v>
      </c>
      <c r="BN3" s="439">
        <v>138979.12166666667</v>
      </c>
      <c r="BO3" s="439">
        <v>139028.28833333333</v>
      </c>
      <c r="BP3" s="439">
        <v>139077.45499999999</v>
      </c>
      <c r="BQ3" s="439">
        <v>139126.62166666667</v>
      </c>
      <c r="BR3" s="439">
        <v>139175.78833333333</v>
      </c>
      <c r="BS3" s="439">
        <v>139224.95499999999</v>
      </c>
      <c r="BT3" s="439">
        <v>139274.12166666667</v>
      </c>
      <c r="BU3" s="439">
        <v>139323.28833333333</v>
      </c>
      <c r="BV3" s="439">
        <v>139372.45499999999</v>
      </c>
      <c r="BW3" s="439">
        <v>139421.62166666667</v>
      </c>
      <c r="BX3" s="439">
        <v>139470.78833333333</v>
      </c>
      <c r="BY3" s="439">
        <v>139519.95499999999</v>
      </c>
      <c r="BZ3" s="439">
        <v>139569.12166666667</v>
      </c>
      <c r="CA3" s="439">
        <v>139618.28833333333</v>
      </c>
      <c r="CB3" s="439">
        <v>139667.45499999999</v>
      </c>
      <c r="CC3" s="439">
        <v>139716.62166666667</v>
      </c>
      <c r="CD3" s="439">
        <v>139765.78833333333</v>
      </c>
      <c r="CE3" s="439">
        <v>139814.95499999999</v>
      </c>
      <c r="CF3" s="439">
        <v>139864.12166666667</v>
      </c>
      <c r="CG3" s="439">
        <v>139913.28833333333</v>
      </c>
      <c r="CH3" s="439">
        <v>139962.45499999999</v>
      </c>
      <c r="CI3" s="439">
        <v>140011.62166666667</v>
      </c>
      <c r="CJ3" s="439">
        <v>140060.78833333333</v>
      </c>
      <c r="CK3" s="439">
        <v>140109.95499999999</v>
      </c>
      <c r="CL3" s="439">
        <v>140159.12166666667</v>
      </c>
      <c r="CM3" s="439">
        <v>140208.28833333333</v>
      </c>
      <c r="CN3" s="439">
        <v>140257.45499999999</v>
      </c>
      <c r="CO3" s="439">
        <v>140306.62166666667</v>
      </c>
      <c r="CP3" s="439">
        <v>140355.78833333333</v>
      </c>
      <c r="CQ3" s="439">
        <v>140404.95499999999</v>
      </c>
      <c r="CR3" s="439">
        <v>140454.12166666667</v>
      </c>
      <c r="CS3" s="439">
        <v>140503.28833333333</v>
      </c>
      <c r="CT3" s="439">
        <v>140552.45499999999</v>
      </c>
      <c r="CU3" s="439">
        <v>140601.62166666667</v>
      </c>
      <c r="CV3" s="439">
        <v>140650.78833333333</v>
      </c>
      <c r="CW3" s="439">
        <v>140699.95499999999</v>
      </c>
      <c r="CX3" s="439">
        <v>140749.12166666667</v>
      </c>
      <c r="CY3" s="439">
        <v>140813.33333333331</v>
      </c>
    </row>
    <row r="4" spans="1:103" ht="12" customHeight="1">
      <c r="A4" s="310" t="s">
        <v>527</v>
      </c>
      <c r="B4" s="439">
        <v>94793.333333333343</v>
      </c>
      <c r="C4" s="439">
        <v>95188.305555555562</v>
      </c>
      <c r="D4" s="439">
        <v>95584.923495370371</v>
      </c>
      <c r="E4" s="439">
        <v>95983.194009934421</v>
      </c>
      <c r="F4" s="439">
        <v>96383.123984975799</v>
      </c>
      <c r="G4" s="439">
        <v>96784.720334913203</v>
      </c>
      <c r="H4" s="439">
        <v>97187.990002975333</v>
      </c>
      <c r="I4" s="439">
        <v>97592.93996132107</v>
      </c>
      <c r="J4" s="439">
        <v>97999.577211159907</v>
      </c>
      <c r="K4" s="439">
        <v>98407.90878287307</v>
      </c>
      <c r="L4" s="439">
        <v>98817.941736135035</v>
      </c>
      <c r="M4" s="439">
        <v>99229.683160035594</v>
      </c>
      <c r="N4" s="439">
        <v>99643.14017320241</v>
      </c>
      <c r="O4" s="439">
        <v>100058.31992392409</v>
      </c>
      <c r="P4" s="439">
        <v>100475.22959027377</v>
      </c>
      <c r="Q4" s="439">
        <v>100893.87638023324</v>
      </c>
      <c r="R4" s="439">
        <v>101314.26753181755</v>
      </c>
      <c r="S4" s="439">
        <v>101736.4103132001</v>
      </c>
      <c r="T4" s="439">
        <v>102160.31202283845</v>
      </c>
      <c r="U4" s="439">
        <v>102585.97998960027</v>
      </c>
      <c r="V4" s="439">
        <v>103013.42157289026</v>
      </c>
      <c r="W4" s="439">
        <v>103442.6441627773</v>
      </c>
      <c r="X4" s="439">
        <v>103873.65518012221</v>
      </c>
      <c r="Y4" s="439">
        <v>104306.46207670606</v>
      </c>
      <c r="Z4" s="439">
        <v>104741.072335359</v>
      </c>
      <c r="AA4" s="439">
        <v>105177.49347008966</v>
      </c>
      <c r="AB4" s="439">
        <v>105615.73302621502</v>
      </c>
      <c r="AC4" s="439">
        <v>106055.79858049093</v>
      </c>
      <c r="AD4" s="439">
        <v>106497.69774124297</v>
      </c>
      <c r="AE4" s="439">
        <v>106941.43814849814</v>
      </c>
      <c r="AF4" s="439">
        <v>107387.02747411688</v>
      </c>
      <c r="AG4" s="439">
        <v>107834.47342192571</v>
      </c>
      <c r="AH4" s="439">
        <v>108283.7837278504</v>
      </c>
      <c r="AI4" s="439">
        <v>108734.96616004978</v>
      </c>
      <c r="AJ4" s="439">
        <v>109188.02851904999</v>
      </c>
      <c r="AK4" s="439">
        <v>109642.97863787937</v>
      </c>
      <c r="AL4" s="439">
        <v>110099.82438220386</v>
      </c>
      <c r="AM4" s="439">
        <v>110558.57365046305</v>
      </c>
      <c r="AN4" s="439">
        <v>111019.23437400663</v>
      </c>
      <c r="AO4" s="439">
        <v>111481.81451723166</v>
      </c>
      <c r="AP4" s="439">
        <v>111946.32207772013</v>
      </c>
      <c r="AQ4" s="439">
        <v>112412.7650863773</v>
      </c>
      <c r="AR4" s="439">
        <v>112881.15160757054</v>
      </c>
      <c r="AS4" s="439">
        <v>113351.48973926874</v>
      </c>
      <c r="AT4" s="439">
        <v>113823.78761318236</v>
      </c>
      <c r="AU4" s="439">
        <v>114298.05339490395</v>
      </c>
      <c r="AV4" s="439">
        <v>114774.29528404938</v>
      </c>
      <c r="AW4" s="439">
        <v>115252.52151439959</v>
      </c>
      <c r="AX4" s="439">
        <v>115732.74035404292</v>
      </c>
      <c r="AY4" s="439">
        <v>116214.9601055181</v>
      </c>
      <c r="AZ4" s="439">
        <v>116699.18910595775</v>
      </c>
      <c r="BA4" s="439">
        <v>117185.43572723259</v>
      </c>
      <c r="BB4" s="439">
        <v>117673.70837609605</v>
      </c>
      <c r="BC4" s="439">
        <v>118164.0154943298</v>
      </c>
      <c r="BD4" s="439">
        <v>118656.36555888949</v>
      </c>
      <c r="BE4" s="439">
        <v>119150.76708205152</v>
      </c>
      <c r="BF4" s="439">
        <v>119647.22861156006</v>
      </c>
      <c r="BG4" s="439">
        <v>120145.75873077489</v>
      </c>
      <c r="BH4" s="439">
        <v>120646.3660588198</v>
      </c>
      <c r="BI4" s="439">
        <v>121149.05925073155</v>
      </c>
      <c r="BJ4" s="439">
        <v>121653.84699760958</v>
      </c>
      <c r="BK4" s="439">
        <v>122160.73802676628</v>
      </c>
      <c r="BL4" s="439">
        <v>122669.74110187779</v>
      </c>
      <c r="BM4" s="439">
        <v>123180.86502313562</v>
      </c>
      <c r="BN4" s="439">
        <v>123694.11862739868</v>
      </c>
      <c r="BO4" s="439">
        <v>124209.51078834616</v>
      </c>
      <c r="BP4" s="439">
        <v>124727.05041663093</v>
      </c>
      <c r="BQ4" s="439">
        <v>125246.74646003357</v>
      </c>
      <c r="BR4" s="439">
        <v>125768.60790361704</v>
      </c>
      <c r="BS4" s="439">
        <v>126292.64376988211</v>
      </c>
      <c r="BT4" s="439">
        <v>126818.86311892327</v>
      </c>
      <c r="BU4" s="439">
        <v>127347.27504858545</v>
      </c>
      <c r="BV4" s="439">
        <v>127877.88869462123</v>
      </c>
      <c r="BW4" s="439">
        <v>128410.71323084884</v>
      </c>
      <c r="BX4" s="439">
        <v>128945.75786931071</v>
      </c>
      <c r="BY4" s="439">
        <v>129483.03186043282</v>
      </c>
      <c r="BZ4" s="439">
        <v>130022.54449318461</v>
      </c>
      <c r="CA4" s="439">
        <v>130564.30509523954</v>
      </c>
      <c r="CB4" s="439">
        <v>131108.32303313637</v>
      </c>
      <c r="CC4" s="439">
        <v>131654.60771244109</v>
      </c>
      <c r="CD4" s="439">
        <v>132203.16857790962</v>
      </c>
      <c r="CE4" s="439">
        <v>132754.01511365091</v>
      </c>
      <c r="CF4" s="439">
        <v>133307.1568432911</v>
      </c>
      <c r="CG4" s="439">
        <v>133862.60333013814</v>
      </c>
      <c r="CH4" s="439">
        <v>134420.36417734704</v>
      </c>
      <c r="CI4" s="439">
        <v>134980.449028086</v>
      </c>
      <c r="CJ4" s="439">
        <v>135542.86756570303</v>
      </c>
      <c r="CK4" s="439">
        <v>136107.62951389345</v>
      </c>
      <c r="CL4" s="439">
        <v>136674.74463686798</v>
      </c>
      <c r="CM4" s="439">
        <v>137244.22273952162</v>
      </c>
      <c r="CN4" s="439">
        <v>137816.07366760293</v>
      </c>
      <c r="CO4" s="439">
        <v>138390.30730788462</v>
      </c>
      <c r="CP4" s="439">
        <v>138966.93358833413</v>
      </c>
      <c r="CQ4" s="439">
        <v>139545.96247828551</v>
      </c>
      <c r="CR4" s="439">
        <v>140127.40398861171</v>
      </c>
      <c r="CS4" s="439">
        <v>140711.26817189759</v>
      </c>
      <c r="CT4" s="439">
        <v>141297.56512261383</v>
      </c>
      <c r="CU4" s="439">
        <v>141886.30497729138</v>
      </c>
      <c r="CV4" s="439">
        <v>142477.49791469678</v>
      </c>
      <c r="CW4" s="439">
        <v>143071.15415600801</v>
      </c>
      <c r="CX4" s="439">
        <v>143667.28396499137</v>
      </c>
      <c r="CY4" s="439">
        <v>144265.89764817883</v>
      </c>
    </row>
    <row r="5" spans="1:103" ht="12" customHeight="1">
      <c r="A5" s="310" t="s">
        <v>528</v>
      </c>
      <c r="B5" s="439">
        <v>346666.66666666669</v>
      </c>
      <c r="C5" s="439">
        <v>346666.66666666669</v>
      </c>
      <c r="D5" s="439">
        <v>346666.66666666669</v>
      </c>
      <c r="E5" s="439">
        <v>208000</v>
      </c>
      <c r="F5" s="439">
        <v>208000</v>
      </c>
      <c r="G5" s="439">
        <v>208000</v>
      </c>
      <c r="H5" s="439">
        <v>208000</v>
      </c>
      <c r="I5" s="439">
        <v>208000</v>
      </c>
      <c r="J5" s="439">
        <v>208000</v>
      </c>
      <c r="K5" s="439">
        <v>208000</v>
      </c>
      <c r="L5" s="439">
        <v>208000</v>
      </c>
      <c r="M5" s="439">
        <v>208000</v>
      </c>
      <c r="N5" s="439">
        <v>0</v>
      </c>
      <c r="O5" s="439">
        <v>0</v>
      </c>
      <c r="P5" s="439">
        <v>0</v>
      </c>
      <c r="Q5" s="439">
        <v>0</v>
      </c>
      <c r="R5" s="439">
        <v>0</v>
      </c>
      <c r="S5" s="439">
        <v>0</v>
      </c>
      <c r="T5" s="439">
        <v>0</v>
      </c>
      <c r="U5" s="439">
        <v>0</v>
      </c>
      <c r="V5" s="439">
        <v>0</v>
      </c>
      <c r="W5" s="439">
        <v>0</v>
      </c>
      <c r="X5" s="439">
        <v>0</v>
      </c>
      <c r="Y5" s="439">
        <v>0</v>
      </c>
      <c r="Z5" s="439">
        <v>0</v>
      </c>
      <c r="AA5" s="439">
        <v>0</v>
      </c>
      <c r="AB5" s="439">
        <v>0</v>
      </c>
      <c r="AC5" s="439">
        <v>0</v>
      </c>
      <c r="AD5" s="439">
        <v>0</v>
      </c>
      <c r="AE5" s="439">
        <v>0</v>
      </c>
      <c r="AF5" s="439">
        <v>0</v>
      </c>
      <c r="AG5" s="439">
        <v>0</v>
      </c>
      <c r="AH5" s="439">
        <v>0</v>
      </c>
      <c r="AI5" s="439">
        <v>0</v>
      </c>
      <c r="AJ5" s="439">
        <v>0</v>
      </c>
      <c r="AK5" s="439">
        <v>0</v>
      </c>
      <c r="AL5" s="439">
        <v>0</v>
      </c>
      <c r="AM5" s="439">
        <v>0</v>
      </c>
      <c r="AN5" s="439">
        <v>0</v>
      </c>
      <c r="AO5" s="439">
        <v>0</v>
      </c>
      <c r="AP5" s="439">
        <v>0</v>
      </c>
      <c r="AQ5" s="439">
        <v>0</v>
      </c>
      <c r="AR5" s="439">
        <v>0</v>
      </c>
      <c r="AS5" s="439">
        <v>0</v>
      </c>
      <c r="AT5" s="439">
        <v>0</v>
      </c>
      <c r="AU5" s="439">
        <v>0</v>
      </c>
      <c r="AV5" s="439">
        <v>0</v>
      </c>
      <c r="AW5" s="439">
        <v>0</v>
      </c>
      <c r="AX5" s="439">
        <v>0</v>
      </c>
      <c r="AY5" s="439">
        <v>0</v>
      </c>
      <c r="AZ5" s="439">
        <v>0</v>
      </c>
      <c r="BA5" s="439">
        <v>0</v>
      </c>
      <c r="BB5" s="439">
        <v>0</v>
      </c>
      <c r="BC5" s="439">
        <v>0</v>
      </c>
      <c r="BD5" s="439">
        <v>0</v>
      </c>
      <c r="BE5" s="439">
        <v>0</v>
      </c>
      <c r="BF5" s="439">
        <v>0</v>
      </c>
      <c r="BG5" s="439">
        <v>0</v>
      </c>
      <c r="BH5" s="439">
        <v>0</v>
      </c>
      <c r="BI5" s="439">
        <v>0</v>
      </c>
      <c r="BJ5" s="439">
        <v>0</v>
      </c>
      <c r="BK5" s="439">
        <v>0</v>
      </c>
      <c r="BL5" s="439">
        <v>0</v>
      </c>
      <c r="BM5" s="439">
        <v>0</v>
      </c>
      <c r="BN5" s="439">
        <v>0</v>
      </c>
      <c r="BO5" s="439">
        <v>0</v>
      </c>
      <c r="BP5" s="439">
        <v>0</v>
      </c>
      <c r="BQ5" s="439">
        <v>0</v>
      </c>
      <c r="BR5" s="439">
        <v>0</v>
      </c>
      <c r="BS5" s="439">
        <v>0</v>
      </c>
      <c r="BT5" s="439">
        <v>0</v>
      </c>
      <c r="BU5" s="439">
        <v>0</v>
      </c>
      <c r="BV5" s="439">
        <v>0</v>
      </c>
      <c r="BW5" s="439">
        <v>0</v>
      </c>
      <c r="BX5" s="439">
        <v>0</v>
      </c>
      <c r="BY5" s="439">
        <v>0</v>
      </c>
      <c r="BZ5" s="439">
        <v>0</v>
      </c>
      <c r="CA5" s="439">
        <v>0</v>
      </c>
      <c r="CB5" s="439">
        <v>0</v>
      </c>
      <c r="CC5" s="439">
        <v>0</v>
      </c>
      <c r="CD5" s="439">
        <v>0</v>
      </c>
      <c r="CE5" s="439">
        <v>0</v>
      </c>
      <c r="CF5" s="439">
        <v>0</v>
      </c>
      <c r="CG5" s="439">
        <v>0</v>
      </c>
      <c r="CH5" s="439">
        <v>0</v>
      </c>
      <c r="CI5" s="439">
        <v>0</v>
      </c>
      <c r="CJ5" s="439">
        <v>0</v>
      </c>
      <c r="CK5" s="439">
        <v>0</v>
      </c>
      <c r="CL5" s="439">
        <v>0</v>
      </c>
      <c r="CM5" s="439">
        <v>0</v>
      </c>
      <c r="CN5" s="439">
        <v>0</v>
      </c>
      <c r="CO5" s="439">
        <v>0</v>
      </c>
      <c r="CP5" s="439">
        <v>0</v>
      </c>
      <c r="CQ5" s="439">
        <v>0</v>
      </c>
      <c r="CR5" s="439">
        <v>0</v>
      </c>
      <c r="CS5" s="439">
        <v>0</v>
      </c>
      <c r="CT5" s="439">
        <v>0</v>
      </c>
      <c r="CU5" s="439">
        <v>0</v>
      </c>
      <c r="CV5" s="439">
        <v>0</v>
      </c>
      <c r="CW5" s="439">
        <v>0</v>
      </c>
      <c r="CX5" s="439">
        <v>0</v>
      </c>
      <c r="CY5" s="439">
        <v>0</v>
      </c>
    </row>
    <row r="6" spans="1:103" ht="12" customHeight="1">
      <c r="A6" s="310" t="s">
        <v>529</v>
      </c>
      <c r="B6" s="439">
        <v>571875.19999999995</v>
      </c>
      <c r="C6" s="439">
        <v>571875.19999999995</v>
      </c>
      <c r="D6" s="439">
        <v>571875.19999999995</v>
      </c>
      <c r="E6" s="439">
        <v>571875.19999999995</v>
      </c>
      <c r="F6" s="439">
        <v>571875.19999999995</v>
      </c>
      <c r="G6" s="439">
        <v>571875.19999999995</v>
      </c>
      <c r="H6" s="439">
        <v>571875.19999999995</v>
      </c>
      <c r="I6" s="439">
        <v>571875.19999999995</v>
      </c>
      <c r="J6" s="439">
        <v>571875.19999999995</v>
      </c>
      <c r="K6" s="439">
        <v>571875.19999999995</v>
      </c>
      <c r="L6" s="439">
        <v>571875.19999999995</v>
      </c>
      <c r="M6" s="439">
        <v>571875.19999999995</v>
      </c>
      <c r="N6" s="439">
        <v>413517.31200000003</v>
      </c>
      <c r="O6" s="439">
        <v>413517.31200000003</v>
      </c>
      <c r="P6" s="439">
        <v>413517.31200000003</v>
      </c>
      <c r="Q6" s="439">
        <v>413517.31200000003</v>
      </c>
      <c r="R6" s="439">
        <v>413517.31200000003</v>
      </c>
      <c r="S6" s="439">
        <v>413517.31200000003</v>
      </c>
      <c r="T6" s="439">
        <v>413517.31200000003</v>
      </c>
      <c r="U6" s="439">
        <v>413517.31200000003</v>
      </c>
      <c r="V6" s="439">
        <v>413517.31200000003</v>
      </c>
      <c r="W6" s="439">
        <v>413517.31200000003</v>
      </c>
      <c r="X6" s="439">
        <v>413517.31200000003</v>
      </c>
      <c r="Y6" s="439">
        <v>413517.31200000003</v>
      </c>
      <c r="Z6" s="439">
        <v>430058.00448</v>
      </c>
      <c r="AA6" s="439">
        <v>430058.00448</v>
      </c>
      <c r="AB6" s="439">
        <v>430058.00448</v>
      </c>
      <c r="AC6" s="439">
        <v>430058.00448</v>
      </c>
      <c r="AD6" s="439">
        <v>430058.00448</v>
      </c>
      <c r="AE6" s="439">
        <v>430058.00448</v>
      </c>
      <c r="AF6" s="439">
        <v>430058.00448</v>
      </c>
      <c r="AG6" s="439">
        <v>430058.00448</v>
      </c>
      <c r="AH6" s="439">
        <v>430058.00448</v>
      </c>
      <c r="AI6" s="439">
        <v>430058.00448</v>
      </c>
      <c r="AJ6" s="439">
        <v>430058.00448</v>
      </c>
      <c r="AK6" s="439">
        <v>430058.00448</v>
      </c>
      <c r="AL6" s="439">
        <v>447260.32465920004</v>
      </c>
      <c r="AM6" s="439">
        <v>447260.32465920004</v>
      </c>
      <c r="AN6" s="439">
        <v>447260.32465920004</v>
      </c>
      <c r="AO6" s="439">
        <v>447260.32465920004</v>
      </c>
      <c r="AP6" s="439">
        <v>447260.32465920004</v>
      </c>
      <c r="AQ6" s="439">
        <v>447260.32465920004</v>
      </c>
      <c r="AR6" s="439">
        <v>447260.32465920004</v>
      </c>
      <c r="AS6" s="439">
        <v>447260.32465920004</v>
      </c>
      <c r="AT6" s="439">
        <v>447260.32465920004</v>
      </c>
      <c r="AU6" s="439">
        <v>447260.32465920004</v>
      </c>
      <c r="AV6" s="439">
        <v>447260.32465920004</v>
      </c>
      <c r="AW6" s="439">
        <v>447260.32465920004</v>
      </c>
      <c r="AX6" s="439">
        <v>465150.73764556798</v>
      </c>
      <c r="AY6" s="439">
        <v>465150.73764556798</v>
      </c>
      <c r="AZ6" s="439">
        <v>465150.73764556798</v>
      </c>
      <c r="BA6" s="439">
        <v>465150.73764556798</v>
      </c>
      <c r="BB6" s="439">
        <v>465150.73764556798</v>
      </c>
      <c r="BC6" s="439">
        <v>465150.73764556798</v>
      </c>
      <c r="BD6" s="439">
        <v>465150.73764556798</v>
      </c>
      <c r="BE6" s="439">
        <v>465150.73764556798</v>
      </c>
      <c r="BF6" s="439">
        <v>465150.73764556798</v>
      </c>
      <c r="BG6" s="439">
        <v>465150.73764556798</v>
      </c>
      <c r="BH6" s="439">
        <v>465150.73764556798</v>
      </c>
      <c r="BI6" s="439">
        <v>465150.73764556798</v>
      </c>
      <c r="BJ6" s="439">
        <v>483756.76715139073</v>
      </c>
      <c r="BK6" s="439">
        <v>483756.76715139073</v>
      </c>
      <c r="BL6" s="439">
        <v>483756.76715139073</v>
      </c>
      <c r="BM6" s="439">
        <v>483756.76715139073</v>
      </c>
      <c r="BN6" s="439">
        <v>483756.76715139073</v>
      </c>
      <c r="BO6" s="439">
        <v>483756.76715139073</v>
      </c>
      <c r="BP6" s="439">
        <v>483756.76715139073</v>
      </c>
      <c r="BQ6" s="439">
        <v>483756.76715139073</v>
      </c>
      <c r="BR6" s="439">
        <v>483756.76715139073</v>
      </c>
      <c r="BS6" s="439">
        <v>483756.76715139073</v>
      </c>
      <c r="BT6" s="439">
        <v>483756.76715139073</v>
      </c>
      <c r="BU6" s="439">
        <v>483756.76715139073</v>
      </c>
      <c r="BV6" s="439">
        <v>503107.03783744638</v>
      </c>
      <c r="BW6" s="439">
        <v>503107.03783744638</v>
      </c>
      <c r="BX6" s="439">
        <v>503107.03783744638</v>
      </c>
      <c r="BY6" s="439">
        <v>503107.03783744638</v>
      </c>
      <c r="BZ6" s="439">
        <v>503107.03783744638</v>
      </c>
      <c r="CA6" s="439">
        <v>503107.03783744638</v>
      </c>
      <c r="CB6" s="439">
        <v>503107.03783744638</v>
      </c>
      <c r="CC6" s="439">
        <v>503107.03783744638</v>
      </c>
      <c r="CD6" s="439">
        <v>503107.03783744638</v>
      </c>
      <c r="CE6" s="439">
        <v>503107.03783744638</v>
      </c>
      <c r="CF6" s="439">
        <v>503107.03783744638</v>
      </c>
      <c r="CG6" s="439">
        <v>503107.03783744638</v>
      </c>
      <c r="CH6" s="439">
        <v>523231.31935094425</v>
      </c>
      <c r="CI6" s="439">
        <v>523231.31935094425</v>
      </c>
      <c r="CJ6" s="439">
        <v>523231.31935094425</v>
      </c>
      <c r="CK6" s="439">
        <v>523231.31935094425</v>
      </c>
      <c r="CL6" s="439">
        <v>523231.31935094425</v>
      </c>
      <c r="CM6" s="439">
        <v>523231.31935094425</v>
      </c>
      <c r="CN6" s="439">
        <v>523231.31935094425</v>
      </c>
      <c r="CO6" s="439">
        <v>523231.31935094425</v>
      </c>
      <c r="CP6" s="439">
        <v>523231.31935094425</v>
      </c>
      <c r="CQ6" s="439">
        <v>523231.31935094425</v>
      </c>
      <c r="CR6" s="439">
        <v>523231.31935094425</v>
      </c>
      <c r="CS6" s="439">
        <v>523231.31935094425</v>
      </c>
      <c r="CT6" s="439">
        <v>544160.57212498202</v>
      </c>
      <c r="CU6" s="439">
        <v>544160.57212498202</v>
      </c>
      <c r="CV6" s="439">
        <v>544160.57212498202</v>
      </c>
      <c r="CW6" s="439">
        <v>544160.57212498202</v>
      </c>
      <c r="CX6" s="439">
        <v>544160.57212498202</v>
      </c>
      <c r="CY6" s="439">
        <v>544160.57212498202</v>
      </c>
    </row>
    <row r="7" spans="1:103" ht="12" customHeight="1">
      <c r="A7" s="310" t="s">
        <v>530</v>
      </c>
      <c r="B7" s="439">
        <v>46800</v>
      </c>
      <c r="C7" s="439">
        <v>46800</v>
      </c>
      <c r="D7" s="439">
        <v>46800</v>
      </c>
      <c r="E7" s="439">
        <v>46800</v>
      </c>
      <c r="F7" s="439">
        <v>46800</v>
      </c>
      <c r="G7" s="439">
        <v>46800</v>
      </c>
      <c r="H7" s="439">
        <v>46800</v>
      </c>
      <c r="I7" s="439">
        <v>46800</v>
      </c>
      <c r="J7" s="439">
        <v>46800</v>
      </c>
      <c r="K7" s="439">
        <v>46800</v>
      </c>
      <c r="L7" s="439">
        <v>46800</v>
      </c>
      <c r="M7" s="439">
        <v>46800</v>
      </c>
      <c r="N7" s="439">
        <v>48672</v>
      </c>
      <c r="O7" s="439">
        <v>48672</v>
      </c>
      <c r="P7" s="439">
        <v>48672</v>
      </c>
      <c r="Q7" s="439">
        <v>48672</v>
      </c>
      <c r="R7" s="439">
        <v>48672</v>
      </c>
      <c r="S7" s="439">
        <v>48672</v>
      </c>
      <c r="T7" s="439">
        <v>48672</v>
      </c>
      <c r="U7" s="439">
        <v>48672</v>
      </c>
      <c r="V7" s="439">
        <v>48672</v>
      </c>
      <c r="W7" s="439">
        <v>48672</v>
      </c>
      <c r="X7" s="439">
        <v>48672</v>
      </c>
      <c r="Y7" s="439">
        <v>48672</v>
      </c>
      <c r="Z7" s="439">
        <v>50618.880000000005</v>
      </c>
      <c r="AA7" s="439">
        <v>50618.880000000005</v>
      </c>
      <c r="AB7" s="439">
        <v>50618.880000000005</v>
      </c>
      <c r="AC7" s="439">
        <v>50618.880000000005</v>
      </c>
      <c r="AD7" s="439">
        <v>50618.880000000005</v>
      </c>
      <c r="AE7" s="439">
        <v>50618.880000000005</v>
      </c>
      <c r="AF7" s="439">
        <v>50618.880000000005</v>
      </c>
      <c r="AG7" s="439">
        <v>50618.880000000005</v>
      </c>
      <c r="AH7" s="439">
        <v>50618.880000000005</v>
      </c>
      <c r="AI7" s="439">
        <v>50618.880000000005</v>
      </c>
      <c r="AJ7" s="439">
        <v>50618.880000000005</v>
      </c>
      <c r="AK7" s="439">
        <v>50618.880000000005</v>
      </c>
      <c r="AL7" s="439">
        <v>52643.635200000004</v>
      </c>
      <c r="AM7" s="439">
        <v>52643.635200000004</v>
      </c>
      <c r="AN7" s="439">
        <v>52643.635200000004</v>
      </c>
      <c r="AO7" s="439">
        <v>52643.635200000004</v>
      </c>
      <c r="AP7" s="439">
        <v>52643.635200000004</v>
      </c>
      <c r="AQ7" s="439">
        <v>52643.635200000004</v>
      </c>
      <c r="AR7" s="439">
        <v>52643.635200000004</v>
      </c>
      <c r="AS7" s="439">
        <v>52643.635200000004</v>
      </c>
      <c r="AT7" s="439">
        <v>52643.635200000004</v>
      </c>
      <c r="AU7" s="439">
        <v>52643.635200000004</v>
      </c>
      <c r="AV7" s="439">
        <v>52643.635200000004</v>
      </c>
      <c r="AW7" s="439">
        <v>52643.635200000004</v>
      </c>
      <c r="AX7" s="439">
        <v>54749.380608000007</v>
      </c>
      <c r="AY7" s="439">
        <v>54749.380608000007</v>
      </c>
      <c r="AZ7" s="439">
        <v>54749.380608000007</v>
      </c>
      <c r="BA7" s="439">
        <v>54749.380608000007</v>
      </c>
      <c r="BB7" s="439">
        <v>54749.380608000007</v>
      </c>
      <c r="BC7" s="439">
        <v>54749.380608000007</v>
      </c>
      <c r="BD7" s="439">
        <v>54749.380608000007</v>
      </c>
      <c r="BE7" s="439">
        <v>54749.380608000007</v>
      </c>
      <c r="BF7" s="439">
        <v>54749.380608000007</v>
      </c>
      <c r="BG7" s="439">
        <v>54749.380608000007</v>
      </c>
      <c r="BH7" s="439">
        <v>54749.380608000007</v>
      </c>
      <c r="BI7" s="439">
        <v>54749.380608000007</v>
      </c>
      <c r="BJ7" s="439">
        <v>56939.355832320012</v>
      </c>
      <c r="BK7" s="439">
        <v>56939.355832320012</v>
      </c>
      <c r="BL7" s="439">
        <v>56939.355832320012</v>
      </c>
      <c r="BM7" s="439">
        <v>56939.355832320012</v>
      </c>
      <c r="BN7" s="439">
        <v>56939.355832320012</v>
      </c>
      <c r="BO7" s="439">
        <v>56939.355832320012</v>
      </c>
      <c r="BP7" s="439">
        <v>56939.355832320012</v>
      </c>
      <c r="BQ7" s="439">
        <v>56939.355832320012</v>
      </c>
      <c r="BR7" s="439">
        <v>56939.355832320012</v>
      </c>
      <c r="BS7" s="439">
        <v>56939.355832320012</v>
      </c>
      <c r="BT7" s="439">
        <v>56939.355832320012</v>
      </c>
      <c r="BU7" s="439">
        <v>56939.355832320012</v>
      </c>
      <c r="BV7" s="439">
        <v>59216.930065612818</v>
      </c>
      <c r="BW7" s="439">
        <v>59216.930065612818</v>
      </c>
      <c r="BX7" s="439">
        <v>59216.930065612818</v>
      </c>
      <c r="BY7" s="439">
        <v>59216.930065612818</v>
      </c>
      <c r="BZ7" s="439">
        <v>59216.930065612818</v>
      </c>
      <c r="CA7" s="439">
        <v>59216.930065612818</v>
      </c>
      <c r="CB7" s="439">
        <v>59216.930065612818</v>
      </c>
      <c r="CC7" s="439">
        <v>59216.930065612818</v>
      </c>
      <c r="CD7" s="439">
        <v>59216.930065612818</v>
      </c>
      <c r="CE7" s="439">
        <v>59216.930065612818</v>
      </c>
      <c r="CF7" s="439">
        <v>59216.930065612818</v>
      </c>
      <c r="CG7" s="439">
        <v>59216.930065612818</v>
      </c>
      <c r="CH7" s="439">
        <v>61585.607268237334</v>
      </c>
      <c r="CI7" s="439">
        <v>61585.607268237334</v>
      </c>
      <c r="CJ7" s="439">
        <v>61585.607268237334</v>
      </c>
      <c r="CK7" s="439">
        <v>61585.607268237334</v>
      </c>
      <c r="CL7" s="439">
        <v>61585.607268237334</v>
      </c>
      <c r="CM7" s="439">
        <v>61585.607268237334</v>
      </c>
      <c r="CN7" s="439">
        <v>61585.607268237334</v>
      </c>
      <c r="CO7" s="439">
        <v>61585.607268237334</v>
      </c>
      <c r="CP7" s="439">
        <v>61585.607268237334</v>
      </c>
      <c r="CQ7" s="439">
        <v>61585.607268237334</v>
      </c>
      <c r="CR7" s="439">
        <v>61585.607268237334</v>
      </c>
      <c r="CS7" s="439">
        <v>61585.607268237334</v>
      </c>
      <c r="CT7" s="439">
        <v>64049.031558966832</v>
      </c>
      <c r="CU7" s="439">
        <v>64049.031558966832</v>
      </c>
      <c r="CV7" s="439">
        <v>64049.031558966832</v>
      </c>
      <c r="CW7" s="439">
        <v>64049.031558966832</v>
      </c>
      <c r="CX7" s="439">
        <v>64049.031558966832</v>
      </c>
      <c r="CY7" s="439">
        <v>64049.031558966832</v>
      </c>
    </row>
    <row r="8" spans="1:103" ht="12" customHeight="1">
      <c r="A8" s="310" t="s">
        <v>531</v>
      </c>
      <c r="B8" s="439">
        <v>364000</v>
      </c>
      <c r="C8" s="439">
        <v>364000</v>
      </c>
      <c r="D8" s="439">
        <v>364000</v>
      </c>
      <c r="E8" s="439">
        <v>364000</v>
      </c>
      <c r="F8" s="439">
        <v>364000</v>
      </c>
      <c r="G8" s="439">
        <v>364000</v>
      </c>
      <c r="H8" s="439">
        <v>364000</v>
      </c>
      <c r="I8" s="439">
        <v>364000</v>
      </c>
      <c r="J8" s="439">
        <v>364000</v>
      </c>
      <c r="K8" s="439">
        <v>364000</v>
      </c>
      <c r="L8" s="439">
        <v>364000</v>
      </c>
      <c r="M8" s="439">
        <v>364000</v>
      </c>
      <c r="N8" s="439">
        <v>378560</v>
      </c>
      <c r="O8" s="439">
        <v>378560</v>
      </c>
      <c r="P8" s="439">
        <v>378560</v>
      </c>
      <c r="Q8" s="439">
        <v>378560</v>
      </c>
      <c r="R8" s="439">
        <v>378560</v>
      </c>
      <c r="S8" s="439">
        <v>378560</v>
      </c>
      <c r="T8" s="439">
        <v>378560</v>
      </c>
      <c r="U8" s="439">
        <v>378560</v>
      </c>
      <c r="V8" s="439">
        <v>378560</v>
      </c>
      <c r="W8" s="439">
        <v>378560</v>
      </c>
      <c r="X8" s="439">
        <v>378560</v>
      </c>
      <c r="Y8" s="439">
        <v>378560</v>
      </c>
      <c r="Z8" s="439">
        <v>393702.40000000002</v>
      </c>
      <c r="AA8" s="439">
        <v>393702.40000000002</v>
      </c>
      <c r="AB8" s="439">
        <v>393702.40000000002</v>
      </c>
      <c r="AC8" s="439">
        <v>393702.40000000002</v>
      </c>
      <c r="AD8" s="439">
        <v>393702.40000000002</v>
      </c>
      <c r="AE8" s="439">
        <v>393702.40000000002</v>
      </c>
      <c r="AF8" s="439">
        <v>393702.40000000002</v>
      </c>
      <c r="AG8" s="439">
        <v>393702.40000000002</v>
      </c>
      <c r="AH8" s="439">
        <v>393702.40000000002</v>
      </c>
      <c r="AI8" s="439">
        <v>393702.40000000002</v>
      </c>
      <c r="AJ8" s="439">
        <v>393702.40000000002</v>
      </c>
      <c r="AK8" s="439">
        <v>393702.40000000002</v>
      </c>
      <c r="AL8" s="439">
        <v>409450.49600000004</v>
      </c>
      <c r="AM8" s="439">
        <v>409450.49600000004</v>
      </c>
      <c r="AN8" s="439">
        <v>409450.49600000004</v>
      </c>
      <c r="AO8" s="439">
        <v>409450.49600000004</v>
      </c>
      <c r="AP8" s="439">
        <v>409450.49600000004</v>
      </c>
      <c r="AQ8" s="439">
        <v>409450.49600000004</v>
      </c>
      <c r="AR8" s="439">
        <v>409450.49600000004</v>
      </c>
      <c r="AS8" s="439">
        <v>409450.49600000004</v>
      </c>
      <c r="AT8" s="439">
        <v>409450.49600000004</v>
      </c>
      <c r="AU8" s="439">
        <v>409450.49600000004</v>
      </c>
      <c r="AV8" s="439">
        <v>409450.49600000004</v>
      </c>
      <c r="AW8" s="439">
        <v>409450.49600000004</v>
      </c>
      <c r="AX8" s="439">
        <v>425828.51584000007</v>
      </c>
      <c r="AY8" s="439">
        <v>425828.51584000007</v>
      </c>
      <c r="AZ8" s="439">
        <v>425828.51584000007</v>
      </c>
      <c r="BA8" s="439">
        <v>425828.51584000007</v>
      </c>
      <c r="BB8" s="439">
        <v>425828.51584000007</v>
      </c>
      <c r="BC8" s="439">
        <v>425828.51584000007</v>
      </c>
      <c r="BD8" s="439">
        <v>425828.51584000007</v>
      </c>
      <c r="BE8" s="439">
        <v>425828.51584000007</v>
      </c>
      <c r="BF8" s="439">
        <v>425828.51584000007</v>
      </c>
      <c r="BG8" s="439">
        <v>425828.51584000007</v>
      </c>
      <c r="BH8" s="439">
        <v>425828.51584000007</v>
      </c>
      <c r="BI8" s="439">
        <v>425828.51584000007</v>
      </c>
      <c r="BJ8" s="439">
        <v>442861.65647360007</v>
      </c>
      <c r="BK8" s="439">
        <v>442861.65647360007</v>
      </c>
      <c r="BL8" s="439">
        <v>442861.65647360007</v>
      </c>
      <c r="BM8" s="439">
        <v>442861.65647360007</v>
      </c>
      <c r="BN8" s="439">
        <v>442861.65647360007</v>
      </c>
      <c r="BO8" s="439">
        <v>442861.65647360007</v>
      </c>
      <c r="BP8" s="439">
        <v>442861.65647360007</v>
      </c>
      <c r="BQ8" s="439">
        <v>442861.65647360007</v>
      </c>
      <c r="BR8" s="439">
        <v>442861.65647360007</v>
      </c>
      <c r="BS8" s="439">
        <v>442861.65647360007</v>
      </c>
      <c r="BT8" s="439">
        <v>442861.65647360007</v>
      </c>
      <c r="BU8" s="439">
        <v>442861.65647360007</v>
      </c>
      <c r="BV8" s="439">
        <v>460576.12273254409</v>
      </c>
      <c r="BW8" s="439">
        <v>460576.12273254409</v>
      </c>
      <c r="BX8" s="439">
        <v>460576.12273254409</v>
      </c>
      <c r="BY8" s="439">
        <v>460576.12273254409</v>
      </c>
      <c r="BZ8" s="439">
        <v>460576.12273254409</v>
      </c>
      <c r="CA8" s="439">
        <v>460576.12273254409</v>
      </c>
      <c r="CB8" s="439">
        <v>460576.12273254409</v>
      </c>
      <c r="CC8" s="439">
        <v>460576.12273254409</v>
      </c>
      <c r="CD8" s="439">
        <v>460576.12273254409</v>
      </c>
      <c r="CE8" s="439">
        <v>460576.12273254409</v>
      </c>
      <c r="CF8" s="439">
        <v>460576.12273254409</v>
      </c>
      <c r="CG8" s="439">
        <v>460576.12273254409</v>
      </c>
      <c r="CH8" s="439">
        <v>478999.16764184588</v>
      </c>
      <c r="CI8" s="439">
        <v>478999.16764184588</v>
      </c>
      <c r="CJ8" s="439">
        <v>478999.16764184588</v>
      </c>
      <c r="CK8" s="439">
        <v>478999.16764184588</v>
      </c>
      <c r="CL8" s="439">
        <v>478999.16764184588</v>
      </c>
      <c r="CM8" s="439">
        <v>478999.16764184588</v>
      </c>
      <c r="CN8" s="439">
        <v>478999.16764184588</v>
      </c>
      <c r="CO8" s="439">
        <v>478999.16764184588</v>
      </c>
      <c r="CP8" s="439">
        <v>478999.16764184588</v>
      </c>
      <c r="CQ8" s="439">
        <v>478999.16764184588</v>
      </c>
      <c r="CR8" s="439">
        <v>478999.16764184588</v>
      </c>
      <c r="CS8" s="439">
        <v>478999.16764184588</v>
      </c>
      <c r="CT8" s="439">
        <v>498159.13434751972</v>
      </c>
      <c r="CU8" s="439">
        <v>498159.13434751972</v>
      </c>
      <c r="CV8" s="439">
        <v>498159.13434751972</v>
      </c>
      <c r="CW8" s="439">
        <v>498159.13434751972</v>
      </c>
      <c r="CX8" s="439">
        <v>498159.13434751972</v>
      </c>
      <c r="CY8" s="439">
        <v>498159.13434751972</v>
      </c>
    </row>
    <row r="9" spans="1:103" ht="12" customHeight="1">
      <c r="A9" s="310" t="s">
        <v>532</v>
      </c>
      <c r="B9" s="439">
        <v>0</v>
      </c>
      <c r="C9" s="439">
        <v>0</v>
      </c>
      <c r="D9" s="439">
        <v>0</v>
      </c>
      <c r="E9" s="439">
        <v>0</v>
      </c>
      <c r="F9" s="439">
        <v>0</v>
      </c>
      <c r="G9" s="439">
        <v>0</v>
      </c>
      <c r="H9" s="439">
        <v>0</v>
      </c>
      <c r="I9" s="439">
        <v>0</v>
      </c>
      <c r="J9" s="439">
        <v>0</v>
      </c>
      <c r="K9" s="439">
        <v>0</v>
      </c>
      <c r="L9" s="439">
        <v>0</v>
      </c>
      <c r="M9" s="439">
        <v>0</v>
      </c>
      <c r="N9" s="439">
        <v>500000</v>
      </c>
      <c r="O9" s="439">
        <v>500000</v>
      </c>
      <c r="P9" s="439">
        <v>500000</v>
      </c>
      <c r="Q9" s="439">
        <v>500000</v>
      </c>
      <c r="R9" s="439">
        <v>500000</v>
      </c>
      <c r="S9" s="439">
        <v>500000</v>
      </c>
      <c r="T9" s="439">
        <v>500000</v>
      </c>
      <c r="U9" s="439">
        <v>500000</v>
      </c>
      <c r="V9" s="439">
        <v>500000</v>
      </c>
      <c r="W9" s="439">
        <v>500000</v>
      </c>
      <c r="X9" s="439">
        <v>500000</v>
      </c>
      <c r="Y9" s="439">
        <v>500000</v>
      </c>
      <c r="Z9" s="439">
        <v>3000000</v>
      </c>
      <c r="AA9" s="439">
        <f>Z9</f>
        <v>3000000</v>
      </c>
      <c r="AB9" s="439">
        <f t="shared" ref="AB9:CM9" si="0">AA9</f>
        <v>3000000</v>
      </c>
      <c r="AC9" s="439">
        <f t="shared" si="0"/>
        <v>3000000</v>
      </c>
      <c r="AD9" s="439">
        <f t="shared" si="0"/>
        <v>3000000</v>
      </c>
      <c r="AE9" s="439">
        <f t="shared" si="0"/>
        <v>3000000</v>
      </c>
      <c r="AF9" s="439">
        <f t="shared" si="0"/>
        <v>3000000</v>
      </c>
      <c r="AG9" s="439">
        <f t="shared" si="0"/>
        <v>3000000</v>
      </c>
      <c r="AH9" s="439">
        <f t="shared" si="0"/>
        <v>3000000</v>
      </c>
      <c r="AI9" s="439">
        <f t="shared" si="0"/>
        <v>3000000</v>
      </c>
      <c r="AJ9" s="439">
        <f t="shared" si="0"/>
        <v>3000000</v>
      </c>
      <c r="AK9" s="439">
        <f t="shared" si="0"/>
        <v>3000000</v>
      </c>
      <c r="AL9" s="439">
        <f t="shared" si="0"/>
        <v>3000000</v>
      </c>
      <c r="AM9" s="439">
        <f t="shared" si="0"/>
        <v>3000000</v>
      </c>
      <c r="AN9" s="439">
        <f t="shared" si="0"/>
        <v>3000000</v>
      </c>
      <c r="AO9" s="439">
        <f t="shared" si="0"/>
        <v>3000000</v>
      </c>
      <c r="AP9" s="439">
        <f t="shared" si="0"/>
        <v>3000000</v>
      </c>
      <c r="AQ9" s="439">
        <f t="shared" si="0"/>
        <v>3000000</v>
      </c>
      <c r="AR9" s="439">
        <f t="shared" si="0"/>
        <v>3000000</v>
      </c>
      <c r="AS9" s="439">
        <f t="shared" si="0"/>
        <v>3000000</v>
      </c>
      <c r="AT9" s="439">
        <f t="shared" si="0"/>
        <v>3000000</v>
      </c>
      <c r="AU9" s="439">
        <f t="shared" si="0"/>
        <v>3000000</v>
      </c>
      <c r="AV9" s="439">
        <f t="shared" si="0"/>
        <v>3000000</v>
      </c>
      <c r="AW9" s="439">
        <f t="shared" si="0"/>
        <v>3000000</v>
      </c>
      <c r="AX9" s="439">
        <f t="shared" si="0"/>
        <v>3000000</v>
      </c>
      <c r="AY9" s="439">
        <f t="shared" si="0"/>
        <v>3000000</v>
      </c>
      <c r="AZ9" s="439">
        <f t="shared" si="0"/>
        <v>3000000</v>
      </c>
      <c r="BA9" s="439">
        <f t="shared" si="0"/>
        <v>3000000</v>
      </c>
      <c r="BB9" s="439">
        <f t="shared" si="0"/>
        <v>3000000</v>
      </c>
      <c r="BC9" s="439">
        <f t="shared" si="0"/>
        <v>3000000</v>
      </c>
      <c r="BD9" s="439">
        <f t="shared" si="0"/>
        <v>3000000</v>
      </c>
      <c r="BE9" s="439">
        <f t="shared" si="0"/>
        <v>3000000</v>
      </c>
      <c r="BF9" s="439">
        <f t="shared" si="0"/>
        <v>3000000</v>
      </c>
      <c r="BG9" s="439">
        <f t="shared" si="0"/>
        <v>3000000</v>
      </c>
      <c r="BH9" s="439">
        <f t="shared" si="0"/>
        <v>3000000</v>
      </c>
      <c r="BI9" s="439">
        <f t="shared" si="0"/>
        <v>3000000</v>
      </c>
      <c r="BJ9" s="439">
        <f t="shared" si="0"/>
        <v>3000000</v>
      </c>
      <c r="BK9" s="439">
        <f t="shared" si="0"/>
        <v>3000000</v>
      </c>
      <c r="BL9" s="439">
        <f t="shared" si="0"/>
        <v>3000000</v>
      </c>
      <c r="BM9" s="439">
        <f t="shared" si="0"/>
        <v>3000000</v>
      </c>
      <c r="BN9" s="439">
        <f t="shared" si="0"/>
        <v>3000000</v>
      </c>
      <c r="BO9" s="439">
        <f t="shared" si="0"/>
        <v>3000000</v>
      </c>
      <c r="BP9" s="439">
        <f t="shared" si="0"/>
        <v>3000000</v>
      </c>
      <c r="BQ9" s="439">
        <f t="shared" si="0"/>
        <v>3000000</v>
      </c>
      <c r="BR9" s="439">
        <f t="shared" si="0"/>
        <v>3000000</v>
      </c>
      <c r="BS9" s="439">
        <f t="shared" si="0"/>
        <v>3000000</v>
      </c>
      <c r="BT9" s="439">
        <f t="shared" si="0"/>
        <v>3000000</v>
      </c>
      <c r="BU9" s="439">
        <f t="shared" si="0"/>
        <v>3000000</v>
      </c>
      <c r="BV9" s="439">
        <f t="shared" si="0"/>
        <v>3000000</v>
      </c>
      <c r="BW9" s="439">
        <f t="shared" si="0"/>
        <v>3000000</v>
      </c>
      <c r="BX9" s="439">
        <f t="shared" si="0"/>
        <v>3000000</v>
      </c>
      <c r="BY9" s="439">
        <f t="shared" si="0"/>
        <v>3000000</v>
      </c>
      <c r="BZ9" s="439">
        <f t="shared" si="0"/>
        <v>3000000</v>
      </c>
      <c r="CA9" s="439">
        <f t="shared" si="0"/>
        <v>3000000</v>
      </c>
      <c r="CB9" s="439">
        <f t="shared" si="0"/>
        <v>3000000</v>
      </c>
      <c r="CC9" s="439">
        <f t="shared" si="0"/>
        <v>3000000</v>
      </c>
      <c r="CD9" s="439">
        <f t="shared" si="0"/>
        <v>3000000</v>
      </c>
      <c r="CE9" s="439">
        <f t="shared" si="0"/>
        <v>3000000</v>
      </c>
      <c r="CF9" s="439">
        <f t="shared" si="0"/>
        <v>3000000</v>
      </c>
      <c r="CG9" s="439">
        <f t="shared" si="0"/>
        <v>3000000</v>
      </c>
      <c r="CH9" s="439">
        <f t="shared" si="0"/>
        <v>3000000</v>
      </c>
      <c r="CI9" s="439">
        <f t="shared" si="0"/>
        <v>3000000</v>
      </c>
      <c r="CJ9" s="439">
        <f t="shared" si="0"/>
        <v>3000000</v>
      </c>
      <c r="CK9" s="439">
        <f t="shared" si="0"/>
        <v>3000000</v>
      </c>
      <c r="CL9" s="439">
        <f t="shared" si="0"/>
        <v>3000000</v>
      </c>
      <c r="CM9" s="439">
        <f t="shared" si="0"/>
        <v>3000000</v>
      </c>
      <c r="CN9" s="439">
        <f t="shared" ref="CN9:CY9" si="1">CM9</f>
        <v>3000000</v>
      </c>
      <c r="CO9" s="439">
        <f t="shared" si="1"/>
        <v>3000000</v>
      </c>
      <c r="CP9" s="439">
        <f t="shared" si="1"/>
        <v>3000000</v>
      </c>
      <c r="CQ9" s="439">
        <f t="shared" si="1"/>
        <v>3000000</v>
      </c>
      <c r="CR9" s="439">
        <f t="shared" si="1"/>
        <v>3000000</v>
      </c>
      <c r="CS9" s="439">
        <f t="shared" si="1"/>
        <v>3000000</v>
      </c>
      <c r="CT9" s="439">
        <f t="shared" si="1"/>
        <v>3000000</v>
      </c>
      <c r="CU9" s="439">
        <f t="shared" si="1"/>
        <v>3000000</v>
      </c>
      <c r="CV9" s="439">
        <f t="shared" si="1"/>
        <v>3000000</v>
      </c>
      <c r="CW9" s="439">
        <f t="shared" si="1"/>
        <v>3000000</v>
      </c>
      <c r="CX9" s="439">
        <f t="shared" si="1"/>
        <v>3000000</v>
      </c>
      <c r="CY9" s="439">
        <f t="shared" si="1"/>
        <v>3000000</v>
      </c>
    </row>
    <row r="10" spans="1:103" ht="12" customHeight="1">
      <c r="A10" s="310" t="s">
        <v>533</v>
      </c>
      <c r="B10" s="439">
        <v>28080</v>
      </c>
      <c r="C10" s="439">
        <v>28080</v>
      </c>
      <c r="D10" s="439">
        <v>28080</v>
      </c>
      <c r="E10" s="439">
        <v>28080</v>
      </c>
      <c r="F10" s="439">
        <v>28080</v>
      </c>
      <c r="G10" s="439">
        <v>28080</v>
      </c>
      <c r="H10" s="439">
        <v>28080</v>
      </c>
      <c r="I10" s="439">
        <v>28080</v>
      </c>
      <c r="J10" s="439">
        <v>28080</v>
      </c>
      <c r="K10" s="439">
        <v>28080</v>
      </c>
      <c r="L10" s="439">
        <v>28080</v>
      </c>
      <c r="M10" s="439">
        <v>28080</v>
      </c>
      <c r="N10" s="439">
        <v>29203.200000000001</v>
      </c>
      <c r="O10" s="439">
        <v>29203.200000000001</v>
      </c>
      <c r="P10" s="439">
        <v>29203.200000000001</v>
      </c>
      <c r="Q10" s="439">
        <v>29203.200000000001</v>
      </c>
      <c r="R10" s="439">
        <v>29203.200000000001</v>
      </c>
      <c r="S10" s="439">
        <v>29203.200000000001</v>
      </c>
      <c r="T10" s="439">
        <v>29203.200000000001</v>
      </c>
      <c r="U10" s="439">
        <v>29203.200000000001</v>
      </c>
      <c r="V10" s="439">
        <v>29203.200000000001</v>
      </c>
      <c r="W10" s="439">
        <v>29203.200000000001</v>
      </c>
      <c r="X10" s="439">
        <v>29203.200000000001</v>
      </c>
      <c r="Y10" s="439">
        <v>29203.200000000001</v>
      </c>
      <c r="Z10" s="439">
        <v>30371.328000000001</v>
      </c>
      <c r="AA10" s="439">
        <v>30371.328000000001</v>
      </c>
      <c r="AB10" s="439">
        <v>30371.328000000001</v>
      </c>
      <c r="AC10" s="439">
        <v>30371.328000000001</v>
      </c>
      <c r="AD10" s="439">
        <v>30371.328000000001</v>
      </c>
      <c r="AE10" s="439">
        <v>30371.328000000001</v>
      </c>
      <c r="AF10" s="439">
        <v>30371.328000000001</v>
      </c>
      <c r="AG10" s="439">
        <v>30371.328000000001</v>
      </c>
      <c r="AH10" s="439">
        <v>30371.328000000001</v>
      </c>
      <c r="AI10" s="439">
        <v>30371.328000000001</v>
      </c>
      <c r="AJ10" s="439">
        <v>30371.328000000001</v>
      </c>
      <c r="AK10" s="439">
        <v>30371.328000000001</v>
      </c>
      <c r="AL10" s="439">
        <v>31586.181120000001</v>
      </c>
      <c r="AM10" s="439">
        <v>31586.181120000001</v>
      </c>
      <c r="AN10" s="439">
        <v>31586.181120000001</v>
      </c>
      <c r="AO10" s="439">
        <v>31586.181120000001</v>
      </c>
      <c r="AP10" s="439">
        <v>31586.181120000001</v>
      </c>
      <c r="AQ10" s="439">
        <v>31586.181120000001</v>
      </c>
      <c r="AR10" s="439">
        <v>31586.181120000001</v>
      </c>
      <c r="AS10" s="439">
        <v>31586.181120000001</v>
      </c>
      <c r="AT10" s="439">
        <v>31586.181120000001</v>
      </c>
      <c r="AU10" s="439">
        <v>31586.181120000001</v>
      </c>
      <c r="AV10" s="439">
        <v>31586.181120000001</v>
      </c>
      <c r="AW10" s="439">
        <v>31586.181120000001</v>
      </c>
      <c r="AX10" s="439">
        <v>32849.628364800003</v>
      </c>
      <c r="AY10" s="439">
        <v>32849.628364800003</v>
      </c>
      <c r="AZ10" s="439">
        <v>32849.628364800003</v>
      </c>
      <c r="BA10" s="439">
        <v>32849.628364800003</v>
      </c>
      <c r="BB10" s="439">
        <v>32849.628364800003</v>
      </c>
      <c r="BC10" s="439">
        <v>32849.628364800003</v>
      </c>
      <c r="BD10" s="439">
        <v>32849.628364800003</v>
      </c>
      <c r="BE10" s="439">
        <v>32849.628364800003</v>
      </c>
      <c r="BF10" s="439">
        <v>32849.628364800003</v>
      </c>
      <c r="BG10" s="439">
        <v>32849.628364800003</v>
      </c>
      <c r="BH10" s="439">
        <v>32849.628364800003</v>
      </c>
      <c r="BI10" s="439">
        <v>32849.628364800003</v>
      </c>
      <c r="BJ10" s="439">
        <v>34163.613499392006</v>
      </c>
      <c r="BK10" s="439">
        <v>34163.613499392006</v>
      </c>
      <c r="BL10" s="439">
        <v>34163.613499392006</v>
      </c>
      <c r="BM10" s="439">
        <v>34163.613499392006</v>
      </c>
      <c r="BN10" s="439">
        <v>34163.613499392006</v>
      </c>
      <c r="BO10" s="439">
        <v>34163.613499392006</v>
      </c>
      <c r="BP10" s="439">
        <v>34163.613499392006</v>
      </c>
      <c r="BQ10" s="439">
        <v>34163.613499392006</v>
      </c>
      <c r="BR10" s="439">
        <v>34163.613499392006</v>
      </c>
      <c r="BS10" s="439">
        <v>34163.613499392006</v>
      </c>
      <c r="BT10" s="439">
        <v>34163.613499392006</v>
      </c>
      <c r="BU10" s="439">
        <v>34163.613499392006</v>
      </c>
      <c r="BV10" s="439">
        <v>35530.158039367685</v>
      </c>
      <c r="BW10" s="439">
        <v>35530.158039367685</v>
      </c>
      <c r="BX10" s="439">
        <v>35530.158039367685</v>
      </c>
      <c r="BY10" s="439">
        <v>35530.158039367685</v>
      </c>
      <c r="BZ10" s="439">
        <v>35530.158039367685</v>
      </c>
      <c r="CA10" s="439">
        <v>35530.158039367685</v>
      </c>
      <c r="CB10" s="439">
        <v>35530.158039367685</v>
      </c>
      <c r="CC10" s="439">
        <v>35530.158039367685</v>
      </c>
      <c r="CD10" s="439">
        <v>35530.158039367685</v>
      </c>
      <c r="CE10" s="439">
        <v>35530.158039367685</v>
      </c>
      <c r="CF10" s="439">
        <v>35530.158039367685</v>
      </c>
      <c r="CG10" s="439">
        <v>35530.158039367685</v>
      </c>
      <c r="CH10" s="439">
        <v>36951.364360942396</v>
      </c>
      <c r="CI10" s="439">
        <v>36951.364360942396</v>
      </c>
      <c r="CJ10" s="439">
        <v>36951.364360942396</v>
      </c>
      <c r="CK10" s="439">
        <v>36951.364360942396</v>
      </c>
      <c r="CL10" s="439">
        <v>36951.364360942396</v>
      </c>
      <c r="CM10" s="439">
        <v>36951.364360942396</v>
      </c>
      <c r="CN10" s="439">
        <v>36951.364360942396</v>
      </c>
      <c r="CO10" s="439">
        <v>36951.364360942396</v>
      </c>
      <c r="CP10" s="439">
        <v>36951.364360942396</v>
      </c>
      <c r="CQ10" s="439">
        <v>36951.364360942396</v>
      </c>
      <c r="CR10" s="439">
        <v>36951.364360942396</v>
      </c>
      <c r="CS10" s="439">
        <v>36951.364360942396</v>
      </c>
      <c r="CT10" s="439">
        <v>38429.41893538009</v>
      </c>
      <c r="CU10" s="439">
        <v>38429.41893538009</v>
      </c>
      <c r="CV10" s="439">
        <v>38429.41893538009</v>
      </c>
      <c r="CW10" s="439">
        <v>38429.41893538009</v>
      </c>
      <c r="CX10" s="439">
        <v>38429.41893538009</v>
      </c>
      <c r="CY10" s="439">
        <v>38429.41893538009</v>
      </c>
    </row>
    <row r="11" spans="1:103" ht="12" customHeight="1">
      <c r="A11" s="310" t="s">
        <v>534</v>
      </c>
      <c r="B11" s="439">
        <v>16640</v>
      </c>
      <c r="C11" s="439">
        <v>16640</v>
      </c>
      <c r="D11" s="439">
        <v>16640</v>
      </c>
      <c r="E11" s="439">
        <v>16640</v>
      </c>
      <c r="F11" s="439">
        <v>16640</v>
      </c>
      <c r="G11" s="439">
        <v>16640</v>
      </c>
      <c r="H11" s="439">
        <v>16640</v>
      </c>
      <c r="I11" s="439">
        <v>16640</v>
      </c>
      <c r="J11" s="439">
        <v>16640</v>
      </c>
      <c r="K11" s="439">
        <v>16640</v>
      </c>
      <c r="L11" s="439">
        <v>16640</v>
      </c>
      <c r="M11" s="439">
        <v>16640</v>
      </c>
      <c r="N11" s="439">
        <v>17305.600000000002</v>
      </c>
      <c r="O11" s="439">
        <v>17305.600000000002</v>
      </c>
      <c r="P11" s="439">
        <v>17305.600000000002</v>
      </c>
      <c r="Q11" s="439">
        <v>17305.600000000002</v>
      </c>
      <c r="R11" s="439">
        <v>17305.600000000002</v>
      </c>
      <c r="S11" s="439">
        <v>17305.600000000002</v>
      </c>
      <c r="T11" s="439">
        <v>17305.600000000002</v>
      </c>
      <c r="U11" s="439">
        <v>17305.600000000002</v>
      </c>
      <c r="V11" s="439">
        <v>17305.600000000002</v>
      </c>
      <c r="W11" s="439">
        <v>17305.600000000002</v>
      </c>
      <c r="X11" s="439">
        <v>17305.600000000002</v>
      </c>
      <c r="Y11" s="439">
        <v>17305.600000000002</v>
      </c>
      <c r="Z11" s="439">
        <v>17997.824000000004</v>
      </c>
      <c r="AA11" s="439">
        <v>17997.824000000004</v>
      </c>
      <c r="AB11" s="439">
        <v>17997.824000000004</v>
      </c>
      <c r="AC11" s="439">
        <v>17997.824000000004</v>
      </c>
      <c r="AD11" s="439">
        <v>17997.824000000004</v>
      </c>
      <c r="AE11" s="439">
        <v>17997.824000000004</v>
      </c>
      <c r="AF11" s="439">
        <v>17997.824000000004</v>
      </c>
      <c r="AG11" s="439">
        <v>17997.824000000004</v>
      </c>
      <c r="AH11" s="439">
        <v>17997.824000000004</v>
      </c>
      <c r="AI11" s="439">
        <v>17997.824000000004</v>
      </c>
      <c r="AJ11" s="439">
        <v>17997.824000000004</v>
      </c>
      <c r="AK11" s="439">
        <v>17997.824000000004</v>
      </c>
      <c r="AL11" s="439">
        <v>18717.736960000006</v>
      </c>
      <c r="AM11" s="439">
        <v>18717.736960000006</v>
      </c>
      <c r="AN11" s="439">
        <v>18717.736960000006</v>
      </c>
      <c r="AO11" s="439">
        <v>18717.736960000006</v>
      </c>
      <c r="AP11" s="439">
        <v>18717.736960000006</v>
      </c>
      <c r="AQ11" s="439">
        <v>18717.736960000006</v>
      </c>
      <c r="AR11" s="439">
        <v>18717.736960000006</v>
      </c>
      <c r="AS11" s="439">
        <v>18717.736960000006</v>
      </c>
      <c r="AT11" s="439">
        <v>18717.736960000006</v>
      </c>
      <c r="AU11" s="439">
        <v>18717.736960000006</v>
      </c>
      <c r="AV11" s="439">
        <v>18717.736960000006</v>
      </c>
      <c r="AW11" s="439">
        <v>18717.736960000006</v>
      </c>
      <c r="AX11" s="439">
        <v>19466.446438400006</v>
      </c>
      <c r="AY11" s="439">
        <v>19466.446438400006</v>
      </c>
      <c r="AZ11" s="439">
        <v>19466.446438400006</v>
      </c>
      <c r="BA11" s="439">
        <v>19466.446438400006</v>
      </c>
      <c r="BB11" s="439">
        <v>19466.446438400006</v>
      </c>
      <c r="BC11" s="439">
        <v>19466.446438400006</v>
      </c>
      <c r="BD11" s="439">
        <v>19466.446438400006</v>
      </c>
      <c r="BE11" s="439">
        <v>19466.446438400006</v>
      </c>
      <c r="BF11" s="439">
        <v>19466.446438400006</v>
      </c>
      <c r="BG11" s="439">
        <v>19466.446438400006</v>
      </c>
      <c r="BH11" s="439">
        <v>19466.446438400006</v>
      </c>
      <c r="BI11" s="439">
        <v>19466.446438400006</v>
      </c>
      <c r="BJ11" s="439">
        <v>20245.104295936006</v>
      </c>
      <c r="BK11" s="439">
        <v>20245.104295936006</v>
      </c>
      <c r="BL11" s="439">
        <v>20245.104295936006</v>
      </c>
      <c r="BM11" s="439">
        <v>20245.104295936006</v>
      </c>
      <c r="BN11" s="439">
        <v>20245.104295936006</v>
      </c>
      <c r="BO11" s="439">
        <v>20245.104295936006</v>
      </c>
      <c r="BP11" s="439">
        <v>20245.104295936006</v>
      </c>
      <c r="BQ11" s="439">
        <v>20245.104295936006</v>
      </c>
      <c r="BR11" s="439">
        <v>20245.104295936006</v>
      </c>
      <c r="BS11" s="439">
        <v>20245.104295936006</v>
      </c>
      <c r="BT11" s="439">
        <v>20245.104295936006</v>
      </c>
      <c r="BU11" s="439">
        <v>20245.104295936006</v>
      </c>
      <c r="BV11" s="439">
        <v>21054.908467773446</v>
      </c>
      <c r="BW11" s="439">
        <v>21054.908467773446</v>
      </c>
      <c r="BX11" s="439">
        <v>21054.908467773446</v>
      </c>
      <c r="BY11" s="439">
        <v>21054.908467773446</v>
      </c>
      <c r="BZ11" s="439">
        <v>21054.908467773446</v>
      </c>
      <c r="CA11" s="439">
        <v>21054.908467773446</v>
      </c>
      <c r="CB11" s="439">
        <v>21054.908467773446</v>
      </c>
      <c r="CC11" s="439">
        <v>21054.908467773446</v>
      </c>
      <c r="CD11" s="439">
        <v>21054.908467773446</v>
      </c>
      <c r="CE11" s="439">
        <v>21054.908467773446</v>
      </c>
      <c r="CF11" s="439">
        <v>21054.908467773446</v>
      </c>
      <c r="CG11" s="439">
        <v>21054.908467773446</v>
      </c>
      <c r="CH11" s="439">
        <v>21897.104806484385</v>
      </c>
      <c r="CI11" s="439">
        <v>21897.104806484385</v>
      </c>
      <c r="CJ11" s="439">
        <v>21897.104806484385</v>
      </c>
      <c r="CK11" s="439">
        <v>21897.104806484385</v>
      </c>
      <c r="CL11" s="439">
        <v>21897.104806484385</v>
      </c>
      <c r="CM11" s="439">
        <v>21897.104806484385</v>
      </c>
      <c r="CN11" s="439">
        <v>21897.104806484385</v>
      </c>
      <c r="CO11" s="439">
        <v>21897.104806484385</v>
      </c>
      <c r="CP11" s="439">
        <v>21897.104806484385</v>
      </c>
      <c r="CQ11" s="439">
        <v>21897.104806484385</v>
      </c>
      <c r="CR11" s="439">
        <v>21897.104806484385</v>
      </c>
      <c r="CS11" s="439">
        <v>21897.104806484385</v>
      </c>
      <c r="CT11" s="439">
        <v>22772.98899874376</v>
      </c>
      <c r="CU11" s="439">
        <v>22772.98899874376</v>
      </c>
      <c r="CV11" s="439">
        <v>22772.98899874376</v>
      </c>
      <c r="CW11" s="439">
        <v>22772.98899874376</v>
      </c>
      <c r="CX11" s="439">
        <v>22772.98899874376</v>
      </c>
      <c r="CY11" s="439">
        <v>22772.98899874376</v>
      </c>
    </row>
    <row r="12" spans="1:103" ht="12" customHeight="1">
      <c r="A12" s="310" t="s">
        <v>535</v>
      </c>
      <c r="B12" s="439">
        <v>416000</v>
      </c>
      <c r="C12" s="439">
        <v>416000</v>
      </c>
      <c r="D12" s="439">
        <v>416000</v>
      </c>
      <c r="E12" s="439">
        <v>416000</v>
      </c>
      <c r="F12" s="439">
        <v>416000</v>
      </c>
      <c r="G12" s="439">
        <v>416000</v>
      </c>
      <c r="H12" s="439">
        <v>416000</v>
      </c>
      <c r="I12" s="439">
        <v>416000</v>
      </c>
      <c r="J12" s="439">
        <v>416000</v>
      </c>
      <c r="K12" s="439">
        <v>416000</v>
      </c>
      <c r="L12" s="439">
        <v>416000</v>
      </c>
      <c r="M12" s="439">
        <v>416000</v>
      </c>
      <c r="N12" s="439">
        <v>432640</v>
      </c>
      <c r="O12" s="439">
        <v>432640</v>
      </c>
      <c r="P12" s="439">
        <v>432640</v>
      </c>
      <c r="Q12" s="439">
        <v>432640</v>
      </c>
      <c r="R12" s="439">
        <v>432640</v>
      </c>
      <c r="S12" s="439">
        <v>432640</v>
      </c>
      <c r="T12" s="439">
        <v>432640</v>
      </c>
      <c r="U12" s="439">
        <v>432640</v>
      </c>
      <c r="V12" s="439">
        <v>432640</v>
      </c>
      <c r="W12" s="439">
        <v>432640</v>
      </c>
      <c r="X12" s="439">
        <v>432640</v>
      </c>
      <c r="Y12" s="439">
        <v>432640</v>
      </c>
      <c r="Z12" s="439">
        <v>449945.60000000003</v>
      </c>
      <c r="AA12" s="439">
        <v>449945.60000000003</v>
      </c>
      <c r="AB12" s="439">
        <v>449945.60000000003</v>
      </c>
      <c r="AC12" s="439">
        <v>449945.60000000003</v>
      </c>
      <c r="AD12" s="439">
        <v>449945.60000000003</v>
      </c>
      <c r="AE12" s="439">
        <v>449945.60000000003</v>
      </c>
      <c r="AF12" s="439">
        <v>449945.60000000003</v>
      </c>
      <c r="AG12" s="439">
        <v>449945.60000000003</v>
      </c>
      <c r="AH12" s="439">
        <v>449945.60000000003</v>
      </c>
      <c r="AI12" s="439">
        <v>449945.60000000003</v>
      </c>
      <c r="AJ12" s="439">
        <v>449945.60000000003</v>
      </c>
      <c r="AK12" s="439">
        <v>449945.60000000003</v>
      </c>
      <c r="AL12" s="439">
        <v>467943.42400000006</v>
      </c>
      <c r="AM12" s="439">
        <v>467943.42400000006</v>
      </c>
      <c r="AN12" s="439">
        <v>467943.42400000006</v>
      </c>
      <c r="AO12" s="439">
        <v>467943.42400000006</v>
      </c>
      <c r="AP12" s="439">
        <v>467943.42400000006</v>
      </c>
      <c r="AQ12" s="439">
        <v>467943.42400000006</v>
      </c>
      <c r="AR12" s="439">
        <v>467943.42400000006</v>
      </c>
      <c r="AS12" s="439">
        <v>467943.42400000006</v>
      </c>
      <c r="AT12" s="439">
        <v>467943.42400000006</v>
      </c>
      <c r="AU12" s="439">
        <v>467943.42400000006</v>
      </c>
      <c r="AV12" s="439">
        <v>467943.42400000006</v>
      </c>
      <c r="AW12" s="439">
        <v>467943.42400000006</v>
      </c>
      <c r="AX12" s="439">
        <v>486661.16096000007</v>
      </c>
      <c r="AY12" s="439">
        <v>486661.16096000007</v>
      </c>
      <c r="AZ12" s="439">
        <v>486661.16096000007</v>
      </c>
      <c r="BA12" s="439">
        <v>486661.16096000007</v>
      </c>
      <c r="BB12" s="439">
        <v>486661.16096000007</v>
      </c>
      <c r="BC12" s="439">
        <v>486661.16096000007</v>
      </c>
      <c r="BD12" s="439">
        <v>486661.16096000007</v>
      </c>
      <c r="BE12" s="439">
        <v>486661.16096000007</v>
      </c>
      <c r="BF12" s="439">
        <v>486661.16096000007</v>
      </c>
      <c r="BG12" s="439">
        <v>486661.16096000007</v>
      </c>
      <c r="BH12" s="439">
        <v>486661.16096000007</v>
      </c>
      <c r="BI12" s="439">
        <v>486661.16096000007</v>
      </c>
      <c r="BJ12" s="439">
        <v>506127.60739840008</v>
      </c>
      <c r="BK12" s="439">
        <v>506127.60739840008</v>
      </c>
      <c r="BL12" s="439">
        <v>506127.60739840008</v>
      </c>
      <c r="BM12" s="439">
        <v>506127.60739840008</v>
      </c>
      <c r="BN12" s="439">
        <v>506127.60739840008</v>
      </c>
      <c r="BO12" s="439">
        <v>506127.60739840008</v>
      </c>
      <c r="BP12" s="439">
        <v>506127.60739840008</v>
      </c>
      <c r="BQ12" s="439">
        <v>506127.60739840008</v>
      </c>
      <c r="BR12" s="439">
        <v>506127.60739840008</v>
      </c>
      <c r="BS12" s="439">
        <v>506127.60739840008</v>
      </c>
      <c r="BT12" s="439">
        <v>506127.60739840008</v>
      </c>
      <c r="BU12" s="439">
        <v>506127.60739840008</v>
      </c>
      <c r="BV12" s="439">
        <v>526372.71169433615</v>
      </c>
      <c r="BW12" s="439">
        <v>526372.71169433615</v>
      </c>
      <c r="BX12" s="439">
        <v>526372.71169433615</v>
      </c>
      <c r="BY12" s="439">
        <v>526372.71169433615</v>
      </c>
      <c r="BZ12" s="439">
        <v>526372.71169433615</v>
      </c>
      <c r="CA12" s="439">
        <v>526372.71169433615</v>
      </c>
      <c r="CB12" s="439">
        <v>526372.71169433615</v>
      </c>
      <c r="CC12" s="439">
        <v>526372.71169433615</v>
      </c>
      <c r="CD12" s="439">
        <v>526372.71169433615</v>
      </c>
      <c r="CE12" s="439">
        <v>526372.71169433615</v>
      </c>
      <c r="CF12" s="439">
        <v>526372.71169433615</v>
      </c>
      <c r="CG12" s="439">
        <v>526372.71169433615</v>
      </c>
      <c r="CH12" s="439">
        <v>547427.62016210961</v>
      </c>
      <c r="CI12" s="439">
        <v>547427.62016210961</v>
      </c>
      <c r="CJ12" s="439">
        <v>547427.62016210961</v>
      </c>
      <c r="CK12" s="439">
        <v>547427.62016210961</v>
      </c>
      <c r="CL12" s="439">
        <v>547427.62016210961</v>
      </c>
      <c r="CM12" s="439">
        <v>547427.62016210961</v>
      </c>
      <c r="CN12" s="439">
        <v>547427.62016210961</v>
      </c>
      <c r="CO12" s="439">
        <v>547427.62016210961</v>
      </c>
      <c r="CP12" s="439">
        <v>547427.62016210961</v>
      </c>
      <c r="CQ12" s="439">
        <v>547427.62016210961</v>
      </c>
      <c r="CR12" s="439">
        <v>547427.62016210961</v>
      </c>
      <c r="CS12" s="439">
        <v>547427.62016210961</v>
      </c>
      <c r="CT12" s="439">
        <v>569324.72496859403</v>
      </c>
      <c r="CU12" s="439">
        <v>569324.72496859403</v>
      </c>
      <c r="CV12" s="439">
        <v>569324.72496859403</v>
      </c>
      <c r="CW12" s="439">
        <v>569324.72496859403</v>
      </c>
      <c r="CX12" s="439">
        <v>569324.72496859403</v>
      </c>
      <c r="CY12" s="439">
        <v>569324.72496859403</v>
      </c>
    </row>
    <row r="13" spans="1:103" ht="12" customHeight="1">
      <c r="A13" s="310" t="s">
        <v>536</v>
      </c>
      <c r="B13" s="439">
        <v>312000</v>
      </c>
      <c r="C13" s="439">
        <v>312000</v>
      </c>
      <c r="D13" s="439">
        <v>312000</v>
      </c>
      <c r="E13" s="439">
        <v>312000</v>
      </c>
      <c r="F13" s="439">
        <v>312000</v>
      </c>
      <c r="G13" s="439">
        <v>312000</v>
      </c>
      <c r="H13" s="439">
        <v>312000</v>
      </c>
      <c r="I13" s="439">
        <v>312000</v>
      </c>
      <c r="J13" s="439">
        <v>312000</v>
      </c>
      <c r="K13" s="439">
        <v>312000</v>
      </c>
      <c r="L13" s="439">
        <v>312000</v>
      </c>
      <c r="M13" s="439">
        <v>312000</v>
      </c>
      <c r="N13" s="439">
        <v>0</v>
      </c>
      <c r="O13" s="439">
        <v>0</v>
      </c>
      <c r="P13" s="439">
        <v>0</v>
      </c>
      <c r="Q13" s="439">
        <v>0</v>
      </c>
      <c r="R13" s="439">
        <v>0</v>
      </c>
      <c r="S13" s="439">
        <v>0</v>
      </c>
      <c r="T13" s="439">
        <v>0</v>
      </c>
      <c r="U13" s="439">
        <v>0</v>
      </c>
      <c r="V13" s="439">
        <v>0</v>
      </c>
      <c r="W13" s="439">
        <v>0</v>
      </c>
      <c r="X13" s="439">
        <v>0</v>
      </c>
      <c r="Y13" s="439">
        <v>0</v>
      </c>
      <c r="Z13" s="439">
        <v>0</v>
      </c>
      <c r="AA13" s="439">
        <v>0</v>
      </c>
      <c r="AB13" s="439">
        <v>0</v>
      </c>
      <c r="AC13" s="439">
        <v>0</v>
      </c>
      <c r="AD13" s="439">
        <v>0</v>
      </c>
      <c r="AE13" s="439">
        <v>0</v>
      </c>
      <c r="AF13" s="439">
        <v>0</v>
      </c>
      <c r="AG13" s="439">
        <v>0</v>
      </c>
      <c r="AH13" s="439">
        <v>0</v>
      </c>
      <c r="AI13" s="439">
        <v>0</v>
      </c>
      <c r="AJ13" s="439">
        <v>0</v>
      </c>
      <c r="AK13" s="439">
        <v>0</v>
      </c>
      <c r="AL13" s="439">
        <v>0</v>
      </c>
      <c r="AM13" s="439">
        <v>0</v>
      </c>
      <c r="AN13" s="439">
        <v>0</v>
      </c>
      <c r="AO13" s="439">
        <v>0</v>
      </c>
      <c r="AP13" s="439">
        <v>0</v>
      </c>
      <c r="AQ13" s="439">
        <v>0</v>
      </c>
      <c r="AR13" s="439">
        <v>0</v>
      </c>
      <c r="AS13" s="439">
        <v>0</v>
      </c>
      <c r="AT13" s="439">
        <v>0</v>
      </c>
      <c r="AU13" s="439">
        <v>0</v>
      </c>
      <c r="AV13" s="439">
        <v>0</v>
      </c>
      <c r="AW13" s="439">
        <v>0</v>
      </c>
      <c r="AX13" s="439">
        <v>0</v>
      </c>
      <c r="AY13" s="439">
        <v>0</v>
      </c>
      <c r="AZ13" s="439">
        <v>0</v>
      </c>
      <c r="BA13" s="439">
        <v>0</v>
      </c>
      <c r="BB13" s="439">
        <v>0</v>
      </c>
      <c r="BC13" s="439">
        <v>0</v>
      </c>
      <c r="BD13" s="439">
        <v>0</v>
      </c>
      <c r="BE13" s="439">
        <v>0</v>
      </c>
      <c r="BF13" s="439">
        <v>0</v>
      </c>
      <c r="BG13" s="439">
        <v>0</v>
      </c>
      <c r="BH13" s="439">
        <v>0</v>
      </c>
      <c r="BI13" s="439">
        <v>0</v>
      </c>
      <c r="BJ13" s="439">
        <v>0</v>
      </c>
      <c r="BK13" s="439">
        <v>0</v>
      </c>
      <c r="BL13" s="439">
        <v>0</v>
      </c>
      <c r="BM13" s="439">
        <v>0</v>
      </c>
      <c r="BN13" s="439">
        <v>0</v>
      </c>
      <c r="BO13" s="439">
        <v>0</v>
      </c>
      <c r="BP13" s="439">
        <v>0</v>
      </c>
      <c r="BQ13" s="439">
        <v>0</v>
      </c>
      <c r="BR13" s="439">
        <v>0</v>
      </c>
      <c r="BS13" s="439">
        <v>0</v>
      </c>
      <c r="BT13" s="439">
        <v>0</v>
      </c>
      <c r="BU13" s="439">
        <v>0</v>
      </c>
      <c r="BV13" s="439">
        <v>0</v>
      </c>
      <c r="BW13" s="439">
        <v>0</v>
      </c>
      <c r="BX13" s="439">
        <v>0</v>
      </c>
      <c r="BY13" s="439">
        <v>0</v>
      </c>
      <c r="BZ13" s="439">
        <v>0</v>
      </c>
      <c r="CA13" s="439">
        <v>0</v>
      </c>
      <c r="CB13" s="439">
        <v>0</v>
      </c>
      <c r="CC13" s="439">
        <v>0</v>
      </c>
      <c r="CD13" s="439">
        <v>0</v>
      </c>
      <c r="CE13" s="439">
        <v>0</v>
      </c>
      <c r="CF13" s="439">
        <v>0</v>
      </c>
      <c r="CG13" s="439">
        <v>0</v>
      </c>
      <c r="CH13" s="439">
        <v>0</v>
      </c>
      <c r="CI13" s="439">
        <v>0</v>
      </c>
      <c r="CJ13" s="439">
        <v>0</v>
      </c>
      <c r="CK13" s="439">
        <v>0</v>
      </c>
      <c r="CL13" s="439">
        <v>0</v>
      </c>
      <c r="CM13" s="439">
        <v>0</v>
      </c>
      <c r="CN13" s="439">
        <v>0</v>
      </c>
      <c r="CO13" s="439">
        <v>0</v>
      </c>
      <c r="CP13" s="439">
        <v>0</v>
      </c>
      <c r="CQ13" s="439">
        <v>0</v>
      </c>
      <c r="CR13" s="439">
        <v>0</v>
      </c>
      <c r="CS13" s="439">
        <v>0</v>
      </c>
      <c r="CT13" s="439">
        <v>0</v>
      </c>
      <c r="CU13" s="439">
        <v>0</v>
      </c>
      <c r="CV13" s="439">
        <v>0</v>
      </c>
      <c r="CW13" s="439">
        <v>0</v>
      </c>
      <c r="CX13" s="439">
        <v>0</v>
      </c>
      <c r="CY13" s="439">
        <v>0</v>
      </c>
    </row>
    <row r="14" spans="1:103" ht="12" customHeight="1">
      <c r="A14" s="310" t="s">
        <v>537</v>
      </c>
      <c r="B14" s="439">
        <v>1560000</v>
      </c>
      <c r="C14" s="439">
        <v>1560000</v>
      </c>
      <c r="D14" s="439">
        <v>1560000</v>
      </c>
      <c r="E14" s="439">
        <v>1560000</v>
      </c>
      <c r="F14" s="439">
        <v>1560000</v>
      </c>
      <c r="G14" s="439">
        <v>1560000</v>
      </c>
      <c r="H14" s="439">
        <v>1560000</v>
      </c>
      <c r="I14" s="439">
        <v>1560000</v>
      </c>
      <c r="J14" s="439">
        <v>1560000</v>
      </c>
      <c r="K14" s="439">
        <v>1560000</v>
      </c>
      <c r="L14" s="439">
        <v>1560000</v>
      </c>
      <c r="M14" s="439">
        <v>1560000</v>
      </c>
      <c r="N14" s="439">
        <v>1622400</v>
      </c>
      <c r="O14" s="439">
        <v>1622400</v>
      </c>
      <c r="P14" s="439">
        <v>1622400</v>
      </c>
      <c r="Q14" s="439">
        <v>1622400</v>
      </c>
      <c r="R14" s="439">
        <v>1622400</v>
      </c>
      <c r="S14" s="439">
        <v>1622400</v>
      </c>
      <c r="T14" s="439">
        <v>1622400</v>
      </c>
      <c r="U14" s="439">
        <v>1622400</v>
      </c>
      <c r="V14" s="439">
        <v>1622400</v>
      </c>
      <c r="W14" s="439">
        <v>1622400</v>
      </c>
      <c r="X14" s="439">
        <v>1622400</v>
      </c>
      <c r="Y14" s="439">
        <v>1622400</v>
      </c>
      <c r="Z14" s="439">
        <v>1687296</v>
      </c>
      <c r="AA14" s="439">
        <v>1687296</v>
      </c>
      <c r="AB14" s="439">
        <v>1687296</v>
      </c>
      <c r="AC14" s="439">
        <v>1687296</v>
      </c>
      <c r="AD14" s="439">
        <v>1687296</v>
      </c>
      <c r="AE14" s="439">
        <v>1687296</v>
      </c>
      <c r="AF14" s="439">
        <v>1687296</v>
      </c>
      <c r="AG14" s="439">
        <v>1687296</v>
      </c>
      <c r="AH14" s="439">
        <v>1687296</v>
      </c>
      <c r="AI14" s="439">
        <v>1687296</v>
      </c>
      <c r="AJ14" s="439">
        <v>1687296</v>
      </c>
      <c r="AK14" s="439">
        <v>1687296</v>
      </c>
      <c r="AL14" s="439">
        <v>1754787.8400000001</v>
      </c>
      <c r="AM14" s="439">
        <v>1754787.8400000001</v>
      </c>
      <c r="AN14" s="439">
        <v>1754787.8400000001</v>
      </c>
      <c r="AO14" s="439">
        <v>1754787.8400000001</v>
      </c>
      <c r="AP14" s="439">
        <v>1754787.8400000001</v>
      </c>
      <c r="AQ14" s="439">
        <v>1754787.8400000001</v>
      </c>
      <c r="AR14" s="439">
        <v>1754787.8400000001</v>
      </c>
      <c r="AS14" s="439">
        <v>1754787.8400000001</v>
      </c>
      <c r="AT14" s="439">
        <v>1754787.8400000001</v>
      </c>
      <c r="AU14" s="439">
        <v>1754787.8400000001</v>
      </c>
      <c r="AV14" s="439">
        <v>1754787.8400000001</v>
      </c>
      <c r="AW14" s="439">
        <v>1754787.8400000001</v>
      </c>
      <c r="AX14" s="439">
        <v>1824979.3536000003</v>
      </c>
      <c r="AY14" s="439">
        <v>1824979.3536000003</v>
      </c>
      <c r="AZ14" s="439">
        <v>1824979.3536000003</v>
      </c>
      <c r="BA14" s="439">
        <v>1824979.3536000003</v>
      </c>
      <c r="BB14" s="439">
        <v>1824979.3536000003</v>
      </c>
      <c r="BC14" s="439">
        <v>1824979.3536000003</v>
      </c>
      <c r="BD14" s="439">
        <v>1824979.3536000003</v>
      </c>
      <c r="BE14" s="439">
        <v>1824979.3536000003</v>
      </c>
      <c r="BF14" s="439">
        <v>1824979.3536000003</v>
      </c>
      <c r="BG14" s="439">
        <v>1824979.3536000003</v>
      </c>
      <c r="BH14" s="439">
        <v>1824979.3536000003</v>
      </c>
      <c r="BI14" s="439">
        <v>1824979.3536000003</v>
      </c>
      <c r="BJ14" s="439">
        <v>1897978.5277440003</v>
      </c>
      <c r="BK14" s="439">
        <v>1897978.5277440003</v>
      </c>
      <c r="BL14" s="439">
        <v>1897978.5277440003</v>
      </c>
      <c r="BM14" s="439">
        <v>1897978.5277440003</v>
      </c>
      <c r="BN14" s="439">
        <v>1897978.5277440003</v>
      </c>
      <c r="BO14" s="439">
        <v>1897978.5277440003</v>
      </c>
      <c r="BP14" s="439">
        <v>1897978.5277440003</v>
      </c>
      <c r="BQ14" s="439">
        <v>1897978.5277440003</v>
      </c>
      <c r="BR14" s="439">
        <v>1897978.5277440003</v>
      </c>
      <c r="BS14" s="439">
        <v>1897978.5277440003</v>
      </c>
      <c r="BT14" s="439">
        <v>1897978.5277440003</v>
      </c>
      <c r="BU14" s="439">
        <v>1897978.5277440003</v>
      </c>
      <c r="BV14" s="439">
        <v>1973897.6688537605</v>
      </c>
      <c r="BW14" s="439">
        <v>1973897.6688537605</v>
      </c>
      <c r="BX14" s="439">
        <v>1973897.6688537605</v>
      </c>
      <c r="BY14" s="439">
        <v>1973897.6688537605</v>
      </c>
      <c r="BZ14" s="439">
        <v>1973897.6688537605</v>
      </c>
      <c r="CA14" s="439">
        <v>1973897.6688537605</v>
      </c>
      <c r="CB14" s="439">
        <v>1973897.6688537605</v>
      </c>
      <c r="CC14" s="439">
        <v>1973897.6688537605</v>
      </c>
      <c r="CD14" s="439">
        <v>1973897.6688537605</v>
      </c>
      <c r="CE14" s="439">
        <v>1973897.6688537605</v>
      </c>
      <c r="CF14" s="439">
        <v>1973897.6688537605</v>
      </c>
      <c r="CG14" s="439">
        <v>1973897.6688537605</v>
      </c>
      <c r="CH14" s="439">
        <v>2052853.575607911</v>
      </c>
      <c r="CI14" s="439">
        <v>2052853.575607911</v>
      </c>
      <c r="CJ14" s="439">
        <v>2052853.575607911</v>
      </c>
      <c r="CK14" s="439">
        <v>2052853.575607911</v>
      </c>
      <c r="CL14" s="439">
        <v>2052853.575607911</v>
      </c>
      <c r="CM14" s="439">
        <v>2052853.575607911</v>
      </c>
      <c r="CN14" s="439">
        <v>2052853.575607911</v>
      </c>
      <c r="CO14" s="439">
        <v>2052853.575607911</v>
      </c>
      <c r="CP14" s="439">
        <v>2052853.575607911</v>
      </c>
      <c r="CQ14" s="439">
        <v>2052853.575607911</v>
      </c>
      <c r="CR14" s="439">
        <v>2052853.575607911</v>
      </c>
      <c r="CS14" s="439">
        <v>2052853.575607911</v>
      </c>
      <c r="CT14" s="439">
        <v>2134967.7186322273</v>
      </c>
      <c r="CU14" s="439">
        <v>2134967.7186322273</v>
      </c>
      <c r="CV14" s="439">
        <v>2134967.7186322273</v>
      </c>
      <c r="CW14" s="439">
        <v>2134967.7186322273</v>
      </c>
      <c r="CX14" s="439">
        <v>2134967.7186322273</v>
      </c>
      <c r="CY14" s="439">
        <v>2134967.7186322273</v>
      </c>
    </row>
    <row r="15" spans="1:103" ht="12" customHeight="1">
      <c r="A15" s="310" t="s">
        <v>538</v>
      </c>
      <c r="B15" s="439">
        <f t="shared" ref="B15:BM15" si="2">B23</f>
        <v>5070000</v>
      </c>
      <c r="C15" s="439">
        <f t="shared" si="2"/>
        <v>5070000</v>
      </c>
      <c r="D15" s="439">
        <f t="shared" si="2"/>
        <v>5928000</v>
      </c>
      <c r="E15" s="439">
        <f t="shared" si="2"/>
        <v>5928000</v>
      </c>
      <c r="F15" s="439">
        <f t="shared" si="2"/>
        <v>5928000</v>
      </c>
      <c r="G15" s="439">
        <f t="shared" si="2"/>
        <v>5928000</v>
      </c>
      <c r="H15" s="439">
        <f t="shared" si="2"/>
        <v>5928000</v>
      </c>
      <c r="I15" s="439">
        <f t="shared" si="2"/>
        <v>5928000</v>
      </c>
      <c r="J15" s="439">
        <f t="shared" si="2"/>
        <v>5928000</v>
      </c>
      <c r="K15" s="439">
        <f t="shared" si="2"/>
        <v>5070000</v>
      </c>
      <c r="L15" s="439">
        <f t="shared" si="2"/>
        <v>5070000</v>
      </c>
      <c r="M15" s="439">
        <f t="shared" si="2"/>
        <v>5070000</v>
      </c>
      <c r="N15" s="439">
        <f t="shared" si="2"/>
        <v>5272800</v>
      </c>
      <c r="O15" s="439">
        <f t="shared" si="2"/>
        <v>5272800</v>
      </c>
      <c r="P15" s="439">
        <f t="shared" si="2"/>
        <v>5272800</v>
      </c>
      <c r="Q15" s="439">
        <f t="shared" si="2"/>
        <v>5272800</v>
      </c>
      <c r="R15" s="439">
        <f t="shared" si="2"/>
        <v>5272800</v>
      </c>
      <c r="S15" s="439">
        <f t="shared" si="2"/>
        <v>5272800</v>
      </c>
      <c r="T15" s="439">
        <f t="shared" si="2"/>
        <v>4056000</v>
      </c>
      <c r="U15" s="439">
        <f t="shared" si="2"/>
        <v>4056000</v>
      </c>
      <c r="V15" s="439">
        <f t="shared" si="2"/>
        <v>3244800</v>
      </c>
      <c r="W15" s="439">
        <f t="shared" si="2"/>
        <v>3244800</v>
      </c>
      <c r="X15" s="439">
        <f t="shared" si="2"/>
        <v>3244800</v>
      </c>
      <c r="Y15" s="439">
        <f t="shared" si="2"/>
        <v>3244800</v>
      </c>
      <c r="Z15" s="439">
        <f t="shared" si="2"/>
        <v>3374592</v>
      </c>
      <c r="AA15" s="439">
        <f t="shared" si="2"/>
        <v>3374592</v>
      </c>
      <c r="AB15" s="439">
        <f t="shared" si="2"/>
        <v>3374592</v>
      </c>
      <c r="AC15" s="439">
        <f t="shared" si="2"/>
        <v>3374592</v>
      </c>
      <c r="AD15" s="439">
        <f t="shared" si="2"/>
        <v>3374592</v>
      </c>
      <c r="AE15" s="439">
        <f t="shared" si="2"/>
        <v>3374592</v>
      </c>
      <c r="AF15" s="439">
        <f t="shared" si="2"/>
        <v>3374592</v>
      </c>
      <c r="AG15" s="439">
        <f t="shared" si="2"/>
        <v>2530944</v>
      </c>
      <c r="AH15" s="439">
        <f t="shared" si="2"/>
        <v>2530944</v>
      </c>
      <c r="AI15" s="439">
        <f t="shared" si="2"/>
        <v>2530944</v>
      </c>
      <c r="AJ15" s="439">
        <f t="shared" si="2"/>
        <v>2530944</v>
      </c>
      <c r="AK15" s="439">
        <f t="shared" si="2"/>
        <v>2530944</v>
      </c>
      <c r="AL15" s="439">
        <f t="shared" si="2"/>
        <v>2632181.7600000002</v>
      </c>
      <c r="AM15" s="439">
        <f t="shared" si="2"/>
        <v>2632181.7600000002</v>
      </c>
      <c r="AN15" s="439">
        <f t="shared" si="2"/>
        <v>2632181.7600000002</v>
      </c>
      <c r="AO15" s="439">
        <f t="shared" si="2"/>
        <v>2632181.7600000002</v>
      </c>
      <c r="AP15" s="439">
        <f t="shared" si="2"/>
        <v>2632181.7600000002</v>
      </c>
      <c r="AQ15" s="439">
        <f t="shared" si="2"/>
        <v>2632181.7600000002</v>
      </c>
      <c r="AR15" s="439">
        <f t="shared" si="2"/>
        <v>1754787.8400000001</v>
      </c>
      <c r="AS15" s="439">
        <f t="shared" si="2"/>
        <v>1754787.8400000001</v>
      </c>
      <c r="AT15" s="439">
        <f t="shared" si="2"/>
        <v>1754787.8400000001</v>
      </c>
      <c r="AU15" s="439">
        <f t="shared" si="2"/>
        <v>1754787.8400000001</v>
      </c>
      <c r="AV15" s="439">
        <f t="shared" si="2"/>
        <v>1754787.8400000001</v>
      </c>
      <c r="AW15" s="439">
        <f t="shared" si="2"/>
        <v>1754787.8400000001</v>
      </c>
      <c r="AX15" s="439">
        <f t="shared" si="2"/>
        <v>1824979.3536000003</v>
      </c>
      <c r="AY15" s="439">
        <f t="shared" si="2"/>
        <v>1824979.3536000003</v>
      </c>
      <c r="AZ15" s="439">
        <f t="shared" si="2"/>
        <v>1824979.3536000003</v>
      </c>
      <c r="BA15" s="439">
        <f t="shared" si="2"/>
        <v>1824979.3536000003</v>
      </c>
      <c r="BB15" s="439">
        <f t="shared" si="2"/>
        <v>1824979.3536000003</v>
      </c>
      <c r="BC15" s="439">
        <f t="shared" si="2"/>
        <v>1824979.3536000003</v>
      </c>
      <c r="BD15" s="439">
        <f t="shared" si="2"/>
        <v>1824979.3536000003</v>
      </c>
      <c r="BE15" s="439">
        <f t="shared" si="2"/>
        <v>1824979.3536000003</v>
      </c>
      <c r="BF15" s="439">
        <f t="shared" si="2"/>
        <v>1824979.3536000003</v>
      </c>
      <c r="BG15" s="439">
        <f t="shared" si="2"/>
        <v>1824979.3536000003</v>
      </c>
      <c r="BH15" s="439">
        <f t="shared" si="2"/>
        <v>1824979.3536000003</v>
      </c>
      <c r="BI15" s="439">
        <f t="shared" si="2"/>
        <v>1824979.3536000003</v>
      </c>
      <c r="BJ15" s="439">
        <f t="shared" si="2"/>
        <v>1897978.5277440003</v>
      </c>
      <c r="BK15" s="439">
        <f t="shared" si="2"/>
        <v>1897978.5277440003</v>
      </c>
      <c r="BL15" s="439">
        <f t="shared" si="2"/>
        <v>1897978.5277440003</v>
      </c>
      <c r="BM15" s="439">
        <f t="shared" si="2"/>
        <v>1897978.5277440003</v>
      </c>
      <c r="BN15" s="439">
        <f t="shared" ref="BN15:CY15" si="3">BN23</f>
        <v>1897978.5277440003</v>
      </c>
      <c r="BO15" s="439">
        <f t="shared" si="3"/>
        <v>1897978.5277440003</v>
      </c>
      <c r="BP15" s="439">
        <f t="shared" si="3"/>
        <v>1897978.5277440003</v>
      </c>
      <c r="BQ15" s="439">
        <f t="shared" si="3"/>
        <v>1897978.5277440003</v>
      </c>
      <c r="BR15" s="439">
        <f t="shared" si="3"/>
        <v>1897978.5277440003</v>
      </c>
      <c r="BS15" s="439">
        <f t="shared" si="3"/>
        <v>1897978.5277440003</v>
      </c>
      <c r="BT15" s="439">
        <f t="shared" si="3"/>
        <v>1897978.5277440003</v>
      </c>
      <c r="BU15" s="439">
        <f t="shared" si="3"/>
        <v>1897978.5277440003</v>
      </c>
      <c r="BV15" s="439">
        <f t="shared" si="3"/>
        <v>1973897.6688537605</v>
      </c>
      <c r="BW15" s="439">
        <f t="shared" si="3"/>
        <v>1973897.6688537605</v>
      </c>
      <c r="BX15" s="439">
        <f t="shared" si="3"/>
        <v>1973897.6688537605</v>
      </c>
      <c r="BY15" s="439">
        <f t="shared" si="3"/>
        <v>1973897.6688537605</v>
      </c>
      <c r="BZ15" s="439">
        <f t="shared" si="3"/>
        <v>1973897.6688537605</v>
      </c>
      <c r="CA15" s="439">
        <f t="shared" si="3"/>
        <v>1973897.6688537605</v>
      </c>
      <c r="CB15" s="439">
        <f t="shared" si="3"/>
        <v>1973897.6688537605</v>
      </c>
      <c r="CC15" s="439">
        <f t="shared" si="3"/>
        <v>1973897.6688537605</v>
      </c>
      <c r="CD15" s="439">
        <f t="shared" si="3"/>
        <v>1973897.6688537605</v>
      </c>
      <c r="CE15" s="439">
        <f t="shared" si="3"/>
        <v>1579118.1350830083</v>
      </c>
      <c r="CF15" s="439">
        <f t="shared" si="3"/>
        <v>1579118.1350830083</v>
      </c>
      <c r="CG15" s="439">
        <f t="shared" si="3"/>
        <v>1579118.1350830083</v>
      </c>
      <c r="CH15" s="439">
        <f t="shared" si="3"/>
        <v>1642282.8604863286</v>
      </c>
      <c r="CI15" s="439">
        <f t="shared" si="3"/>
        <v>1642282.8604863286</v>
      </c>
      <c r="CJ15" s="439">
        <f t="shared" si="3"/>
        <v>1642282.8604863286</v>
      </c>
      <c r="CK15" s="439">
        <f t="shared" si="3"/>
        <v>1642282.8604863286</v>
      </c>
      <c r="CL15" s="439">
        <f t="shared" si="3"/>
        <v>1642282.8604863286</v>
      </c>
      <c r="CM15" s="439">
        <f t="shared" si="3"/>
        <v>1642282.8604863286</v>
      </c>
      <c r="CN15" s="439">
        <f t="shared" si="3"/>
        <v>1642282.8604863286</v>
      </c>
      <c r="CO15" s="439">
        <f t="shared" si="3"/>
        <v>1642282.8604863286</v>
      </c>
      <c r="CP15" s="439">
        <f t="shared" si="3"/>
        <v>1642282.8604863286</v>
      </c>
      <c r="CQ15" s="439">
        <f t="shared" si="3"/>
        <v>1642282.8604863286</v>
      </c>
      <c r="CR15" s="439">
        <f t="shared" si="3"/>
        <v>1642282.8604863286</v>
      </c>
      <c r="CS15" s="439">
        <f t="shared" si="3"/>
        <v>1642282.8604863286</v>
      </c>
      <c r="CT15" s="439">
        <f t="shared" si="3"/>
        <v>1707974.1749057819</v>
      </c>
      <c r="CU15" s="439">
        <f t="shared" si="3"/>
        <v>1707974.1749057819</v>
      </c>
      <c r="CV15" s="439">
        <f t="shared" si="3"/>
        <v>1707974.1749057819</v>
      </c>
      <c r="CW15" s="439">
        <f t="shared" si="3"/>
        <v>1707974.1749057819</v>
      </c>
      <c r="CX15" s="439">
        <f t="shared" si="3"/>
        <v>1707974.1749057819</v>
      </c>
      <c r="CY15" s="439">
        <f t="shared" si="3"/>
        <v>1707974.1749057819</v>
      </c>
    </row>
    <row r="16" spans="1:103" ht="12" customHeight="1">
      <c r="A16" s="310" t="s">
        <v>539</v>
      </c>
      <c r="B16" s="439">
        <v>0</v>
      </c>
      <c r="C16" s="439">
        <v>0</v>
      </c>
      <c r="D16" s="439">
        <v>0</v>
      </c>
      <c r="E16" s="439">
        <v>0</v>
      </c>
      <c r="F16" s="439">
        <v>0</v>
      </c>
      <c r="G16" s="439">
        <v>0</v>
      </c>
      <c r="H16" s="439">
        <v>0</v>
      </c>
      <c r="I16" s="439">
        <v>0</v>
      </c>
      <c r="J16" s="439">
        <v>0</v>
      </c>
      <c r="K16" s="439">
        <v>0</v>
      </c>
      <c r="L16" s="439">
        <v>0</v>
      </c>
      <c r="M16" s="439">
        <v>0</v>
      </c>
      <c r="N16" s="439">
        <v>2608390.8975600004</v>
      </c>
      <c r="O16" s="439">
        <v>2608390.8975600004</v>
      </c>
      <c r="P16" s="439">
        <v>2608390.8975600004</v>
      </c>
      <c r="Q16" s="439">
        <v>2608390.8975600004</v>
      </c>
      <c r="R16" s="439">
        <v>2608390.8975600004</v>
      </c>
      <c r="S16" s="439">
        <v>2608390.8975600004</v>
      </c>
      <c r="T16" s="439">
        <v>2608390.8975600004</v>
      </c>
      <c r="U16" s="439">
        <v>2608390.8975600004</v>
      </c>
      <c r="V16" s="439">
        <v>2608390.8975600004</v>
      </c>
      <c r="W16" s="439">
        <v>2608390.8975600004</v>
      </c>
      <c r="X16" s="439">
        <v>2608390.8975600004</v>
      </c>
      <c r="Y16" s="439">
        <v>2608390.8975600004</v>
      </c>
      <c r="Z16" s="439">
        <f>Z18*Z19</f>
        <v>4725000</v>
      </c>
      <c r="AA16" s="439">
        <f t="shared" ref="AA16:CL16" si="4">AA18*AA19</f>
        <v>4725000</v>
      </c>
      <c r="AB16" s="439">
        <f t="shared" si="4"/>
        <v>4725000</v>
      </c>
      <c r="AC16" s="439">
        <f t="shared" si="4"/>
        <v>4725000</v>
      </c>
      <c r="AD16" s="439">
        <f t="shared" si="4"/>
        <v>4725000</v>
      </c>
      <c r="AE16" s="439">
        <f t="shared" si="4"/>
        <v>4725000</v>
      </c>
      <c r="AF16" s="439">
        <f t="shared" si="4"/>
        <v>4725000</v>
      </c>
      <c r="AG16" s="439">
        <f t="shared" si="4"/>
        <v>4725000</v>
      </c>
      <c r="AH16" s="439">
        <f t="shared" si="4"/>
        <v>4725000</v>
      </c>
      <c r="AI16" s="439">
        <f t="shared" si="4"/>
        <v>4725000</v>
      </c>
      <c r="AJ16" s="439">
        <f t="shared" si="4"/>
        <v>4725000</v>
      </c>
      <c r="AK16" s="439">
        <f t="shared" si="4"/>
        <v>4725000</v>
      </c>
      <c r="AL16" s="439">
        <f t="shared" si="4"/>
        <v>4725000</v>
      </c>
      <c r="AM16" s="439">
        <f t="shared" si="4"/>
        <v>4725000</v>
      </c>
      <c r="AN16" s="439">
        <f t="shared" si="4"/>
        <v>4725000</v>
      </c>
      <c r="AO16" s="439">
        <f t="shared" si="4"/>
        <v>4725000</v>
      </c>
      <c r="AP16" s="439">
        <f t="shared" si="4"/>
        <v>4725000</v>
      </c>
      <c r="AQ16" s="439">
        <f t="shared" si="4"/>
        <v>4725000</v>
      </c>
      <c r="AR16" s="439">
        <f t="shared" si="4"/>
        <v>4725000</v>
      </c>
      <c r="AS16" s="439">
        <f t="shared" si="4"/>
        <v>4725000</v>
      </c>
      <c r="AT16" s="439">
        <f t="shared" si="4"/>
        <v>4725000</v>
      </c>
      <c r="AU16" s="439">
        <f t="shared" si="4"/>
        <v>4725000</v>
      </c>
      <c r="AV16" s="439">
        <f t="shared" si="4"/>
        <v>4725000</v>
      </c>
      <c r="AW16" s="439">
        <f t="shared" si="4"/>
        <v>4725000</v>
      </c>
      <c r="AX16" s="439">
        <f t="shared" si="4"/>
        <v>4725000</v>
      </c>
      <c r="AY16" s="439">
        <f t="shared" si="4"/>
        <v>4725000</v>
      </c>
      <c r="AZ16" s="439">
        <f t="shared" si="4"/>
        <v>4725000</v>
      </c>
      <c r="BA16" s="439">
        <f t="shared" si="4"/>
        <v>4725000</v>
      </c>
      <c r="BB16" s="439">
        <f t="shared" si="4"/>
        <v>4725000</v>
      </c>
      <c r="BC16" s="439">
        <f t="shared" si="4"/>
        <v>4725000</v>
      </c>
      <c r="BD16" s="439">
        <f t="shared" si="4"/>
        <v>4725000</v>
      </c>
      <c r="BE16" s="439">
        <f t="shared" si="4"/>
        <v>4725000</v>
      </c>
      <c r="BF16" s="439">
        <f t="shared" si="4"/>
        <v>4725000</v>
      </c>
      <c r="BG16" s="439">
        <f t="shared" si="4"/>
        <v>4725000</v>
      </c>
      <c r="BH16" s="439">
        <f t="shared" si="4"/>
        <v>4725000</v>
      </c>
      <c r="BI16" s="439">
        <f t="shared" si="4"/>
        <v>4725000</v>
      </c>
      <c r="BJ16" s="439">
        <f t="shared" si="4"/>
        <v>4725000</v>
      </c>
      <c r="BK16" s="439">
        <f t="shared" si="4"/>
        <v>4725000</v>
      </c>
      <c r="BL16" s="439">
        <f t="shared" si="4"/>
        <v>4725000</v>
      </c>
      <c r="BM16" s="439">
        <f t="shared" si="4"/>
        <v>2099999.9999999995</v>
      </c>
      <c r="BN16" s="439">
        <f t="shared" si="4"/>
        <v>2099999.9999999995</v>
      </c>
      <c r="BO16" s="439">
        <f t="shared" si="4"/>
        <v>2099999.9999999995</v>
      </c>
      <c r="BP16" s="439">
        <f t="shared" si="4"/>
        <v>3150000</v>
      </c>
      <c r="BQ16" s="439">
        <f t="shared" si="4"/>
        <v>3150000</v>
      </c>
      <c r="BR16" s="439">
        <f t="shared" si="4"/>
        <v>3150000</v>
      </c>
      <c r="BS16" s="439">
        <f t="shared" si="4"/>
        <v>3150000</v>
      </c>
      <c r="BT16" s="439">
        <f t="shared" si="4"/>
        <v>24360000</v>
      </c>
      <c r="BU16" s="439">
        <f t="shared" si="4"/>
        <v>5250000</v>
      </c>
      <c r="BV16" s="439">
        <f t="shared" si="4"/>
        <v>12075000</v>
      </c>
      <c r="BW16" s="439">
        <f t="shared" si="4"/>
        <v>14700000.000000002</v>
      </c>
      <c r="BX16" s="439">
        <f t="shared" si="4"/>
        <v>14700000.000000002</v>
      </c>
      <c r="BY16" s="439">
        <f t="shared" si="4"/>
        <v>14714700</v>
      </c>
      <c r="BZ16" s="439">
        <f t="shared" si="4"/>
        <v>14754600</v>
      </c>
      <c r="CA16" s="439">
        <f t="shared" si="4"/>
        <v>14766150</v>
      </c>
      <c r="CB16" s="439">
        <f t="shared" si="4"/>
        <v>14752500</v>
      </c>
      <c r="CC16" s="439">
        <f t="shared" si="4"/>
        <v>14749350</v>
      </c>
      <c r="CD16" s="439">
        <f t="shared" si="4"/>
        <v>14723100</v>
      </c>
      <c r="CE16" s="439">
        <f t="shared" si="4"/>
        <v>14700000.000000002</v>
      </c>
      <c r="CF16" s="439">
        <f t="shared" si="4"/>
        <v>14700000.000000002</v>
      </c>
      <c r="CG16" s="439">
        <f t="shared" si="4"/>
        <v>14700000.000000002</v>
      </c>
      <c r="CH16" s="439">
        <f t="shared" si="4"/>
        <v>14700000</v>
      </c>
      <c r="CI16" s="439">
        <f t="shared" si="4"/>
        <v>14700000</v>
      </c>
      <c r="CJ16" s="439">
        <f t="shared" si="4"/>
        <v>6300000</v>
      </c>
      <c r="CK16" s="439">
        <f t="shared" si="4"/>
        <v>6300000</v>
      </c>
      <c r="CL16" s="439">
        <f t="shared" si="4"/>
        <v>6300000</v>
      </c>
      <c r="CM16" s="439">
        <f t="shared" ref="CM16:CY16" si="5">CM18*CM19</f>
        <v>6300000</v>
      </c>
      <c r="CN16" s="439">
        <f t="shared" si="5"/>
        <v>6300000</v>
      </c>
      <c r="CO16" s="439">
        <f t="shared" si="5"/>
        <v>6300000</v>
      </c>
      <c r="CP16" s="439">
        <f t="shared" si="5"/>
        <v>6300000</v>
      </c>
      <c r="CQ16" s="439">
        <f t="shared" si="5"/>
        <v>6300000</v>
      </c>
      <c r="CR16" s="439">
        <f t="shared" si="5"/>
        <v>6300000</v>
      </c>
      <c r="CS16" s="439">
        <f t="shared" si="5"/>
        <v>6300000</v>
      </c>
      <c r="CT16" s="439">
        <f t="shared" si="5"/>
        <v>6300000</v>
      </c>
      <c r="CU16" s="439">
        <f t="shared" si="5"/>
        <v>6300000</v>
      </c>
      <c r="CV16" s="439">
        <f t="shared" si="5"/>
        <v>3150000</v>
      </c>
      <c r="CW16" s="439">
        <f t="shared" si="5"/>
        <v>3150000</v>
      </c>
      <c r="CX16" s="439">
        <f t="shared" si="5"/>
        <v>3150000</v>
      </c>
      <c r="CY16" s="439">
        <f t="shared" si="5"/>
        <v>3150000</v>
      </c>
    </row>
    <row r="17" spans="1:103" ht="12" customHeight="1" thickBot="1">
      <c r="A17" s="345" t="s">
        <v>540</v>
      </c>
      <c r="B17" s="440">
        <f t="shared" ref="B17:AG17" si="6">SUM(B2:B16)</f>
        <v>9002924.6283333339</v>
      </c>
      <c r="C17" s="440">
        <f t="shared" si="6"/>
        <v>9004008.6222222224</v>
      </c>
      <c r="D17" s="440">
        <f t="shared" si="6"/>
        <v>9863096.1301620379</v>
      </c>
      <c r="E17" s="440">
        <f t="shared" si="6"/>
        <v>9725519.1648432687</v>
      </c>
      <c r="F17" s="440">
        <f t="shared" si="6"/>
        <v>9726609.8864849769</v>
      </c>
      <c r="G17" s="440">
        <f t="shared" si="6"/>
        <v>9727702.1270015799</v>
      </c>
      <c r="H17" s="440">
        <f t="shared" si="6"/>
        <v>9728794.8116696421</v>
      </c>
      <c r="I17" s="440">
        <f t="shared" si="6"/>
        <v>9729888.094961321</v>
      </c>
      <c r="J17" s="440">
        <f t="shared" si="6"/>
        <v>9730983.0655444935</v>
      </c>
      <c r="K17" s="440">
        <f t="shared" si="6"/>
        <v>8874079.7304495387</v>
      </c>
      <c r="L17" s="440">
        <f t="shared" si="6"/>
        <v>8875178.096736135</v>
      </c>
      <c r="M17" s="440">
        <f t="shared" si="6"/>
        <v>8876278.1714933701</v>
      </c>
      <c r="N17" s="440">
        <f t="shared" si="6"/>
        <v>11582120.438066537</v>
      </c>
      <c r="O17" s="440">
        <f t="shared" si="6"/>
        <v>11582830.617817258</v>
      </c>
      <c r="P17" s="440">
        <f t="shared" si="6"/>
        <v>11583542.527483609</v>
      </c>
      <c r="Q17" s="440">
        <f t="shared" si="6"/>
        <v>11584256.174273567</v>
      </c>
      <c r="R17" s="440">
        <f t="shared" si="6"/>
        <v>11584971.56542515</v>
      </c>
      <c r="S17" s="440">
        <f t="shared" si="6"/>
        <v>11585688.708206534</v>
      </c>
      <c r="T17" s="440">
        <f t="shared" si="6"/>
        <v>10369607.609916173</v>
      </c>
      <c r="U17" s="440">
        <f t="shared" si="6"/>
        <v>10370328.277882934</v>
      </c>
      <c r="V17" s="440">
        <f t="shared" si="6"/>
        <v>9559850.7194662243</v>
      </c>
      <c r="W17" s="440">
        <f t="shared" si="6"/>
        <v>9560574.942056112</v>
      </c>
      <c r="X17" s="440">
        <f t="shared" si="6"/>
        <v>9561300.9530734569</v>
      </c>
      <c r="Y17" s="440">
        <f t="shared" si="6"/>
        <v>9562028.7599700391</v>
      </c>
      <c r="Z17" s="440">
        <f t="shared" si="6"/>
        <v>14427785.497148693</v>
      </c>
      <c r="AA17" s="440">
        <f t="shared" si="6"/>
        <v>14428369.418283423</v>
      </c>
      <c r="AB17" s="440">
        <f t="shared" si="6"/>
        <v>14428955.157839548</v>
      </c>
      <c r="AC17" s="440">
        <f t="shared" si="6"/>
        <v>14429542.723393824</v>
      </c>
      <c r="AD17" s="440">
        <f t="shared" si="6"/>
        <v>14430132.122554578</v>
      </c>
      <c r="AE17" s="440">
        <f t="shared" si="6"/>
        <v>14430723.362961832</v>
      </c>
      <c r="AF17" s="440">
        <f t="shared" si="6"/>
        <v>14431316.45228745</v>
      </c>
      <c r="AG17" s="440">
        <f t="shared" si="6"/>
        <v>13588263.398235258</v>
      </c>
      <c r="AH17" s="440">
        <f t="shared" ref="AH17:CS17" si="7">SUM(AH2:AH16)</f>
        <v>13588860.208541185</v>
      </c>
      <c r="AI17" s="440">
        <f t="shared" si="7"/>
        <v>13589458.890973382</v>
      </c>
      <c r="AJ17" s="440">
        <f t="shared" si="7"/>
        <v>13590059.453332383</v>
      </c>
      <c r="AK17" s="440">
        <f t="shared" si="7"/>
        <v>13590661.903451212</v>
      </c>
      <c r="AL17" s="440">
        <f t="shared" si="7"/>
        <v>13815979.30798807</v>
      </c>
      <c r="AM17" s="440">
        <f t="shared" si="7"/>
        <v>13816536.390589664</v>
      </c>
      <c r="AN17" s="440">
        <f t="shared" si="7"/>
        <v>13817095.384646541</v>
      </c>
      <c r="AO17" s="440">
        <f t="shared" si="7"/>
        <v>13817656.298123099</v>
      </c>
      <c r="AP17" s="440">
        <f t="shared" si="7"/>
        <v>13818219.139016921</v>
      </c>
      <c r="AQ17" s="440">
        <f t="shared" si="7"/>
        <v>13818783.91535891</v>
      </c>
      <c r="AR17" s="440">
        <f t="shared" si="7"/>
        <v>12941956.715213437</v>
      </c>
      <c r="AS17" s="440">
        <f t="shared" si="7"/>
        <v>12942525.386678468</v>
      </c>
      <c r="AT17" s="440">
        <f t="shared" si="7"/>
        <v>12943096.017885715</v>
      </c>
      <c r="AU17" s="440">
        <f t="shared" si="7"/>
        <v>12943668.61700077</v>
      </c>
      <c r="AV17" s="440">
        <f t="shared" si="7"/>
        <v>12944243.192223249</v>
      </c>
      <c r="AW17" s="440">
        <f t="shared" si="7"/>
        <v>12944819.751786932</v>
      </c>
      <c r="AX17" s="440">
        <f t="shared" si="7"/>
        <v>13144006.094970811</v>
      </c>
      <c r="AY17" s="440">
        <f t="shared" si="7"/>
        <v>13144537.481388953</v>
      </c>
      <c r="AZ17" s="440">
        <f t="shared" si="7"/>
        <v>13145070.877056058</v>
      </c>
      <c r="BA17" s="440">
        <f t="shared" si="7"/>
        <v>13145606.290344</v>
      </c>
      <c r="BB17" s="440">
        <f t="shared" si="7"/>
        <v>13146143.729659531</v>
      </c>
      <c r="BC17" s="440">
        <f t="shared" si="7"/>
        <v>13146683.203444431</v>
      </c>
      <c r="BD17" s="440">
        <f t="shared" si="7"/>
        <v>13147224.720175657</v>
      </c>
      <c r="BE17" s="440">
        <f t="shared" si="7"/>
        <v>13147768.288365487</v>
      </c>
      <c r="BF17" s="440">
        <f t="shared" si="7"/>
        <v>13148313.916561661</v>
      </c>
      <c r="BG17" s="440">
        <f t="shared" si="7"/>
        <v>13148861.613347543</v>
      </c>
      <c r="BH17" s="440">
        <f t="shared" si="7"/>
        <v>13149411.387342254</v>
      </c>
      <c r="BI17" s="440">
        <f t="shared" si="7"/>
        <v>13149963.247200834</v>
      </c>
      <c r="BJ17" s="440">
        <f t="shared" si="7"/>
        <v>13357120.43759905</v>
      </c>
      <c r="BK17" s="440">
        <f t="shared" si="7"/>
        <v>13357676.495294873</v>
      </c>
      <c r="BL17" s="440">
        <f t="shared" si="7"/>
        <v>13358234.66503665</v>
      </c>
      <c r="BM17" s="440">
        <f t="shared" si="7"/>
        <v>10733794.955624575</v>
      </c>
      <c r="BN17" s="440">
        <f t="shared" si="7"/>
        <v>10734357.375895506</v>
      </c>
      <c r="BO17" s="440">
        <f t="shared" si="7"/>
        <v>10734921.93472312</v>
      </c>
      <c r="BP17" s="440">
        <f t="shared" si="7"/>
        <v>11785488.64101807</v>
      </c>
      <c r="BQ17" s="440">
        <f t="shared" si="7"/>
        <v>11786057.50372814</v>
      </c>
      <c r="BR17" s="440">
        <f t="shared" si="7"/>
        <v>11786628.531838391</v>
      </c>
      <c r="BS17" s="440">
        <f t="shared" si="7"/>
        <v>11787201.734371321</v>
      </c>
      <c r="BT17" s="440">
        <f t="shared" si="7"/>
        <v>32997777.120387033</v>
      </c>
      <c r="BU17" s="440">
        <f t="shared" si="7"/>
        <v>13888354.698983358</v>
      </c>
      <c r="BV17" s="440">
        <f t="shared" si="7"/>
        <v>20928801.844720118</v>
      </c>
      <c r="BW17" s="440">
        <f t="shared" si="7"/>
        <v>23554383.835923016</v>
      </c>
      <c r="BX17" s="440">
        <f t="shared" si="7"/>
        <v>23554968.047228143</v>
      </c>
      <c r="BY17" s="440">
        <f t="shared" si="7"/>
        <v>23570254.48788593</v>
      </c>
      <c r="BZ17" s="440">
        <f t="shared" si="7"/>
        <v>23610743.167185351</v>
      </c>
      <c r="CA17" s="440">
        <f t="shared" si="7"/>
        <v>23622884.094454072</v>
      </c>
      <c r="CB17" s="440">
        <f t="shared" si="7"/>
        <v>23609827.279058635</v>
      </c>
      <c r="CC17" s="440">
        <f t="shared" si="7"/>
        <v>23607272.730404608</v>
      </c>
      <c r="CD17" s="440">
        <f t="shared" si="7"/>
        <v>23581620.457936741</v>
      </c>
      <c r="CE17" s="440">
        <f t="shared" si="7"/>
        <v>23164340.9373684</v>
      </c>
      <c r="CF17" s="440">
        <f t="shared" si="7"/>
        <v>23164943.245764703</v>
      </c>
      <c r="CG17" s="440">
        <f t="shared" si="7"/>
        <v>23165547.85891822</v>
      </c>
      <c r="CH17" s="440">
        <f t="shared" si="7"/>
        <v>23373825.665122282</v>
      </c>
      <c r="CI17" s="440">
        <f t="shared" si="7"/>
        <v>23374434.916639689</v>
      </c>
      <c r="CJ17" s="440">
        <f t="shared" si="7"/>
        <v>14975046.501843972</v>
      </c>
      <c r="CK17" s="440">
        <f t="shared" si="7"/>
        <v>14975660.430458829</v>
      </c>
      <c r="CL17" s="440">
        <f t="shared" si="7"/>
        <v>14976276.712248471</v>
      </c>
      <c r="CM17" s="440">
        <f t="shared" si="7"/>
        <v>14976895.357017791</v>
      </c>
      <c r="CN17" s="440">
        <f t="shared" si="7"/>
        <v>14977516.374612538</v>
      </c>
      <c r="CO17" s="440">
        <f t="shared" si="7"/>
        <v>14978139.774919488</v>
      </c>
      <c r="CP17" s="440">
        <f t="shared" si="7"/>
        <v>14978765.567866603</v>
      </c>
      <c r="CQ17" s="440">
        <f t="shared" si="7"/>
        <v>14979393.763423221</v>
      </c>
      <c r="CR17" s="440">
        <f t="shared" si="7"/>
        <v>14980024.371600214</v>
      </c>
      <c r="CS17" s="440">
        <f t="shared" si="7"/>
        <v>14980657.402450167</v>
      </c>
      <c r="CT17" s="440">
        <f t="shared" ref="CT17:CY17" si="8">SUM(CT2:CT16)</f>
        <v>15197270.579905346</v>
      </c>
      <c r="CU17" s="440">
        <f t="shared" si="8"/>
        <v>15197908.486426691</v>
      </c>
      <c r="CV17" s="440">
        <f t="shared" si="8"/>
        <v>12048548.846030762</v>
      </c>
      <c r="CW17" s="440">
        <f t="shared" si="8"/>
        <v>12049191.668938741</v>
      </c>
      <c r="CX17" s="440">
        <f t="shared" si="8"/>
        <v>12049836.96541439</v>
      </c>
      <c r="CY17" s="440">
        <f t="shared" si="8"/>
        <v>12050499.790764244</v>
      </c>
    </row>
    <row r="18" spans="1:103" s="442" customFormat="1" ht="12" customHeight="1" thickTop="1">
      <c r="A18" s="310" t="s">
        <v>541</v>
      </c>
      <c r="B18" s="441">
        <v>1136.5537680000002</v>
      </c>
      <c r="C18" s="441">
        <v>1136.5537680000002</v>
      </c>
      <c r="D18" s="441">
        <v>1136.5537680000002</v>
      </c>
      <c r="E18" s="441">
        <v>1136.5537680000002</v>
      </c>
      <c r="F18" s="441">
        <v>1136.5537680000002</v>
      </c>
      <c r="G18" s="441">
        <v>1136.5537680000002</v>
      </c>
      <c r="H18" s="441">
        <v>1136.5537680000002</v>
      </c>
      <c r="I18" s="441">
        <v>1136.5537680000002</v>
      </c>
      <c r="J18" s="441">
        <v>1136.5537680000002</v>
      </c>
      <c r="K18" s="441">
        <v>1136.5537680000002</v>
      </c>
      <c r="L18" s="441">
        <v>1136.5537680000002</v>
      </c>
      <c r="M18" s="441">
        <v>1136.5537680000002</v>
      </c>
      <c r="N18" s="441">
        <v>1159.2848433600002</v>
      </c>
      <c r="O18" s="441">
        <v>1159.2848433600002</v>
      </c>
      <c r="P18" s="441">
        <v>1159.2848433600002</v>
      </c>
      <c r="Q18" s="441">
        <v>1159.2848433600002</v>
      </c>
      <c r="R18" s="441">
        <v>1159.2848433600002</v>
      </c>
      <c r="S18" s="441">
        <v>1159.2848433600002</v>
      </c>
      <c r="T18" s="441">
        <v>1159.2848433600002</v>
      </c>
      <c r="U18" s="441">
        <v>1159.2848433600002</v>
      </c>
      <c r="V18" s="441">
        <v>1159.2848433600002</v>
      </c>
      <c r="W18" s="441">
        <v>1159.2848433600002</v>
      </c>
      <c r="X18" s="441">
        <v>1159.2848433600002</v>
      </c>
      <c r="Y18" s="441">
        <v>1159.2848433600002</v>
      </c>
      <c r="Z18" s="441">
        <v>2100</v>
      </c>
      <c r="AA18" s="441">
        <v>2100</v>
      </c>
      <c r="AB18" s="441">
        <v>2100</v>
      </c>
      <c r="AC18" s="441">
        <v>2100</v>
      </c>
      <c r="AD18" s="441">
        <v>2100</v>
      </c>
      <c r="AE18" s="441">
        <v>2100</v>
      </c>
      <c r="AF18" s="441">
        <v>2100</v>
      </c>
      <c r="AG18" s="441">
        <v>2100</v>
      </c>
      <c r="AH18" s="441">
        <v>2100</v>
      </c>
      <c r="AI18" s="441">
        <v>2100</v>
      </c>
      <c r="AJ18" s="441">
        <v>2100</v>
      </c>
      <c r="AK18" s="441">
        <v>2100</v>
      </c>
      <c r="AL18" s="441">
        <v>2100</v>
      </c>
      <c r="AM18" s="441">
        <v>2100</v>
      </c>
      <c r="AN18" s="441">
        <v>2100</v>
      </c>
      <c r="AO18" s="441">
        <v>2100</v>
      </c>
      <c r="AP18" s="441">
        <v>2100</v>
      </c>
      <c r="AQ18" s="441">
        <v>2100</v>
      </c>
      <c r="AR18" s="441">
        <v>2100</v>
      </c>
      <c r="AS18" s="441">
        <v>2100</v>
      </c>
      <c r="AT18" s="441">
        <v>2100</v>
      </c>
      <c r="AU18" s="441">
        <v>2100</v>
      </c>
      <c r="AV18" s="441">
        <v>2100</v>
      </c>
      <c r="AW18" s="441">
        <v>2100</v>
      </c>
      <c r="AX18" s="441">
        <v>2100</v>
      </c>
      <c r="AY18" s="441">
        <v>2100</v>
      </c>
      <c r="AZ18" s="441">
        <v>2100</v>
      </c>
      <c r="BA18" s="441">
        <v>2100</v>
      </c>
      <c r="BB18" s="441">
        <v>2100</v>
      </c>
      <c r="BC18" s="441">
        <v>2100</v>
      </c>
      <c r="BD18" s="441">
        <v>2100</v>
      </c>
      <c r="BE18" s="441">
        <v>2100</v>
      </c>
      <c r="BF18" s="441">
        <v>2100</v>
      </c>
      <c r="BG18" s="441">
        <v>2100</v>
      </c>
      <c r="BH18" s="441">
        <v>2100</v>
      </c>
      <c r="BI18" s="441">
        <v>2100</v>
      </c>
      <c r="BJ18" s="441">
        <v>2100</v>
      </c>
      <c r="BK18" s="441">
        <v>2100</v>
      </c>
      <c r="BL18" s="441">
        <v>2100</v>
      </c>
      <c r="BM18" s="441">
        <v>2100</v>
      </c>
      <c r="BN18" s="441">
        <v>2100</v>
      </c>
      <c r="BO18" s="441">
        <v>2100</v>
      </c>
      <c r="BP18" s="441">
        <v>2100</v>
      </c>
      <c r="BQ18" s="441">
        <v>2100</v>
      </c>
      <c r="BR18" s="441">
        <v>2100</v>
      </c>
      <c r="BS18" s="441">
        <v>2100</v>
      </c>
      <c r="BT18" s="441">
        <v>2100</v>
      </c>
      <c r="BU18" s="441">
        <v>2100</v>
      </c>
      <c r="BV18" s="441">
        <v>2100</v>
      </c>
      <c r="BW18" s="441">
        <v>2100</v>
      </c>
      <c r="BX18" s="441">
        <v>2100</v>
      </c>
      <c r="BY18" s="441">
        <v>2100</v>
      </c>
      <c r="BZ18" s="441">
        <v>2100</v>
      </c>
      <c r="CA18" s="441">
        <v>2100</v>
      </c>
      <c r="CB18" s="441">
        <v>2100</v>
      </c>
      <c r="CC18" s="441">
        <v>2100</v>
      </c>
      <c r="CD18" s="441">
        <v>2100</v>
      </c>
      <c r="CE18" s="441">
        <v>2100</v>
      </c>
      <c r="CF18" s="441">
        <v>2100</v>
      </c>
      <c r="CG18" s="441">
        <v>2100</v>
      </c>
      <c r="CH18" s="441">
        <v>2100</v>
      </c>
      <c r="CI18" s="441">
        <v>2100</v>
      </c>
      <c r="CJ18" s="441">
        <v>2100</v>
      </c>
      <c r="CK18" s="441">
        <v>2100</v>
      </c>
      <c r="CL18" s="441">
        <v>2100</v>
      </c>
      <c r="CM18" s="441">
        <v>2100</v>
      </c>
      <c r="CN18" s="441">
        <v>2100</v>
      </c>
      <c r="CO18" s="441">
        <v>2100</v>
      </c>
      <c r="CP18" s="441">
        <v>2100</v>
      </c>
      <c r="CQ18" s="441">
        <v>2100</v>
      </c>
      <c r="CR18" s="441">
        <v>2100</v>
      </c>
      <c r="CS18" s="441">
        <v>2100</v>
      </c>
      <c r="CT18" s="441">
        <v>2100</v>
      </c>
      <c r="CU18" s="441">
        <v>2100</v>
      </c>
      <c r="CV18" s="441">
        <v>2100</v>
      </c>
      <c r="CW18" s="441">
        <v>2100</v>
      </c>
      <c r="CX18" s="441">
        <v>2100</v>
      </c>
      <c r="CY18" s="441">
        <v>2100</v>
      </c>
    </row>
    <row r="19" spans="1:103" s="442" customFormat="1" ht="12" customHeight="1">
      <c r="A19" s="345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>
        <v>2250</v>
      </c>
      <c r="O19" s="441">
        <v>2250</v>
      </c>
      <c r="P19" s="441">
        <v>2250</v>
      </c>
      <c r="Q19" s="441">
        <v>2250</v>
      </c>
      <c r="R19" s="441">
        <v>2250</v>
      </c>
      <c r="S19" s="441">
        <v>2250</v>
      </c>
      <c r="T19" s="441">
        <v>2250</v>
      </c>
      <c r="U19" s="441">
        <v>2250</v>
      </c>
      <c r="V19" s="441">
        <v>2250</v>
      </c>
      <c r="W19" s="441">
        <v>2250</v>
      </c>
      <c r="X19" s="441">
        <v>2250</v>
      </c>
      <c r="Y19" s="441">
        <v>2250</v>
      </c>
      <c r="Z19" s="441">
        <v>2250</v>
      </c>
      <c r="AA19" s="441">
        <v>2250</v>
      </c>
      <c r="AB19" s="441">
        <v>2250</v>
      </c>
      <c r="AC19" s="441">
        <v>2250</v>
      </c>
      <c r="AD19" s="441">
        <v>2250</v>
      </c>
      <c r="AE19" s="441">
        <v>2250</v>
      </c>
      <c r="AF19" s="441">
        <v>2250</v>
      </c>
      <c r="AG19" s="441">
        <v>2250</v>
      </c>
      <c r="AH19" s="441">
        <v>2250</v>
      </c>
      <c r="AI19" s="441">
        <v>2250</v>
      </c>
      <c r="AJ19" s="441">
        <v>2250</v>
      </c>
      <c r="AK19" s="441">
        <v>2250</v>
      </c>
      <c r="AL19" s="441">
        <v>2250</v>
      </c>
      <c r="AM19" s="441">
        <v>2250</v>
      </c>
      <c r="AN19" s="441">
        <v>2250</v>
      </c>
      <c r="AO19" s="441">
        <v>2250</v>
      </c>
      <c r="AP19" s="441">
        <v>2250</v>
      </c>
      <c r="AQ19" s="441">
        <v>2250</v>
      </c>
      <c r="AR19" s="441">
        <v>2250</v>
      </c>
      <c r="AS19" s="441">
        <v>2250</v>
      </c>
      <c r="AT19" s="441">
        <v>2250</v>
      </c>
      <c r="AU19" s="441">
        <v>2250</v>
      </c>
      <c r="AV19" s="441">
        <v>2250</v>
      </c>
      <c r="AW19" s="441">
        <v>2250</v>
      </c>
      <c r="AX19" s="441">
        <v>2250</v>
      </c>
      <c r="AY19" s="441">
        <v>2250</v>
      </c>
      <c r="AZ19" s="441">
        <v>2250</v>
      </c>
      <c r="BA19" s="441">
        <v>2250</v>
      </c>
      <c r="BB19" s="441">
        <v>2250</v>
      </c>
      <c r="BC19" s="441">
        <v>2250</v>
      </c>
      <c r="BD19" s="441">
        <v>2250</v>
      </c>
      <c r="BE19" s="441">
        <v>2250</v>
      </c>
      <c r="BF19" s="441">
        <v>2250</v>
      </c>
      <c r="BG19" s="441">
        <v>2250</v>
      </c>
      <c r="BH19" s="441">
        <v>2250</v>
      </c>
      <c r="BI19" s="441">
        <v>2250</v>
      </c>
      <c r="BJ19" s="441">
        <v>2250</v>
      </c>
      <c r="BK19" s="441">
        <v>2250</v>
      </c>
      <c r="BL19" s="441">
        <v>2250</v>
      </c>
      <c r="BM19" s="441">
        <v>999.99999999999989</v>
      </c>
      <c r="BN19" s="441">
        <v>999.99999999999989</v>
      </c>
      <c r="BO19" s="441">
        <v>999.99999999999989</v>
      </c>
      <c r="BP19" s="441">
        <v>1500</v>
      </c>
      <c r="BQ19" s="441">
        <v>1500</v>
      </c>
      <c r="BR19" s="441">
        <v>1500</v>
      </c>
      <c r="BS19" s="441">
        <v>1500</v>
      </c>
      <c r="BT19" s="441">
        <v>11600</v>
      </c>
      <c r="BU19" s="441">
        <v>2500</v>
      </c>
      <c r="BV19" s="441">
        <v>5750</v>
      </c>
      <c r="BW19" s="441">
        <v>7000.0000000000009</v>
      </c>
      <c r="BX19" s="441">
        <v>7000.0000000000009</v>
      </c>
      <c r="BY19" s="441">
        <v>7007</v>
      </c>
      <c r="BZ19" s="441">
        <v>7026</v>
      </c>
      <c r="CA19" s="441">
        <v>7031.5</v>
      </c>
      <c r="CB19" s="441">
        <v>7025</v>
      </c>
      <c r="CC19" s="441">
        <v>7023.5</v>
      </c>
      <c r="CD19" s="441">
        <v>7011</v>
      </c>
      <c r="CE19" s="441">
        <v>7000.0000000000009</v>
      </c>
      <c r="CF19" s="441">
        <v>7000.0000000000009</v>
      </c>
      <c r="CG19" s="441">
        <v>7000.0000000000009</v>
      </c>
      <c r="CH19" s="441">
        <v>7000</v>
      </c>
      <c r="CI19" s="441">
        <v>7000</v>
      </c>
      <c r="CJ19" s="441">
        <v>3000</v>
      </c>
      <c r="CK19" s="441">
        <v>3000</v>
      </c>
      <c r="CL19" s="441">
        <v>3000</v>
      </c>
      <c r="CM19" s="441">
        <v>3000</v>
      </c>
      <c r="CN19" s="441">
        <v>3000</v>
      </c>
      <c r="CO19" s="441">
        <v>3000</v>
      </c>
      <c r="CP19" s="441">
        <v>3000</v>
      </c>
      <c r="CQ19" s="441">
        <v>3000</v>
      </c>
      <c r="CR19" s="441">
        <v>3000</v>
      </c>
      <c r="CS19" s="441">
        <v>3000</v>
      </c>
      <c r="CT19" s="441">
        <v>3000</v>
      </c>
      <c r="CU19" s="441">
        <v>3000</v>
      </c>
      <c r="CV19" s="441">
        <v>1500</v>
      </c>
      <c r="CW19" s="441">
        <v>1500</v>
      </c>
      <c r="CX19" s="441">
        <v>1500</v>
      </c>
      <c r="CY19" s="441">
        <v>1500</v>
      </c>
    </row>
    <row r="20" spans="1:103" s="442" customFormat="1" ht="12" customHeight="1">
      <c r="A20" s="345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575"/>
      <c r="AY20" s="575"/>
      <c r="AZ20" s="575"/>
      <c r="BA20" s="575"/>
      <c r="BB20" s="575"/>
      <c r="BC20" s="575"/>
      <c r="BD20" s="441"/>
      <c r="BE20" s="441"/>
      <c r="BF20" s="441"/>
      <c r="BG20" s="441"/>
      <c r="BH20" s="441"/>
      <c r="BI20" s="441"/>
      <c r="BJ20" s="441"/>
      <c r="BK20" s="441"/>
      <c r="BL20" s="441"/>
      <c r="BM20" s="441"/>
      <c r="BN20" s="441"/>
      <c r="BO20" s="441"/>
      <c r="BP20" s="441"/>
      <c r="BQ20" s="441"/>
      <c r="BR20" s="441"/>
      <c r="BS20" s="441"/>
      <c r="BT20" s="441"/>
      <c r="BU20" s="441"/>
      <c r="BV20" s="441"/>
      <c r="BW20" s="441"/>
      <c r="BX20" s="441"/>
      <c r="BY20" s="441"/>
      <c r="BZ20" s="441"/>
      <c r="CA20" s="441"/>
      <c r="CB20" s="441"/>
      <c r="CC20" s="441"/>
      <c r="CD20" s="441"/>
      <c r="CE20" s="441"/>
      <c r="CF20" s="441"/>
      <c r="CG20" s="441"/>
      <c r="CH20" s="441"/>
      <c r="CI20" s="441"/>
      <c r="CJ20" s="441"/>
      <c r="CK20" s="441"/>
      <c r="CL20" s="441"/>
      <c r="CM20" s="441"/>
      <c r="CN20" s="441"/>
      <c r="CO20" s="441"/>
      <c r="CP20" s="441"/>
      <c r="CQ20" s="441"/>
      <c r="CR20" s="441"/>
      <c r="CS20" s="441"/>
      <c r="CT20" s="441"/>
      <c r="CU20" s="441"/>
      <c r="CV20" s="441"/>
      <c r="CW20" s="441"/>
      <c r="CX20" s="441"/>
      <c r="CY20" s="441"/>
    </row>
    <row r="21" spans="1:103" ht="12" customHeight="1">
      <c r="A21" s="442" t="s">
        <v>542</v>
      </c>
      <c r="B21" s="439">
        <v>65</v>
      </c>
      <c r="C21" s="439">
        <v>65</v>
      </c>
      <c r="D21" s="439">
        <v>76</v>
      </c>
      <c r="E21" s="439">
        <v>76</v>
      </c>
      <c r="F21" s="439">
        <v>76</v>
      </c>
      <c r="G21" s="439">
        <v>76</v>
      </c>
      <c r="H21" s="439">
        <v>76</v>
      </c>
      <c r="I21" s="439">
        <v>76</v>
      </c>
      <c r="J21" s="439">
        <v>76</v>
      </c>
      <c r="K21" s="439">
        <v>65</v>
      </c>
      <c r="L21" s="439">
        <v>65</v>
      </c>
      <c r="M21" s="439">
        <v>65</v>
      </c>
      <c r="N21" s="439">
        <v>65</v>
      </c>
      <c r="O21" s="439">
        <v>65</v>
      </c>
      <c r="P21" s="439">
        <v>65</v>
      </c>
      <c r="Q21" s="439">
        <v>65</v>
      </c>
      <c r="R21" s="439">
        <v>65</v>
      </c>
      <c r="S21" s="439">
        <v>65</v>
      </c>
      <c r="T21" s="439">
        <v>50</v>
      </c>
      <c r="U21" s="439">
        <v>50</v>
      </c>
      <c r="V21" s="439">
        <v>40</v>
      </c>
      <c r="W21" s="439">
        <v>40</v>
      </c>
      <c r="X21" s="439">
        <v>40</v>
      </c>
      <c r="Y21" s="439">
        <v>40</v>
      </c>
      <c r="Z21" s="439">
        <v>40</v>
      </c>
      <c r="AA21" s="439">
        <v>40</v>
      </c>
      <c r="AB21" s="439">
        <v>40</v>
      </c>
      <c r="AC21" s="439">
        <v>40</v>
      </c>
      <c r="AD21" s="439">
        <v>40</v>
      </c>
      <c r="AE21" s="439">
        <v>40</v>
      </c>
      <c r="AF21" s="439">
        <v>40</v>
      </c>
      <c r="AG21" s="439">
        <v>30</v>
      </c>
      <c r="AH21" s="439">
        <v>30</v>
      </c>
      <c r="AI21" s="439">
        <v>30</v>
      </c>
      <c r="AJ21" s="439">
        <v>30</v>
      </c>
      <c r="AK21" s="439">
        <v>30</v>
      </c>
      <c r="AL21" s="439">
        <v>30</v>
      </c>
      <c r="AM21" s="439">
        <v>30</v>
      </c>
      <c r="AN21" s="439">
        <v>30</v>
      </c>
      <c r="AO21" s="439">
        <v>30</v>
      </c>
      <c r="AP21" s="439">
        <v>30</v>
      </c>
      <c r="AQ21" s="439">
        <v>30</v>
      </c>
      <c r="AR21" s="439">
        <v>20</v>
      </c>
      <c r="AS21" s="439">
        <v>20</v>
      </c>
      <c r="AT21" s="439">
        <v>20</v>
      </c>
      <c r="AU21" s="439">
        <v>20</v>
      </c>
      <c r="AV21" s="439">
        <v>20</v>
      </c>
      <c r="AW21" s="439">
        <v>20</v>
      </c>
      <c r="AX21" s="439">
        <v>20</v>
      </c>
      <c r="AY21" s="439">
        <v>20</v>
      </c>
      <c r="AZ21" s="439">
        <v>20</v>
      </c>
      <c r="BA21" s="439">
        <v>20</v>
      </c>
      <c r="BB21" s="439">
        <v>20</v>
      </c>
      <c r="BC21" s="439">
        <v>20</v>
      </c>
      <c r="BD21" s="439">
        <v>20</v>
      </c>
      <c r="BE21" s="439">
        <v>20</v>
      </c>
      <c r="BF21" s="439">
        <v>20</v>
      </c>
      <c r="BG21" s="439">
        <v>20</v>
      </c>
      <c r="BH21" s="439">
        <v>20</v>
      </c>
      <c r="BI21" s="439">
        <v>20</v>
      </c>
      <c r="BJ21" s="439">
        <v>20</v>
      </c>
      <c r="BK21" s="439">
        <v>20</v>
      </c>
      <c r="BL21" s="439">
        <v>20</v>
      </c>
      <c r="BM21" s="439">
        <v>20</v>
      </c>
      <c r="BN21" s="439">
        <v>20</v>
      </c>
      <c r="BO21" s="439">
        <v>20</v>
      </c>
      <c r="BP21" s="439">
        <v>20</v>
      </c>
      <c r="BQ21" s="439">
        <v>20</v>
      </c>
      <c r="BR21" s="439">
        <v>20</v>
      </c>
      <c r="BS21" s="439">
        <v>20</v>
      </c>
      <c r="BT21" s="439">
        <v>20</v>
      </c>
      <c r="BU21" s="439">
        <v>20</v>
      </c>
      <c r="BV21" s="439">
        <v>20</v>
      </c>
      <c r="BW21" s="439">
        <v>20</v>
      </c>
      <c r="BX21" s="439">
        <v>20</v>
      </c>
      <c r="BY21" s="439">
        <v>20</v>
      </c>
      <c r="BZ21" s="439">
        <v>20</v>
      </c>
      <c r="CA21" s="439">
        <v>20</v>
      </c>
      <c r="CB21" s="439">
        <v>20</v>
      </c>
      <c r="CC21" s="439">
        <v>20</v>
      </c>
      <c r="CD21" s="439">
        <v>20</v>
      </c>
      <c r="CE21" s="439">
        <v>16</v>
      </c>
      <c r="CF21" s="439">
        <v>16</v>
      </c>
      <c r="CG21" s="439">
        <v>16</v>
      </c>
      <c r="CH21" s="439">
        <v>16</v>
      </c>
      <c r="CI21" s="439">
        <v>16</v>
      </c>
      <c r="CJ21" s="439">
        <v>16</v>
      </c>
      <c r="CK21" s="439">
        <v>16</v>
      </c>
      <c r="CL21" s="439">
        <v>16</v>
      </c>
      <c r="CM21" s="439">
        <v>16</v>
      </c>
      <c r="CN21" s="439">
        <v>16</v>
      </c>
      <c r="CO21" s="439">
        <v>16</v>
      </c>
      <c r="CP21" s="439">
        <v>16</v>
      </c>
      <c r="CQ21" s="439">
        <v>16</v>
      </c>
      <c r="CR21" s="439">
        <v>16</v>
      </c>
      <c r="CS21" s="439">
        <v>16</v>
      </c>
      <c r="CT21" s="439">
        <v>16</v>
      </c>
      <c r="CU21" s="439">
        <v>16</v>
      </c>
      <c r="CV21" s="439">
        <v>16</v>
      </c>
      <c r="CW21" s="439">
        <v>16</v>
      </c>
      <c r="CX21" s="439">
        <v>16</v>
      </c>
      <c r="CY21" s="439">
        <v>16</v>
      </c>
    </row>
    <row r="22" spans="1:103" ht="12" customHeight="1">
      <c r="A22" s="442" t="s">
        <v>543</v>
      </c>
      <c r="B22" s="439">
        <v>78000</v>
      </c>
      <c r="C22" s="439">
        <v>78000</v>
      </c>
      <c r="D22" s="439">
        <v>78000</v>
      </c>
      <c r="E22" s="439">
        <v>78000</v>
      </c>
      <c r="F22" s="439">
        <v>78000</v>
      </c>
      <c r="G22" s="439">
        <v>78000</v>
      </c>
      <c r="H22" s="439">
        <v>78000</v>
      </c>
      <c r="I22" s="439">
        <v>78000</v>
      </c>
      <c r="J22" s="439">
        <v>78000</v>
      </c>
      <c r="K22" s="439">
        <v>78000</v>
      </c>
      <c r="L22" s="439">
        <v>78000</v>
      </c>
      <c r="M22" s="439">
        <v>78000</v>
      </c>
      <c r="N22" s="439">
        <v>81120</v>
      </c>
      <c r="O22" s="439">
        <v>81120</v>
      </c>
      <c r="P22" s="439">
        <v>81120</v>
      </c>
      <c r="Q22" s="439">
        <v>81120</v>
      </c>
      <c r="R22" s="439">
        <v>81120</v>
      </c>
      <c r="S22" s="439">
        <v>81120</v>
      </c>
      <c r="T22" s="439">
        <v>81120</v>
      </c>
      <c r="U22" s="439">
        <v>81120</v>
      </c>
      <c r="V22" s="439">
        <v>81120</v>
      </c>
      <c r="W22" s="439">
        <v>81120</v>
      </c>
      <c r="X22" s="439">
        <v>81120</v>
      </c>
      <c r="Y22" s="439">
        <v>81120</v>
      </c>
      <c r="Z22" s="439">
        <v>84364.800000000003</v>
      </c>
      <c r="AA22" s="439">
        <v>84364.800000000003</v>
      </c>
      <c r="AB22" s="439">
        <v>84364.800000000003</v>
      </c>
      <c r="AC22" s="439">
        <v>84364.800000000003</v>
      </c>
      <c r="AD22" s="439">
        <v>84364.800000000003</v>
      </c>
      <c r="AE22" s="439">
        <v>84364.800000000003</v>
      </c>
      <c r="AF22" s="439">
        <v>84364.800000000003</v>
      </c>
      <c r="AG22" s="439">
        <v>84364.800000000003</v>
      </c>
      <c r="AH22" s="439">
        <v>84364.800000000003</v>
      </c>
      <c r="AI22" s="439">
        <v>84364.800000000003</v>
      </c>
      <c r="AJ22" s="439">
        <v>84364.800000000003</v>
      </c>
      <c r="AK22" s="439">
        <v>84364.800000000003</v>
      </c>
      <c r="AL22" s="439">
        <v>87739.392000000007</v>
      </c>
      <c r="AM22" s="439">
        <v>87739.392000000007</v>
      </c>
      <c r="AN22" s="439">
        <v>87739.392000000007</v>
      </c>
      <c r="AO22" s="439">
        <v>87739.392000000007</v>
      </c>
      <c r="AP22" s="439">
        <v>87739.392000000007</v>
      </c>
      <c r="AQ22" s="439">
        <v>87739.392000000007</v>
      </c>
      <c r="AR22" s="439">
        <v>87739.392000000007</v>
      </c>
      <c r="AS22" s="439">
        <v>87739.392000000007</v>
      </c>
      <c r="AT22" s="439">
        <v>87739.392000000007</v>
      </c>
      <c r="AU22" s="439">
        <v>87739.392000000007</v>
      </c>
      <c r="AV22" s="439">
        <v>87739.392000000007</v>
      </c>
      <c r="AW22" s="439">
        <v>87739.392000000007</v>
      </c>
      <c r="AX22" s="439">
        <v>91248.967680000016</v>
      </c>
      <c r="AY22" s="439">
        <v>91248.967680000016</v>
      </c>
      <c r="AZ22" s="439">
        <v>91248.967680000016</v>
      </c>
      <c r="BA22" s="439">
        <v>91248.967680000016</v>
      </c>
      <c r="BB22" s="439">
        <v>91248.967680000016</v>
      </c>
      <c r="BC22" s="439">
        <v>91248.967680000016</v>
      </c>
      <c r="BD22" s="439">
        <v>91248.967680000016</v>
      </c>
      <c r="BE22" s="439">
        <v>91248.967680000016</v>
      </c>
      <c r="BF22" s="439">
        <v>91248.967680000016</v>
      </c>
      <c r="BG22" s="439">
        <v>91248.967680000016</v>
      </c>
      <c r="BH22" s="439">
        <v>91248.967680000016</v>
      </c>
      <c r="BI22" s="439">
        <v>91248.967680000016</v>
      </c>
      <c r="BJ22" s="439">
        <v>94898.926387200016</v>
      </c>
      <c r="BK22" s="439">
        <v>94898.926387200016</v>
      </c>
      <c r="BL22" s="439">
        <v>94898.926387200016</v>
      </c>
      <c r="BM22" s="439">
        <v>94898.926387200016</v>
      </c>
      <c r="BN22" s="439">
        <v>94898.926387200016</v>
      </c>
      <c r="BO22" s="439">
        <v>94898.926387200016</v>
      </c>
      <c r="BP22" s="439">
        <v>94898.926387200016</v>
      </c>
      <c r="BQ22" s="439">
        <v>94898.926387200016</v>
      </c>
      <c r="BR22" s="439">
        <v>94898.926387200016</v>
      </c>
      <c r="BS22" s="439">
        <v>94898.926387200016</v>
      </c>
      <c r="BT22" s="439">
        <v>94898.926387200016</v>
      </c>
      <c r="BU22" s="439">
        <v>94898.926387200016</v>
      </c>
      <c r="BV22" s="439">
        <v>98694.88344268802</v>
      </c>
      <c r="BW22" s="439">
        <v>98694.88344268802</v>
      </c>
      <c r="BX22" s="439">
        <v>98694.88344268802</v>
      </c>
      <c r="BY22" s="439">
        <v>98694.88344268802</v>
      </c>
      <c r="BZ22" s="439">
        <v>98694.88344268802</v>
      </c>
      <c r="CA22" s="439">
        <v>98694.88344268802</v>
      </c>
      <c r="CB22" s="439">
        <v>98694.88344268802</v>
      </c>
      <c r="CC22" s="439">
        <v>98694.88344268802</v>
      </c>
      <c r="CD22" s="439">
        <v>98694.88344268802</v>
      </c>
      <c r="CE22" s="439">
        <v>98694.88344268802</v>
      </c>
      <c r="CF22" s="439">
        <v>98694.88344268802</v>
      </c>
      <c r="CG22" s="439">
        <v>98694.88344268802</v>
      </c>
      <c r="CH22" s="439">
        <v>102642.67878039554</v>
      </c>
      <c r="CI22" s="439">
        <v>102642.67878039554</v>
      </c>
      <c r="CJ22" s="439">
        <v>102642.67878039554</v>
      </c>
      <c r="CK22" s="439">
        <v>102642.67878039554</v>
      </c>
      <c r="CL22" s="439">
        <v>102642.67878039554</v>
      </c>
      <c r="CM22" s="439">
        <v>102642.67878039554</v>
      </c>
      <c r="CN22" s="439">
        <v>102642.67878039554</v>
      </c>
      <c r="CO22" s="439">
        <v>102642.67878039554</v>
      </c>
      <c r="CP22" s="439">
        <v>102642.67878039554</v>
      </c>
      <c r="CQ22" s="439">
        <v>102642.67878039554</v>
      </c>
      <c r="CR22" s="439">
        <v>102642.67878039554</v>
      </c>
      <c r="CS22" s="439">
        <v>102642.67878039554</v>
      </c>
      <c r="CT22" s="439">
        <v>106748.38593161137</v>
      </c>
      <c r="CU22" s="439">
        <v>106748.38593161137</v>
      </c>
      <c r="CV22" s="439">
        <v>106748.38593161137</v>
      </c>
      <c r="CW22" s="439">
        <v>106748.38593161137</v>
      </c>
      <c r="CX22" s="439">
        <v>106748.38593161137</v>
      </c>
      <c r="CY22" s="439">
        <v>106748.38593161137</v>
      </c>
    </row>
    <row r="23" spans="1:103" ht="12" customHeight="1">
      <c r="A23" s="442" t="s">
        <v>544</v>
      </c>
      <c r="B23" s="439">
        <f t="shared" ref="B23:BM23" si="9">B21*B22</f>
        <v>5070000</v>
      </c>
      <c r="C23" s="439">
        <f t="shared" si="9"/>
        <v>5070000</v>
      </c>
      <c r="D23" s="439">
        <f t="shared" si="9"/>
        <v>5928000</v>
      </c>
      <c r="E23" s="439">
        <f t="shared" si="9"/>
        <v>5928000</v>
      </c>
      <c r="F23" s="439">
        <f t="shared" si="9"/>
        <v>5928000</v>
      </c>
      <c r="G23" s="439">
        <f t="shared" si="9"/>
        <v>5928000</v>
      </c>
      <c r="H23" s="439">
        <f t="shared" si="9"/>
        <v>5928000</v>
      </c>
      <c r="I23" s="439">
        <f t="shared" si="9"/>
        <v>5928000</v>
      </c>
      <c r="J23" s="439">
        <f t="shared" si="9"/>
        <v>5928000</v>
      </c>
      <c r="K23" s="439">
        <f t="shared" si="9"/>
        <v>5070000</v>
      </c>
      <c r="L23" s="439">
        <f t="shared" si="9"/>
        <v>5070000</v>
      </c>
      <c r="M23" s="439">
        <f t="shared" si="9"/>
        <v>5070000</v>
      </c>
      <c r="N23" s="439">
        <f t="shared" si="9"/>
        <v>5272800</v>
      </c>
      <c r="O23" s="439">
        <f t="shared" si="9"/>
        <v>5272800</v>
      </c>
      <c r="P23" s="439">
        <f t="shared" si="9"/>
        <v>5272800</v>
      </c>
      <c r="Q23" s="439">
        <f t="shared" si="9"/>
        <v>5272800</v>
      </c>
      <c r="R23" s="439">
        <f t="shared" si="9"/>
        <v>5272800</v>
      </c>
      <c r="S23" s="439">
        <f t="shared" si="9"/>
        <v>5272800</v>
      </c>
      <c r="T23" s="439">
        <f t="shared" si="9"/>
        <v>4056000</v>
      </c>
      <c r="U23" s="439">
        <f t="shared" si="9"/>
        <v>4056000</v>
      </c>
      <c r="V23" s="439">
        <f t="shared" si="9"/>
        <v>3244800</v>
      </c>
      <c r="W23" s="439">
        <f t="shared" si="9"/>
        <v>3244800</v>
      </c>
      <c r="X23" s="439">
        <f t="shared" si="9"/>
        <v>3244800</v>
      </c>
      <c r="Y23" s="439">
        <f t="shared" si="9"/>
        <v>3244800</v>
      </c>
      <c r="Z23" s="439">
        <f t="shared" si="9"/>
        <v>3374592</v>
      </c>
      <c r="AA23" s="439">
        <f t="shared" si="9"/>
        <v>3374592</v>
      </c>
      <c r="AB23" s="439">
        <f t="shared" si="9"/>
        <v>3374592</v>
      </c>
      <c r="AC23" s="439">
        <f t="shared" si="9"/>
        <v>3374592</v>
      </c>
      <c r="AD23" s="439">
        <f t="shared" si="9"/>
        <v>3374592</v>
      </c>
      <c r="AE23" s="439">
        <f t="shared" si="9"/>
        <v>3374592</v>
      </c>
      <c r="AF23" s="439">
        <f t="shared" si="9"/>
        <v>3374592</v>
      </c>
      <c r="AG23" s="439">
        <f t="shared" si="9"/>
        <v>2530944</v>
      </c>
      <c r="AH23" s="439">
        <f t="shared" si="9"/>
        <v>2530944</v>
      </c>
      <c r="AI23" s="439">
        <f t="shared" si="9"/>
        <v>2530944</v>
      </c>
      <c r="AJ23" s="439">
        <f t="shared" si="9"/>
        <v>2530944</v>
      </c>
      <c r="AK23" s="439">
        <f t="shared" si="9"/>
        <v>2530944</v>
      </c>
      <c r="AL23" s="439">
        <f t="shared" si="9"/>
        <v>2632181.7600000002</v>
      </c>
      <c r="AM23" s="439">
        <f t="shared" si="9"/>
        <v>2632181.7600000002</v>
      </c>
      <c r="AN23" s="439">
        <f t="shared" si="9"/>
        <v>2632181.7600000002</v>
      </c>
      <c r="AO23" s="439">
        <f t="shared" si="9"/>
        <v>2632181.7600000002</v>
      </c>
      <c r="AP23" s="439">
        <f t="shared" si="9"/>
        <v>2632181.7600000002</v>
      </c>
      <c r="AQ23" s="439">
        <f t="shared" si="9"/>
        <v>2632181.7600000002</v>
      </c>
      <c r="AR23" s="439">
        <f t="shared" si="9"/>
        <v>1754787.8400000001</v>
      </c>
      <c r="AS23" s="439">
        <f t="shared" si="9"/>
        <v>1754787.8400000001</v>
      </c>
      <c r="AT23" s="439">
        <f t="shared" si="9"/>
        <v>1754787.8400000001</v>
      </c>
      <c r="AU23" s="439">
        <f t="shared" si="9"/>
        <v>1754787.8400000001</v>
      </c>
      <c r="AV23" s="439">
        <f t="shared" si="9"/>
        <v>1754787.8400000001</v>
      </c>
      <c r="AW23" s="439">
        <f t="shared" si="9"/>
        <v>1754787.8400000001</v>
      </c>
      <c r="AX23" s="439">
        <f t="shared" si="9"/>
        <v>1824979.3536000003</v>
      </c>
      <c r="AY23" s="439">
        <f t="shared" si="9"/>
        <v>1824979.3536000003</v>
      </c>
      <c r="AZ23" s="439">
        <f t="shared" si="9"/>
        <v>1824979.3536000003</v>
      </c>
      <c r="BA23" s="439">
        <f t="shared" si="9"/>
        <v>1824979.3536000003</v>
      </c>
      <c r="BB23" s="439">
        <f t="shared" si="9"/>
        <v>1824979.3536000003</v>
      </c>
      <c r="BC23" s="439">
        <f t="shared" si="9"/>
        <v>1824979.3536000003</v>
      </c>
      <c r="BD23" s="439">
        <f t="shared" si="9"/>
        <v>1824979.3536000003</v>
      </c>
      <c r="BE23" s="439">
        <f t="shared" si="9"/>
        <v>1824979.3536000003</v>
      </c>
      <c r="BF23" s="439">
        <f t="shared" si="9"/>
        <v>1824979.3536000003</v>
      </c>
      <c r="BG23" s="439">
        <f t="shared" si="9"/>
        <v>1824979.3536000003</v>
      </c>
      <c r="BH23" s="439">
        <f t="shared" si="9"/>
        <v>1824979.3536000003</v>
      </c>
      <c r="BI23" s="439">
        <f t="shared" si="9"/>
        <v>1824979.3536000003</v>
      </c>
      <c r="BJ23" s="439">
        <f t="shared" si="9"/>
        <v>1897978.5277440003</v>
      </c>
      <c r="BK23" s="439">
        <f t="shared" si="9"/>
        <v>1897978.5277440003</v>
      </c>
      <c r="BL23" s="439">
        <f t="shared" si="9"/>
        <v>1897978.5277440003</v>
      </c>
      <c r="BM23" s="439">
        <f t="shared" si="9"/>
        <v>1897978.5277440003</v>
      </c>
      <c r="BN23" s="439">
        <f t="shared" ref="BN23:CY23" si="10">BN21*BN22</f>
        <v>1897978.5277440003</v>
      </c>
      <c r="BO23" s="439">
        <f t="shared" si="10"/>
        <v>1897978.5277440003</v>
      </c>
      <c r="BP23" s="439">
        <f t="shared" si="10"/>
        <v>1897978.5277440003</v>
      </c>
      <c r="BQ23" s="439">
        <f t="shared" si="10"/>
        <v>1897978.5277440003</v>
      </c>
      <c r="BR23" s="439">
        <f t="shared" si="10"/>
        <v>1897978.5277440003</v>
      </c>
      <c r="BS23" s="439">
        <f t="shared" si="10"/>
        <v>1897978.5277440003</v>
      </c>
      <c r="BT23" s="439">
        <f t="shared" si="10"/>
        <v>1897978.5277440003</v>
      </c>
      <c r="BU23" s="439">
        <f t="shared" si="10"/>
        <v>1897978.5277440003</v>
      </c>
      <c r="BV23" s="439">
        <f t="shared" si="10"/>
        <v>1973897.6688537605</v>
      </c>
      <c r="BW23" s="439">
        <f t="shared" si="10"/>
        <v>1973897.6688537605</v>
      </c>
      <c r="BX23" s="439">
        <f t="shared" si="10"/>
        <v>1973897.6688537605</v>
      </c>
      <c r="BY23" s="439">
        <f t="shared" si="10"/>
        <v>1973897.6688537605</v>
      </c>
      <c r="BZ23" s="439">
        <f t="shared" si="10"/>
        <v>1973897.6688537605</v>
      </c>
      <c r="CA23" s="439">
        <f t="shared" si="10"/>
        <v>1973897.6688537605</v>
      </c>
      <c r="CB23" s="439">
        <f t="shared" si="10"/>
        <v>1973897.6688537605</v>
      </c>
      <c r="CC23" s="439">
        <f t="shared" si="10"/>
        <v>1973897.6688537605</v>
      </c>
      <c r="CD23" s="439">
        <f t="shared" si="10"/>
        <v>1973897.6688537605</v>
      </c>
      <c r="CE23" s="439">
        <f t="shared" si="10"/>
        <v>1579118.1350830083</v>
      </c>
      <c r="CF23" s="439">
        <f t="shared" si="10"/>
        <v>1579118.1350830083</v>
      </c>
      <c r="CG23" s="439">
        <f t="shared" si="10"/>
        <v>1579118.1350830083</v>
      </c>
      <c r="CH23" s="439">
        <f t="shared" si="10"/>
        <v>1642282.8604863286</v>
      </c>
      <c r="CI23" s="439">
        <f t="shared" si="10"/>
        <v>1642282.8604863286</v>
      </c>
      <c r="CJ23" s="439">
        <f t="shared" si="10"/>
        <v>1642282.8604863286</v>
      </c>
      <c r="CK23" s="439">
        <f t="shared" si="10"/>
        <v>1642282.8604863286</v>
      </c>
      <c r="CL23" s="439">
        <f t="shared" si="10"/>
        <v>1642282.8604863286</v>
      </c>
      <c r="CM23" s="439">
        <f t="shared" si="10"/>
        <v>1642282.8604863286</v>
      </c>
      <c r="CN23" s="439">
        <f t="shared" si="10"/>
        <v>1642282.8604863286</v>
      </c>
      <c r="CO23" s="439">
        <f t="shared" si="10"/>
        <v>1642282.8604863286</v>
      </c>
      <c r="CP23" s="439">
        <f t="shared" si="10"/>
        <v>1642282.8604863286</v>
      </c>
      <c r="CQ23" s="439">
        <f t="shared" si="10"/>
        <v>1642282.8604863286</v>
      </c>
      <c r="CR23" s="439">
        <f t="shared" si="10"/>
        <v>1642282.8604863286</v>
      </c>
      <c r="CS23" s="439">
        <f t="shared" si="10"/>
        <v>1642282.8604863286</v>
      </c>
      <c r="CT23" s="439">
        <f t="shared" si="10"/>
        <v>1707974.1749057819</v>
      </c>
      <c r="CU23" s="439">
        <f t="shared" si="10"/>
        <v>1707974.1749057819</v>
      </c>
      <c r="CV23" s="439">
        <f t="shared" si="10"/>
        <v>1707974.1749057819</v>
      </c>
      <c r="CW23" s="439">
        <f t="shared" si="10"/>
        <v>1707974.1749057819</v>
      </c>
      <c r="CX23" s="439">
        <f t="shared" si="10"/>
        <v>1707974.1749057819</v>
      </c>
      <c r="CY23" s="439">
        <f t="shared" si="10"/>
        <v>1707974.1749057819</v>
      </c>
    </row>
    <row r="24" spans="1:103" ht="12" customHeight="1">
      <c r="A24" s="442" t="s">
        <v>545</v>
      </c>
      <c r="B24" s="439">
        <f t="shared" ref="B24:BM24" si="11">IF(B21&gt;=22,22,B21)</f>
        <v>22</v>
      </c>
      <c r="C24" s="439">
        <f t="shared" si="11"/>
        <v>22</v>
      </c>
      <c r="D24" s="439">
        <f t="shared" si="11"/>
        <v>22</v>
      </c>
      <c r="E24" s="439">
        <f t="shared" si="11"/>
        <v>22</v>
      </c>
      <c r="F24" s="439">
        <f t="shared" si="11"/>
        <v>22</v>
      </c>
      <c r="G24" s="439">
        <f t="shared" si="11"/>
        <v>22</v>
      </c>
      <c r="H24" s="439">
        <f t="shared" si="11"/>
        <v>22</v>
      </c>
      <c r="I24" s="439">
        <f t="shared" si="11"/>
        <v>22</v>
      </c>
      <c r="J24" s="439">
        <f t="shared" si="11"/>
        <v>22</v>
      </c>
      <c r="K24" s="439">
        <f t="shared" si="11"/>
        <v>22</v>
      </c>
      <c r="L24" s="439">
        <f t="shared" si="11"/>
        <v>22</v>
      </c>
      <c r="M24" s="439">
        <f t="shared" si="11"/>
        <v>22</v>
      </c>
      <c r="N24" s="439">
        <f t="shared" si="11"/>
        <v>22</v>
      </c>
      <c r="O24" s="439">
        <f t="shared" si="11"/>
        <v>22</v>
      </c>
      <c r="P24" s="439">
        <f t="shared" si="11"/>
        <v>22</v>
      </c>
      <c r="Q24" s="439">
        <f t="shared" si="11"/>
        <v>22</v>
      </c>
      <c r="R24" s="439">
        <f t="shared" si="11"/>
        <v>22</v>
      </c>
      <c r="S24" s="439">
        <f t="shared" si="11"/>
        <v>22</v>
      </c>
      <c r="T24" s="439">
        <f t="shared" si="11"/>
        <v>22</v>
      </c>
      <c r="U24" s="439">
        <f t="shared" si="11"/>
        <v>22</v>
      </c>
      <c r="V24" s="439">
        <f t="shared" si="11"/>
        <v>22</v>
      </c>
      <c r="W24" s="439">
        <f t="shared" si="11"/>
        <v>22</v>
      </c>
      <c r="X24" s="439">
        <f t="shared" si="11"/>
        <v>22</v>
      </c>
      <c r="Y24" s="439">
        <f t="shared" si="11"/>
        <v>22</v>
      </c>
      <c r="Z24" s="439">
        <f t="shared" si="11"/>
        <v>22</v>
      </c>
      <c r="AA24" s="439">
        <f t="shared" si="11"/>
        <v>22</v>
      </c>
      <c r="AB24" s="439">
        <f t="shared" si="11"/>
        <v>22</v>
      </c>
      <c r="AC24" s="439">
        <f t="shared" si="11"/>
        <v>22</v>
      </c>
      <c r="AD24" s="439">
        <f t="shared" si="11"/>
        <v>22</v>
      </c>
      <c r="AE24" s="439">
        <f t="shared" si="11"/>
        <v>22</v>
      </c>
      <c r="AF24" s="439">
        <f t="shared" si="11"/>
        <v>22</v>
      </c>
      <c r="AG24" s="439">
        <f t="shared" si="11"/>
        <v>22</v>
      </c>
      <c r="AH24" s="439">
        <f t="shared" si="11"/>
        <v>22</v>
      </c>
      <c r="AI24" s="439">
        <f t="shared" si="11"/>
        <v>22</v>
      </c>
      <c r="AJ24" s="439">
        <f t="shared" si="11"/>
        <v>22</v>
      </c>
      <c r="AK24" s="439">
        <f t="shared" si="11"/>
        <v>22</v>
      </c>
      <c r="AL24" s="439">
        <f t="shared" si="11"/>
        <v>22</v>
      </c>
      <c r="AM24" s="439">
        <f t="shared" si="11"/>
        <v>22</v>
      </c>
      <c r="AN24" s="439">
        <f t="shared" si="11"/>
        <v>22</v>
      </c>
      <c r="AO24" s="439">
        <f t="shared" si="11"/>
        <v>22</v>
      </c>
      <c r="AP24" s="439">
        <f t="shared" si="11"/>
        <v>22</v>
      </c>
      <c r="AQ24" s="439">
        <f t="shared" si="11"/>
        <v>22</v>
      </c>
      <c r="AR24" s="439">
        <f t="shared" si="11"/>
        <v>20</v>
      </c>
      <c r="AS24" s="439">
        <f t="shared" si="11"/>
        <v>20</v>
      </c>
      <c r="AT24" s="439">
        <f t="shared" si="11"/>
        <v>20</v>
      </c>
      <c r="AU24" s="439">
        <f t="shared" si="11"/>
        <v>20</v>
      </c>
      <c r="AV24" s="439">
        <f t="shared" si="11"/>
        <v>20</v>
      </c>
      <c r="AW24" s="439">
        <f t="shared" si="11"/>
        <v>20</v>
      </c>
      <c r="AX24" s="439">
        <f t="shared" si="11"/>
        <v>20</v>
      </c>
      <c r="AY24" s="439">
        <f t="shared" si="11"/>
        <v>20</v>
      </c>
      <c r="AZ24" s="439">
        <f t="shared" si="11"/>
        <v>20</v>
      </c>
      <c r="BA24" s="439">
        <f t="shared" si="11"/>
        <v>20</v>
      </c>
      <c r="BB24" s="439">
        <f t="shared" si="11"/>
        <v>20</v>
      </c>
      <c r="BC24" s="439">
        <f t="shared" si="11"/>
        <v>20</v>
      </c>
      <c r="BD24" s="439">
        <f t="shared" si="11"/>
        <v>20</v>
      </c>
      <c r="BE24" s="439">
        <f t="shared" si="11"/>
        <v>20</v>
      </c>
      <c r="BF24" s="439">
        <f t="shared" si="11"/>
        <v>20</v>
      </c>
      <c r="BG24" s="439">
        <f t="shared" si="11"/>
        <v>20</v>
      </c>
      <c r="BH24" s="439">
        <f t="shared" si="11"/>
        <v>20</v>
      </c>
      <c r="BI24" s="439">
        <f t="shared" si="11"/>
        <v>20</v>
      </c>
      <c r="BJ24" s="439">
        <f t="shared" si="11"/>
        <v>20</v>
      </c>
      <c r="BK24" s="439">
        <f t="shared" si="11"/>
        <v>20</v>
      </c>
      <c r="BL24" s="439">
        <f t="shared" si="11"/>
        <v>20</v>
      </c>
      <c r="BM24" s="439">
        <f t="shared" si="11"/>
        <v>20</v>
      </c>
      <c r="BN24" s="439">
        <f t="shared" ref="BN24:CY24" si="12">IF(BN21&gt;=22,22,BN21)</f>
        <v>20</v>
      </c>
      <c r="BO24" s="439">
        <f t="shared" si="12"/>
        <v>20</v>
      </c>
      <c r="BP24" s="439">
        <f t="shared" si="12"/>
        <v>20</v>
      </c>
      <c r="BQ24" s="439">
        <f t="shared" si="12"/>
        <v>20</v>
      </c>
      <c r="BR24" s="439">
        <f t="shared" si="12"/>
        <v>20</v>
      </c>
      <c r="BS24" s="439">
        <f t="shared" si="12"/>
        <v>20</v>
      </c>
      <c r="BT24" s="439">
        <f t="shared" si="12"/>
        <v>20</v>
      </c>
      <c r="BU24" s="439">
        <f t="shared" si="12"/>
        <v>20</v>
      </c>
      <c r="BV24" s="439">
        <f t="shared" si="12"/>
        <v>20</v>
      </c>
      <c r="BW24" s="439">
        <f t="shared" si="12"/>
        <v>20</v>
      </c>
      <c r="BX24" s="439">
        <f t="shared" si="12"/>
        <v>20</v>
      </c>
      <c r="BY24" s="439">
        <f t="shared" si="12"/>
        <v>20</v>
      </c>
      <c r="BZ24" s="439">
        <f t="shared" si="12"/>
        <v>20</v>
      </c>
      <c r="CA24" s="439">
        <f t="shared" si="12"/>
        <v>20</v>
      </c>
      <c r="CB24" s="439">
        <f t="shared" si="12"/>
        <v>20</v>
      </c>
      <c r="CC24" s="439">
        <f t="shared" si="12"/>
        <v>20</v>
      </c>
      <c r="CD24" s="439">
        <f t="shared" si="12"/>
        <v>20</v>
      </c>
      <c r="CE24" s="439">
        <f t="shared" si="12"/>
        <v>16</v>
      </c>
      <c r="CF24" s="439">
        <f t="shared" si="12"/>
        <v>16</v>
      </c>
      <c r="CG24" s="439">
        <f t="shared" si="12"/>
        <v>16</v>
      </c>
      <c r="CH24" s="439">
        <f t="shared" si="12"/>
        <v>16</v>
      </c>
      <c r="CI24" s="439">
        <f t="shared" si="12"/>
        <v>16</v>
      </c>
      <c r="CJ24" s="439">
        <f t="shared" si="12"/>
        <v>16</v>
      </c>
      <c r="CK24" s="439">
        <f t="shared" si="12"/>
        <v>16</v>
      </c>
      <c r="CL24" s="439">
        <f t="shared" si="12"/>
        <v>16</v>
      </c>
      <c r="CM24" s="439">
        <f t="shared" si="12"/>
        <v>16</v>
      </c>
      <c r="CN24" s="439">
        <f t="shared" si="12"/>
        <v>16</v>
      </c>
      <c r="CO24" s="439">
        <f t="shared" si="12"/>
        <v>16</v>
      </c>
      <c r="CP24" s="439">
        <f t="shared" si="12"/>
        <v>16</v>
      </c>
      <c r="CQ24" s="439">
        <f t="shared" si="12"/>
        <v>16</v>
      </c>
      <c r="CR24" s="439">
        <f t="shared" si="12"/>
        <v>16</v>
      </c>
      <c r="CS24" s="439">
        <f t="shared" si="12"/>
        <v>16</v>
      </c>
      <c r="CT24" s="439">
        <f t="shared" si="12"/>
        <v>16</v>
      </c>
      <c r="CU24" s="439">
        <f t="shared" si="12"/>
        <v>16</v>
      </c>
      <c r="CV24" s="439">
        <f t="shared" si="12"/>
        <v>16</v>
      </c>
      <c r="CW24" s="439">
        <f t="shared" si="12"/>
        <v>16</v>
      </c>
      <c r="CX24" s="439">
        <f t="shared" si="12"/>
        <v>16</v>
      </c>
      <c r="CY24" s="439">
        <f t="shared" si="12"/>
        <v>16</v>
      </c>
    </row>
    <row r="25" spans="1:103" ht="12" customHeight="1">
      <c r="A25" s="442" t="s">
        <v>546</v>
      </c>
      <c r="B25" s="443">
        <f t="shared" ref="B25:BM25" si="13">(B21-B24)*B22</f>
        <v>3354000</v>
      </c>
      <c r="C25" s="443">
        <f t="shared" si="13"/>
        <v>3354000</v>
      </c>
      <c r="D25" s="443">
        <f t="shared" si="13"/>
        <v>4212000</v>
      </c>
      <c r="E25" s="443">
        <f t="shared" si="13"/>
        <v>4212000</v>
      </c>
      <c r="F25" s="443">
        <f t="shared" si="13"/>
        <v>4212000</v>
      </c>
      <c r="G25" s="443">
        <f t="shared" si="13"/>
        <v>4212000</v>
      </c>
      <c r="H25" s="443">
        <f t="shared" si="13"/>
        <v>4212000</v>
      </c>
      <c r="I25" s="443">
        <f t="shared" si="13"/>
        <v>4212000</v>
      </c>
      <c r="J25" s="443">
        <f t="shared" si="13"/>
        <v>4212000</v>
      </c>
      <c r="K25" s="443">
        <f t="shared" si="13"/>
        <v>3354000</v>
      </c>
      <c r="L25" s="443">
        <f t="shared" si="13"/>
        <v>3354000</v>
      </c>
      <c r="M25" s="443">
        <f t="shared" si="13"/>
        <v>3354000</v>
      </c>
      <c r="N25" s="443">
        <f t="shared" si="13"/>
        <v>3488160</v>
      </c>
      <c r="O25" s="443">
        <f t="shared" si="13"/>
        <v>3488160</v>
      </c>
      <c r="P25" s="443">
        <f t="shared" si="13"/>
        <v>3488160</v>
      </c>
      <c r="Q25" s="443">
        <f t="shared" si="13"/>
        <v>3488160</v>
      </c>
      <c r="R25" s="443">
        <f t="shared" si="13"/>
        <v>3488160</v>
      </c>
      <c r="S25" s="443">
        <f t="shared" si="13"/>
        <v>3488160</v>
      </c>
      <c r="T25" s="443">
        <f t="shared" si="13"/>
        <v>2271360</v>
      </c>
      <c r="U25" s="443">
        <f t="shared" si="13"/>
        <v>2271360</v>
      </c>
      <c r="V25" s="443">
        <f t="shared" si="13"/>
        <v>1460160</v>
      </c>
      <c r="W25" s="443">
        <f t="shared" si="13"/>
        <v>1460160</v>
      </c>
      <c r="X25" s="443">
        <f t="shared" si="13"/>
        <v>1460160</v>
      </c>
      <c r="Y25" s="443">
        <f t="shared" si="13"/>
        <v>1460160</v>
      </c>
      <c r="Z25" s="443">
        <f t="shared" si="13"/>
        <v>1518566.4000000001</v>
      </c>
      <c r="AA25" s="443">
        <f t="shared" si="13"/>
        <v>1518566.4000000001</v>
      </c>
      <c r="AB25" s="443">
        <f t="shared" si="13"/>
        <v>1518566.4000000001</v>
      </c>
      <c r="AC25" s="443">
        <f t="shared" si="13"/>
        <v>1518566.4000000001</v>
      </c>
      <c r="AD25" s="443">
        <f t="shared" si="13"/>
        <v>1518566.4000000001</v>
      </c>
      <c r="AE25" s="443">
        <f t="shared" si="13"/>
        <v>1518566.4000000001</v>
      </c>
      <c r="AF25" s="443">
        <f t="shared" si="13"/>
        <v>1518566.4000000001</v>
      </c>
      <c r="AG25" s="443">
        <f t="shared" si="13"/>
        <v>674918.40000000002</v>
      </c>
      <c r="AH25" s="443">
        <f t="shared" si="13"/>
        <v>674918.40000000002</v>
      </c>
      <c r="AI25" s="443">
        <f t="shared" si="13"/>
        <v>674918.40000000002</v>
      </c>
      <c r="AJ25" s="443">
        <f t="shared" si="13"/>
        <v>674918.40000000002</v>
      </c>
      <c r="AK25" s="443">
        <f t="shared" si="13"/>
        <v>674918.40000000002</v>
      </c>
      <c r="AL25" s="443">
        <f t="shared" si="13"/>
        <v>701915.13600000006</v>
      </c>
      <c r="AM25" s="443">
        <f t="shared" si="13"/>
        <v>701915.13600000006</v>
      </c>
      <c r="AN25" s="443">
        <f t="shared" si="13"/>
        <v>701915.13600000006</v>
      </c>
      <c r="AO25" s="443">
        <f t="shared" si="13"/>
        <v>701915.13600000006</v>
      </c>
      <c r="AP25" s="443">
        <f t="shared" si="13"/>
        <v>701915.13600000006</v>
      </c>
      <c r="AQ25" s="443">
        <f t="shared" si="13"/>
        <v>701915.13600000006</v>
      </c>
      <c r="AR25" s="443">
        <f t="shared" si="13"/>
        <v>0</v>
      </c>
      <c r="AS25" s="443">
        <f t="shared" si="13"/>
        <v>0</v>
      </c>
      <c r="AT25" s="443">
        <f t="shared" si="13"/>
        <v>0</v>
      </c>
      <c r="AU25" s="443">
        <f t="shared" si="13"/>
        <v>0</v>
      </c>
      <c r="AV25" s="443">
        <f t="shared" si="13"/>
        <v>0</v>
      </c>
      <c r="AW25" s="443">
        <f t="shared" si="13"/>
        <v>0</v>
      </c>
      <c r="AX25" s="443">
        <f t="shared" si="13"/>
        <v>0</v>
      </c>
      <c r="AY25" s="443">
        <f t="shared" si="13"/>
        <v>0</v>
      </c>
      <c r="AZ25" s="443">
        <f t="shared" si="13"/>
        <v>0</v>
      </c>
      <c r="BA25" s="443">
        <f t="shared" si="13"/>
        <v>0</v>
      </c>
      <c r="BB25" s="443">
        <f t="shared" si="13"/>
        <v>0</v>
      </c>
      <c r="BC25" s="443">
        <f t="shared" si="13"/>
        <v>0</v>
      </c>
      <c r="BD25" s="443">
        <f t="shared" si="13"/>
        <v>0</v>
      </c>
      <c r="BE25" s="443">
        <f t="shared" si="13"/>
        <v>0</v>
      </c>
      <c r="BF25" s="443">
        <f t="shared" si="13"/>
        <v>0</v>
      </c>
      <c r="BG25" s="443">
        <f t="shared" si="13"/>
        <v>0</v>
      </c>
      <c r="BH25" s="443">
        <f t="shared" si="13"/>
        <v>0</v>
      </c>
      <c r="BI25" s="443">
        <f t="shared" si="13"/>
        <v>0</v>
      </c>
      <c r="BJ25" s="443">
        <f t="shared" si="13"/>
        <v>0</v>
      </c>
      <c r="BK25" s="443">
        <f t="shared" si="13"/>
        <v>0</v>
      </c>
      <c r="BL25" s="443">
        <f t="shared" si="13"/>
        <v>0</v>
      </c>
      <c r="BM25" s="443">
        <f t="shared" si="13"/>
        <v>0</v>
      </c>
      <c r="BN25" s="443">
        <f t="shared" ref="BN25:CY25" si="14">(BN21-BN24)*BN22</f>
        <v>0</v>
      </c>
      <c r="BO25" s="443">
        <f t="shared" si="14"/>
        <v>0</v>
      </c>
      <c r="BP25" s="443">
        <f t="shared" si="14"/>
        <v>0</v>
      </c>
      <c r="BQ25" s="443">
        <f t="shared" si="14"/>
        <v>0</v>
      </c>
      <c r="BR25" s="443">
        <f t="shared" si="14"/>
        <v>0</v>
      </c>
      <c r="BS25" s="443">
        <f t="shared" si="14"/>
        <v>0</v>
      </c>
      <c r="BT25" s="443">
        <f t="shared" si="14"/>
        <v>0</v>
      </c>
      <c r="BU25" s="443">
        <f t="shared" si="14"/>
        <v>0</v>
      </c>
      <c r="BV25" s="443">
        <f t="shared" si="14"/>
        <v>0</v>
      </c>
      <c r="BW25" s="443">
        <f t="shared" si="14"/>
        <v>0</v>
      </c>
      <c r="BX25" s="443">
        <f t="shared" si="14"/>
        <v>0</v>
      </c>
      <c r="BY25" s="443">
        <f t="shared" si="14"/>
        <v>0</v>
      </c>
      <c r="BZ25" s="443">
        <f t="shared" si="14"/>
        <v>0</v>
      </c>
      <c r="CA25" s="443">
        <f t="shared" si="14"/>
        <v>0</v>
      </c>
      <c r="CB25" s="443">
        <f t="shared" si="14"/>
        <v>0</v>
      </c>
      <c r="CC25" s="443">
        <f t="shared" si="14"/>
        <v>0</v>
      </c>
      <c r="CD25" s="443">
        <f t="shared" si="14"/>
        <v>0</v>
      </c>
      <c r="CE25" s="443">
        <f t="shared" si="14"/>
        <v>0</v>
      </c>
      <c r="CF25" s="443">
        <f t="shared" si="14"/>
        <v>0</v>
      </c>
      <c r="CG25" s="443">
        <f t="shared" si="14"/>
        <v>0</v>
      </c>
      <c r="CH25" s="443">
        <f t="shared" si="14"/>
        <v>0</v>
      </c>
      <c r="CI25" s="443">
        <f t="shared" si="14"/>
        <v>0</v>
      </c>
      <c r="CJ25" s="443">
        <f t="shared" si="14"/>
        <v>0</v>
      </c>
      <c r="CK25" s="443">
        <f t="shared" si="14"/>
        <v>0</v>
      </c>
      <c r="CL25" s="443">
        <f t="shared" si="14"/>
        <v>0</v>
      </c>
      <c r="CM25" s="443">
        <f t="shared" si="14"/>
        <v>0</v>
      </c>
      <c r="CN25" s="443">
        <f t="shared" si="14"/>
        <v>0</v>
      </c>
      <c r="CO25" s="443">
        <f t="shared" si="14"/>
        <v>0</v>
      </c>
      <c r="CP25" s="443">
        <f t="shared" si="14"/>
        <v>0</v>
      </c>
      <c r="CQ25" s="443">
        <f t="shared" si="14"/>
        <v>0</v>
      </c>
      <c r="CR25" s="443">
        <f t="shared" si="14"/>
        <v>0</v>
      </c>
      <c r="CS25" s="443">
        <f t="shared" si="14"/>
        <v>0</v>
      </c>
      <c r="CT25" s="443">
        <f t="shared" si="14"/>
        <v>0</v>
      </c>
      <c r="CU25" s="443">
        <f t="shared" si="14"/>
        <v>0</v>
      </c>
      <c r="CV25" s="443">
        <f t="shared" si="14"/>
        <v>0</v>
      </c>
      <c r="CW25" s="443">
        <f t="shared" si="14"/>
        <v>0</v>
      </c>
      <c r="CX25" s="443">
        <f t="shared" si="14"/>
        <v>0</v>
      </c>
      <c r="CY25" s="443">
        <f t="shared" si="14"/>
        <v>0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E8"/>
  <sheetViews>
    <sheetView workbookViewId="0">
      <pane xSplit="1" ySplit="2" topLeftCell="Z3" activePane="bottomRight" state="frozen"/>
      <selection activeCell="U8" sqref="U8"/>
      <selection pane="topRight" activeCell="U8" sqref="U8"/>
      <selection pane="bottomLeft" activeCell="U8" sqref="U8"/>
      <selection pane="bottomRight" activeCell="Z7" sqref="Z7"/>
    </sheetView>
  </sheetViews>
  <sheetFormatPr defaultColWidth="8" defaultRowHeight="12" customHeight="1" outlineLevelCol="1"/>
  <cols>
    <col min="1" max="1" width="21.7109375" style="293" customWidth="1"/>
    <col min="2" max="2" width="5.7109375" style="293" hidden="1" customWidth="1"/>
    <col min="3" max="3" width="6.28515625" style="293" hidden="1" customWidth="1"/>
    <col min="4" max="4" width="5.42578125" style="293" hidden="1" customWidth="1"/>
    <col min="5" max="5" width="5.140625" style="293" hidden="1" customWidth="1"/>
    <col min="6" max="6" width="6" style="293" hidden="1" customWidth="1"/>
    <col min="7" max="7" width="5.85546875" style="293" hidden="1" customWidth="1"/>
    <col min="8" max="8" width="5.7109375" style="293" hidden="1" customWidth="1"/>
    <col min="9" max="9" width="6.140625" style="293" hidden="1" customWidth="1"/>
    <col min="10" max="10" width="6" style="293" hidden="1" customWidth="1"/>
    <col min="11" max="11" width="5.42578125" style="293" hidden="1" customWidth="1"/>
    <col min="12" max="12" width="5.85546875" style="293" hidden="1" customWidth="1"/>
    <col min="13" max="13" width="6.140625" style="293" hidden="1" customWidth="1"/>
    <col min="14" max="14" width="5.7109375" style="293" hidden="1" customWidth="1"/>
    <col min="15" max="15" width="6.28515625" style="293" hidden="1" customWidth="1"/>
    <col min="16" max="16" width="5.42578125" style="293" hidden="1" customWidth="1"/>
    <col min="17" max="17" width="5.140625" style="293" hidden="1" customWidth="1"/>
    <col min="18" max="18" width="6" style="293" hidden="1" customWidth="1"/>
    <col min="19" max="19" width="5.85546875" style="293" hidden="1" customWidth="1"/>
    <col min="20" max="20" width="5.7109375" style="293" hidden="1" customWidth="1"/>
    <col min="21" max="21" width="6.140625" style="293" hidden="1" customWidth="1"/>
    <col min="22" max="22" width="6" style="293" hidden="1" customWidth="1"/>
    <col min="23" max="23" width="5.42578125" style="293" hidden="1" customWidth="1"/>
    <col min="24" max="24" width="5.85546875" style="293" hidden="1" customWidth="1"/>
    <col min="25" max="25" width="6.140625" style="293" hidden="1" customWidth="1"/>
    <col min="26" max="26" width="5.7109375" style="293" customWidth="1" outlineLevel="1"/>
    <col min="27" max="27" width="6.28515625" style="293" customWidth="1" outlineLevel="1"/>
    <col min="28" max="28" width="5.42578125" style="293" customWidth="1" outlineLevel="1"/>
    <col min="29" max="29" width="5.140625" style="293" customWidth="1" outlineLevel="1"/>
    <col min="30" max="30" width="6" style="293" customWidth="1" outlineLevel="1"/>
    <col min="31" max="31" width="5.85546875" style="293" customWidth="1" outlineLevel="1"/>
    <col min="32" max="32" width="5.7109375" style="293" customWidth="1" outlineLevel="1"/>
    <col min="33" max="33" width="6.140625" style="293" customWidth="1" outlineLevel="1"/>
    <col min="34" max="34" width="6" style="293" customWidth="1" outlineLevel="1"/>
    <col min="35" max="35" width="5.42578125" style="293" customWidth="1" outlineLevel="1"/>
    <col min="36" max="36" width="5.85546875" style="293" customWidth="1" outlineLevel="1"/>
    <col min="37" max="37" width="6.140625" style="293" customWidth="1" outlineLevel="1"/>
    <col min="38" max="38" width="5.7109375" style="293" customWidth="1" outlineLevel="1"/>
    <col min="39" max="39" width="6.28515625" style="293" customWidth="1" outlineLevel="1"/>
    <col min="40" max="40" width="5.42578125" style="293" customWidth="1" outlineLevel="1"/>
    <col min="41" max="41" width="5.140625" style="293" customWidth="1" outlineLevel="1"/>
    <col min="42" max="42" width="6" style="293" customWidth="1" outlineLevel="1"/>
    <col min="43" max="43" width="5.85546875" style="293" customWidth="1" outlineLevel="1"/>
    <col min="44" max="44" width="5.7109375" style="293" customWidth="1" outlineLevel="1"/>
    <col min="45" max="45" width="6.140625" style="293" customWidth="1" outlineLevel="1"/>
    <col min="46" max="46" width="6" style="293" customWidth="1" outlineLevel="1"/>
    <col min="47" max="47" width="5.42578125" style="293" customWidth="1"/>
    <col min="48" max="48" width="5.85546875" style="293" customWidth="1"/>
    <col min="49" max="49" width="6.140625" style="293" customWidth="1"/>
    <col min="50" max="50" width="5.7109375" style="293" customWidth="1"/>
    <col min="51" max="51" width="6.28515625" style="293" customWidth="1"/>
    <col min="52" max="52" width="5.42578125" style="293" customWidth="1"/>
    <col min="53" max="53" width="5.140625" style="293" customWidth="1"/>
    <col min="54" max="54" width="6" style="293" customWidth="1"/>
    <col min="55" max="55" width="5.85546875" style="293" customWidth="1"/>
    <col min="56" max="56" width="5.7109375" style="293" customWidth="1"/>
    <col min="57" max="57" width="6.140625" style="293" customWidth="1"/>
    <col min="58" max="58" width="6" style="293" customWidth="1"/>
    <col min="59" max="59" width="5.42578125" style="293" customWidth="1"/>
    <col min="60" max="60" width="5.85546875" style="293" customWidth="1"/>
    <col min="61" max="61" width="6.140625" style="293" customWidth="1"/>
    <col min="62" max="62" width="5.7109375" style="293" customWidth="1"/>
    <col min="63" max="63" width="6.28515625" style="293" customWidth="1"/>
    <col min="64" max="64" width="5.42578125" style="293" customWidth="1"/>
    <col min="65" max="65" width="5.140625" style="293" customWidth="1"/>
    <col min="66" max="66" width="6" style="293" customWidth="1"/>
    <col min="67" max="67" width="5.85546875" style="293" customWidth="1"/>
    <col min="68" max="68" width="5.7109375" style="293" customWidth="1"/>
    <col min="69" max="69" width="6.140625" style="293" customWidth="1"/>
    <col min="70" max="70" width="6" style="293" customWidth="1"/>
    <col min="71" max="71" width="5.42578125" style="293" customWidth="1"/>
    <col min="72" max="72" width="5.85546875" style="293" customWidth="1"/>
    <col min="73" max="73" width="6.140625" style="293" customWidth="1"/>
    <col min="74" max="74" width="5.7109375" style="293" customWidth="1"/>
    <col min="75" max="75" width="6.28515625" style="293" customWidth="1"/>
    <col min="76" max="76" width="5.42578125" style="293" customWidth="1"/>
    <col min="77" max="77" width="5.140625" style="293" customWidth="1"/>
    <col min="78" max="78" width="6" style="293" customWidth="1"/>
    <col min="79" max="79" width="5.85546875" style="293" customWidth="1"/>
    <col min="80" max="80" width="5.7109375" style="293" customWidth="1"/>
    <col min="81" max="81" width="6.140625" style="293" customWidth="1"/>
    <col min="82" max="82" width="6" style="293" customWidth="1"/>
    <col min="83" max="83" width="5.42578125" style="293" customWidth="1"/>
    <col min="84" max="84" width="5.85546875" style="293" customWidth="1"/>
    <col min="85" max="85" width="6.140625" style="293" customWidth="1"/>
    <col min="86" max="86" width="5.7109375" style="293" customWidth="1"/>
    <col min="87" max="87" width="6.28515625" style="293" customWidth="1"/>
    <col min="88" max="88" width="5.42578125" style="293" customWidth="1"/>
    <col min="89" max="89" width="5.140625" style="293" customWidth="1"/>
    <col min="90" max="90" width="6" style="293" customWidth="1"/>
    <col min="91" max="91" width="5.85546875" style="293" customWidth="1"/>
    <col min="92" max="92" width="5.7109375" style="293" customWidth="1"/>
    <col min="93" max="93" width="6.140625" style="293" customWidth="1"/>
    <col min="94" max="94" width="6" style="293" customWidth="1"/>
    <col min="95" max="95" width="5.42578125" style="293" customWidth="1"/>
    <col min="96" max="96" width="5.85546875" style="293" customWidth="1"/>
    <col min="97" max="97" width="6.140625" style="293" customWidth="1"/>
    <col min="98" max="98" width="5.7109375" style="293" customWidth="1"/>
    <col min="99" max="99" width="6.28515625" style="293" customWidth="1"/>
    <col min="100" max="100" width="5.42578125" style="293" customWidth="1"/>
    <col min="101" max="101" width="5.140625" style="293" customWidth="1"/>
    <col min="102" max="102" width="6" style="293" customWidth="1"/>
    <col min="103" max="109" width="5.85546875" style="293" customWidth="1"/>
    <col min="110" max="16384" width="8" style="293"/>
  </cols>
  <sheetData>
    <row r="1" spans="1:109" ht="12" customHeight="1">
      <c r="A1" s="317"/>
      <c r="B1" s="444"/>
      <c r="C1" s="444"/>
      <c r="D1" s="444" t="s">
        <v>312</v>
      </c>
      <c r="E1" s="444" t="s">
        <v>312</v>
      </c>
      <c r="F1" s="444" t="s">
        <v>312</v>
      </c>
      <c r="G1" s="444" t="s">
        <v>312</v>
      </c>
      <c r="H1" s="444" t="s">
        <v>312</v>
      </c>
      <c r="I1" s="444" t="s">
        <v>312</v>
      </c>
      <c r="J1" s="444" t="s">
        <v>312</v>
      </c>
      <c r="K1" s="444" t="s">
        <v>312</v>
      </c>
      <c r="L1" s="444" t="s">
        <v>312</v>
      </c>
      <c r="M1" s="444" t="s">
        <v>312</v>
      </c>
      <c r="N1" s="444" t="s">
        <v>313</v>
      </c>
      <c r="O1" s="444" t="s">
        <v>313</v>
      </c>
      <c r="P1" s="444" t="s">
        <v>313</v>
      </c>
      <c r="Q1" s="444" t="s">
        <v>313</v>
      </c>
      <c r="R1" s="444" t="s">
        <v>313</v>
      </c>
      <c r="S1" s="444" t="s">
        <v>313</v>
      </c>
      <c r="T1" s="444" t="s">
        <v>313</v>
      </c>
      <c r="U1" s="444" t="s">
        <v>313</v>
      </c>
      <c r="V1" s="444" t="s">
        <v>313</v>
      </c>
      <c r="W1" s="444" t="s">
        <v>313</v>
      </c>
      <c r="X1" s="444" t="s">
        <v>313</v>
      </c>
      <c r="Y1" s="444" t="s">
        <v>313</v>
      </c>
      <c r="Z1" s="444" t="s">
        <v>314</v>
      </c>
      <c r="AA1" s="444" t="s">
        <v>314</v>
      </c>
      <c r="AB1" s="444" t="s">
        <v>314</v>
      </c>
      <c r="AC1" s="444" t="s">
        <v>314</v>
      </c>
      <c r="AD1" s="444" t="s">
        <v>314</v>
      </c>
      <c r="AE1" s="444" t="s">
        <v>314</v>
      </c>
      <c r="AF1" s="444" t="s">
        <v>314</v>
      </c>
      <c r="AG1" s="444" t="s">
        <v>314</v>
      </c>
      <c r="AH1" s="444" t="s">
        <v>314</v>
      </c>
      <c r="AI1" s="444" t="s">
        <v>314</v>
      </c>
      <c r="AJ1" s="444" t="s">
        <v>314</v>
      </c>
      <c r="AK1" s="444" t="s">
        <v>314</v>
      </c>
      <c r="AL1" s="444" t="s">
        <v>315</v>
      </c>
      <c r="AM1" s="444" t="s">
        <v>315</v>
      </c>
      <c r="AN1" s="444" t="s">
        <v>315</v>
      </c>
      <c r="AO1" s="444" t="s">
        <v>315</v>
      </c>
      <c r="AP1" s="444" t="s">
        <v>315</v>
      </c>
      <c r="AQ1" s="444" t="s">
        <v>315</v>
      </c>
      <c r="AR1" s="444" t="s">
        <v>315</v>
      </c>
      <c r="AS1" s="444" t="s">
        <v>315</v>
      </c>
      <c r="AT1" s="444" t="s">
        <v>315</v>
      </c>
      <c r="AU1" s="444" t="s">
        <v>315</v>
      </c>
      <c r="AV1" s="444" t="s">
        <v>315</v>
      </c>
      <c r="AW1" s="444" t="s">
        <v>315</v>
      </c>
      <c r="AX1" s="444" t="s">
        <v>316</v>
      </c>
      <c r="AY1" s="444" t="s">
        <v>316</v>
      </c>
      <c r="AZ1" s="444" t="s">
        <v>316</v>
      </c>
      <c r="BA1" s="444" t="s">
        <v>316</v>
      </c>
      <c r="BB1" s="444" t="s">
        <v>316</v>
      </c>
      <c r="BC1" s="444" t="s">
        <v>316</v>
      </c>
      <c r="BD1" s="444" t="s">
        <v>316</v>
      </c>
      <c r="BE1" s="444" t="s">
        <v>316</v>
      </c>
      <c r="BF1" s="444" t="s">
        <v>316</v>
      </c>
      <c r="BG1" s="444" t="s">
        <v>316</v>
      </c>
      <c r="BH1" s="444" t="s">
        <v>316</v>
      </c>
      <c r="BI1" s="444" t="s">
        <v>316</v>
      </c>
      <c r="BJ1" s="444" t="s">
        <v>317</v>
      </c>
      <c r="BK1" s="444" t="s">
        <v>317</v>
      </c>
      <c r="BL1" s="444" t="s">
        <v>317</v>
      </c>
      <c r="BM1" s="444" t="s">
        <v>317</v>
      </c>
      <c r="BN1" s="444" t="s">
        <v>317</v>
      </c>
      <c r="BO1" s="444" t="s">
        <v>317</v>
      </c>
      <c r="BP1" s="444" t="s">
        <v>317</v>
      </c>
      <c r="BQ1" s="444" t="s">
        <v>317</v>
      </c>
      <c r="BR1" s="444" t="s">
        <v>317</v>
      </c>
      <c r="BS1" s="444" t="s">
        <v>317</v>
      </c>
      <c r="BT1" s="444" t="s">
        <v>317</v>
      </c>
      <c r="BU1" s="444" t="s">
        <v>317</v>
      </c>
      <c r="BV1" s="444" t="s">
        <v>318</v>
      </c>
      <c r="BW1" s="444" t="s">
        <v>318</v>
      </c>
      <c r="BX1" s="444" t="s">
        <v>318</v>
      </c>
      <c r="BY1" s="444" t="s">
        <v>318</v>
      </c>
      <c r="BZ1" s="444" t="s">
        <v>318</v>
      </c>
      <c r="CA1" s="444" t="s">
        <v>318</v>
      </c>
      <c r="CB1" s="444" t="s">
        <v>318</v>
      </c>
      <c r="CC1" s="444" t="s">
        <v>318</v>
      </c>
      <c r="CD1" s="444" t="s">
        <v>318</v>
      </c>
      <c r="CE1" s="444" t="s">
        <v>318</v>
      </c>
      <c r="CF1" s="444" t="s">
        <v>318</v>
      </c>
      <c r="CG1" s="444" t="s">
        <v>318</v>
      </c>
      <c r="CH1" s="444" t="s">
        <v>319</v>
      </c>
      <c r="CI1" s="444" t="s">
        <v>319</v>
      </c>
      <c r="CJ1" s="444" t="s">
        <v>319</v>
      </c>
      <c r="CK1" s="444" t="s">
        <v>319</v>
      </c>
      <c r="CL1" s="444" t="s">
        <v>319</v>
      </c>
      <c r="CM1" s="444" t="s">
        <v>319</v>
      </c>
      <c r="CN1" s="444" t="s">
        <v>319</v>
      </c>
      <c r="CO1" s="444" t="s">
        <v>319</v>
      </c>
      <c r="CP1" s="444" t="s">
        <v>319</v>
      </c>
      <c r="CQ1" s="444" t="s">
        <v>319</v>
      </c>
      <c r="CR1" s="444" t="s">
        <v>319</v>
      </c>
      <c r="CS1" s="444" t="s">
        <v>319</v>
      </c>
      <c r="CT1" s="444" t="s">
        <v>320</v>
      </c>
      <c r="CU1" s="444" t="s">
        <v>320</v>
      </c>
      <c r="CV1" s="444" t="s">
        <v>320</v>
      </c>
      <c r="CW1" s="444" t="s">
        <v>320</v>
      </c>
      <c r="CX1" s="444" t="s">
        <v>320</v>
      </c>
      <c r="CY1" s="444" t="s">
        <v>320</v>
      </c>
      <c r="CZ1" s="444" t="s">
        <v>320</v>
      </c>
      <c r="DA1" s="444" t="s">
        <v>320</v>
      </c>
      <c r="DB1" s="444" t="s">
        <v>320</v>
      </c>
      <c r="DC1" s="444" t="s">
        <v>320</v>
      </c>
      <c r="DD1" s="444" t="s">
        <v>320</v>
      </c>
      <c r="DE1" s="444" t="s">
        <v>320</v>
      </c>
    </row>
    <row r="2" spans="1:109" ht="12" customHeight="1">
      <c r="A2" s="444" t="s">
        <v>2</v>
      </c>
      <c r="B2" s="332">
        <v>43951</v>
      </c>
      <c r="C2" s="332">
        <v>43982</v>
      </c>
      <c r="D2" s="332">
        <v>44012</v>
      </c>
      <c r="E2" s="332">
        <v>44043</v>
      </c>
      <c r="F2" s="332">
        <v>44074</v>
      </c>
      <c r="G2" s="332">
        <v>44104</v>
      </c>
      <c r="H2" s="332">
        <v>44135</v>
      </c>
      <c r="I2" s="332">
        <v>44165</v>
      </c>
      <c r="J2" s="332">
        <v>44196</v>
      </c>
      <c r="K2" s="332">
        <v>44227</v>
      </c>
      <c r="L2" s="332">
        <v>44255</v>
      </c>
      <c r="M2" s="332">
        <v>44286</v>
      </c>
      <c r="N2" s="332">
        <v>44316</v>
      </c>
      <c r="O2" s="332">
        <v>44347</v>
      </c>
      <c r="P2" s="332">
        <v>44377</v>
      </c>
      <c r="Q2" s="332">
        <v>44408</v>
      </c>
      <c r="R2" s="332">
        <v>44439</v>
      </c>
      <c r="S2" s="332">
        <v>44469</v>
      </c>
      <c r="T2" s="332">
        <v>44500</v>
      </c>
      <c r="U2" s="332">
        <v>44530</v>
      </c>
      <c r="V2" s="332">
        <v>44561</v>
      </c>
      <c r="W2" s="332">
        <v>44592</v>
      </c>
      <c r="X2" s="332">
        <v>44620</v>
      </c>
      <c r="Y2" s="332">
        <v>44651</v>
      </c>
      <c r="Z2" s="332">
        <v>44681</v>
      </c>
      <c r="AA2" s="332">
        <v>44712</v>
      </c>
      <c r="AB2" s="332">
        <v>44742</v>
      </c>
      <c r="AC2" s="332">
        <v>44773</v>
      </c>
      <c r="AD2" s="332">
        <v>44804</v>
      </c>
      <c r="AE2" s="332">
        <v>44834</v>
      </c>
      <c r="AF2" s="332">
        <v>44865</v>
      </c>
      <c r="AG2" s="332">
        <v>44895</v>
      </c>
      <c r="AH2" s="332">
        <v>44926</v>
      </c>
      <c r="AI2" s="332">
        <v>44957</v>
      </c>
      <c r="AJ2" s="332">
        <v>44985</v>
      </c>
      <c r="AK2" s="332">
        <v>45016</v>
      </c>
      <c r="AL2" s="332">
        <v>45046</v>
      </c>
      <c r="AM2" s="332">
        <v>45077</v>
      </c>
      <c r="AN2" s="332">
        <v>45107</v>
      </c>
      <c r="AO2" s="332">
        <v>45138</v>
      </c>
      <c r="AP2" s="332">
        <v>45169</v>
      </c>
      <c r="AQ2" s="332">
        <v>45199</v>
      </c>
      <c r="AR2" s="332">
        <v>45230</v>
      </c>
      <c r="AS2" s="332">
        <v>45260</v>
      </c>
      <c r="AT2" s="332">
        <v>45291</v>
      </c>
      <c r="AU2" s="332">
        <v>45322</v>
      </c>
      <c r="AV2" s="332">
        <v>45351</v>
      </c>
      <c r="AW2" s="332">
        <v>45382</v>
      </c>
      <c r="AX2" s="332">
        <v>45412</v>
      </c>
      <c r="AY2" s="332">
        <v>45443</v>
      </c>
      <c r="AZ2" s="332">
        <v>45473</v>
      </c>
      <c r="BA2" s="332">
        <v>45504</v>
      </c>
      <c r="BB2" s="332">
        <v>45535</v>
      </c>
      <c r="BC2" s="332">
        <v>45565</v>
      </c>
      <c r="BD2" s="332">
        <v>45596</v>
      </c>
      <c r="BE2" s="332">
        <v>45626</v>
      </c>
      <c r="BF2" s="332">
        <v>45657</v>
      </c>
      <c r="BG2" s="332">
        <v>45688</v>
      </c>
      <c r="BH2" s="332">
        <v>45716</v>
      </c>
      <c r="BI2" s="332">
        <v>45747</v>
      </c>
      <c r="BJ2" s="332">
        <v>45777</v>
      </c>
      <c r="BK2" s="332">
        <v>45808</v>
      </c>
      <c r="BL2" s="332">
        <v>45838</v>
      </c>
      <c r="BM2" s="332">
        <v>45869</v>
      </c>
      <c r="BN2" s="332">
        <v>45900</v>
      </c>
      <c r="BO2" s="332">
        <v>45930</v>
      </c>
      <c r="BP2" s="332">
        <v>45961</v>
      </c>
      <c r="BQ2" s="332">
        <v>45991</v>
      </c>
      <c r="BR2" s="332">
        <v>46022</v>
      </c>
      <c r="BS2" s="332">
        <v>46053</v>
      </c>
      <c r="BT2" s="332">
        <v>46081</v>
      </c>
      <c r="BU2" s="332">
        <v>46112</v>
      </c>
      <c r="BV2" s="332">
        <v>46142</v>
      </c>
      <c r="BW2" s="332">
        <v>46173</v>
      </c>
      <c r="BX2" s="332">
        <v>46203</v>
      </c>
      <c r="BY2" s="332">
        <v>46234</v>
      </c>
      <c r="BZ2" s="332">
        <v>46265</v>
      </c>
      <c r="CA2" s="332">
        <v>46295</v>
      </c>
      <c r="CB2" s="332">
        <v>46326</v>
      </c>
      <c r="CC2" s="332">
        <v>46356</v>
      </c>
      <c r="CD2" s="332">
        <v>46387</v>
      </c>
      <c r="CE2" s="332">
        <v>46418</v>
      </c>
      <c r="CF2" s="332">
        <v>46446</v>
      </c>
      <c r="CG2" s="332">
        <v>46477</v>
      </c>
      <c r="CH2" s="332">
        <v>46507</v>
      </c>
      <c r="CI2" s="332">
        <v>46538</v>
      </c>
      <c r="CJ2" s="332">
        <v>46568</v>
      </c>
      <c r="CK2" s="332">
        <v>46599</v>
      </c>
      <c r="CL2" s="332">
        <v>46630</v>
      </c>
      <c r="CM2" s="332">
        <v>46660</v>
      </c>
      <c r="CN2" s="332">
        <v>46691</v>
      </c>
      <c r="CO2" s="332">
        <v>46721</v>
      </c>
      <c r="CP2" s="332">
        <v>46752</v>
      </c>
      <c r="CQ2" s="332">
        <v>46783</v>
      </c>
      <c r="CR2" s="332">
        <v>46812</v>
      </c>
      <c r="CS2" s="332">
        <v>46843</v>
      </c>
      <c r="CT2" s="332">
        <v>46873</v>
      </c>
      <c r="CU2" s="332">
        <v>46904</v>
      </c>
      <c r="CV2" s="332">
        <v>46934</v>
      </c>
      <c r="CW2" s="332">
        <v>46965</v>
      </c>
      <c r="CX2" s="332">
        <v>46996</v>
      </c>
      <c r="CY2" s="332">
        <v>47026</v>
      </c>
      <c r="CZ2" s="332">
        <v>47056</v>
      </c>
      <c r="DA2" s="332">
        <v>47087</v>
      </c>
      <c r="DB2" s="332">
        <v>47117</v>
      </c>
      <c r="DC2" s="332">
        <v>47148</v>
      </c>
      <c r="DD2" s="332">
        <v>47177</v>
      </c>
      <c r="DE2" s="332">
        <v>47207</v>
      </c>
    </row>
    <row r="3" spans="1:109" ht="12" customHeight="1">
      <c r="A3" s="293" t="s">
        <v>547</v>
      </c>
      <c r="B3" s="302">
        <f>'G&amp;A'!B42/10000000</f>
        <v>0.401696</v>
      </c>
      <c r="C3" s="302">
        <f>'G&amp;A'!C42/10000000</f>
        <v>0.401696</v>
      </c>
      <c r="D3" s="302">
        <f>'G&amp;A'!D42/10000000</f>
        <v>0.404196</v>
      </c>
      <c r="E3" s="302">
        <f>'G&amp;A'!E42/10000000</f>
        <v>0.39784599999999998</v>
      </c>
      <c r="F3" s="302">
        <f>'G&amp;A'!F42/10000000</f>
        <v>0.39784599999999998</v>
      </c>
      <c r="G3" s="302">
        <f>'G&amp;A'!G42/10000000</f>
        <v>0.48005599999999998</v>
      </c>
      <c r="H3" s="302">
        <f>'G&amp;A'!H42/10000000</f>
        <v>0.51015600000000005</v>
      </c>
      <c r="I3" s="302">
        <f>'G&amp;A'!I42/10000000</f>
        <v>0.40015600000000001</v>
      </c>
      <c r="J3" s="302">
        <f>'G&amp;A'!J42/10000000</f>
        <v>0.827156</v>
      </c>
      <c r="K3" s="302">
        <f>'G&amp;A'!K42/10000000</f>
        <v>0.38944400000000001</v>
      </c>
      <c r="L3" s="302">
        <f>'G&amp;A'!L42/10000000</f>
        <v>0.38944400000000001</v>
      </c>
      <c r="M3" s="302">
        <f>'G&amp;A'!M42/10000000</f>
        <v>0.39944400000000002</v>
      </c>
      <c r="N3" s="302">
        <f>'G&amp;A'!N42/10000000</f>
        <v>0.335241872</v>
      </c>
      <c r="O3" s="302">
        <f>'G&amp;A'!O42/10000000</f>
        <v>0.335241872</v>
      </c>
      <c r="P3" s="302">
        <f>'G&amp;A'!P42/10000000</f>
        <v>0.337741872</v>
      </c>
      <c r="Q3" s="302">
        <f>'G&amp;A'!Q42/10000000</f>
        <v>0.335241872</v>
      </c>
      <c r="R3" s="302">
        <f>'G&amp;A'!R42/10000000</f>
        <v>0.335241872</v>
      </c>
      <c r="S3" s="302">
        <f>'G&amp;A'!S42/10000000</f>
        <v>0.42017887199999998</v>
      </c>
      <c r="T3" s="302">
        <f>'G&amp;A'!T42/10000000</f>
        <v>0.447315672</v>
      </c>
      <c r="U3" s="302">
        <f>'G&amp;A'!U42/10000000</f>
        <v>0.332915672</v>
      </c>
      <c r="V3" s="302">
        <f>'G&amp;A'!V42/10000000</f>
        <v>0.65991567200000001</v>
      </c>
      <c r="W3" s="302">
        <f>'G&amp;A'!W42/10000000</f>
        <v>0.332915672</v>
      </c>
      <c r="X3" s="302">
        <f>'G&amp;A'!X42/10000000</f>
        <v>0.332915672</v>
      </c>
      <c r="Y3" s="302">
        <f>'G&amp;A'!Y42/10000000</f>
        <v>0.34291567199999995</v>
      </c>
      <c r="Z3" s="302">
        <f>'G&amp;A'!Z42/10000000</f>
        <v>0.34747463008000012</v>
      </c>
      <c r="AA3" s="302">
        <f>'G&amp;A'!AA42/10000000</f>
        <v>0.34747463008000012</v>
      </c>
      <c r="AB3" s="302">
        <f>'G&amp;A'!AB42/10000000</f>
        <v>0.34997463008000013</v>
      </c>
      <c r="AC3" s="302">
        <f>'G&amp;A'!AC42/10000000</f>
        <v>0.34747463008000012</v>
      </c>
      <c r="AD3" s="302">
        <f>'G&amp;A'!AD42/10000000</f>
        <v>0.34747463008000012</v>
      </c>
      <c r="AE3" s="302">
        <f>'G&amp;A'!AE42/10000000</f>
        <v>0.43526157008000016</v>
      </c>
      <c r="AF3" s="302">
        <f>'G&amp;A'!AF42/10000000</f>
        <v>0.46924573008000015</v>
      </c>
      <c r="AG3" s="302">
        <f>'G&amp;A'!AG42/10000000</f>
        <v>0.35026973008000012</v>
      </c>
      <c r="AH3" s="302">
        <f>'G&amp;A'!AH42/10000000</f>
        <v>0.67726973008000013</v>
      </c>
      <c r="AI3" s="302">
        <f>'G&amp;A'!AI42/10000000</f>
        <v>0.35026973008000012</v>
      </c>
      <c r="AJ3" s="302">
        <f>'G&amp;A'!AJ42/10000000</f>
        <v>0.35026973008000012</v>
      </c>
      <c r="AK3" s="302">
        <f>'G&amp;A'!AK42/10000000</f>
        <v>0.36026973008000013</v>
      </c>
      <c r="AL3" s="302">
        <f>'G&amp;A'!AL42/10000000</f>
        <v>0.36564708360319992</v>
      </c>
      <c r="AM3" s="302">
        <f>'G&amp;A'!AM42/10000000</f>
        <v>0.36564708360319992</v>
      </c>
      <c r="AN3" s="302">
        <f>'G&amp;A'!AN42/10000000</f>
        <v>0.36814708360319992</v>
      </c>
      <c r="AO3" s="302">
        <f>'G&amp;A'!AO42/10000000</f>
        <v>0.36564708360319992</v>
      </c>
      <c r="AP3" s="302">
        <f>'G&amp;A'!AP42/10000000</f>
        <v>0.36564708360319992</v>
      </c>
      <c r="AQ3" s="302">
        <f>'G&amp;A'!AQ42/10000000</f>
        <v>0.4564132072032</v>
      </c>
      <c r="AR3" s="302">
        <f>'G&amp;A'!AR42/10000000</f>
        <v>0.49245673360319997</v>
      </c>
      <c r="AS3" s="302">
        <f>'G&amp;A'!AS42/10000000</f>
        <v>0.36872169360319995</v>
      </c>
      <c r="AT3" s="302">
        <f>'G&amp;A'!AT42/10000000</f>
        <v>0.69572169360319991</v>
      </c>
      <c r="AU3" s="302">
        <f>'G&amp;A'!AU42/10000000</f>
        <v>0.36872169360319995</v>
      </c>
      <c r="AV3" s="302">
        <f>'G&amp;A'!AV42/10000000</f>
        <v>0.36872169360319995</v>
      </c>
      <c r="AW3" s="302">
        <f>'G&amp;A'!AW42/10000000</f>
        <v>0.37872169360319996</v>
      </c>
      <c r="AX3" s="302">
        <f>'G&amp;A'!AX42/10000000</f>
        <v>0.38497378209932803</v>
      </c>
      <c r="AY3" s="302">
        <f>'G&amp;A'!AY42/10000000</f>
        <v>0.38497378209932803</v>
      </c>
      <c r="AZ3" s="302">
        <f>'G&amp;A'!AZ42/10000000</f>
        <v>0.38747378209932803</v>
      </c>
      <c r="BA3" s="302">
        <f>'G&amp;A'!BA42/10000000</f>
        <v>0.38497378209932803</v>
      </c>
      <c r="BB3" s="302">
        <f>'G&amp;A'!BB42/10000000</f>
        <v>0.38497378209932803</v>
      </c>
      <c r="BC3" s="302">
        <f>'G&amp;A'!BC42/10000000</f>
        <v>0.47885502724332807</v>
      </c>
      <c r="BD3" s="302">
        <f>'G&amp;A'!BD42/10000000</f>
        <v>0.517040294699328</v>
      </c>
      <c r="BE3" s="302">
        <f>'G&amp;A'!BE42/10000000</f>
        <v>0.38835585309932807</v>
      </c>
      <c r="BF3" s="302">
        <f>'G&amp;A'!BF42/10000000</f>
        <v>0.71535585309932814</v>
      </c>
      <c r="BG3" s="302">
        <f>'G&amp;A'!BG42/10000000</f>
        <v>0.38835585309932807</v>
      </c>
      <c r="BH3" s="302">
        <f>'G&amp;A'!BH42/10000000</f>
        <v>0.38835585309932807</v>
      </c>
      <c r="BI3" s="302">
        <f>'G&amp;A'!BI42/10000000</f>
        <v>0.39835585309932803</v>
      </c>
      <c r="BJ3" s="302">
        <f>'G&amp;A'!BJ42/10000000</f>
        <v>0.40554363005050131</v>
      </c>
      <c r="BK3" s="302">
        <f>'G&amp;A'!BK42/10000000</f>
        <v>0.40554363005050131</v>
      </c>
      <c r="BL3" s="302">
        <f>'G&amp;A'!BL42/10000000</f>
        <v>0.40804363005050132</v>
      </c>
      <c r="BM3" s="302">
        <f>'G&amp;A'!BM42/10000000</f>
        <v>0.40554363005050131</v>
      </c>
      <c r="BN3" s="302">
        <f>'G&amp;A'!BN42/10000000</f>
        <v>0.40554363005050131</v>
      </c>
      <c r="BO3" s="302">
        <f>'G&amp;A'!BO42/10000000</f>
        <v>0.50268304926026142</v>
      </c>
      <c r="BP3" s="302">
        <f>'G&amp;A'!BP42/10000000</f>
        <v>0.54309572741450141</v>
      </c>
      <c r="BQ3" s="302">
        <f>'G&amp;A'!BQ42/10000000</f>
        <v>0.40926390815050134</v>
      </c>
      <c r="BR3" s="302">
        <f>'G&amp;A'!BR42/10000000</f>
        <v>0.73626390815050136</v>
      </c>
      <c r="BS3" s="302">
        <f>'G&amp;A'!BS42/10000000</f>
        <v>0.40926390815050134</v>
      </c>
      <c r="BT3" s="302">
        <f>'G&amp;A'!BT42/10000000</f>
        <v>0.40926390815050134</v>
      </c>
      <c r="BU3" s="302">
        <f>'G&amp;A'!BU42/10000000</f>
        <v>0.41926390815050135</v>
      </c>
      <c r="BV3" s="302">
        <f>'G&amp;A'!BV42/10000000</f>
        <v>0.42745336158644148</v>
      </c>
      <c r="BW3" s="302">
        <f>'G&amp;A'!BW42/10000000</f>
        <v>0.42745336158644148</v>
      </c>
      <c r="BX3" s="302">
        <f>'G&amp;A'!BX42/10000000</f>
        <v>0.42995336158644148</v>
      </c>
      <c r="BY3" s="302">
        <f>'G&amp;A'!BY42/10000000</f>
        <v>0.42745336158644148</v>
      </c>
      <c r="BZ3" s="302">
        <f>'G&amp;A'!BZ42/10000000</f>
        <v>0.42745336158644148</v>
      </c>
      <c r="CA3" s="302">
        <f>'G&amp;A'!CA42/10000000</f>
        <v>0.52800157425059191</v>
      </c>
      <c r="CB3" s="302">
        <f>'G&amp;A'!CB42/10000000</f>
        <v>0.57073075953100161</v>
      </c>
      <c r="CC3" s="302">
        <f>'G&amp;A'!CC42/10000000</f>
        <v>0.43154566749644147</v>
      </c>
      <c r="CD3" s="302">
        <f>'G&amp;A'!CD42/10000000</f>
        <v>0.75854566749644148</v>
      </c>
      <c r="CE3" s="302">
        <f>'G&amp;A'!CE42/10000000</f>
        <v>0.43154566749644147</v>
      </c>
      <c r="CF3" s="302">
        <f>'G&amp;A'!CF42/10000000</f>
        <v>0.43154566749644147</v>
      </c>
      <c r="CG3" s="302">
        <f>'G&amp;A'!CG42/10000000</f>
        <v>0.44154566749644147</v>
      </c>
      <c r="CH3" s="302">
        <f>'G&amp;A'!CH42/10000000</f>
        <v>0.45080828101721099</v>
      </c>
      <c r="CI3" s="302">
        <f>'G&amp;A'!CI42/10000000</f>
        <v>0.45080828101721099</v>
      </c>
      <c r="CJ3" s="302">
        <f>'G&amp;A'!CJ42/10000000</f>
        <v>0.45330828101721099</v>
      </c>
      <c r="CK3" s="302">
        <f>'G&amp;A'!CK42/10000000</f>
        <v>0.45080828101721099</v>
      </c>
      <c r="CL3" s="302">
        <f>'G&amp;A'!CL42/10000000</f>
        <v>0.45080828101721099</v>
      </c>
      <c r="CM3" s="302">
        <f>'G&amp;A'!CM42/10000000</f>
        <v>0.55492396054252757</v>
      </c>
      <c r="CN3" s="302">
        <f>'G&amp;A'!CN42/10000000</f>
        <v>0.6000623132341536</v>
      </c>
      <c r="CO3" s="302">
        <f>'G&amp;A'!CO42/10000000</f>
        <v>0.45530981751821115</v>
      </c>
      <c r="CP3" s="302">
        <f>'G&amp;A'!CP42/10000000</f>
        <v>0.78230981751821116</v>
      </c>
      <c r="CQ3" s="302">
        <f>'G&amp;A'!CQ42/10000000</f>
        <v>0.45530981751821115</v>
      </c>
      <c r="CR3" s="302">
        <f>'G&amp;A'!CR42/10000000</f>
        <v>0.45530981751821115</v>
      </c>
      <c r="CS3" s="302">
        <f>'G&amp;A'!CS42/10000000</f>
        <v>0.46530981751821116</v>
      </c>
      <c r="CT3" s="302">
        <f>'G&amp;A'!CT42/10000000</f>
        <v>0.47572307572194283</v>
      </c>
      <c r="CU3" s="302">
        <f>'G&amp;A'!CU42/10000000</f>
        <v>0.47572307572194283</v>
      </c>
      <c r="CV3" s="302">
        <f>'G&amp;A'!CV42/10000000</f>
        <v>0.47822307572194284</v>
      </c>
      <c r="CW3" s="302">
        <f>'G&amp;A'!CW42/10000000</f>
        <v>0.47572307572194283</v>
      </c>
      <c r="CX3" s="302">
        <f>'G&amp;A'!CX42/10000000</f>
        <v>0.47572307572194283</v>
      </c>
      <c r="CY3" s="302">
        <f>'G&amp;A'!CY42/10000000</f>
        <v>0.49817476587304277</v>
      </c>
      <c r="CZ3" s="302">
        <f t="shared" ref="CZ3:DE6" si="0">CY3</f>
        <v>0.49817476587304277</v>
      </c>
      <c r="DA3" s="302">
        <f t="shared" si="0"/>
        <v>0.49817476587304277</v>
      </c>
      <c r="DB3" s="302">
        <f t="shared" si="0"/>
        <v>0.49817476587304277</v>
      </c>
      <c r="DC3" s="302">
        <f t="shared" si="0"/>
        <v>0.49817476587304277</v>
      </c>
      <c r="DD3" s="302">
        <f t="shared" si="0"/>
        <v>0.49817476587304277</v>
      </c>
      <c r="DE3" s="302">
        <f t="shared" si="0"/>
        <v>0.49817476587304277</v>
      </c>
    </row>
    <row r="4" spans="1:109" ht="12" customHeight="1">
      <c r="A4" s="293" t="s">
        <v>548</v>
      </c>
      <c r="B4" s="375">
        <f>'F&amp;A'!B14/10000000</f>
        <v>2.2860167768409441</v>
      </c>
      <c r="C4" s="375">
        <f>'F&amp;A'!C14/10000000</f>
        <v>3.059212E-2</v>
      </c>
      <c r="D4" s="375">
        <f>'F&amp;A'!D14/10000000</f>
        <v>0.20262959999999999</v>
      </c>
      <c r="E4" s="375">
        <f>'F&amp;A'!E14/10000000</f>
        <v>3.2998899999999998E-2</v>
      </c>
      <c r="F4" s="375">
        <f>'F&amp;A'!F14/10000000</f>
        <v>1.5198400000000001E-2</v>
      </c>
      <c r="G4" s="375">
        <f>'F&amp;A'!G14/10000000</f>
        <v>7.4953599999999995E-2</v>
      </c>
      <c r="H4" s="375">
        <f>'F&amp;A'!H14/10000000</f>
        <v>0.1612413</v>
      </c>
      <c r="I4" s="375">
        <f>'F&amp;A'!I14/10000000</f>
        <v>0.4022384</v>
      </c>
      <c r="J4" s="375">
        <f>'F&amp;A'!J14/10000000</f>
        <v>3.3653599999999999E-2</v>
      </c>
      <c r="K4" s="375">
        <f>'F&amp;A'!K14/10000000</f>
        <v>3.2998899999999998E-2</v>
      </c>
      <c r="L4" s="375">
        <f>'F&amp;A'!L14/10000000</f>
        <v>3.6202400000000003E-2</v>
      </c>
      <c r="M4" s="375">
        <f>'F&amp;A'!M14/10000000</f>
        <v>1.0159536</v>
      </c>
      <c r="N4" s="375">
        <f>'F&amp;A'!N14/10000000</f>
        <v>8.1128136000000003E-2</v>
      </c>
      <c r="O4" s="375">
        <f>'F&amp;A'!O14/10000000</f>
        <v>0.45661580480000002</v>
      </c>
      <c r="P4" s="375">
        <f>'F&amp;A'!P14/10000000</f>
        <v>0.20719478400000002</v>
      </c>
      <c r="Q4" s="375">
        <f>'F&amp;A'!Q14/10000000</f>
        <v>3.1128135999999997E-2</v>
      </c>
      <c r="R4" s="375">
        <f>'F&amp;A'!R14/10000000</f>
        <v>1.5664735999999999E-2</v>
      </c>
      <c r="S4" s="375">
        <f>'F&amp;A'!S14/10000000</f>
        <v>7.5591743999999989E-2</v>
      </c>
      <c r="T4" s="375">
        <f>'F&amp;A'!T14/10000000</f>
        <v>0.164500232</v>
      </c>
      <c r="U4" s="375">
        <f>'F&amp;A'!U14/10000000</f>
        <v>1.3351935999999998E-2</v>
      </c>
      <c r="V4" s="375">
        <f>'F&amp;A'!V14/10000000</f>
        <v>3.4999743999999999E-2</v>
      </c>
      <c r="W4" s="375">
        <f>'F&amp;A'!W14/10000000</f>
        <v>3.1128135999999997E-2</v>
      </c>
      <c r="X4" s="375">
        <f>'F&amp;A'!X14/10000000</f>
        <v>3.7650496000000006E-2</v>
      </c>
      <c r="Y4" s="375">
        <f>'F&amp;A'!Y14/10000000</f>
        <v>1.6591744000000002E-2</v>
      </c>
      <c r="Z4" s="375">
        <f>'F&amp;A'!Z14/10000000</f>
        <v>8.2373261439999998E-2</v>
      </c>
      <c r="AA4" s="375">
        <f>'F&amp;A'!AA14/10000000</f>
        <v>0.45788843699200005</v>
      </c>
      <c r="AB4" s="375">
        <f>'F&amp;A'!AB14/10000000</f>
        <v>0.21194257536</v>
      </c>
      <c r="AC4" s="375">
        <f>'F&amp;A'!AC14/10000000</f>
        <v>3.2373261440000002E-2</v>
      </c>
      <c r="AD4" s="375">
        <f>'F&amp;A'!AD14/10000000</f>
        <v>1.6149725440000002E-2</v>
      </c>
      <c r="AE4" s="375">
        <f>'F&amp;A'!AE14/10000000</f>
        <v>7.6255413760000001E-2</v>
      </c>
      <c r="AF4" s="375">
        <f>'F&amp;A'!AF14/10000000</f>
        <v>0.17108024128000002</v>
      </c>
      <c r="AG4" s="375">
        <f>'F&amp;A'!AG14/10000000</f>
        <v>1.3886013440000001E-2</v>
      </c>
      <c r="AH4" s="375">
        <f>'F&amp;A'!AH14/10000000</f>
        <v>3.6399733760000004E-2</v>
      </c>
      <c r="AI4" s="375">
        <f>'F&amp;A'!AI14/10000000</f>
        <v>3.2373261440000002E-2</v>
      </c>
      <c r="AJ4" s="375">
        <f>'F&amp;A'!AJ14/10000000</f>
        <v>3.915651584000001E-2</v>
      </c>
      <c r="AK4" s="375">
        <f>'F&amp;A'!AK14/10000000</f>
        <v>1.7255413760000001E-2</v>
      </c>
      <c r="AL4" s="375">
        <f>'F&amp;A'!AL14/10000000</f>
        <v>8.3668191897600011E-2</v>
      </c>
      <c r="AM4" s="375">
        <f>'F&amp;A'!AM14/10000000</f>
        <v>0.45921197447168005</v>
      </c>
      <c r="AN4" s="375">
        <f>'F&amp;A'!AN14/10000000</f>
        <v>0.21688027837439999</v>
      </c>
      <c r="AO4" s="375">
        <f>'F&amp;A'!AO14/10000000</f>
        <v>3.3668191897600001E-2</v>
      </c>
      <c r="AP4" s="375">
        <f>'F&amp;A'!AP14/10000000</f>
        <v>1.6654114457600001E-2</v>
      </c>
      <c r="AQ4" s="375">
        <f>'F&amp;A'!AQ14/10000000</f>
        <v>7.6945630310400012E-2</v>
      </c>
      <c r="AR4" s="375">
        <f>'F&amp;A'!AR14/10000000</f>
        <v>0.17792345093120002</v>
      </c>
      <c r="AS4" s="375">
        <f>'F&amp;A'!AS14/10000000</f>
        <v>1.4441453977600003E-2</v>
      </c>
      <c r="AT4" s="375">
        <f>'F&amp;A'!AT14/10000000</f>
        <v>3.7855723110400002E-2</v>
      </c>
      <c r="AU4" s="375">
        <f>'F&amp;A'!AU14/10000000</f>
        <v>3.3668191897600001E-2</v>
      </c>
      <c r="AV4" s="375">
        <f>'F&amp;A'!AV14/10000000</f>
        <v>4.0722776473600002E-2</v>
      </c>
      <c r="AW4" s="375">
        <f>'F&amp;A'!AW14/10000000</f>
        <v>1.7945630310399998E-2</v>
      </c>
      <c r="AX4" s="375">
        <f>'F&amp;A'!AX14/10000000</f>
        <v>8.5014919573504016E-2</v>
      </c>
      <c r="AY4" s="375">
        <f>'F&amp;A'!AY14/10000000</f>
        <v>0.46058845345054716</v>
      </c>
      <c r="AZ4" s="375">
        <f>'F&amp;A'!AZ14/10000000</f>
        <v>0.222015489509376</v>
      </c>
      <c r="BA4" s="375">
        <f>'F&amp;A'!BA14/10000000</f>
        <v>3.5014919573504007E-2</v>
      </c>
      <c r="BB4" s="375">
        <f>'F&amp;A'!BB14/10000000</f>
        <v>1.7178679035904001E-2</v>
      </c>
      <c r="BC4" s="375">
        <f>'F&amp;A'!BC14/10000000</f>
        <v>7.7663455522815991E-2</v>
      </c>
      <c r="BD4" s="375">
        <f>'F&amp;A'!BD14/10000000</f>
        <v>0.18504038896844802</v>
      </c>
      <c r="BE4" s="375">
        <f>'F&amp;A'!BE14/10000000</f>
        <v>1.5019112136704003E-2</v>
      </c>
      <c r="BF4" s="375">
        <f>'F&amp;A'!BF14/10000000</f>
        <v>3.9369952034816004E-2</v>
      </c>
      <c r="BG4" s="375">
        <f>'F&amp;A'!BG14/10000000</f>
        <v>3.5014919573504007E-2</v>
      </c>
      <c r="BH4" s="375">
        <f>'F&amp;A'!BH14/10000000</f>
        <v>4.2351687532544008E-2</v>
      </c>
      <c r="BI4" s="375">
        <f>'F&amp;A'!BI14/10000000</f>
        <v>1.8663455522816005E-2</v>
      </c>
      <c r="BJ4" s="375">
        <f>'F&amp;A'!BJ14/10000000</f>
        <v>8.6415516356444178E-2</v>
      </c>
      <c r="BK4" s="375">
        <f>'F&amp;A'!BK14/10000000</f>
        <v>0.46201999158856905</v>
      </c>
      <c r="BL4" s="375">
        <f>'F&amp;A'!BL14/10000000</f>
        <v>0.22735610908975104</v>
      </c>
      <c r="BM4" s="375">
        <f>'F&amp;A'!BM14/10000000</f>
        <v>3.6415516356444168E-2</v>
      </c>
      <c r="BN4" s="375">
        <f>'F&amp;A'!BN14/10000000</f>
        <v>1.7724226197340161E-2</v>
      </c>
      <c r="BO4" s="375">
        <f>'F&amp;A'!BO14/10000000</f>
        <v>7.8409993743728632E-2</v>
      </c>
      <c r="BP4" s="375">
        <f>'F&amp;A'!BP14/10000000</f>
        <v>0.19244200452718596</v>
      </c>
      <c r="BQ4" s="375">
        <f>'F&amp;A'!BQ14/10000000</f>
        <v>1.5619876622172162E-2</v>
      </c>
      <c r="BR4" s="375">
        <f>'F&amp;A'!BR14/10000000</f>
        <v>4.0944750116208635E-2</v>
      </c>
      <c r="BS4" s="375">
        <f>'F&amp;A'!BS14/10000000</f>
        <v>3.6415516356444168E-2</v>
      </c>
      <c r="BT4" s="375">
        <f>'F&amp;A'!BT14/10000000</f>
        <v>4.4045755033845765E-2</v>
      </c>
      <c r="BU4" s="375">
        <f>'F&amp;A'!BU14/10000000</f>
        <v>1.9409993743728642E-2</v>
      </c>
      <c r="BV4" s="375">
        <f>'F&amp;A'!BV14/10000000</f>
        <v>8.7872137010701928E-2</v>
      </c>
      <c r="BW4" s="375">
        <f>'F&amp;A'!BW14/10000000</f>
        <v>0.46350879125211181</v>
      </c>
      <c r="BX4" s="375">
        <f>'F&amp;A'!BX14/10000000</f>
        <v>0.23291035345334107</v>
      </c>
      <c r="BY4" s="375">
        <f>'F&amp;A'!BY14/10000000</f>
        <v>3.7872137010701933E-2</v>
      </c>
      <c r="BZ4" s="375">
        <f>'F&amp;A'!BZ14/10000000</f>
        <v>1.8291595245233768E-2</v>
      </c>
      <c r="CA4" s="375">
        <f>'F&amp;A'!CA14/10000000</f>
        <v>7.9186393493477794E-2</v>
      </c>
      <c r="CB4" s="375">
        <f>'F&amp;A'!CB14/10000000</f>
        <v>0.2001396847082734</v>
      </c>
      <c r="CC4" s="375">
        <f>'F&amp;A'!CC14/10000000</f>
        <v>1.6244671687059051E-2</v>
      </c>
      <c r="CD4" s="375">
        <f>'F&amp;A'!CD14/10000000</f>
        <v>4.2582540120856993E-2</v>
      </c>
      <c r="CE4" s="375">
        <f>'F&amp;A'!CE14/10000000</f>
        <v>3.7872137010701933E-2</v>
      </c>
      <c r="CF4" s="375">
        <f>'F&amp;A'!CF14/10000000</f>
        <v>4.5807585235199594E-2</v>
      </c>
      <c r="CG4" s="375">
        <f>'F&amp;A'!CG14/10000000</f>
        <v>1.8633593993979496E-2</v>
      </c>
      <c r="CH4" s="375">
        <f>'F&amp;A'!CH14/10000000</f>
        <v>8.9387022491130008E-2</v>
      </c>
      <c r="CI4" s="375">
        <f>'F&amp;A'!CI14/10000000</f>
        <v>0.4650571429021963</v>
      </c>
      <c r="CJ4" s="375">
        <f>'F&amp;A'!CJ14/10000000</f>
        <v>0.23707185611199652</v>
      </c>
      <c r="CK4" s="375">
        <f>'F&amp;A'!CK14/10000000</f>
        <v>3.9387022491130012E-2</v>
      </c>
      <c r="CL4" s="375">
        <f>'F&amp;A'!CL14/10000000</f>
        <v>1.8881659055043118E-2</v>
      </c>
      <c r="CM4" s="375">
        <f>'F&amp;A'!CM14/10000000</f>
        <v>7.8378937753738678E-2</v>
      </c>
      <c r="CN4" s="375">
        <f>'F&amp;A'!CN14/10000000</f>
        <v>0.20814527209660433</v>
      </c>
      <c r="CO4" s="375">
        <f>'F&amp;A'!CO14/10000000</f>
        <v>1.689445855454141E-2</v>
      </c>
      <c r="CP4" s="375">
        <f>'F&amp;A'!CP14/10000000</f>
        <v>4.2670930246213046E-2</v>
      </c>
      <c r="CQ4" s="375">
        <f>'F&amp;A'!CQ14/10000000</f>
        <v>3.9387022491130012E-2</v>
      </c>
      <c r="CR4" s="375">
        <f>'F&amp;A'!CR14/10000000</f>
        <v>4.7639888644607581E-2</v>
      </c>
      <c r="CS4" s="375">
        <f>'F&amp;A'!CS14/10000000</f>
        <v>1.9378937753738678E-2</v>
      </c>
      <c r="CT4" s="375">
        <f>'F&amp;A'!CT14/10000000</f>
        <v>9.0962503390775218E-2</v>
      </c>
      <c r="CU4" s="375">
        <f>'F&amp;A'!CU14/10000000</f>
        <v>0.25426742861828422</v>
      </c>
      <c r="CV4" s="375">
        <f>'F&amp;A'!CV14/10000000</f>
        <v>0.15451473035647642</v>
      </c>
      <c r="CW4" s="375">
        <f>'F&amp;A'!CW14/10000000</f>
        <v>4.0962503390775215E-2</v>
      </c>
      <c r="CX4" s="375">
        <f>'F&amp;A'!CX14/10000000</f>
        <v>1.9495325417244844E-2</v>
      </c>
      <c r="CY4" s="375">
        <f>'F&amp;A'!CY14/10000000</f>
        <v>7.9154095263888224E-2</v>
      </c>
      <c r="CZ4" s="302">
        <f t="shared" si="0"/>
        <v>7.9154095263888224E-2</v>
      </c>
      <c r="DA4" s="302">
        <f t="shared" si="0"/>
        <v>7.9154095263888224E-2</v>
      </c>
      <c r="DB4" s="302">
        <f t="shared" si="0"/>
        <v>7.9154095263888224E-2</v>
      </c>
      <c r="DC4" s="302">
        <f t="shared" si="0"/>
        <v>7.9154095263888224E-2</v>
      </c>
      <c r="DD4" s="302">
        <f t="shared" si="0"/>
        <v>7.9154095263888224E-2</v>
      </c>
      <c r="DE4" s="302">
        <f t="shared" si="0"/>
        <v>7.9154095263888224E-2</v>
      </c>
    </row>
    <row r="5" spans="1:109" ht="12" customHeight="1">
      <c r="A5" s="293" t="s">
        <v>549</v>
      </c>
      <c r="B5" s="375">
        <f>IT!E36/10000000</f>
        <v>9.3089306666666663E-3</v>
      </c>
      <c r="C5" s="375">
        <f>IT!F36/10000000</f>
        <v>9.3089306666666663E-3</v>
      </c>
      <c r="D5" s="375">
        <f>IT!G36/10000000</f>
        <v>9.3089306666666663E-3</v>
      </c>
      <c r="E5" s="375">
        <f>IT!H36/10000000</f>
        <v>9.3089306666666663E-3</v>
      </c>
      <c r="F5" s="375">
        <f>IT!I36/10000000</f>
        <v>9.3089306666666663E-3</v>
      </c>
      <c r="G5" s="375">
        <f>IT!J36/10000000</f>
        <v>3.6556930666666661E-2</v>
      </c>
      <c r="H5" s="375">
        <f>IT!K36/10000000</f>
        <v>9.3089306666666663E-3</v>
      </c>
      <c r="I5" s="375">
        <f>IT!L36/10000000</f>
        <v>9.3089306666666663E-3</v>
      </c>
      <c r="J5" s="375">
        <f>IT!M36/10000000</f>
        <v>1.2990530666666666E-2</v>
      </c>
      <c r="K5" s="375">
        <f>IT!N36/10000000</f>
        <v>9.3089306666666663E-3</v>
      </c>
      <c r="L5" s="375">
        <f>IT!O36/10000000</f>
        <v>9.6812878933333329E-3</v>
      </c>
      <c r="M5" s="375">
        <f>IT!P36/10000000</f>
        <v>9.6812878933333329E-3</v>
      </c>
      <c r="N5" s="375">
        <f>IT!Q36/10000000</f>
        <v>7.6108878933333329E-3</v>
      </c>
      <c r="O5" s="375">
        <f>IT!R36/10000000</f>
        <v>7.6108878933333329E-3</v>
      </c>
      <c r="P5" s="375">
        <f>IT!S36/10000000</f>
        <v>7.6108878933333329E-3</v>
      </c>
      <c r="Q5" s="375">
        <f>IT!T36/10000000</f>
        <v>7.6108878933333329E-3</v>
      </c>
      <c r="R5" s="375">
        <f>IT!U36/10000000</f>
        <v>7.6108878933333329E-3</v>
      </c>
      <c r="S5" s="375">
        <f>IT!V36/10000000</f>
        <v>3.5948807893333337E-2</v>
      </c>
      <c r="T5" s="375">
        <f>IT!W36/10000000</f>
        <v>7.6108878933333329E-3</v>
      </c>
      <c r="U5" s="375">
        <f>IT!X36/10000000</f>
        <v>7.6108878933333329E-3</v>
      </c>
      <c r="V5" s="375">
        <f>IT!Y36/10000000</f>
        <v>1.1439751893333332E-2</v>
      </c>
      <c r="W5" s="375">
        <f>IT!Z36/10000000</f>
        <v>7.6108878933333329E-3</v>
      </c>
      <c r="X5" s="375">
        <f>IT!AA36/10000000</f>
        <v>7.9153234090666661E-3</v>
      </c>
      <c r="Y5" s="375">
        <f>IT!AB36/10000000</f>
        <v>7.9153234090666661E-3</v>
      </c>
      <c r="Z5" s="375">
        <f>IT!AC36/10000000</f>
        <v>7.9153234090666661E-3</v>
      </c>
      <c r="AA5" s="375">
        <f>IT!AD36/10000000</f>
        <v>7.9153234090666661E-3</v>
      </c>
      <c r="AB5" s="375">
        <f>IT!AE36/10000000</f>
        <v>7.9153234090666661E-3</v>
      </c>
      <c r="AC5" s="375">
        <f>IT!AF36/10000000</f>
        <v>7.9153234090666661E-3</v>
      </c>
      <c r="AD5" s="375">
        <f>IT!AG36/10000000</f>
        <v>7.9153234090666661E-3</v>
      </c>
      <c r="AE5" s="375">
        <f>IT!AH36/10000000</f>
        <v>3.7386760209066672E-2</v>
      </c>
      <c r="AF5" s="375">
        <f>IT!AI36/10000000</f>
        <v>7.9153234090666661E-3</v>
      </c>
      <c r="AG5" s="375">
        <f>IT!AJ36/10000000</f>
        <v>7.9153234090666661E-3</v>
      </c>
      <c r="AH5" s="375">
        <f>IT!AK36/10000000</f>
        <v>1.1897341969066666E-2</v>
      </c>
      <c r="AI5" s="375">
        <f>IT!AL36/10000000</f>
        <v>7.9153234090666661E-3</v>
      </c>
      <c r="AJ5" s="375">
        <f>IT!AM36/10000000</f>
        <v>8.2319363454293349E-3</v>
      </c>
      <c r="AK5" s="375">
        <f>IT!AN36/10000000</f>
        <v>8.2319363454293349E-3</v>
      </c>
      <c r="AL5" s="375">
        <f>IT!AO36/10000000</f>
        <v>8.2319363454293349E-3</v>
      </c>
      <c r="AM5" s="375">
        <f>IT!AP36/10000000</f>
        <v>8.2319363454293349E-3</v>
      </c>
      <c r="AN5" s="375">
        <f>IT!AQ36/10000000</f>
        <v>8.2319363454293349E-3</v>
      </c>
      <c r="AO5" s="375">
        <f>IT!AR36/10000000</f>
        <v>8.2319363454293349E-3</v>
      </c>
      <c r="AP5" s="375">
        <f>IT!AS36/10000000</f>
        <v>8.2319363454293349E-3</v>
      </c>
      <c r="AQ5" s="375">
        <f>IT!AT36/10000000</f>
        <v>3.8882230617429341E-2</v>
      </c>
      <c r="AR5" s="375">
        <f>IT!AU36/10000000</f>
        <v>8.2319363454293349E-3</v>
      </c>
      <c r="AS5" s="375">
        <f>IT!AV36/10000000</f>
        <v>8.2319363454293349E-3</v>
      </c>
      <c r="AT5" s="375">
        <f>IT!AW36/10000000</f>
        <v>1.2373235647829332E-2</v>
      </c>
      <c r="AU5" s="375">
        <f>IT!AX36/10000000</f>
        <v>8.2319363454293349E-3</v>
      </c>
      <c r="AV5" s="375">
        <f>IT!AY36/10000000</f>
        <v>8.5612137992465091E-3</v>
      </c>
      <c r="AW5" s="375">
        <f>IT!AZ36/10000000</f>
        <v>8.5612137992465091E-3</v>
      </c>
      <c r="AX5" s="375">
        <f>IT!BA36/10000000</f>
        <v>8.5612137992465091E-3</v>
      </c>
      <c r="AY5" s="375">
        <f>IT!BB36/10000000</f>
        <v>8.5612137992465091E-3</v>
      </c>
      <c r="AZ5" s="375">
        <f>IT!BC36/10000000</f>
        <v>8.5612137992465091E-3</v>
      </c>
      <c r="BA5" s="375">
        <f>IT!BD36/10000000</f>
        <v>8.5612137992465091E-3</v>
      </c>
      <c r="BB5" s="375">
        <f>IT!BE36/10000000</f>
        <v>8.5612137992465091E-3</v>
      </c>
      <c r="BC5" s="375">
        <f>IT!BF36/10000000</f>
        <v>4.0437519842126513E-2</v>
      </c>
      <c r="BD5" s="375">
        <f>IT!BG36/10000000</f>
        <v>8.5612137992465091E-3</v>
      </c>
      <c r="BE5" s="375">
        <f>IT!BH36/10000000</f>
        <v>8.5612137992465091E-3</v>
      </c>
      <c r="BF5" s="375">
        <f>IT!BI36/10000000</f>
        <v>1.2868165073742508E-2</v>
      </c>
      <c r="BG5" s="375">
        <f>IT!BJ36/10000000</f>
        <v>8.5612137992465091E-3</v>
      </c>
      <c r="BH5" s="375">
        <f>IT!BK36/10000000</f>
        <v>8.9036623512163664E-3</v>
      </c>
      <c r="BI5" s="375">
        <f>IT!BL36/10000000</f>
        <v>8.9036623512163664E-3</v>
      </c>
      <c r="BJ5" s="375">
        <f>IT!BM36/10000000</f>
        <v>8.9036623512163664E-3</v>
      </c>
      <c r="BK5" s="375">
        <f>IT!BN36/10000000</f>
        <v>8.9036623512163664E-3</v>
      </c>
      <c r="BL5" s="375">
        <f>IT!BO36/10000000</f>
        <v>8.9036623512163664E-3</v>
      </c>
      <c r="BM5" s="375">
        <f>IT!BP36/10000000</f>
        <v>8.9036623512163664E-3</v>
      </c>
      <c r="BN5" s="375">
        <f>IT!BQ36/10000000</f>
        <v>8.9036623512163664E-3</v>
      </c>
      <c r="BO5" s="375">
        <f>IT!BR36/10000000</f>
        <v>4.2055020635811576E-2</v>
      </c>
      <c r="BP5" s="375">
        <f>IT!BS36/10000000</f>
        <v>8.9036623512163664E-3</v>
      </c>
      <c r="BQ5" s="375">
        <f>IT!BT36/10000000</f>
        <v>8.9036623512163664E-3</v>
      </c>
      <c r="BR5" s="375">
        <f>IT!BU36/10000000</f>
        <v>1.3382891676692208E-2</v>
      </c>
      <c r="BS5" s="375">
        <f>IT!BV36/10000000</f>
        <v>8.9036623512163664E-3</v>
      </c>
      <c r="BT5" s="375">
        <f>IT!BW36/10000000</f>
        <v>9.2598088452650225E-3</v>
      </c>
      <c r="BU5" s="375">
        <f>IT!BX36/10000000</f>
        <v>9.2598088452650225E-3</v>
      </c>
      <c r="BV5" s="375">
        <f>IT!BY36/10000000</f>
        <v>9.2598088452650225E-3</v>
      </c>
      <c r="BW5" s="375">
        <f>IT!BZ36/10000000</f>
        <v>9.2598088452650225E-3</v>
      </c>
      <c r="BX5" s="375">
        <f>IT!CA36/10000000</f>
        <v>9.2598088452650225E-3</v>
      </c>
      <c r="BY5" s="375">
        <f>IT!CB36/10000000</f>
        <v>9.2598088452650225E-3</v>
      </c>
      <c r="BZ5" s="375">
        <f>IT!CC36/10000000</f>
        <v>9.2598088452650225E-3</v>
      </c>
      <c r="CA5" s="375">
        <f>IT!CD36/10000000</f>
        <v>4.3737221461244036E-2</v>
      </c>
      <c r="CB5" s="375">
        <f>IT!CE36/10000000</f>
        <v>9.2598088452650225E-3</v>
      </c>
      <c r="CC5" s="375">
        <f>IT!CF36/10000000</f>
        <v>9.2598088452650225E-3</v>
      </c>
      <c r="CD5" s="375">
        <f>IT!CG36/10000000</f>
        <v>1.3918207343759897E-2</v>
      </c>
      <c r="CE5" s="375">
        <f>IT!CH36/10000000</f>
        <v>9.2598088452650225E-3</v>
      </c>
      <c r="CF5" s="375">
        <f>IT!CI36/10000000</f>
        <v>9.6302011990756237E-3</v>
      </c>
      <c r="CG5" s="375">
        <f>IT!CJ36/10000000</f>
        <v>9.6302011990756237E-3</v>
      </c>
      <c r="CH5" s="375">
        <f>IT!CK36/10000000</f>
        <v>9.6302011990756237E-3</v>
      </c>
      <c r="CI5" s="375">
        <f>IT!CL36/10000000</f>
        <v>9.6302011990756237E-3</v>
      </c>
      <c r="CJ5" s="375">
        <f>IT!CM36/10000000</f>
        <v>9.6302011990756237E-3</v>
      </c>
      <c r="CK5" s="375">
        <f>IT!CN36/10000000</f>
        <v>9.6302011990756237E-3</v>
      </c>
      <c r="CL5" s="375">
        <f>IT!CO36/10000000</f>
        <v>9.6302011990756237E-3</v>
      </c>
      <c r="CM5" s="375">
        <f>IT!CP36/10000000</f>
        <v>4.5486710319693792E-2</v>
      </c>
      <c r="CN5" s="375">
        <f>IT!CQ36/10000000</f>
        <v>9.6302011990756237E-3</v>
      </c>
      <c r="CO5" s="375">
        <f>IT!CR36/10000000</f>
        <v>9.6302011990756237E-3</v>
      </c>
      <c r="CP5" s="375">
        <f>IT!CS36/10000000</f>
        <v>1.4474935637510291E-2</v>
      </c>
      <c r="CQ5" s="375">
        <f>IT!CT36/10000000</f>
        <v>9.6302011990756237E-3</v>
      </c>
      <c r="CR5" s="375">
        <f>IT!CU36/10000000</f>
        <v>1.0015409247038649E-2</v>
      </c>
      <c r="CS5" s="375">
        <f>IT!CV36/10000000</f>
        <v>1.0015409247038649E-2</v>
      </c>
      <c r="CT5" s="375">
        <f>IT!CW36/10000000</f>
        <v>1.0015409247038649E-2</v>
      </c>
      <c r="CU5" s="375">
        <f>IT!CX36/10000000</f>
        <v>1.0015409247038649E-2</v>
      </c>
      <c r="CV5" s="375">
        <f>IT!CY36/10000000</f>
        <v>1.0015409247038649E-2</v>
      </c>
      <c r="CW5" s="375">
        <f>IT!CZ36/10000000</f>
        <v>1.0015409247038649E-2</v>
      </c>
      <c r="CX5" s="375">
        <f>IT!DA36/10000000</f>
        <v>1.0015409247038649E-2</v>
      </c>
      <c r="CY5" s="375">
        <f>IT!DB36/10000000</f>
        <v>4.7306178732481545E-2</v>
      </c>
      <c r="CZ5" s="302">
        <f t="shared" si="0"/>
        <v>4.7306178732481545E-2</v>
      </c>
      <c r="DA5" s="302">
        <f t="shared" si="0"/>
        <v>4.7306178732481545E-2</v>
      </c>
      <c r="DB5" s="302">
        <f t="shared" si="0"/>
        <v>4.7306178732481545E-2</v>
      </c>
      <c r="DC5" s="302">
        <f t="shared" si="0"/>
        <v>4.7306178732481545E-2</v>
      </c>
      <c r="DD5" s="302">
        <f t="shared" si="0"/>
        <v>4.7306178732481545E-2</v>
      </c>
      <c r="DE5" s="302">
        <f t="shared" si="0"/>
        <v>4.7306178732481545E-2</v>
      </c>
    </row>
    <row r="6" spans="1:109" ht="12" customHeight="1">
      <c r="A6" s="293" t="s">
        <v>550</v>
      </c>
      <c r="B6" s="302">
        <f>'O&amp;M'!B17/10000000</f>
        <v>0.90029246283333342</v>
      </c>
      <c r="C6" s="302">
        <f>'O&amp;M'!C17/10000000</f>
        <v>0.90040086222222226</v>
      </c>
      <c r="D6" s="302">
        <f>'O&amp;M'!D17/10000000</f>
        <v>0.98630961301620379</v>
      </c>
      <c r="E6" s="302">
        <f>'O&amp;M'!E17/10000000</f>
        <v>0.97255191648432682</v>
      </c>
      <c r="F6" s="302">
        <f>'O&amp;M'!F17/10000000</f>
        <v>0.9726609886484977</v>
      </c>
      <c r="G6" s="302">
        <f>'O&amp;M'!G17/10000000</f>
        <v>0.97277021270015795</v>
      </c>
      <c r="H6" s="302">
        <f>'O&amp;M'!H17/10000000</f>
        <v>0.97287948116696421</v>
      </c>
      <c r="I6" s="302">
        <f>'O&amp;M'!I17/10000000</f>
        <v>0.97298880949613209</v>
      </c>
      <c r="J6" s="302">
        <f>'O&amp;M'!J17/10000000</f>
        <v>0.9730983065544494</v>
      </c>
      <c r="K6" s="302">
        <f>'O&amp;M'!K17/10000000</f>
        <v>0.88740797304495389</v>
      </c>
      <c r="L6" s="302">
        <f>'O&amp;M'!L17/10000000</f>
        <v>0.88751780967361349</v>
      </c>
      <c r="M6" s="302">
        <f>'O&amp;M'!M17/10000000</f>
        <v>0.88762781714933703</v>
      </c>
      <c r="N6" s="302">
        <f>'O&amp;M'!N17/10000000</f>
        <v>1.1582120438066537</v>
      </c>
      <c r="O6" s="302">
        <f>'O&amp;M'!O17/10000000</f>
        <v>1.1582830617817259</v>
      </c>
      <c r="P6" s="302">
        <f>'O&amp;M'!P17/10000000</f>
        <v>1.1583542527483608</v>
      </c>
      <c r="Q6" s="302">
        <f>'O&amp;M'!Q17/10000000</f>
        <v>1.1584256174273568</v>
      </c>
      <c r="R6" s="302">
        <f>'O&amp;M'!R17/10000000</f>
        <v>1.1584971565425151</v>
      </c>
      <c r="S6" s="302">
        <f>'O&amp;M'!S17/10000000</f>
        <v>1.1585688708206534</v>
      </c>
      <c r="T6" s="302">
        <f>'O&amp;M'!T17/10000000</f>
        <v>1.0369607609916174</v>
      </c>
      <c r="U6" s="302">
        <f>'O&amp;M'!U17/10000000</f>
        <v>1.0370328277882934</v>
      </c>
      <c r="V6" s="302">
        <f>'O&amp;M'!V17/10000000</f>
        <v>0.95598507194662241</v>
      </c>
      <c r="W6" s="302">
        <f>'O&amp;M'!W17/10000000</f>
        <v>0.95605749420561115</v>
      </c>
      <c r="X6" s="302">
        <f>'O&amp;M'!X17/10000000</f>
        <v>0.95613009530734572</v>
      </c>
      <c r="Y6" s="302">
        <f>'O&amp;M'!Y17/10000000</f>
        <v>0.95620287599700393</v>
      </c>
      <c r="Z6" s="302">
        <f>'O&amp;M'!Z17/10000000</f>
        <v>1.4427785497148693</v>
      </c>
      <c r="AA6" s="302">
        <f>'O&amp;M'!AA17/10000000</f>
        <v>1.4428369418283424</v>
      </c>
      <c r="AB6" s="302">
        <f>'O&amp;M'!AB17/10000000</f>
        <v>1.4428955157839547</v>
      </c>
      <c r="AC6" s="302">
        <f>'O&amp;M'!AC17/10000000</f>
        <v>1.4429542723393824</v>
      </c>
      <c r="AD6" s="302">
        <f>'O&amp;M'!AD17/10000000</f>
        <v>1.4430132122554578</v>
      </c>
      <c r="AE6" s="302">
        <f>'O&amp;M'!AE17/10000000</f>
        <v>1.4430723362961833</v>
      </c>
      <c r="AF6" s="302">
        <f>'O&amp;M'!AF17/10000000</f>
        <v>1.443131645228745</v>
      </c>
      <c r="AG6" s="302">
        <f>'O&amp;M'!AG17/10000000</f>
        <v>1.3588263398235259</v>
      </c>
      <c r="AH6" s="302">
        <f>'O&amp;M'!AH17/10000000</f>
        <v>1.3588860208541185</v>
      </c>
      <c r="AI6" s="302">
        <f>'O&amp;M'!AI17/10000000</f>
        <v>1.3589458890973383</v>
      </c>
      <c r="AJ6" s="302">
        <f>'O&amp;M'!AJ17/10000000</f>
        <v>1.3590059453332384</v>
      </c>
      <c r="AK6" s="302">
        <f>'O&amp;M'!AK17/10000000</f>
        <v>1.3590661903451211</v>
      </c>
      <c r="AL6" s="302">
        <f>'O&amp;M'!AL17/10000000</f>
        <v>1.3815979307988071</v>
      </c>
      <c r="AM6" s="302">
        <f>'O&amp;M'!AM17/10000000</f>
        <v>1.3816536390589664</v>
      </c>
      <c r="AN6" s="302">
        <f>'O&amp;M'!AN17/10000000</f>
        <v>1.3817095384646541</v>
      </c>
      <c r="AO6" s="302">
        <f>'O&amp;M'!AO17/10000000</f>
        <v>1.38176562981231</v>
      </c>
      <c r="AP6" s="302">
        <f>'O&amp;M'!AP17/10000000</f>
        <v>1.3818219139016921</v>
      </c>
      <c r="AQ6" s="302">
        <f>'O&amp;M'!AQ17/10000000</f>
        <v>1.381878391535891</v>
      </c>
      <c r="AR6" s="302">
        <f>'O&amp;M'!AR17/10000000</f>
        <v>1.2941956715213436</v>
      </c>
      <c r="AS6" s="302">
        <f>'O&amp;M'!AS17/10000000</f>
        <v>1.294252538667847</v>
      </c>
      <c r="AT6" s="302">
        <f>'O&amp;M'!AT17/10000000</f>
        <v>1.2943096017885716</v>
      </c>
      <c r="AU6" s="302">
        <f>'O&amp;M'!AU17/10000000</f>
        <v>1.294366861700077</v>
      </c>
      <c r="AV6" s="302">
        <f>'O&amp;M'!AV17/10000000</f>
        <v>1.2944243192223248</v>
      </c>
      <c r="AW6" s="302">
        <f>'O&amp;M'!AW17/10000000</f>
        <v>1.2944819751786933</v>
      </c>
      <c r="AX6" s="302">
        <f>'O&amp;M'!AX17/10000000</f>
        <v>1.314400609497081</v>
      </c>
      <c r="AY6" s="302">
        <f>'O&amp;M'!AY17/10000000</f>
        <v>1.3144537481388952</v>
      </c>
      <c r="AZ6" s="302">
        <f>'O&amp;M'!AZ17/10000000</f>
        <v>1.3145070877056058</v>
      </c>
      <c r="BA6" s="302">
        <f>'O&amp;M'!BA17/10000000</f>
        <v>1.3145606290344001</v>
      </c>
      <c r="BB6" s="302">
        <f>'O&amp;M'!BB17/10000000</f>
        <v>1.3146143729659532</v>
      </c>
      <c r="BC6" s="302">
        <f>'O&amp;M'!BC17/10000000</f>
        <v>1.3146683203444431</v>
      </c>
      <c r="BD6" s="302">
        <f>'O&amp;M'!BD17/10000000</f>
        <v>1.3147224720175656</v>
      </c>
      <c r="BE6" s="302">
        <f>'O&amp;M'!BE17/10000000</f>
        <v>1.3147768288365487</v>
      </c>
      <c r="BF6" s="302">
        <f>'O&amp;M'!BF17/10000000</f>
        <v>1.314831391656166</v>
      </c>
      <c r="BG6" s="302">
        <f>'O&amp;M'!BG17/10000000</f>
        <v>1.3148861613347544</v>
      </c>
      <c r="BH6" s="302">
        <f>'O&amp;M'!BH17/10000000</f>
        <v>1.3149411387342254</v>
      </c>
      <c r="BI6" s="302">
        <f>'O&amp;M'!BI17/10000000</f>
        <v>1.3149963247200833</v>
      </c>
      <c r="BJ6" s="302">
        <f>'O&amp;M'!BJ17/10000000</f>
        <v>1.335712043759905</v>
      </c>
      <c r="BK6" s="302">
        <f>'O&amp;M'!BK17/10000000</f>
        <v>1.3357676495294872</v>
      </c>
      <c r="BL6" s="302">
        <f>'O&amp;M'!BL17/10000000</f>
        <v>1.335823466503665</v>
      </c>
      <c r="BM6" s="302">
        <f>'O&amp;M'!BM17/10000000</f>
        <v>1.0733794955624574</v>
      </c>
      <c r="BN6" s="302">
        <f>'O&amp;M'!BN17/10000000</f>
        <v>1.0734357375895507</v>
      </c>
      <c r="BO6" s="302">
        <f>'O&amp;M'!BO17/10000000</f>
        <v>1.0734921934723121</v>
      </c>
      <c r="BP6" s="302">
        <f>'O&amp;M'!BP17/10000000</f>
        <v>1.1785488641018069</v>
      </c>
      <c r="BQ6" s="302">
        <f>'O&amp;M'!BQ17/10000000</f>
        <v>1.178605750372814</v>
      </c>
      <c r="BR6" s="302">
        <f>'O&amp;M'!BR17/10000000</f>
        <v>1.178662853183839</v>
      </c>
      <c r="BS6" s="302">
        <f>'O&amp;M'!BS17/10000000</f>
        <v>1.1787201734371322</v>
      </c>
      <c r="BT6" s="302">
        <f>'O&amp;M'!BT17/10000000</f>
        <v>3.2997777120387033</v>
      </c>
      <c r="BU6" s="302">
        <f>'O&amp;M'!BU17/10000000</f>
        <v>1.3888354698983358</v>
      </c>
      <c r="BV6" s="302">
        <f>'O&amp;M'!BV17/10000000</f>
        <v>2.092880184472012</v>
      </c>
      <c r="BW6" s="302">
        <f>'O&amp;M'!BW17/10000000</f>
        <v>2.3554383835923014</v>
      </c>
      <c r="BX6" s="302">
        <f>'O&amp;M'!BX17/10000000</f>
        <v>2.3554968047228142</v>
      </c>
      <c r="BY6" s="302">
        <f>'O&amp;M'!BY17/10000000</f>
        <v>2.3570254487885931</v>
      </c>
      <c r="BZ6" s="302">
        <f>'O&amp;M'!BZ17/10000000</f>
        <v>2.3610743167185353</v>
      </c>
      <c r="CA6" s="302">
        <f>'O&amp;M'!CA17/10000000</f>
        <v>2.3622884094454073</v>
      </c>
      <c r="CB6" s="302">
        <f>'O&amp;M'!CB17/10000000</f>
        <v>2.3609827279058635</v>
      </c>
      <c r="CC6" s="302">
        <f>'O&amp;M'!CC17/10000000</f>
        <v>2.3607272730404607</v>
      </c>
      <c r="CD6" s="302">
        <f>'O&amp;M'!CD17/10000000</f>
        <v>2.3581620457936743</v>
      </c>
      <c r="CE6" s="302">
        <f>'O&amp;M'!CE17/10000000</f>
        <v>2.3164340937368402</v>
      </c>
      <c r="CF6" s="302">
        <f>'O&amp;M'!CF17/10000000</f>
        <v>2.3164943245764702</v>
      </c>
      <c r="CG6" s="302">
        <f>'O&amp;M'!CG17/10000000</f>
        <v>2.3165547858918218</v>
      </c>
      <c r="CH6" s="302">
        <f>'O&amp;M'!CH17/10000000</f>
        <v>2.3373825665122281</v>
      </c>
      <c r="CI6" s="302">
        <f>'O&amp;M'!CI17/10000000</f>
        <v>2.337443491663969</v>
      </c>
      <c r="CJ6" s="302">
        <f>'O&amp;M'!CJ17/10000000</f>
        <v>1.4975046501843972</v>
      </c>
      <c r="CK6" s="302">
        <f>'O&amp;M'!CK17/10000000</f>
        <v>1.4975660430458828</v>
      </c>
      <c r="CL6" s="302">
        <f>'O&amp;M'!CL17/10000000</f>
        <v>1.4976276712248471</v>
      </c>
      <c r="CM6" s="302">
        <f>'O&amp;M'!CM17/10000000</f>
        <v>1.497689535701779</v>
      </c>
      <c r="CN6" s="302">
        <f>'O&amp;M'!CN17/10000000</f>
        <v>1.4977516374612538</v>
      </c>
      <c r="CO6" s="302">
        <f>'O&amp;M'!CO17/10000000</f>
        <v>1.4978139774919488</v>
      </c>
      <c r="CP6" s="302">
        <f>'O&amp;M'!CP17/10000000</f>
        <v>1.4978765567866603</v>
      </c>
      <c r="CQ6" s="302">
        <f>'O&amp;M'!CQ17/10000000</f>
        <v>1.4979393763423221</v>
      </c>
      <c r="CR6" s="302">
        <f>'O&amp;M'!CR17/10000000</f>
        <v>1.4980024371600213</v>
      </c>
      <c r="CS6" s="302">
        <f>'O&amp;M'!CS17/10000000</f>
        <v>1.4980657402450166</v>
      </c>
      <c r="CT6" s="302">
        <f>'O&amp;M'!CT17/10000000</f>
        <v>1.5197270579905346</v>
      </c>
      <c r="CU6" s="302">
        <f>'O&amp;M'!CU17/10000000</f>
        <v>1.519790848642669</v>
      </c>
      <c r="CV6" s="302">
        <f>'O&amp;M'!CV17/10000000</f>
        <v>1.2048548846030762</v>
      </c>
      <c r="CW6" s="302">
        <f>'O&amp;M'!CW17/10000000</f>
        <v>1.2049191668938741</v>
      </c>
      <c r="CX6" s="302">
        <f>'O&amp;M'!CX17/10000000</f>
        <v>1.2049836965414389</v>
      </c>
      <c r="CY6" s="302">
        <f>'O&amp;M'!CY17/10000000</f>
        <v>1.2050499790764244</v>
      </c>
      <c r="CZ6" s="302">
        <f t="shared" si="0"/>
        <v>1.2050499790764244</v>
      </c>
      <c r="DA6" s="302">
        <f t="shared" si="0"/>
        <v>1.2050499790764244</v>
      </c>
      <c r="DB6" s="302">
        <f t="shared" si="0"/>
        <v>1.2050499790764244</v>
      </c>
      <c r="DC6" s="302">
        <f t="shared" si="0"/>
        <v>1.2050499790764244</v>
      </c>
      <c r="DD6" s="302">
        <f t="shared" si="0"/>
        <v>1.2050499790764244</v>
      </c>
      <c r="DE6" s="302">
        <f t="shared" si="0"/>
        <v>1.2050499790764244</v>
      </c>
    </row>
    <row r="7" spans="1:109" ht="12" customHeight="1" thickBot="1">
      <c r="A7" s="444" t="s">
        <v>104</v>
      </c>
      <c r="B7" s="445">
        <f t="shared" ref="B7:AG7" si="1">SUM(B3:B6)</f>
        <v>3.5973141703409439</v>
      </c>
      <c r="C7" s="445">
        <f t="shared" si="1"/>
        <v>1.341997912888889</v>
      </c>
      <c r="D7" s="445">
        <f t="shared" si="1"/>
        <v>1.6024441436828705</v>
      </c>
      <c r="E7" s="445">
        <f t="shared" si="1"/>
        <v>1.4127057471509934</v>
      </c>
      <c r="F7" s="445">
        <f t="shared" si="1"/>
        <v>1.3950143193151643</v>
      </c>
      <c r="G7" s="445">
        <f t="shared" si="1"/>
        <v>1.5643367433668245</v>
      </c>
      <c r="H7" s="445">
        <f t="shared" si="1"/>
        <v>1.653585711833631</v>
      </c>
      <c r="I7" s="445">
        <f t="shared" si="1"/>
        <v>1.7846921401627989</v>
      </c>
      <c r="J7" s="445">
        <f t="shared" si="1"/>
        <v>1.8468984372211161</v>
      </c>
      <c r="K7" s="445">
        <f t="shared" si="1"/>
        <v>1.3191598037116206</v>
      </c>
      <c r="L7" s="445">
        <f t="shared" si="1"/>
        <v>1.3228454975669468</v>
      </c>
      <c r="M7" s="445">
        <f t="shared" si="1"/>
        <v>2.31270670504267</v>
      </c>
      <c r="N7" s="445">
        <f t="shared" si="1"/>
        <v>1.582192939699987</v>
      </c>
      <c r="O7" s="445">
        <f t="shared" si="1"/>
        <v>1.9577516264750594</v>
      </c>
      <c r="P7" s="445">
        <f t="shared" si="1"/>
        <v>1.7109017966416942</v>
      </c>
      <c r="Q7" s="445">
        <f t="shared" si="1"/>
        <v>1.5324065133206901</v>
      </c>
      <c r="R7" s="445">
        <f t="shared" si="1"/>
        <v>1.5170146524358483</v>
      </c>
      <c r="S7" s="445">
        <f t="shared" si="1"/>
        <v>1.6902882947139868</v>
      </c>
      <c r="T7" s="445">
        <f t="shared" si="1"/>
        <v>1.6563875528849508</v>
      </c>
      <c r="U7" s="445">
        <f t="shared" si="1"/>
        <v>1.3909113236816268</v>
      </c>
      <c r="V7" s="445">
        <f t="shared" si="1"/>
        <v>1.6623402398399558</v>
      </c>
      <c r="W7" s="445">
        <f t="shared" si="1"/>
        <v>1.3277121900989444</v>
      </c>
      <c r="X7" s="445">
        <f t="shared" si="1"/>
        <v>1.3346115867164123</v>
      </c>
      <c r="Y7" s="445">
        <f t="shared" si="1"/>
        <v>1.3236256154060706</v>
      </c>
      <c r="Z7" s="445">
        <f t="shared" si="1"/>
        <v>1.8805417646439362</v>
      </c>
      <c r="AA7" s="445">
        <f t="shared" si="1"/>
        <v>2.2561153323094092</v>
      </c>
      <c r="AB7" s="445">
        <f t="shared" si="1"/>
        <v>2.0127280446330214</v>
      </c>
      <c r="AC7" s="445">
        <f t="shared" si="1"/>
        <v>1.8307174872684493</v>
      </c>
      <c r="AD7" s="445">
        <f t="shared" si="1"/>
        <v>1.8145528911845246</v>
      </c>
      <c r="AE7" s="445">
        <f t="shared" si="1"/>
        <v>1.9919760803452502</v>
      </c>
      <c r="AF7" s="445">
        <f t="shared" si="1"/>
        <v>2.0913729399978118</v>
      </c>
      <c r="AG7" s="445">
        <f t="shared" si="1"/>
        <v>1.7308974067525926</v>
      </c>
      <c r="AH7" s="445">
        <f t="shared" ref="AH7:CS7" si="2">SUM(AH3:AH6)</f>
        <v>2.0844528266631852</v>
      </c>
      <c r="AI7" s="445">
        <f t="shared" si="2"/>
        <v>1.7495042040264051</v>
      </c>
      <c r="AJ7" s="445">
        <f t="shared" si="2"/>
        <v>1.7566641275986679</v>
      </c>
      <c r="AK7" s="445">
        <f t="shared" si="2"/>
        <v>1.7448232705305506</v>
      </c>
      <c r="AL7" s="445">
        <f t="shared" si="2"/>
        <v>1.8391451426450365</v>
      </c>
      <c r="AM7" s="445">
        <f t="shared" si="2"/>
        <v>2.2147446334792757</v>
      </c>
      <c r="AN7" s="445">
        <f t="shared" si="2"/>
        <v>1.9749688367876832</v>
      </c>
      <c r="AO7" s="445">
        <f t="shared" si="2"/>
        <v>1.7893128416585393</v>
      </c>
      <c r="AP7" s="445">
        <f t="shared" si="2"/>
        <v>1.7723550483079213</v>
      </c>
      <c r="AQ7" s="445">
        <f t="shared" si="2"/>
        <v>1.9541194596669205</v>
      </c>
      <c r="AR7" s="445">
        <f t="shared" si="2"/>
        <v>1.9728077924011729</v>
      </c>
      <c r="AS7" s="445">
        <f t="shared" si="2"/>
        <v>1.6856476225940762</v>
      </c>
      <c r="AT7" s="445">
        <f t="shared" si="2"/>
        <v>2.0402602541500006</v>
      </c>
      <c r="AU7" s="445">
        <f t="shared" si="2"/>
        <v>1.7049886835463064</v>
      </c>
      <c r="AV7" s="445">
        <f t="shared" si="2"/>
        <v>1.7124300030983712</v>
      </c>
      <c r="AW7" s="445">
        <f t="shared" si="2"/>
        <v>1.6997105128915397</v>
      </c>
      <c r="AX7" s="445">
        <f t="shared" si="2"/>
        <v>1.7929505249691595</v>
      </c>
      <c r="AY7" s="445">
        <f t="shared" si="2"/>
        <v>2.168577197488017</v>
      </c>
      <c r="AZ7" s="445">
        <f t="shared" si="2"/>
        <v>1.9325575731135562</v>
      </c>
      <c r="BA7" s="445">
        <f t="shared" si="2"/>
        <v>1.7431105445064787</v>
      </c>
      <c r="BB7" s="445">
        <f t="shared" si="2"/>
        <v>1.7253280479004318</v>
      </c>
      <c r="BC7" s="445">
        <f t="shared" si="2"/>
        <v>1.9116243229527137</v>
      </c>
      <c r="BD7" s="445">
        <f t="shared" si="2"/>
        <v>2.025364369484588</v>
      </c>
      <c r="BE7" s="445">
        <f t="shared" si="2"/>
        <v>1.7267130078718274</v>
      </c>
      <c r="BF7" s="445">
        <f t="shared" si="2"/>
        <v>2.0824253618640527</v>
      </c>
      <c r="BG7" s="445">
        <f t="shared" si="2"/>
        <v>1.746818147806833</v>
      </c>
      <c r="BH7" s="445">
        <f t="shared" si="2"/>
        <v>1.7545523417173139</v>
      </c>
      <c r="BI7" s="445">
        <f t="shared" si="2"/>
        <v>1.7409192956934438</v>
      </c>
      <c r="BJ7" s="445">
        <f t="shared" si="2"/>
        <v>1.836574852518067</v>
      </c>
      <c r="BK7" s="445">
        <f t="shared" si="2"/>
        <v>2.212234933519774</v>
      </c>
      <c r="BL7" s="445">
        <f t="shared" si="2"/>
        <v>1.9801268679951338</v>
      </c>
      <c r="BM7" s="445">
        <f t="shared" si="2"/>
        <v>1.5242423043206192</v>
      </c>
      <c r="BN7" s="445">
        <f t="shared" si="2"/>
        <v>1.5056072561886085</v>
      </c>
      <c r="BO7" s="445">
        <f t="shared" si="2"/>
        <v>1.6966402571121137</v>
      </c>
      <c r="BP7" s="445">
        <f t="shared" si="2"/>
        <v>1.9229902583947105</v>
      </c>
      <c r="BQ7" s="445">
        <f t="shared" si="2"/>
        <v>1.6123931974967038</v>
      </c>
      <c r="BR7" s="445">
        <f t="shared" si="2"/>
        <v>1.9692544031272412</v>
      </c>
      <c r="BS7" s="445">
        <f t="shared" si="2"/>
        <v>1.6333032602952942</v>
      </c>
      <c r="BT7" s="445">
        <f t="shared" si="2"/>
        <v>3.7623471840683154</v>
      </c>
      <c r="BU7" s="445">
        <f t="shared" si="2"/>
        <v>1.8367691806378308</v>
      </c>
      <c r="BV7" s="445">
        <f t="shared" si="2"/>
        <v>2.6174654919144205</v>
      </c>
      <c r="BW7" s="445">
        <f t="shared" si="2"/>
        <v>3.2556603452761195</v>
      </c>
      <c r="BX7" s="445">
        <f t="shared" si="2"/>
        <v>3.0276203286078616</v>
      </c>
      <c r="BY7" s="445">
        <f t="shared" si="2"/>
        <v>2.8316107562310013</v>
      </c>
      <c r="BZ7" s="445">
        <f t="shared" si="2"/>
        <v>2.8160790823954756</v>
      </c>
      <c r="CA7" s="445">
        <f t="shared" si="2"/>
        <v>3.0132135986507209</v>
      </c>
      <c r="CB7" s="445">
        <f t="shared" si="2"/>
        <v>3.1411129809904033</v>
      </c>
      <c r="CC7" s="445">
        <f t="shared" si="2"/>
        <v>2.8177774210692261</v>
      </c>
      <c r="CD7" s="445">
        <f t="shared" si="2"/>
        <v>3.1732084607547328</v>
      </c>
      <c r="CE7" s="445">
        <f t="shared" si="2"/>
        <v>2.7951117070892484</v>
      </c>
      <c r="CF7" s="445">
        <f t="shared" si="2"/>
        <v>2.8034777785071867</v>
      </c>
      <c r="CG7" s="445">
        <f t="shared" si="2"/>
        <v>2.7863642485813185</v>
      </c>
      <c r="CH7" s="445">
        <f t="shared" si="2"/>
        <v>2.8872080712196446</v>
      </c>
      <c r="CI7" s="445">
        <f t="shared" si="2"/>
        <v>3.262939116782452</v>
      </c>
      <c r="CJ7" s="445">
        <f t="shared" si="2"/>
        <v>2.1975149885126806</v>
      </c>
      <c r="CK7" s="445">
        <f t="shared" si="2"/>
        <v>1.9973915477532995</v>
      </c>
      <c r="CL7" s="445">
        <f t="shared" si="2"/>
        <v>1.9769478124961768</v>
      </c>
      <c r="CM7" s="445">
        <f t="shared" si="2"/>
        <v>2.1764791443177391</v>
      </c>
      <c r="CN7" s="445">
        <f t="shared" si="2"/>
        <v>2.3155894239910877</v>
      </c>
      <c r="CO7" s="445">
        <f t="shared" si="2"/>
        <v>1.9796484547637769</v>
      </c>
      <c r="CP7" s="445">
        <f t="shared" si="2"/>
        <v>2.3373322401885948</v>
      </c>
      <c r="CQ7" s="445">
        <f t="shared" si="2"/>
        <v>2.002266417550739</v>
      </c>
      <c r="CR7" s="445">
        <f t="shared" si="2"/>
        <v>2.0109675525698787</v>
      </c>
      <c r="CS7" s="445">
        <f t="shared" si="2"/>
        <v>1.9927699047640051</v>
      </c>
      <c r="CT7" s="445">
        <f t="shared" ref="CT7:DE7" si="3">SUM(CT3:CT6)</f>
        <v>2.0964280463502916</v>
      </c>
      <c r="CU7" s="445">
        <f t="shared" si="3"/>
        <v>2.2597967622299349</v>
      </c>
      <c r="CV7" s="445">
        <f t="shared" si="3"/>
        <v>1.847608099928534</v>
      </c>
      <c r="CW7" s="445">
        <f t="shared" si="3"/>
        <v>1.7316201552536308</v>
      </c>
      <c r="CX7" s="445">
        <f t="shared" si="3"/>
        <v>1.7102175069276653</v>
      </c>
      <c r="CY7" s="445">
        <f t="shared" si="3"/>
        <v>1.8296850189458369</v>
      </c>
      <c r="CZ7" s="445">
        <f t="shared" si="3"/>
        <v>1.8296850189458369</v>
      </c>
      <c r="DA7" s="445">
        <f t="shared" si="3"/>
        <v>1.8296850189458369</v>
      </c>
      <c r="DB7" s="445">
        <f t="shared" si="3"/>
        <v>1.8296850189458369</v>
      </c>
      <c r="DC7" s="445">
        <f t="shared" si="3"/>
        <v>1.8296850189458369</v>
      </c>
      <c r="DD7" s="445">
        <f t="shared" si="3"/>
        <v>1.8296850189458369</v>
      </c>
      <c r="DE7" s="445">
        <f t="shared" si="3"/>
        <v>1.8296850189458369</v>
      </c>
    </row>
    <row r="8" spans="1:109" ht="12" customHeight="1" thickTop="1"/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7"/>
  <sheetViews>
    <sheetView workbookViewId="0">
      <pane xSplit="4" ySplit="2" topLeftCell="AC29" activePane="bottomRight" state="frozen"/>
      <selection activeCell="U8" sqref="U8"/>
      <selection pane="topRight" activeCell="U8" sqref="U8"/>
      <selection pane="bottomLeft" activeCell="U8" sqref="U8"/>
      <selection pane="bottomRight" activeCell="U44" sqref="U44"/>
    </sheetView>
  </sheetViews>
  <sheetFormatPr defaultColWidth="8" defaultRowHeight="12"/>
  <cols>
    <col min="1" max="1" width="56.7109375" style="319" bestFit="1" customWidth="1"/>
    <col min="2" max="2" width="8" style="319"/>
    <col min="3" max="3" width="8" style="319" customWidth="1"/>
    <col min="4" max="4" width="8" style="319"/>
    <col min="5" max="28" width="11.140625" style="319" hidden="1" customWidth="1"/>
    <col min="29" max="106" width="11.140625" style="319" customWidth="1"/>
    <col min="107" max="16384" width="8" style="319"/>
  </cols>
  <sheetData>
    <row r="1" spans="1:106">
      <c r="A1" s="345"/>
    </row>
    <row r="2" spans="1:106">
      <c r="A2" s="446" t="s">
        <v>551</v>
      </c>
      <c r="B2" s="447" t="s">
        <v>552</v>
      </c>
      <c r="C2" s="447" t="s">
        <v>553</v>
      </c>
      <c r="D2" s="447" t="s">
        <v>554</v>
      </c>
      <c r="E2" s="448">
        <f>Expenses!B2</f>
        <v>43951</v>
      </c>
      <c r="F2" s="448">
        <f>Expenses!C2</f>
        <v>43982</v>
      </c>
      <c r="G2" s="448">
        <f>Expenses!D2</f>
        <v>44012</v>
      </c>
      <c r="H2" s="448">
        <f>Expenses!E2</f>
        <v>44043</v>
      </c>
      <c r="I2" s="448">
        <f>Expenses!F2</f>
        <v>44074</v>
      </c>
      <c r="J2" s="448">
        <f>Expenses!G2</f>
        <v>44104</v>
      </c>
      <c r="K2" s="448">
        <f>Expenses!H2</f>
        <v>44135</v>
      </c>
      <c r="L2" s="448">
        <f>Expenses!I2</f>
        <v>44165</v>
      </c>
      <c r="M2" s="448">
        <f>Expenses!J2</f>
        <v>44196</v>
      </c>
      <c r="N2" s="448">
        <f>Expenses!K2</f>
        <v>44227</v>
      </c>
      <c r="O2" s="448">
        <f>Expenses!L2</f>
        <v>44255</v>
      </c>
      <c r="P2" s="448">
        <f>Expenses!M2</f>
        <v>44286</v>
      </c>
      <c r="Q2" s="448">
        <f>Expenses!N2</f>
        <v>44316</v>
      </c>
      <c r="R2" s="448">
        <f>Expenses!O2</f>
        <v>44347</v>
      </c>
      <c r="S2" s="448">
        <f>Expenses!P2</f>
        <v>44377</v>
      </c>
      <c r="T2" s="448">
        <f>Expenses!Q2</f>
        <v>44408</v>
      </c>
      <c r="U2" s="448">
        <f>Expenses!R2</f>
        <v>44439</v>
      </c>
      <c r="V2" s="448">
        <f>Expenses!S2</f>
        <v>44469</v>
      </c>
      <c r="W2" s="448">
        <f>Expenses!T2</f>
        <v>44500</v>
      </c>
      <c r="X2" s="448">
        <f>Expenses!U2</f>
        <v>44530</v>
      </c>
      <c r="Y2" s="448">
        <f>Expenses!V2</f>
        <v>44561</v>
      </c>
      <c r="Z2" s="448">
        <f>Expenses!W2</f>
        <v>44592</v>
      </c>
      <c r="AA2" s="448">
        <f>Expenses!X2</f>
        <v>44620</v>
      </c>
      <c r="AB2" s="448">
        <f>Expenses!Y2</f>
        <v>44651</v>
      </c>
      <c r="AC2" s="448">
        <f>Expenses!Z2</f>
        <v>44681</v>
      </c>
      <c r="AD2" s="448">
        <f>Expenses!AA2</f>
        <v>44712</v>
      </c>
      <c r="AE2" s="448">
        <f>Expenses!AB2</f>
        <v>44742</v>
      </c>
      <c r="AF2" s="448">
        <f>Expenses!AC2</f>
        <v>44773</v>
      </c>
      <c r="AG2" s="448">
        <f>Expenses!AD2</f>
        <v>44804</v>
      </c>
      <c r="AH2" s="448">
        <f>Expenses!AE2</f>
        <v>44834</v>
      </c>
      <c r="AI2" s="448">
        <f>Expenses!AF2</f>
        <v>44865</v>
      </c>
      <c r="AJ2" s="448">
        <f>Expenses!AG2</f>
        <v>44895</v>
      </c>
      <c r="AK2" s="448">
        <f>Expenses!AH2</f>
        <v>44926</v>
      </c>
      <c r="AL2" s="448">
        <f>Expenses!AI2</f>
        <v>44957</v>
      </c>
      <c r="AM2" s="448">
        <f>Expenses!AJ2</f>
        <v>44985</v>
      </c>
      <c r="AN2" s="448">
        <f>Expenses!AK2</f>
        <v>45016</v>
      </c>
      <c r="AO2" s="448">
        <f>Expenses!AL2</f>
        <v>45046</v>
      </c>
      <c r="AP2" s="448">
        <f>Expenses!AM2</f>
        <v>45077</v>
      </c>
      <c r="AQ2" s="448">
        <f>Expenses!AN2</f>
        <v>45107</v>
      </c>
      <c r="AR2" s="448">
        <f>Expenses!AO2</f>
        <v>45138</v>
      </c>
      <c r="AS2" s="448">
        <f>Expenses!AP2</f>
        <v>45169</v>
      </c>
      <c r="AT2" s="448">
        <f>Expenses!AQ2</f>
        <v>45199</v>
      </c>
      <c r="AU2" s="448">
        <f>Expenses!AR2</f>
        <v>45230</v>
      </c>
      <c r="AV2" s="448">
        <f>Expenses!AS2</f>
        <v>45260</v>
      </c>
      <c r="AW2" s="448">
        <f>Expenses!AT2</f>
        <v>45291</v>
      </c>
      <c r="AX2" s="448">
        <f>Expenses!AU2</f>
        <v>45322</v>
      </c>
      <c r="AY2" s="448">
        <f>Expenses!AV2</f>
        <v>45351</v>
      </c>
      <c r="AZ2" s="448">
        <f>Expenses!AW2</f>
        <v>45382</v>
      </c>
      <c r="BA2" s="448">
        <f>Expenses!AX2</f>
        <v>45412</v>
      </c>
      <c r="BB2" s="448">
        <f>Expenses!AY2</f>
        <v>45443</v>
      </c>
      <c r="BC2" s="448">
        <f>Expenses!AZ2</f>
        <v>45473</v>
      </c>
      <c r="BD2" s="448">
        <f>Expenses!BA2</f>
        <v>45504</v>
      </c>
      <c r="BE2" s="448">
        <f>Expenses!BB2</f>
        <v>45535</v>
      </c>
      <c r="BF2" s="448">
        <f>Expenses!BC2</f>
        <v>45565</v>
      </c>
      <c r="BG2" s="448">
        <f>Expenses!BD2</f>
        <v>45596</v>
      </c>
      <c r="BH2" s="448">
        <f>Expenses!BE2</f>
        <v>45626</v>
      </c>
      <c r="BI2" s="448">
        <f>Expenses!BF2</f>
        <v>45657</v>
      </c>
      <c r="BJ2" s="448">
        <f>Expenses!BG2</f>
        <v>45688</v>
      </c>
      <c r="BK2" s="448">
        <f>Expenses!BH2</f>
        <v>45716</v>
      </c>
      <c r="BL2" s="448">
        <f>Expenses!BI2</f>
        <v>45747</v>
      </c>
      <c r="BM2" s="448">
        <f>Expenses!BJ2</f>
        <v>45777</v>
      </c>
      <c r="BN2" s="448">
        <f>Expenses!BK2</f>
        <v>45808</v>
      </c>
      <c r="BO2" s="448">
        <f>Expenses!BL2</f>
        <v>45838</v>
      </c>
      <c r="BP2" s="448">
        <f>Expenses!BM2</f>
        <v>45869</v>
      </c>
      <c r="BQ2" s="448">
        <f>Expenses!BN2</f>
        <v>45900</v>
      </c>
      <c r="BR2" s="448">
        <f>Expenses!BO2</f>
        <v>45930</v>
      </c>
      <c r="BS2" s="448">
        <f>Expenses!BP2</f>
        <v>45961</v>
      </c>
      <c r="BT2" s="448">
        <f>Expenses!BQ2</f>
        <v>45991</v>
      </c>
      <c r="BU2" s="448">
        <f>Expenses!BR2</f>
        <v>46022</v>
      </c>
      <c r="BV2" s="448">
        <f>Expenses!BS2</f>
        <v>46053</v>
      </c>
      <c r="BW2" s="448">
        <f>Expenses!BT2</f>
        <v>46081</v>
      </c>
      <c r="BX2" s="448">
        <f>Expenses!BU2</f>
        <v>46112</v>
      </c>
      <c r="BY2" s="448">
        <f>Expenses!BV2</f>
        <v>46142</v>
      </c>
      <c r="BZ2" s="448">
        <f>Expenses!BW2</f>
        <v>46173</v>
      </c>
      <c r="CA2" s="448">
        <f>Expenses!BX2</f>
        <v>46203</v>
      </c>
      <c r="CB2" s="448">
        <f>Expenses!BY2</f>
        <v>46234</v>
      </c>
      <c r="CC2" s="448">
        <f>Expenses!BZ2</f>
        <v>46265</v>
      </c>
      <c r="CD2" s="448">
        <f>Expenses!CA2</f>
        <v>46295</v>
      </c>
      <c r="CE2" s="448">
        <f>Expenses!CB2</f>
        <v>46326</v>
      </c>
      <c r="CF2" s="448">
        <f>Expenses!CC2</f>
        <v>46356</v>
      </c>
      <c r="CG2" s="448">
        <f>Expenses!CD2</f>
        <v>46387</v>
      </c>
      <c r="CH2" s="448">
        <f>Expenses!CE2</f>
        <v>46418</v>
      </c>
      <c r="CI2" s="448">
        <f>Expenses!CF2</f>
        <v>46446</v>
      </c>
      <c r="CJ2" s="448">
        <f>Expenses!CG2</f>
        <v>46477</v>
      </c>
      <c r="CK2" s="448">
        <f>Expenses!CH2</f>
        <v>46507</v>
      </c>
      <c r="CL2" s="448">
        <f>Expenses!CI2</f>
        <v>46538</v>
      </c>
      <c r="CM2" s="448">
        <f>Expenses!CJ2</f>
        <v>46568</v>
      </c>
      <c r="CN2" s="448">
        <f>Expenses!CK2</f>
        <v>46599</v>
      </c>
      <c r="CO2" s="448">
        <f>Expenses!CL2</f>
        <v>46630</v>
      </c>
      <c r="CP2" s="448">
        <f>Expenses!CM2</f>
        <v>46660</v>
      </c>
      <c r="CQ2" s="448">
        <f>Expenses!CN2</f>
        <v>46691</v>
      </c>
      <c r="CR2" s="448">
        <f>Expenses!CO2</f>
        <v>46721</v>
      </c>
      <c r="CS2" s="448">
        <f>Expenses!CP2</f>
        <v>46752</v>
      </c>
      <c r="CT2" s="448">
        <f>Expenses!CQ2</f>
        <v>46783</v>
      </c>
      <c r="CU2" s="448">
        <f>Expenses!CR2</f>
        <v>46812</v>
      </c>
      <c r="CV2" s="448">
        <f>Expenses!CS2</f>
        <v>46843</v>
      </c>
      <c r="CW2" s="448">
        <f>Expenses!CT2</f>
        <v>46873</v>
      </c>
      <c r="CX2" s="448">
        <f>Expenses!CU2</f>
        <v>46904</v>
      </c>
      <c r="CY2" s="448">
        <f>Expenses!CV2</f>
        <v>46934</v>
      </c>
      <c r="CZ2" s="448">
        <f>Expenses!CW2</f>
        <v>46965</v>
      </c>
      <c r="DA2" s="448">
        <f>Expenses!CX2</f>
        <v>46996</v>
      </c>
      <c r="DB2" s="448">
        <f>Expenses!CY2</f>
        <v>47026</v>
      </c>
    </row>
    <row r="3" spans="1:106">
      <c r="A3" s="449" t="s">
        <v>555</v>
      </c>
      <c r="B3" s="450" t="s">
        <v>556</v>
      </c>
      <c r="C3" s="450" t="s">
        <v>557</v>
      </c>
      <c r="D3" s="450" t="s">
        <v>250</v>
      </c>
      <c r="E3" s="451">
        <v>0</v>
      </c>
      <c r="F3" s="451">
        <v>0</v>
      </c>
      <c r="G3" s="451">
        <v>0</v>
      </c>
      <c r="H3" s="451">
        <v>0</v>
      </c>
      <c r="I3" s="451">
        <v>0</v>
      </c>
      <c r="J3" s="451">
        <v>0</v>
      </c>
      <c r="K3" s="451">
        <v>0</v>
      </c>
      <c r="L3" s="451">
        <v>0</v>
      </c>
      <c r="M3" s="451">
        <v>1</v>
      </c>
      <c r="N3" s="451">
        <v>0</v>
      </c>
      <c r="O3" s="451">
        <v>0</v>
      </c>
      <c r="P3" s="451">
        <v>0</v>
      </c>
      <c r="Q3" s="451">
        <v>0</v>
      </c>
      <c r="R3" s="451">
        <v>0</v>
      </c>
      <c r="S3" s="451">
        <v>0</v>
      </c>
      <c r="T3" s="451">
        <v>0</v>
      </c>
      <c r="U3" s="451">
        <v>0</v>
      </c>
      <c r="V3" s="451">
        <v>0</v>
      </c>
      <c r="W3" s="451">
        <v>0</v>
      </c>
      <c r="X3" s="451">
        <v>0</v>
      </c>
      <c r="Y3" s="451">
        <v>1</v>
      </c>
      <c r="Z3" s="451">
        <v>0</v>
      </c>
      <c r="AA3" s="451">
        <v>0</v>
      </c>
      <c r="AB3" s="451">
        <v>0</v>
      </c>
      <c r="AC3" s="451">
        <v>0</v>
      </c>
      <c r="AD3" s="451">
        <v>0</v>
      </c>
      <c r="AE3" s="451">
        <v>0</v>
      </c>
      <c r="AF3" s="451">
        <v>0</v>
      </c>
      <c r="AG3" s="451">
        <v>0</v>
      </c>
      <c r="AH3" s="451">
        <v>0</v>
      </c>
      <c r="AI3" s="451">
        <v>0</v>
      </c>
      <c r="AJ3" s="451">
        <v>0</v>
      </c>
      <c r="AK3" s="451">
        <v>1</v>
      </c>
      <c r="AL3" s="451">
        <v>0</v>
      </c>
      <c r="AM3" s="451">
        <v>0</v>
      </c>
      <c r="AN3" s="451">
        <v>0</v>
      </c>
      <c r="AO3" s="451">
        <v>0</v>
      </c>
      <c r="AP3" s="451">
        <v>0</v>
      </c>
      <c r="AQ3" s="451">
        <v>0</v>
      </c>
      <c r="AR3" s="451">
        <v>0</v>
      </c>
      <c r="AS3" s="451">
        <v>0</v>
      </c>
      <c r="AT3" s="451">
        <v>0</v>
      </c>
      <c r="AU3" s="451">
        <v>0</v>
      </c>
      <c r="AV3" s="451">
        <v>0</v>
      </c>
      <c r="AW3" s="451">
        <v>1</v>
      </c>
      <c r="AX3" s="451">
        <v>0</v>
      </c>
      <c r="AY3" s="451">
        <v>0</v>
      </c>
      <c r="AZ3" s="451">
        <v>0</v>
      </c>
      <c r="BA3" s="451">
        <v>0</v>
      </c>
      <c r="BB3" s="451">
        <v>0</v>
      </c>
      <c r="BC3" s="451">
        <v>0</v>
      </c>
      <c r="BD3" s="451">
        <v>0</v>
      </c>
      <c r="BE3" s="451">
        <v>0</v>
      </c>
      <c r="BF3" s="451">
        <v>0</v>
      </c>
      <c r="BG3" s="451">
        <v>0</v>
      </c>
      <c r="BH3" s="451">
        <v>0</v>
      </c>
      <c r="BI3" s="451">
        <v>1</v>
      </c>
      <c r="BJ3" s="451">
        <v>0</v>
      </c>
      <c r="BK3" s="451">
        <v>0</v>
      </c>
      <c r="BL3" s="451">
        <v>0</v>
      </c>
      <c r="BM3" s="451">
        <v>0</v>
      </c>
      <c r="BN3" s="451">
        <v>0</v>
      </c>
      <c r="BO3" s="451">
        <v>0</v>
      </c>
      <c r="BP3" s="451">
        <v>0</v>
      </c>
      <c r="BQ3" s="451">
        <v>0</v>
      </c>
      <c r="BR3" s="451">
        <v>0</v>
      </c>
      <c r="BS3" s="451">
        <v>0</v>
      </c>
      <c r="BT3" s="451">
        <v>0</v>
      </c>
      <c r="BU3" s="451">
        <v>1</v>
      </c>
      <c r="BV3" s="451">
        <v>0</v>
      </c>
      <c r="BW3" s="451">
        <v>0</v>
      </c>
      <c r="BX3" s="451">
        <v>0</v>
      </c>
      <c r="BY3" s="451">
        <v>0</v>
      </c>
      <c r="BZ3" s="451">
        <v>0</v>
      </c>
      <c r="CA3" s="451">
        <v>0</v>
      </c>
      <c r="CB3" s="451">
        <v>0</v>
      </c>
      <c r="CC3" s="451">
        <v>0</v>
      </c>
      <c r="CD3" s="451">
        <v>0</v>
      </c>
      <c r="CE3" s="451">
        <v>0</v>
      </c>
      <c r="CF3" s="451">
        <v>0</v>
      </c>
      <c r="CG3" s="451">
        <v>1</v>
      </c>
      <c r="CH3" s="451">
        <v>0</v>
      </c>
      <c r="CI3" s="451">
        <v>0</v>
      </c>
      <c r="CJ3" s="451">
        <v>0</v>
      </c>
      <c r="CK3" s="451">
        <v>0</v>
      </c>
      <c r="CL3" s="451">
        <v>0</v>
      </c>
      <c r="CM3" s="451">
        <v>0</v>
      </c>
      <c r="CN3" s="451">
        <v>0</v>
      </c>
      <c r="CO3" s="451">
        <v>0</v>
      </c>
      <c r="CP3" s="451">
        <v>0</v>
      </c>
      <c r="CQ3" s="451">
        <v>0</v>
      </c>
      <c r="CR3" s="451">
        <v>0</v>
      </c>
      <c r="CS3" s="451">
        <v>1</v>
      </c>
      <c r="CT3" s="451">
        <v>0</v>
      </c>
      <c r="CU3" s="451">
        <v>0</v>
      </c>
      <c r="CV3" s="451">
        <v>0</v>
      </c>
      <c r="CW3" s="451">
        <v>0</v>
      </c>
      <c r="CX3" s="451">
        <v>0</v>
      </c>
      <c r="CY3" s="451">
        <v>0</v>
      </c>
      <c r="CZ3" s="451">
        <v>0</v>
      </c>
      <c r="DA3" s="451">
        <v>0</v>
      </c>
      <c r="DB3" s="451">
        <v>0</v>
      </c>
    </row>
    <row r="4" spans="1:106">
      <c r="A4" s="449" t="s">
        <v>558</v>
      </c>
      <c r="B4" s="450" t="s">
        <v>556</v>
      </c>
      <c r="C4" s="450" t="s">
        <v>559</v>
      </c>
      <c r="D4" s="450" t="s">
        <v>250</v>
      </c>
      <c r="E4" s="451">
        <v>1</v>
      </c>
      <c r="F4" s="451">
        <v>0</v>
      </c>
      <c r="G4" s="451">
        <v>0</v>
      </c>
      <c r="H4" s="451">
        <v>1</v>
      </c>
      <c r="I4" s="451">
        <v>0</v>
      </c>
      <c r="J4" s="451">
        <v>0</v>
      </c>
      <c r="K4" s="451">
        <v>1</v>
      </c>
      <c r="L4" s="451">
        <v>0</v>
      </c>
      <c r="M4" s="451">
        <v>0</v>
      </c>
      <c r="N4" s="451">
        <v>1</v>
      </c>
      <c r="O4" s="451">
        <v>0</v>
      </c>
      <c r="P4" s="451">
        <v>0</v>
      </c>
      <c r="Q4" s="451">
        <v>1</v>
      </c>
      <c r="R4" s="451">
        <v>0</v>
      </c>
      <c r="S4" s="451">
        <v>0</v>
      </c>
      <c r="T4" s="451">
        <v>1</v>
      </c>
      <c r="U4" s="451">
        <v>0</v>
      </c>
      <c r="V4" s="451">
        <v>0</v>
      </c>
      <c r="W4" s="451">
        <v>1</v>
      </c>
      <c r="X4" s="451">
        <v>0</v>
      </c>
      <c r="Y4" s="451">
        <v>0</v>
      </c>
      <c r="Z4" s="451">
        <v>1</v>
      </c>
      <c r="AA4" s="451">
        <v>0</v>
      </c>
      <c r="AB4" s="451">
        <v>0</v>
      </c>
      <c r="AC4" s="451">
        <v>1</v>
      </c>
      <c r="AD4" s="451">
        <v>0</v>
      </c>
      <c r="AE4" s="451">
        <v>0</v>
      </c>
      <c r="AF4" s="451">
        <v>1</v>
      </c>
      <c r="AG4" s="451">
        <v>0</v>
      </c>
      <c r="AH4" s="451">
        <v>0</v>
      </c>
      <c r="AI4" s="451">
        <v>1</v>
      </c>
      <c r="AJ4" s="451">
        <v>0</v>
      </c>
      <c r="AK4" s="451">
        <v>0</v>
      </c>
      <c r="AL4" s="451">
        <v>1</v>
      </c>
      <c r="AM4" s="451">
        <v>0</v>
      </c>
      <c r="AN4" s="451">
        <v>0</v>
      </c>
      <c r="AO4" s="451">
        <v>1</v>
      </c>
      <c r="AP4" s="451">
        <v>0</v>
      </c>
      <c r="AQ4" s="451">
        <v>0</v>
      </c>
      <c r="AR4" s="451">
        <v>1</v>
      </c>
      <c r="AS4" s="451">
        <v>0</v>
      </c>
      <c r="AT4" s="451">
        <v>0</v>
      </c>
      <c r="AU4" s="451">
        <v>1</v>
      </c>
      <c r="AV4" s="451">
        <v>0</v>
      </c>
      <c r="AW4" s="451">
        <v>0</v>
      </c>
      <c r="AX4" s="451">
        <v>1</v>
      </c>
      <c r="AY4" s="451">
        <v>0</v>
      </c>
      <c r="AZ4" s="451">
        <v>0</v>
      </c>
      <c r="BA4" s="451">
        <v>1</v>
      </c>
      <c r="BB4" s="451">
        <v>0</v>
      </c>
      <c r="BC4" s="451">
        <v>0</v>
      </c>
      <c r="BD4" s="451">
        <v>1</v>
      </c>
      <c r="BE4" s="451">
        <v>0</v>
      </c>
      <c r="BF4" s="451">
        <v>0</v>
      </c>
      <c r="BG4" s="451">
        <v>1</v>
      </c>
      <c r="BH4" s="451">
        <v>0</v>
      </c>
      <c r="BI4" s="451">
        <v>0</v>
      </c>
      <c r="BJ4" s="451">
        <v>1</v>
      </c>
      <c r="BK4" s="451">
        <v>0</v>
      </c>
      <c r="BL4" s="451">
        <v>0</v>
      </c>
      <c r="BM4" s="451">
        <v>1</v>
      </c>
      <c r="BN4" s="451">
        <v>0</v>
      </c>
      <c r="BO4" s="451">
        <v>0</v>
      </c>
      <c r="BP4" s="451">
        <v>1</v>
      </c>
      <c r="BQ4" s="451">
        <v>0</v>
      </c>
      <c r="BR4" s="451">
        <v>0</v>
      </c>
      <c r="BS4" s="451">
        <v>1</v>
      </c>
      <c r="BT4" s="451">
        <v>0</v>
      </c>
      <c r="BU4" s="451">
        <v>0</v>
      </c>
      <c r="BV4" s="451">
        <v>1</v>
      </c>
      <c r="BW4" s="451">
        <v>0</v>
      </c>
      <c r="BX4" s="451">
        <v>0</v>
      </c>
      <c r="BY4" s="451">
        <v>1</v>
      </c>
      <c r="BZ4" s="451">
        <v>0</v>
      </c>
      <c r="CA4" s="451">
        <v>0</v>
      </c>
      <c r="CB4" s="451">
        <v>1</v>
      </c>
      <c r="CC4" s="451">
        <v>0</v>
      </c>
      <c r="CD4" s="451">
        <v>0</v>
      </c>
      <c r="CE4" s="451">
        <v>1</v>
      </c>
      <c r="CF4" s="451">
        <v>0</v>
      </c>
      <c r="CG4" s="451">
        <v>0</v>
      </c>
      <c r="CH4" s="451">
        <v>1</v>
      </c>
      <c r="CI4" s="451">
        <v>0</v>
      </c>
      <c r="CJ4" s="451">
        <v>0</v>
      </c>
      <c r="CK4" s="451">
        <v>1</v>
      </c>
      <c r="CL4" s="451">
        <v>0</v>
      </c>
      <c r="CM4" s="451">
        <v>0</v>
      </c>
      <c r="CN4" s="451">
        <v>1</v>
      </c>
      <c r="CO4" s="451">
        <v>0</v>
      </c>
      <c r="CP4" s="451">
        <v>0</v>
      </c>
      <c r="CQ4" s="451">
        <v>1</v>
      </c>
      <c r="CR4" s="451">
        <v>0</v>
      </c>
      <c r="CS4" s="451">
        <v>0</v>
      </c>
      <c r="CT4" s="451">
        <v>1</v>
      </c>
      <c r="CU4" s="451">
        <v>0</v>
      </c>
      <c r="CV4" s="451">
        <v>0</v>
      </c>
      <c r="CW4" s="451">
        <v>1</v>
      </c>
      <c r="CX4" s="451">
        <v>0</v>
      </c>
      <c r="CY4" s="451">
        <v>0</v>
      </c>
      <c r="CZ4" s="451">
        <v>1</v>
      </c>
      <c r="DA4" s="451">
        <v>0</v>
      </c>
      <c r="DB4" s="451">
        <v>0</v>
      </c>
    </row>
    <row r="5" spans="1:106">
      <c r="A5" s="449" t="s">
        <v>560</v>
      </c>
      <c r="B5" s="450" t="s">
        <v>556</v>
      </c>
      <c r="C5" s="450" t="s">
        <v>559</v>
      </c>
      <c r="D5" s="450" t="s">
        <v>250</v>
      </c>
      <c r="E5" s="451">
        <v>1</v>
      </c>
      <c r="F5" s="451">
        <v>1</v>
      </c>
      <c r="G5" s="451">
        <v>1</v>
      </c>
      <c r="H5" s="451">
        <v>1</v>
      </c>
      <c r="I5" s="451">
        <v>1</v>
      </c>
      <c r="J5" s="451">
        <v>1</v>
      </c>
      <c r="K5" s="451">
        <v>1</v>
      </c>
      <c r="L5" s="451">
        <v>1</v>
      </c>
      <c r="M5" s="451">
        <v>1</v>
      </c>
      <c r="N5" s="451">
        <v>1</v>
      </c>
      <c r="O5" s="451">
        <v>1</v>
      </c>
      <c r="P5" s="451">
        <v>1</v>
      </c>
      <c r="Q5" s="451">
        <v>1</v>
      </c>
      <c r="R5" s="451">
        <v>1</v>
      </c>
      <c r="S5" s="451">
        <v>1</v>
      </c>
      <c r="T5" s="451">
        <v>1</v>
      </c>
      <c r="U5" s="451">
        <v>1</v>
      </c>
      <c r="V5" s="451">
        <v>1</v>
      </c>
      <c r="W5" s="451">
        <v>1</v>
      </c>
      <c r="X5" s="451">
        <v>1</v>
      </c>
      <c r="Y5" s="451">
        <v>1</v>
      </c>
      <c r="Z5" s="451">
        <v>1</v>
      </c>
      <c r="AA5" s="451">
        <v>1</v>
      </c>
      <c r="AB5" s="451">
        <v>1</v>
      </c>
      <c r="AC5" s="451">
        <v>1</v>
      </c>
      <c r="AD5" s="451">
        <v>1</v>
      </c>
      <c r="AE5" s="451">
        <v>1</v>
      </c>
      <c r="AF5" s="451">
        <v>1</v>
      </c>
      <c r="AG5" s="451">
        <v>1</v>
      </c>
      <c r="AH5" s="451">
        <v>1</v>
      </c>
      <c r="AI5" s="451">
        <v>1</v>
      </c>
      <c r="AJ5" s="451">
        <v>1</v>
      </c>
      <c r="AK5" s="451">
        <v>1</v>
      </c>
      <c r="AL5" s="451">
        <v>1</v>
      </c>
      <c r="AM5" s="451">
        <v>1</v>
      </c>
      <c r="AN5" s="451">
        <v>1</v>
      </c>
      <c r="AO5" s="451">
        <v>1</v>
      </c>
      <c r="AP5" s="451">
        <v>1</v>
      </c>
      <c r="AQ5" s="451">
        <v>1</v>
      </c>
      <c r="AR5" s="451">
        <v>1</v>
      </c>
      <c r="AS5" s="451">
        <v>1</v>
      </c>
      <c r="AT5" s="451">
        <v>1</v>
      </c>
      <c r="AU5" s="451">
        <v>1</v>
      </c>
      <c r="AV5" s="451">
        <v>1</v>
      </c>
      <c r="AW5" s="451">
        <v>1</v>
      </c>
      <c r="AX5" s="451">
        <v>1</v>
      </c>
      <c r="AY5" s="451">
        <v>1</v>
      </c>
      <c r="AZ5" s="451">
        <v>1</v>
      </c>
      <c r="BA5" s="451">
        <v>1</v>
      </c>
      <c r="BB5" s="451">
        <v>1</v>
      </c>
      <c r="BC5" s="451">
        <v>1</v>
      </c>
      <c r="BD5" s="451">
        <v>1</v>
      </c>
      <c r="BE5" s="451">
        <v>1</v>
      </c>
      <c r="BF5" s="451">
        <v>1</v>
      </c>
      <c r="BG5" s="451">
        <v>1</v>
      </c>
      <c r="BH5" s="451">
        <v>1</v>
      </c>
      <c r="BI5" s="451">
        <v>1</v>
      </c>
      <c r="BJ5" s="451">
        <v>1</v>
      </c>
      <c r="BK5" s="451">
        <v>1</v>
      </c>
      <c r="BL5" s="451">
        <v>1</v>
      </c>
      <c r="BM5" s="451">
        <v>1</v>
      </c>
      <c r="BN5" s="451">
        <v>1</v>
      </c>
      <c r="BO5" s="451">
        <v>1</v>
      </c>
      <c r="BP5" s="451">
        <v>1</v>
      </c>
      <c r="BQ5" s="451">
        <v>1</v>
      </c>
      <c r="BR5" s="451">
        <v>1</v>
      </c>
      <c r="BS5" s="451">
        <v>1</v>
      </c>
      <c r="BT5" s="451">
        <v>1</v>
      </c>
      <c r="BU5" s="451">
        <v>1</v>
      </c>
      <c r="BV5" s="451">
        <v>1</v>
      </c>
      <c r="BW5" s="451">
        <v>1</v>
      </c>
      <c r="BX5" s="451">
        <v>1</v>
      </c>
      <c r="BY5" s="451">
        <v>1</v>
      </c>
      <c r="BZ5" s="451">
        <v>1</v>
      </c>
      <c r="CA5" s="451">
        <v>1</v>
      </c>
      <c r="CB5" s="451">
        <v>1</v>
      </c>
      <c r="CC5" s="451">
        <v>1</v>
      </c>
      <c r="CD5" s="451">
        <v>1</v>
      </c>
      <c r="CE5" s="451">
        <v>1</v>
      </c>
      <c r="CF5" s="451">
        <v>1</v>
      </c>
      <c r="CG5" s="451">
        <v>1</v>
      </c>
      <c r="CH5" s="451">
        <v>1</v>
      </c>
      <c r="CI5" s="451">
        <v>1</v>
      </c>
      <c r="CJ5" s="451">
        <v>1</v>
      </c>
      <c r="CK5" s="451">
        <v>1</v>
      </c>
      <c r="CL5" s="451">
        <v>1</v>
      </c>
      <c r="CM5" s="451">
        <v>1</v>
      </c>
      <c r="CN5" s="451">
        <v>1</v>
      </c>
      <c r="CO5" s="451">
        <v>1</v>
      </c>
      <c r="CP5" s="451">
        <v>1</v>
      </c>
      <c r="CQ5" s="451">
        <v>1</v>
      </c>
      <c r="CR5" s="451">
        <v>1</v>
      </c>
      <c r="CS5" s="451">
        <v>1</v>
      </c>
      <c r="CT5" s="451">
        <v>1</v>
      </c>
      <c r="CU5" s="451">
        <v>1</v>
      </c>
      <c r="CV5" s="451">
        <v>1</v>
      </c>
      <c r="CW5" s="451">
        <v>1</v>
      </c>
      <c r="CX5" s="451">
        <v>1</v>
      </c>
      <c r="CY5" s="451">
        <v>1</v>
      </c>
      <c r="CZ5" s="451">
        <v>1</v>
      </c>
      <c r="DA5" s="451">
        <v>1</v>
      </c>
      <c r="DB5" s="451">
        <v>1</v>
      </c>
    </row>
    <row r="6" spans="1:106">
      <c r="A6" s="449" t="s">
        <v>561</v>
      </c>
      <c r="B6" s="450" t="s">
        <v>556</v>
      </c>
      <c r="C6" s="450" t="s">
        <v>562</v>
      </c>
      <c r="D6" s="450" t="s">
        <v>250</v>
      </c>
      <c r="E6" s="451">
        <v>1</v>
      </c>
      <c r="F6" s="451">
        <v>1</v>
      </c>
      <c r="G6" s="451">
        <v>1</v>
      </c>
      <c r="H6" s="451">
        <v>1</v>
      </c>
      <c r="I6" s="451">
        <v>1</v>
      </c>
      <c r="J6" s="451">
        <v>1</v>
      </c>
      <c r="K6" s="451">
        <v>1</v>
      </c>
      <c r="L6" s="451">
        <v>1</v>
      </c>
      <c r="M6" s="451">
        <v>1</v>
      </c>
      <c r="N6" s="451">
        <v>1</v>
      </c>
      <c r="O6" s="451">
        <v>1</v>
      </c>
      <c r="P6" s="451">
        <v>1</v>
      </c>
      <c r="Q6" s="451">
        <v>1</v>
      </c>
      <c r="R6" s="451">
        <v>1</v>
      </c>
      <c r="S6" s="451">
        <v>1</v>
      </c>
      <c r="T6" s="451">
        <v>1</v>
      </c>
      <c r="U6" s="451">
        <v>1</v>
      </c>
      <c r="V6" s="451">
        <v>1</v>
      </c>
      <c r="W6" s="451">
        <v>1</v>
      </c>
      <c r="X6" s="451">
        <v>1</v>
      </c>
      <c r="Y6" s="451">
        <v>1</v>
      </c>
      <c r="Z6" s="451">
        <v>1</v>
      </c>
      <c r="AA6" s="451">
        <v>1</v>
      </c>
      <c r="AB6" s="451">
        <v>1</v>
      </c>
      <c r="AC6" s="451">
        <v>1</v>
      </c>
      <c r="AD6" s="451">
        <v>1</v>
      </c>
      <c r="AE6" s="451">
        <v>1</v>
      </c>
      <c r="AF6" s="451">
        <v>1</v>
      </c>
      <c r="AG6" s="451">
        <v>1</v>
      </c>
      <c r="AH6" s="451">
        <v>1</v>
      </c>
      <c r="AI6" s="451">
        <v>1</v>
      </c>
      <c r="AJ6" s="451">
        <v>1</v>
      </c>
      <c r="AK6" s="451">
        <v>1</v>
      </c>
      <c r="AL6" s="451">
        <v>1</v>
      </c>
      <c r="AM6" s="451">
        <v>1</v>
      </c>
      <c r="AN6" s="451">
        <v>1</v>
      </c>
      <c r="AO6" s="451">
        <v>1</v>
      </c>
      <c r="AP6" s="451">
        <v>1</v>
      </c>
      <c r="AQ6" s="451">
        <v>1</v>
      </c>
      <c r="AR6" s="451">
        <v>1</v>
      </c>
      <c r="AS6" s="451">
        <v>1</v>
      </c>
      <c r="AT6" s="451">
        <v>1</v>
      </c>
      <c r="AU6" s="451">
        <v>1</v>
      </c>
      <c r="AV6" s="451">
        <v>1</v>
      </c>
      <c r="AW6" s="451">
        <v>1</v>
      </c>
      <c r="AX6" s="451">
        <v>1</v>
      </c>
      <c r="AY6" s="451">
        <v>1</v>
      </c>
      <c r="AZ6" s="451">
        <v>1</v>
      </c>
      <c r="BA6" s="451">
        <v>1</v>
      </c>
      <c r="BB6" s="451">
        <v>1</v>
      </c>
      <c r="BC6" s="451">
        <v>1</v>
      </c>
      <c r="BD6" s="451">
        <v>1</v>
      </c>
      <c r="BE6" s="451">
        <v>1</v>
      </c>
      <c r="BF6" s="451">
        <v>1</v>
      </c>
      <c r="BG6" s="451">
        <v>1</v>
      </c>
      <c r="BH6" s="451">
        <v>1</v>
      </c>
      <c r="BI6" s="451">
        <v>1</v>
      </c>
      <c r="BJ6" s="451">
        <v>1</v>
      </c>
      <c r="BK6" s="451">
        <v>1</v>
      </c>
      <c r="BL6" s="451">
        <v>1</v>
      </c>
      <c r="BM6" s="451">
        <v>1</v>
      </c>
      <c r="BN6" s="451">
        <v>1</v>
      </c>
      <c r="BO6" s="451">
        <v>1</v>
      </c>
      <c r="BP6" s="451">
        <v>1</v>
      </c>
      <c r="BQ6" s="451">
        <v>1</v>
      </c>
      <c r="BR6" s="451">
        <v>1</v>
      </c>
      <c r="BS6" s="451">
        <v>1</v>
      </c>
      <c r="BT6" s="451">
        <v>1</v>
      </c>
      <c r="BU6" s="451">
        <v>1</v>
      </c>
      <c r="BV6" s="451">
        <v>1</v>
      </c>
      <c r="BW6" s="451">
        <v>1</v>
      </c>
      <c r="BX6" s="451">
        <v>1</v>
      </c>
      <c r="BY6" s="451">
        <v>1</v>
      </c>
      <c r="BZ6" s="451">
        <v>1</v>
      </c>
      <c r="CA6" s="451">
        <v>1</v>
      </c>
      <c r="CB6" s="451">
        <v>1</v>
      </c>
      <c r="CC6" s="451">
        <v>1</v>
      </c>
      <c r="CD6" s="451">
        <v>1</v>
      </c>
      <c r="CE6" s="451">
        <v>1</v>
      </c>
      <c r="CF6" s="451">
        <v>1</v>
      </c>
      <c r="CG6" s="451">
        <v>1</v>
      </c>
      <c r="CH6" s="451">
        <v>1</v>
      </c>
      <c r="CI6" s="451">
        <v>1</v>
      </c>
      <c r="CJ6" s="451">
        <v>1</v>
      </c>
      <c r="CK6" s="451">
        <v>1</v>
      </c>
      <c r="CL6" s="451">
        <v>1</v>
      </c>
      <c r="CM6" s="451">
        <v>1</v>
      </c>
      <c r="CN6" s="451">
        <v>1</v>
      </c>
      <c r="CO6" s="451">
        <v>1</v>
      </c>
      <c r="CP6" s="451">
        <v>1</v>
      </c>
      <c r="CQ6" s="451">
        <v>1</v>
      </c>
      <c r="CR6" s="451">
        <v>1</v>
      </c>
      <c r="CS6" s="451">
        <v>1</v>
      </c>
      <c r="CT6" s="451">
        <v>1</v>
      </c>
      <c r="CU6" s="451">
        <v>1</v>
      </c>
      <c r="CV6" s="451">
        <v>1</v>
      </c>
      <c r="CW6" s="451">
        <v>1</v>
      </c>
      <c r="CX6" s="451">
        <v>1</v>
      </c>
      <c r="CY6" s="451">
        <v>1</v>
      </c>
      <c r="CZ6" s="451">
        <v>1</v>
      </c>
      <c r="DA6" s="451">
        <v>1</v>
      </c>
      <c r="DB6" s="451">
        <v>1</v>
      </c>
    </row>
    <row r="7" spans="1:106">
      <c r="A7" s="449" t="s">
        <v>563</v>
      </c>
      <c r="B7" s="450" t="s">
        <v>556</v>
      </c>
      <c r="C7" s="450" t="s">
        <v>562</v>
      </c>
      <c r="D7" s="450" t="s">
        <v>250</v>
      </c>
      <c r="E7" s="451">
        <v>1</v>
      </c>
      <c r="F7" s="451">
        <v>0</v>
      </c>
      <c r="G7" s="451">
        <v>0</v>
      </c>
      <c r="H7" s="451">
        <v>0</v>
      </c>
      <c r="I7" s="451">
        <v>0</v>
      </c>
      <c r="J7" s="451">
        <v>0</v>
      </c>
      <c r="K7" s="451">
        <v>0</v>
      </c>
      <c r="L7" s="451">
        <v>0</v>
      </c>
      <c r="M7" s="451">
        <v>0</v>
      </c>
      <c r="N7" s="451">
        <v>0</v>
      </c>
      <c r="O7" s="451">
        <v>0</v>
      </c>
      <c r="P7" s="451">
        <v>0</v>
      </c>
      <c r="Q7" s="451">
        <v>1</v>
      </c>
      <c r="R7" s="451">
        <v>0</v>
      </c>
      <c r="S7" s="451">
        <v>0</v>
      </c>
      <c r="T7" s="451">
        <v>0</v>
      </c>
      <c r="U7" s="451">
        <v>0</v>
      </c>
      <c r="V7" s="451">
        <v>0</v>
      </c>
      <c r="W7" s="451">
        <v>0</v>
      </c>
      <c r="X7" s="451">
        <v>0</v>
      </c>
      <c r="Y7" s="451">
        <v>0</v>
      </c>
      <c r="Z7" s="451">
        <v>0</v>
      </c>
      <c r="AA7" s="451">
        <v>0</v>
      </c>
      <c r="AB7" s="451">
        <v>0</v>
      </c>
      <c r="AC7" s="451">
        <v>1</v>
      </c>
      <c r="AD7" s="451">
        <v>0</v>
      </c>
      <c r="AE7" s="451">
        <v>0</v>
      </c>
      <c r="AF7" s="451">
        <v>0</v>
      </c>
      <c r="AG7" s="451">
        <v>0</v>
      </c>
      <c r="AH7" s="451">
        <v>0</v>
      </c>
      <c r="AI7" s="451">
        <v>0</v>
      </c>
      <c r="AJ7" s="451">
        <v>0</v>
      </c>
      <c r="AK7" s="451">
        <v>0</v>
      </c>
      <c r="AL7" s="451">
        <v>0</v>
      </c>
      <c r="AM7" s="451">
        <v>0</v>
      </c>
      <c r="AN7" s="451">
        <v>0</v>
      </c>
      <c r="AO7" s="451">
        <v>1</v>
      </c>
      <c r="AP7" s="451">
        <v>0</v>
      </c>
      <c r="AQ7" s="451">
        <v>0</v>
      </c>
      <c r="AR7" s="451">
        <v>0</v>
      </c>
      <c r="AS7" s="451">
        <v>0</v>
      </c>
      <c r="AT7" s="451">
        <v>0</v>
      </c>
      <c r="AU7" s="451">
        <v>0</v>
      </c>
      <c r="AV7" s="451">
        <v>0</v>
      </c>
      <c r="AW7" s="451">
        <v>0</v>
      </c>
      <c r="AX7" s="451">
        <v>0</v>
      </c>
      <c r="AY7" s="451">
        <v>0</v>
      </c>
      <c r="AZ7" s="451">
        <v>0</v>
      </c>
      <c r="BA7" s="451">
        <v>1</v>
      </c>
      <c r="BB7" s="451">
        <v>0</v>
      </c>
      <c r="BC7" s="451">
        <v>0</v>
      </c>
      <c r="BD7" s="451">
        <v>0</v>
      </c>
      <c r="BE7" s="451">
        <v>0</v>
      </c>
      <c r="BF7" s="451">
        <v>0</v>
      </c>
      <c r="BG7" s="451">
        <v>0</v>
      </c>
      <c r="BH7" s="451">
        <v>0</v>
      </c>
      <c r="BI7" s="451">
        <v>0</v>
      </c>
      <c r="BJ7" s="451">
        <v>0</v>
      </c>
      <c r="BK7" s="451">
        <v>0</v>
      </c>
      <c r="BL7" s="451">
        <v>0</v>
      </c>
      <c r="BM7" s="451">
        <v>1</v>
      </c>
      <c r="BN7" s="451">
        <v>0</v>
      </c>
      <c r="BO7" s="451">
        <v>0</v>
      </c>
      <c r="BP7" s="451">
        <v>0</v>
      </c>
      <c r="BQ7" s="451">
        <v>0</v>
      </c>
      <c r="BR7" s="451">
        <v>0</v>
      </c>
      <c r="BS7" s="451">
        <v>0</v>
      </c>
      <c r="BT7" s="451">
        <v>0</v>
      </c>
      <c r="BU7" s="451">
        <v>0</v>
      </c>
      <c r="BV7" s="451">
        <v>0</v>
      </c>
      <c r="BW7" s="451">
        <v>0</v>
      </c>
      <c r="BX7" s="451">
        <v>0</v>
      </c>
      <c r="BY7" s="451">
        <v>1</v>
      </c>
      <c r="BZ7" s="451">
        <v>0</v>
      </c>
      <c r="CA7" s="451">
        <v>0</v>
      </c>
      <c r="CB7" s="451">
        <v>0</v>
      </c>
      <c r="CC7" s="451">
        <v>0</v>
      </c>
      <c r="CD7" s="451">
        <v>0</v>
      </c>
      <c r="CE7" s="451">
        <v>0</v>
      </c>
      <c r="CF7" s="451">
        <v>0</v>
      </c>
      <c r="CG7" s="451">
        <v>0</v>
      </c>
      <c r="CH7" s="451">
        <v>0</v>
      </c>
      <c r="CI7" s="451">
        <v>0</v>
      </c>
      <c r="CJ7" s="451">
        <v>0</v>
      </c>
      <c r="CK7" s="451">
        <v>1</v>
      </c>
      <c r="CL7" s="451">
        <v>0</v>
      </c>
      <c r="CM7" s="451">
        <v>0</v>
      </c>
      <c r="CN7" s="451">
        <v>0</v>
      </c>
      <c r="CO7" s="451">
        <v>0</v>
      </c>
      <c r="CP7" s="451">
        <v>0</v>
      </c>
      <c r="CQ7" s="451">
        <v>0</v>
      </c>
      <c r="CR7" s="451">
        <v>0</v>
      </c>
      <c r="CS7" s="451">
        <v>0</v>
      </c>
      <c r="CT7" s="451">
        <v>0</v>
      </c>
      <c r="CU7" s="451">
        <v>0</v>
      </c>
      <c r="CV7" s="451">
        <v>0</v>
      </c>
      <c r="CW7" s="451">
        <v>1</v>
      </c>
      <c r="CX7" s="451">
        <v>0</v>
      </c>
      <c r="CY7" s="451">
        <v>0</v>
      </c>
      <c r="CZ7" s="451">
        <v>0</v>
      </c>
      <c r="DA7" s="451">
        <v>0</v>
      </c>
      <c r="DB7" s="451">
        <v>0</v>
      </c>
    </row>
    <row r="8" spans="1:106">
      <c r="A8" s="449" t="s">
        <v>564</v>
      </c>
      <c r="B8" s="450" t="s">
        <v>556</v>
      </c>
      <c r="C8" s="450" t="s">
        <v>565</v>
      </c>
      <c r="D8" s="450" t="s">
        <v>250</v>
      </c>
      <c r="E8" s="451">
        <v>130</v>
      </c>
      <c r="F8" s="451">
        <v>130</v>
      </c>
      <c r="G8" s="451">
        <v>130</v>
      </c>
      <c r="H8" s="451">
        <v>130</v>
      </c>
      <c r="I8" s="451">
        <v>130</v>
      </c>
      <c r="J8" s="451">
        <v>130</v>
      </c>
      <c r="K8" s="451">
        <v>130</v>
      </c>
      <c r="L8" s="451">
        <v>130</v>
      </c>
      <c r="M8" s="451">
        <v>130</v>
      </c>
      <c r="N8" s="451">
        <v>130</v>
      </c>
      <c r="O8" s="451">
        <v>130</v>
      </c>
      <c r="P8" s="451">
        <v>130</v>
      </c>
      <c r="Q8" s="451">
        <v>130</v>
      </c>
      <c r="R8" s="451">
        <v>130</v>
      </c>
      <c r="S8" s="451">
        <v>130</v>
      </c>
      <c r="T8" s="451">
        <v>130</v>
      </c>
      <c r="U8" s="451">
        <v>130</v>
      </c>
      <c r="V8" s="451">
        <v>130</v>
      </c>
      <c r="W8" s="451">
        <v>130</v>
      </c>
      <c r="X8" s="451">
        <v>130</v>
      </c>
      <c r="Y8" s="451">
        <v>130</v>
      </c>
      <c r="Z8" s="451">
        <v>130</v>
      </c>
      <c r="AA8" s="451">
        <v>130</v>
      </c>
      <c r="AB8" s="451">
        <v>130</v>
      </c>
      <c r="AC8" s="451">
        <v>130</v>
      </c>
      <c r="AD8" s="451">
        <v>130</v>
      </c>
      <c r="AE8" s="451">
        <v>130</v>
      </c>
      <c r="AF8" s="451">
        <v>130</v>
      </c>
      <c r="AG8" s="451">
        <v>130</v>
      </c>
      <c r="AH8" s="451">
        <v>130</v>
      </c>
      <c r="AI8" s="451">
        <v>130</v>
      </c>
      <c r="AJ8" s="451">
        <v>130</v>
      </c>
      <c r="AK8" s="451">
        <v>130</v>
      </c>
      <c r="AL8" s="451">
        <v>130</v>
      </c>
      <c r="AM8" s="451">
        <v>130</v>
      </c>
      <c r="AN8" s="451">
        <v>130</v>
      </c>
      <c r="AO8" s="451">
        <v>130</v>
      </c>
      <c r="AP8" s="451">
        <v>130</v>
      </c>
      <c r="AQ8" s="451">
        <v>130</v>
      </c>
      <c r="AR8" s="451">
        <v>130</v>
      </c>
      <c r="AS8" s="451">
        <v>130</v>
      </c>
      <c r="AT8" s="451">
        <v>130</v>
      </c>
      <c r="AU8" s="451">
        <v>130</v>
      </c>
      <c r="AV8" s="451">
        <v>130</v>
      </c>
      <c r="AW8" s="451">
        <v>130</v>
      </c>
      <c r="AX8" s="451">
        <v>130</v>
      </c>
      <c r="AY8" s="451">
        <v>130</v>
      </c>
      <c r="AZ8" s="451">
        <v>130</v>
      </c>
      <c r="BA8" s="451">
        <v>130</v>
      </c>
      <c r="BB8" s="451">
        <v>130</v>
      </c>
      <c r="BC8" s="451">
        <v>130</v>
      </c>
      <c r="BD8" s="451">
        <v>130</v>
      </c>
      <c r="BE8" s="451">
        <v>130</v>
      </c>
      <c r="BF8" s="451">
        <v>130</v>
      </c>
      <c r="BG8" s="451">
        <v>130</v>
      </c>
      <c r="BH8" s="451">
        <v>130</v>
      </c>
      <c r="BI8" s="451">
        <v>130</v>
      </c>
      <c r="BJ8" s="451">
        <v>130</v>
      </c>
      <c r="BK8" s="451">
        <v>130</v>
      </c>
      <c r="BL8" s="451">
        <v>130</v>
      </c>
      <c r="BM8" s="451">
        <v>130</v>
      </c>
      <c r="BN8" s="451">
        <v>130</v>
      </c>
      <c r="BO8" s="451">
        <v>130</v>
      </c>
      <c r="BP8" s="451">
        <v>130</v>
      </c>
      <c r="BQ8" s="451">
        <v>130</v>
      </c>
      <c r="BR8" s="451">
        <v>130</v>
      </c>
      <c r="BS8" s="451">
        <v>130</v>
      </c>
      <c r="BT8" s="451">
        <v>130</v>
      </c>
      <c r="BU8" s="451">
        <v>130</v>
      </c>
      <c r="BV8" s="451">
        <v>130</v>
      </c>
      <c r="BW8" s="451">
        <v>130</v>
      </c>
      <c r="BX8" s="451">
        <v>130</v>
      </c>
      <c r="BY8" s="451">
        <v>130</v>
      </c>
      <c r="BZ8" s="451">
        <v>130</v>
      </c>
      <c r="CA8" s="451">
        <v>130</v>
      </c>
      <c r="CB8" s="451">
        <v>130</v>
      </c>
      <c r="CC8" s="451">
        <v>130</v>
      </c>
      <c r="CD8" s="451">
        <v>130</v>
      </c>
      <c r="CE8" s="451">
        <v>130</v>
      </c>
      <c r="CF8" s="451">
        <v>130</v>
      </c>
      <c r="CG8" s="451">
        <v>130</v>
      </c>
      <c r="CH8" s="451">
        <v>130</v>
      </c>
      <c r="CI8" s="451">
        <v>130</v>
      </c>
      <c r="CJ8" s="451">
        <v>130</v>
      </c>
      <c r="CK8" s="451">
        <v>130</v>
      </c>
      <c r="CL8" s="451">
        <v>130</v>
      </c>
      <c r="CM8" s="451">
        <v>130</v>
      </c>
      <c r="CN8" s="451">
        <v>130</v>
      </c>
      <c r="CO8" s="451">
        <v>130</v>
      </c>
      <c r="CP8" s="451">
        <v>130</v>
      </c>
      <c r="CQ8" s="451">
        <v>130</v>
      </c>
      <c r="CR8" s="451">
        <v>130</v>
      </c>
      <c r="CS8" s="451">
        <v>130</v>
      </c>
      <c r="CT8" s="451">
        <v>130</v>
      </c>
      <c r="CU8" s="451">
        <v>130</v>
      </c>
      <c r="CV8" s="451">
        <v>130</v>
      </c>
      <c r="CW8" s="451">
        <v>130</v>
      </c>
      <c r="CX8" s="451">
        <v>130</v>
      </c>
      <c r="CY8" s="451">
        <v>130</v>
      </c>
      <c r="CZ8" s="451">
        <v>130</v>
      </c>
      <c r="DA8" s="451">
        <v>130</v>
      </c>
      <c r="DB8" s="451">
        <v>130</v>
      </c>
    </row>
    <row r="9" spans="1:106">
      <c r="A9" s="449" t="s">
        <v>566</v>
      </c>
      <c r="B9" s="450" t="s">
        <v>556</v>
      </c>
      <c r="C9" s="450" t="s">
        <v>567</v>
      </c>
      <c r="D9" s="450" t="s">
        <v>250</v>
      </c>
      <c r="E9" s="451">
        <v>42</v>
      </c>
      <c r="F9" s="451">
        <v>42</v>
      </c>
      <c r="G9" s="451">
        <v>42</v>
      </c>
      <c r="H9" s="451">
        <v>42</v>
      </c>
      <c r="I9" s="451">
        <v>42</v>
      </c>
      <c r="J9" s="451">
        <v>42</v>
      </c>
      <c r="K9" s="451">
        <v>42</v>
      </c>
      <c r="L9" s="451">
        <v>42</v>
      </c>
      <c r="M9" s="451">
        <v>42</v>
      </c>
      <c r="N9" s="451">
        <v>42</v>
      </c>
      <c r="O9" s="451">
        <v>42</v>
      </c>
      <c r="P9" s="451">
        <v>42</v>
      </c>
      <c r="Q9" s="451">
        <v>42</v>
      </c>
      <c r="R9" s="451">
        <v>42</v>
      </c>
      <c r="S9" s="451">
        <v>42</v>
      </c>
      <c r="T9" s="451">
        <v>42</v>
      </c>
      <c r="U9" s="451">
        <v>42</v>
      </c>
      <c r="V9" s="451">
        <v>42</v>
      </c>
      <c r="W9" s="451">
        <v>42</v>
      </c>
      <c r="X9" s="451">
        <v>42</v>
      </c>
      <c r="Y9" s="451">
        <v>42</v>
      </c>
      <c r="Z9" s="451">
        <v>42</v>
      </c>
      <c r="AA9" s="451">
        <v>42</v>
      </c>
      <c r="AB9" s="451">
        <v>42</v>
      </c>
      <c r="AC9" s="451">
        <v>42</v>
      </c>
      <c r="AD9" s="451">
        <v>42</v>
      </c>
      <c r="AE9" s="451">
        <v>42</v>
      </c>
      <c r="AF9" s="451">
        <v>42</v>
      </c>
      <c r="AG9" s="451">
        <v>42</v>
      </c>
      <c r="AH9" s="451">
        <v>42</v>
      </c>
      <c r="AI9" s="451">
        <v>42</v>
      </c>
      <c r="AJ9" s="451">
        <v>42</v>
      </c>
      <c r="AK9" s="451">
        <v>42</v>
      </c>
      <c r="AL9" s="451">
        <v>42</v>
      </c>
      <c r="AM9" s="451">
        <v>42</v>
      </c>
      <c r="AN9" s="451">
        <v>42</v>
      </c>
      <c r="AO9" s="451">
        <v>42</v>
      </c>
      <c r="AP9" s="451">
        <v>42</v>
      </c>
      <c r="AQ9" s="451">
        <v>42</v>
      </c>
      <c r="AR9" s="451">
        <v>42</v>
      </c>
      <c r="AS9" s="451">
        <v>42</v>
      </c>
      <c r="AT9" s="451">
        <v>42</v>
      </c>
      <c r="AU9" s="451">
        <v>42</v>
      </c>
      <c r="AV9" s="451">
        <v>42</v>
      </c>
      <c r="AW9" s="451">
        <v>42</v>
      </c>
      <c r="AX9" s="451">
        <v>42</v>
      </c>
      <c r="AY9" s="451">
        <v>42</v>
      </c>
      <c r="AZ9" s="451">
        <v>42</v>
      </c>
      <c r="BA9" s="451">
        <v>42</v>
      </c>
      <c r="BB9" s="451">
        <v>42</v>
      </c>
      <c r="BC9" s="451">
        <v>42</v>
      </c>
      <c r="BD9" s="451">
        <v>42</v>
      </c>
      <c r="BE9" s="451">
        <v>42</v>
      </c>
      <c r="BF9" s="451">
        <v>42</v>
      </c>
      <c r="BG9" s="451">
        <v>42</v>
      </c>
      <c r="BH9" s="451">
        <v>42</v>
      </c>
      <c r="BI9" s="451">
        <v>42</v>
      </c>
      <c r="BJ9" s="451">
        <v>42</v>
      </c>
      <c r="BK9" s="451">
        <v>42</v>
      </c>
      <c r="BL9" s="451">
        <v>42</v>
      </c>
      <c r="BM9" s="451">
        <v>42</v>
      </c>
      <c r="BN9" s="451">
        <v>42</v>
      </c>
      <c r="BO9" s="451">
        <v>42</v>
      </c>
      <c r="BP9" s="451">
        <v>42</v>
      </c>
      <c r="BQ9" s="451">
        <v>42</v>
      </c>
      <c r="BR9" s="451">
        <v>42</v>
      </c>
      <c r="BS9" s="451">
        <v>42</v>
      </c>
      <c r="BT9" s="451">
        <v>42</v>
      </c>
      <c r="BU9" s="451">
        <v>42</v>
      </c>
      <c r="BV9" s="451">
        <v>42</v>
      </c>
      <c r="BW9" s="451">
        <v>42</v>
      </c>
      <c r="BX9" s="451">
        <v>42</v>
      </c>
      <c r="BY9" s="451">
        <v>42</v>
      </c>
      <c r="BZ9" s="451">
        <v>42</v>
      </c>
      <c r="CA9" s="451">
        <v>42</v>
      </c>
      <c r="CB9" s="451">
        <v>42</v>
      </c>
      <c r="CC9" s="451">
        <v>42</v>
      </c>
      <c r="CD9" s="451">
        <v>42</v>
      </c>
      <c r="CE9" s="451">
        <v>42</v>
      </c>
      <c r="CF9" s="451">
        <v>42</v>
      </c>
      <c r="CG9" s="451">
        <v>42</v>
      </c>
      <c r="CH9" s="451">
        <v>42</v>
      </c>
      <c r="CI9" s="451">
        <v>42</v>
      </c>
      <c r="CJ9" s="451">
        <v>42</v>
      </c>
      <c r="CK9" s="451">
        <v>42</v>
      </c>
      <c r="CL9" s="451">
        <v>42</v>
      </c>
      <c r="CM9" s="451">
        <v>42</v>
      </c>
      <c r="CN9" s="451">
        <v>42</v>
      </c>
      <c r="CO9" s="451">
        <v>42</v>
      </c>
      <c r="CP9" s="451">
        <v>42</v>
      </c>
      <c r="CQ9" s="451">
        <v>42</v>
      </c>
      <c r="CR9" s="451">
        <v>42</v>
      </c>
      <c r="CS9" s="451">
        <v>42</v>
      </c>
      <c r="CT9" s="451">
        <v>42</v>
      </c>
      <c r="CU9" s="451">
        <v>42</v>
      </c>
      <c r="CV9" s="451">
        <v>42</v>
      </c>
      <c r="CW9" s="451">
        <v>42</v>
      </c>
      <c r="CX9" s="451">
        <v>42</v>
      </c>
      <c r="CY9" s="451">
        <v>42</v>
      </c>
      <c r="CZ9" s="451">
        <v>42</v>
      </c>
      <c r="DA9" s="451">
        <v>42</v>
      </c>
      <c r="DB9" s="451">
        <v>42</v>
      </c>
    </row>
    <row r="10" spans="1:106">
      <c r="A10" s="449" t="s">
        <v>568</v>
      </c>
      <c r="B10" s="450" t="s">
        <v>556</v>
      </c>
      <c r="C10" s="450" t="s">
        <v>557</v>
      </c>
      <c r="D10" s="450" t="s">
        <v>250</v>
      </c>
      <c r="E10" s="451">
        <v>0</v>
      </c>
      <c r="F10" s="451">
        <v>0</v>
      </c>
      <c r="G10" s="451">
        <v>0</v>
      </c>
      <c r="H10" s="451">
        <v>0</v>
      </c>
      <c r="I10" s="451">
        <v>0</v>
      </c>
      <c r="J10" s="451">
        <v>1</v>
      </c>
      <c r="K10" s="451">
        <v>0</v>
      </c>
      <c r="L10" s="451">
        <v>0</v>
      </c>
      <c r="M10" s="451">
        <v>0</v>
      </c>
      <c r="N10" s="451">
        <v>0</v>
      </c>
      <c r="O10" s="451">
        <v>0</v>
      </c>
      <c r="P10" s="451">
        <v>0</v>
      </c>
      <c r="Q10" s="451">
        <v>0</v>
      </c>
      <c r="R10" s="451">
        <v>0</v>
      </c>
      <c r="S10" s="451">
        <v>0</v>
      </c>
      <c r="T10" s="451">
        <v>0</v>
      </c>
      <c r="U10" s="451">
        <v>0</v>
      </c>
      <c r="V10" s="451">
        <v>1</v>
      </c>
      <c r="W10" s="451">
        <v>0</v>
      </c>
      <c r="X10" s="451">
        <v>0</v>
      </c>
      <c r="Y10" s="451">
        <v>0</v>
      </c>
      <c r="Z10" s="451">
        <v>0</v>
      </c>
      <c r="AA10" s="451">
        <v>0</v>
      </c>
      <c r="AB10" s="451">
        <v>0</v>
      </c>
      <c r="AC10" s="451">
        <v>0</v>
      </c>
      <c r="AD10" s="451">
        <v>0</v>
      </c>
      <c r="AE10" s="451">
        <v>0</v>
      </c>
      <c r="AF10" s="451">
        <v>0</v>
      </c>
      <c r="AG10" s="451">
        <v>0</v>
      </c>
      <c r="AH10" s="451">
        <v>1</v>
      </c>
      <c r="AI10" s="451">
        <v>0</v>
      </c>
      <c r="AJ10" s="451">
        <v>0</v>
      </c>
      <c r="AK10" s="451">
        <v>0</v>
      </c>
      <c r="AL10" s="451">
        <v>0</v>
      </c>
      <c r="AM10" s="451">
        <v>0</v>
      </c>
      <c r="AN10" s="451">
        <v>0</v>
      </c>
      <c r="AO10" s="451">
        <v>0</v>
      </c>
      <c r="AP10" s="451">
        <v>0</v>
      </c>
      <c r="AQ10" s="451">
        <v>0</v>
      </c>
      <c r="AR10" s="451">
        <v>0</v>
      </c>
      <c r="AS10" s="451">
        <v>0</v>
      </c>
      <c r="AT10" s="451">
        <v>1</v>
      </c>
      <c r="AU10" s="451">
        <v>0</v>
      </c>
      <c r="AV10" s="451">
        <v>0</v>
      </c>
      <c r="AW10" s="451">
        <v>0</v>
      </c>
      <c r="AX10" s="451">
        <v>0</v>
      </c>
      <c r="AY10" s="451">
        <v>0</v>
      </c>
      <c r="AZ10" s="451">
        <v>0</v>
      </c>
      <c r="BA10" s="451">
        <v>0</v>
      </c>
      <c r="BB10" s="451">
        <v>0</v>
      </c>
      <c r="BC10" s="451">
        <v>0</v>
      </c>
      <c r="BD10" s="451">
        <v>0</v>
      </c>
      <c r="BE10" s="451">
        <v>0</v>
      </c>
      <c r="BF10" s="451">
        <v>1</v>
      </c>
      <c r="BG10" s="451">
        <v>0</v>
      </c>
      <c r="BH10" s="451">
        <v>0</v>
      </c>
      <c r="BI10" s="451">
        <v>0</v>
      </c>
      <c r="BJ10" s="451">
        <v>0</v>
      </c>
      <c r="BK10" s="451">
        <v>0</v>
      </c>
      <c r="BL10" s="451">
        <v>0</v>
      </c>
      <c r="BM10" s="451">
        <v>0</v>
      </c>
      <c r="BN10" s="451">
        <v>0</v>
      </c>
      <c r="BO10" s="451">
        <v>0</v>
      </c>
      <c r="BP10" s="451">
        <v>0</v>
      </c>
      <c r="BQ10" s="451">
        <v>0</v>
      </c>
      <c r="BR10" s="451">
        <v>1</v>
      </c>
      <c r="BS10" s="451">
        <v>0</v>
      </c>
      <c r="BT10" s="451">
        <v>0</v>
      </c>
      <c r="BU10" s="451">
        <v>0</v>
      </c>
      <c r="BV10" s="451">
        <v>0</v>
      </c>
      <c r="BW10" s="451">
        <v>0</v>
      </c>
      <c r="BX10" s="451">
        <v>0</v>
      </c>
      <c r="BY10" s="451">
        <v>0</v>
      </c>
      <c r="BZ10" s="451">
        <v>0</v>
      </c>
      <c r="CA10" s="451">
        <v>0</v>
      </c>
      <c r="CB10" s="451">
        <v>0</v>
      </c>
      <c r="CC10" s="451">
        <v>0</v>
      </c>
      <c r="CD10" s="451">
        <v>1</v>
      </c>
      <c r="CE10" s="451">
        <v>0</v>
      </c>
      <c r="CF10" s="451">
        <v>0</v>
      </c>
      <c r="CG10" s="451">
        <v>0</v>
      </c>
      <c r="CH10" s="451">
        <v>0</v>
      </c>
      <c r="CI10" s="451">
        <v>0</v>
      </c>
      <c r="CJ10" s="451">
        <v>0</v>
      </c>
      <c r="CK10" s="451">
        <v>0</v>
      </c>
      <c r="CL10" s="451">
        <v>0</v>
      </c>
      <c r="CM10" s="451">
        <v>0</v>
      </c>
      <c r="CN10" s="451">
        <v>0</v>
      </c>
      <c r="CO10" s="451">
        <v>0</v>
      </c>
      <c r="CP10" s="451">
        <v>1</v>
      </c>
      <c r="CQ10" s="451">
        <v>0</v>
      </c>
      <c r="CR10" s="451">
        <v>0</v>
      </c>
      <c r="CS10" s="451">
        <v>0</v>
      </c>
      <c r="CT10" s="451">
        <v>0</v>
      </c>
      <c r="CU10" s="451">
        <v>0</v>
      </c>
      <c r="CV10" s="451">
        <v>0</v>
      </c>
      <c r="CW10" s="451">
        <v>0</v>
      </c>
      <c r="CX10" s="451">
        <v>0</v>
      </c>
      <c r="CY10" s="451">
        <v>0</v>
      </c>
      <c r="CZ10" s="451">
        <v>0</v>
      </c>
      <c r="DA10" s="451">
        <v>0</v>
      </c>
      <c r="DB10" s="451">
        <v>1</v>
      </c>
    </row>
    <row r="11" spans="1:106">
      <c r="A11" s="449" t="s">
        <v>569</v>
      </c>
      <c r="B11" s="450" t="s">
        <v>556</v>
      </c>
      <c r="C11" s="450" t="s">
        <v>557</v>
      </c>
      <c r="D11" s="450" t="s">
        <v>250</v>
      </c>
      <c r="E11" s="451">
        <v>0</v>
      </c>
      <c r="F11" s="451">
        <v>0</v>
      </c>
      <c r="G11" s="451">
        <v>0</v>
      </c>
      <c r="H11" s="451">
        <v>0</v>
      </c>
      <c r="I11" s="451">
        <v>0</v>
      </c>
      <c r="J11" s="451">
        <v>1</v>
      </c>
      <c r="K11" s="451">
        <v>0</v>
      </c>
      <c r="L11" s="451">
        <v>0</v>
      </c>
      <c r="M11" s="451">
        <v>0</v>
      </c>
      <c r="N11" s="451">
        <v>0</v>
      </c>
      <c r="O11" s="451">
        <v>0</v>
      </c>
      <c r="P11" s="451">
        <v>0</v>
      </c>
      <c r="Q11" s="451">
        <v>0</v>
      </c>
      <c r="R11" s="451">
        <v>0</v>
      </c>
      <c r="S11" s="451">
        <v>0</v>
      </c>
      <c r="T11" s="451">
        <v>0</v>
      </c>
      <c r="U11" s="451">
        <v>0</v>
      </c>
      <c r="V11" s="451">
        <v>1</v>
      </c>
      <c r="W11" s="451">
        <v>0</v>
      </c>
      <c r="X11" s="451">
        <v>0</v>
      </c>
      <c r="Y11" s="451">
        <v>0</v>
      </c>
      <c r="Z11" s="451">
        <v>0</v>
      </c>
      <c r="AA11" s="451">
        <v>0</v>
      </c>
      <c r="AB11" s="451">
        <v>0</v>
      </c>
      <c r="AC11" s="451">
        <v>0</v>
      </c>
      <c r="AD11" s="451">
        <v>0</v>
      </c>
      <c r="AE11" s="451">
        <v>0</v>
      </c>
      <c r="AF11" s="451">
        <v>0</v>
      </c>
      <c r="AG11" s="451">
        <v>0</v>
      </c>
      <c r="AH11" s="451">
        <v>1</v>
      </c>
      <c r="AI11" s="451">
        <v>0</v>
      </c>
      <c r="AJ11" s="451">
        <v>0</v>
      </c>
      <c r="AK11" s="451">
        <v>0</v>
      </c>
      <c r="AL11" s="451">
        <v>0</v>
      </c>
      <c r="AM11" s="451">
        <v>0</v>
      </c>
      <c r="AN11" s="451">
        <v>0</v>
      </c>
      <c r="AO11" s="451">
        <v>0</v>
      </c>
      <c r="AP11" s="451">
        <v>0</v>
      </c>
      <c r="AQ11" s="451">
        <v>0</v>
      </c>
      <c r="AR11" s="451">
        <v>0</v>
      </c>
      <c r="AS11" s="451">
        <v>0</v>
      </c>
      <c r="AT11" s="451">
        <v>1</v>
      </c>
      <c r="AU11" s="451">
        <v>0</v>
      </c>
      <c r="AV11" s="451">
        <v>0</v>
      </c>
      <c r="AW11" s="451">
        <v>0</v>
      </c>
      <c r="AX11" s="451">
        <v>0</v>
      </c>
      <c r="AY11" s="451">
        <v>0</v>
      </c>
      <c r="AZ11" s="451">
        <v>0</v>
      </c>
      <c r="BA11" s="451">
        <v>0</v>
      </c>
      <c r="BB11" s="451">
        <v>0</v>
      </c>
      <c r="BC11" s="451">
        <v>0</v>
      </c>
      <c r="BD11" s="451">
        <v>0</v>
      </c>
      <c r="BE11" s="451">
        <v>0</v>
      </c>
      <c r="BF11" s="451">
        <v>1</v>
      </c>
      <c r="BG11" s="451">
        <v>0</v>
      </c>
      <c r="BH11" s="451">
        <v>0</v>
      </c>
      <c r="BI11" s="451">
        <v>0</v>
      </c>
      <c r="BJ11" s="451">
        <v>0</v>
      </c>
      <c r="BK11" s="451">
        <v>0</v>
      </c>
      <c r="BL11" s="451">
        <v>0</v>
      </c>
      <c r="BM11" s="451">
        <v>0</v>
      </c>
      <c r="BN11" s="451">
        <v>0</v>
      </c>
      <c r="BO11" s="451">
        <v>0</v>
      </c>
      <c r="BP11" s="451">
        <v>0</v>
      </c>
      <c r="BQ11" s="451">
        <v>0</v>
      </c>
      <c r="BR11" s="451">
        <v>1</v>
      </c>
      <c r="BS11" s="451">
        <v>0</v>
      </c>
      <c r="BT11" s="451">
        <v>0</v>
      </c>
      <c r="BU11" s="451">
        <v>0</v>
      </c>
      <c r="BV11" s="451">
        <v>0</v>
      </c>
      <c r="BW11" s="451">
        <v>0</v>
      </c>
      <c r="BX11" s="451">
        <v>0</v>
      </c>
      <c r="BY11" s="451">
        <v>0</v>
      </c>
      <c r="BZ11" s="451">
        <v>0</v>
      </c>
      <c r="CA11" s="451">
        <v>0</v>
      </c>
      <c r="CB11" s="451">
        <v>0</v>
      </c>
      <c r="CC11" s="451">
        <v>0</v>
      </c>
      <c r="CD11" s="451">
        <v>1</v>
      </c>
      <c r="CE11" s="451">
        <v>0</v>
      </c>
      <c r="CF11" s="451">
        <v>0</v>
      </c>
      <c r="CG11" s="451">
        <v>0</v>
      </c>
      <c r="CH11" s="451">
        <v>0</v>
      </c>
      <c r="CI11" s="451">
        <v>0</v>
      </c>
      <c r="CJ11" s="451">
        <v>0</v>
      </c>
      <c r="CK11" s="451">
        <v>0</v>
      </c>
      <c r="CL11" s="451">
        <v>0</v>
      </c>
      <c r="CM11" s="451">
        <v>0</v>
      </c>
      <c r="CN11" s="451">
        <v>0</v>
      </c>
      <c r="CO11" s="451">
        <v>0</v>
      </c>
      <c r="CP11" s="451">
        <v>1</v>
      </c>
      <c r="CQ11" s="451">
        <v>0</v>
      </c>
      <c r="CR11" s="451">
        <v>0</v>
      </c>
      <c r="CS11" s="451">
        <v>0</v>
      </c>
      <c r="CT11" s="451">
        <v>0</v>
      </c>
      <c r="CU11" s="451">
        <v>0</v>
      </c>
      <c r="CV11" s="451">
        <v>0</v>
      </c>
      <c r="CW11" s="451">
        <v>0</v>
      </c>
      <c r="CX11" s="451">
        <v>0</v>
      </c>
      <c r="CY11" s="451">
        <v>0</v>
      </c>
      <c r="CZ11" s="451">
        <v>0</v>
      </c>
      <c r="DA11" s="451">
        <v>0</v>
      </c>
      <c r="DB11" s="451">
        <v>1</v>
      </c>
    </row>
    <row r="12" spans="1:106">
      <c r="A12" s="449" t="s">
        <v>570</v>
      </c>
      <c r="B12" s="450" t="s">
        <v>556</v>
      </c>
      <c r="C12" s="450" t="s">
        <v>557</v>
      </c>
      <c r="D12" s="450" t="s">
        <v>250</v>
      </c>
      <c r="E12" s="451">
        <v>130</v>
      </c>
      <c r="F12" s="451">
        <v>130</v>
      </c>
      <c r="G12" s="451">
        <v>130</v>
      </c>
      <c r="H12" s="451">
        <v>130</v>
      </c>
      <c r="I12" s="451">
        <v>130</v>
      </c>
      <c r="J12" s="451">
        <v>130</v>
      </c>
      <c r="K12" s="451">
        <v>130</v>
      </c>
      <c r="L12" s="451">
        <v>130</v>
      </c>
      <c r="M12" s="451">
        <v>130</v>
      </c>
      <c r="N12" s="451">
        <v>130</v>
      </c>
      <c r="O12" s="451">
        <v>130</v>
      </c>
      <c r="P12" s="451">
        <v>130</v>
      </c>
      <c r="Q12" s="451">
        <v>130</v>
      </c>
      <c r="R12" s="451">
        <v>130</v>
      </c>
      <c r="S12" s="451">
        <v>130</v>
      </c>
      <c r="T12" s="451">
        <v>130</v>
      </c>
      <c r="U12" s="451">
        <v>130</v>
      </c>
      <c r="V12" s="451">
        <v>130</v>
      </c>
      <c r="W12" s="451">
        <v>130</v>
      </c>
      <c r="X12" s="451">
        <v>130</v>
      </c>
      <c r="Y12" s="451">
        <v>130</v>
      </c>
      <c r="Z12" s="451">
        <v>130</v>
      </c>
      <c r="AA12" s="451">
        <v>130</v>
      </c>
      <c r="AB12" s="451">
        <v>130</v>
      </c>
      <c r="AC12" s="451">
        <v>130</v>
      </c>
      <c r="AD12" s="451">
        <v>130</v>
      </c>
      <c r="AE12" s="451">
        <v>130</v>
      </c>
      <c r="AF12" s="451">
        <v>130</v>
      </c>
      <c r="AG12" s="451">
        <v>130</v>
      </c>
      <c r="AH12" s="451">
        <v>130</v>
      </c>
      <c r="AI12" s="451">
        <v>130</v>
      </c>
      <c r="AJ12" s="451">
        <v>130</v>
      </c>
      <c r="AK12" s="451">
        <v>130</v>
      </c>
      <c r="AL12" s="451">
        <v>130</v>
      </c>
      <c r="AM12" s="451">
        <v>130</v>
      </c>
      <c r="AN12" s="451">
        <v>130</v>
      </c>
      <c r="AO12" s="451">
        <v>130</v>
      </c>
      <c r="AP12" s="451">
        <v>130</v>
      </c>
      <c r="AQ12" s="451">
        <v>130</v>
      </c>
      <c r="AR12" s="451">
        <v>130</v>
      </c>
      <c r="AS12" s="451">
        <v>130</v>
      </c>
      <c r="AT12" s="451">
        <v>130</v>
      </c>
      <c r="AU12" s="451">
        <v>130</v>
      </c>
      <c r="AV12" s="451">
        <v>130</v>
      </c>
      <c r="AW12" s="451">
        <v>130</v>
      </c>
      <c r="AX12" s="451">
        <v>130</v>
      </c>
      <c r="AY12" s="451">
        <v>130</v>
      </c>
      <c r="AZ12" s="451">
        <v>130</v>
      </c>
      <c r="BA12" s="451">
        <v>130</v>
      </c>
      <c r="BB12" s="451">
        <v>130</v>
      </c>
      <c r="BC12" s="451">
        <v>130</v>
      </c>
      <c r="BD12" s="451">
        <v>130</v>
      </c>
      <c r="BE12" s="451">
        <v>130</v>
      </c>
      <c r="BF12" s="451">
        <v>130</v>
      </c>
      <c r="BG12" s="451">
        <v>130</v>
      </c>
      <c r="BH12" s="451">
        <v>130</v>
      </c>
      <c r="BI12" s="451">
        <v>130</v>
      </c>
      <c r="BJ12" s="451">
        <v>130</v>
      </c>
      <c r="BK12" s="451">
        <v>130</v>
      </c>
      <c r="BL12" s="451">
        <v>130</v>
      </c>
      <c r="BM12" s="451">
        <v>130</v>
      </c>
      <c r="BN12" s="451">
        <v>130</v>
      </c>
      <c r="BO12" s="451">
        <v>130</v>
      </c>
      <c r="BP12" s="451">
        <v>130</v>
      </c>
      <c r="BQ12" s="451">
        <v>130</v>
      </c>
      <c r="BR12" s="451">
        <v>130</v>
      </c>
      <c r="BS12" s="451">
        <v>130</v>
      </c>
      <c r="BT12" s="451">
        <v>130</v>
      </c>
      <c r="BU12" s="451">
        <v>130</v>
      </c>
      <c r="BV12" s="451">
        <v>130</v>
      </c>
      <c r="BW12" s="451">
        <v>130</v>
      </c>
      <c r="BX12" s="451">
        <v>130</v>
      </c>
      <c r="BY12" s="451">
        <v>130</v>
      </c>
      <c r="BZ12" s="451">
        <v>130</v>
      </c>
      <c r="CA12" s="451">
        <v>130</v>
      </c>
      <c r="CB12" s="451">
        <v>130</v>
      </c>
      <c r="CC12" s="451">
        <v>130</v>
      </c>
      <c r="CD12" s="451">
        <v>130</v>
      </c>
      <c r="CE12" s="451">
        <v>130</v>
      </c>
      <c r="CF12" s="451">
        <v>130</v>
      </c>
      <c r="CG12" s="451">
        <v>130</v>
      </c>
      <c r="CH12" s="451">
        <v>130</v>
      </c>
      <c r="CI12" s="451">
        <v>130</v>
      </c>
      <c r="CJ12" s="451">
        <v>130</v>
      </c>
      <c r="CK12" s="451">
        <v>130</v>
      </c>
      <c r="CL12" s="451">
        <v>130</v>
      </c>
      <c r="CM12" s="451">
        <v>130</v>
      </c>
      <c r="CN12" s="451">
        <v>130</v>
      </c>
      <c r="CO12" s="451">
        <v>130</v>
      </c>
      <c r="CP12" s="451">
        <v>130</v>
      </c>
      <c r="CQ12" s="451">
        <v>130</v>
      </c>
      <c r="CR12" s="451">
        <v>130</v>
      </c>
      <c r="CS12" s="451">
        <v>130</v>
      </c>
      <c r="CT12" s="451">
        <v>130</v>
      </c>
      <c r="CU12" s="451">
        <v>130</v>
      </c>
      <c r="CV12" s="451">
        <v>130</v>
      </c>
      <c r="CW12" s="451">
        <v>130</v>
      </c>
      <c r="CX12" s="451">
        <v>130</v>
      </c>
      <c r="CY12" s="451">
        <v>130</v>
      </c>
      <c r="CZ12" s="451">
        <v>130</v>
      </c>
      <c r="DA12" s="451">
        <v>130</v>
      </c>
      <c r="DB12" s="451">
        <v>130</v>
      </c>
    </row>
    <row r="13" spans="1:106">
      <c r="A13" s="449" t="s">
        <v>571</v>
      </c>
      <c r="B13" s="450" t="s">
        <v>556</v>
      </c>
      <c r="C13" s="450" t="s">
        <v>572</v>
      </c>
      <c r="D13" s="450" t="s">
        <v>250</v>
      </c>
      <c r="E13" s="451">
        <v>180</v>
      </c>
      <c r="F13" s="451">
        <v>180</v>
      </c>
      <c r="G13" s="451">
        <v>180</v>
      </c>
      <c r="H13" s="451">
        <v>180</v>
      </c>
      <c r="I13" s="451">
        <v>180</v>
      </c>
      <c r="J13" s="451">
        <v>180</v>
      </c>
      <c r="K13" s="451">
        <v>180</v>
      </c>
      <c r="L13" s="451">
        <v>180</v>
      </c>
      <c r="M13" s="451">
        <v>180</v>
      </c>
      <c r="N13" s="451">
        <v>180</v>
      </c>
      <c r="O13" s="451">
        <v>180</v>
      </c>
      <c r="P13" s="451">
        <v>180</v>
      </c>
      <c r="Q13" s="451">
        <v>130</v>
      </c>
      <c r="R13" s="451">
        <v>130</v>
      </c>
      <c r="S13" s="451">
        <v>130</v>
      </c>
      <c r="T13" s="451">
        <v>130</v>
      </c>
      <c r="U13" s="451">
        <v>130</v>
      </c>
      <c r="V13" s="451">
        <v>130</v>
      </c>
      <c r="W13" s="451">
        <v>130</v>
      </c>
      <c r="X13" s="451">
        <v>130</v>
      </c>
      <c r="Y13" s="451">
        <v>130</v>
      </c>
      <c r="Z13" s="451">
        <v>130</v>
      </c>
      <c r="AA13" s="451">
        <v>130</v>
      </c>
      <c r="AB13" s="451">
        <v>130</v>
      </c>
      <c r="AC13" s="451">
        <v>130</v>
      </c>
      <c r="AD13" s="451">
        <v>130</v>
      </c>
      <c r="AE13" s="451">
        <v>130</v>
      </c>
      <c r="AF13" s="451">
        <v>130</v>
      </c>
      <c r="AG13" s="451">
        <v>130</v>
      </c>
      <c r="AH13" s="451">
        <v>130</v>
      </c>
      <c r="AI13" s="451">
        <v>130</v>
      </c>
      <c r="AJ13" s="451">
        <v>130</v>
      </c>
      <c r="AK13" s="451">
        <v>130</v>
      </c>
      <c r="AL13" s="451">
        <v>130</v>
      </c>
      <c r="AM13" s="451">
        <v>130</v>
      </c>
      <c r="AN13" s="451">
        <v>130</v>
      </c>
      <c r="AO13" s="451">
        <v>130</v>
      </c>
      <c r="AP13" s="451">
        <v>130</v>
      </c>
      <c r="AQ13" s="451">
        <v>130</v>
      </c>
      <c r="AR13" s="451">
        <v>130</v>
      </c>
      <c r="AS13" s="451">
        <v>130</v>
      </c>
      <c r="AT13" s="451">
        <v>130</v>
      </c>
      <c r="AU13" s="451">
        <v>130</v>
      </c>
      <c r="AV13" s="451">
        <v>130</v>
      </c>
      <c r="AW13" s="451">
        <v>130</v>
      </c>
      <c r="AX13" s="451">
        <v>130</v>
      </c>
      <c r="AY13" s="451">
        <v>130</v>
      </c>
      <c r="AZ13" s="451">
        <v>130</v>
      </c>
      <c r="BA13" s="451">
        <v>130</v>
      </c>
      <c r="BB13" s="451">
        <v>130</v>
      </c>
      <c r="BC13" s="451">
        <v>130</v>
      </c>
      <c r="BD13" s="451">
        <v>130</v>
      </c>
      <c r="BE13" s="451">
        <v>130</v>
      </c>
      <c r="BF13" s="451">
        <v>130</v>
      </c>
      <c r="BG13" s="451">
        <v>130</v>
      </c>
      <c r="BH13" s="451">
        <v>130</v>
      </c>
      <c r="BI13" s="451">
        <v>130</v>
      </c>
      <c r="BJ13" s="451">
        <v>130</v>
      </c>
      <c r="BK13" s="451">
        <v>130</v>
      </c>
      <c r="BL13" s="451">
        <v>130</v>
      </c>
      <c r="BM13" s="451">
        <v>130</v>
      </c>
      <c r="BN13" s="451">
        <v>130</v>
      </c>
      <c r="BO13" s="451">
        <v>130</v>
      </c>
      <c r="BP13" s="451">
        <v>130</v>
      </c>
      <c r="BQ13" s="451">
        <v>130</v>
      </c>
      <c r="BR13" s="451">
        <v>130</v>
      </c>
      <c r="BS13" s="451">
        <v>130</v>
      </c>
      <c r="BT13" s="451">
        <v>130</v>
      </c>
      <c r="BU13" s="451">
        <v>130</v>
      </c>
      <c r="BV13" s="451">
        <v>130</v>
      </c>
      <c r="BW13" s="451">
        <v>130</v>
      </c>
      <c r="BX13" s="451">
        <v>130</v>
      </c>
      <c r="BY13" s="451">
        <v>130</v>
      </c>
      <c r="BZ13" s="451">
        <v>130</v>
      </c>
      <c r="CA13" s="451">
        <v>130</v>
      </c>
      <c r="CB13" s="451">
        <v>130</v>
      </c>
      <c r="CC13" s="451">
        <v>130</v>
      </c>
      <c r="CD13" s="451">
        <v>130</v>
      </c>
      <c r="CE13" s="451">
        <v>130</v>
      </c>
      <c r="CF13" s="451">
        <v>130</v>
      </c>
      <c r="CG13" s="451">
        <v>130</v>
      </c>
      <c r="CH13" s="451">
        <v>130</v>
      </c>
      <c r="CI13" s="451">
        <v>130</v>
      </c>
      <c r="CJ13" s="451">
        <v>130</v>
      </c>
      <c r="CK13" s="451">
        <v>130</v>
      </c>
      <c r="CL13" s="451">
        <v>130</v>
      </c>
      <c r="CM13" s="451">
        <v>130</v>
      </c>
      <c r="CN13" s="451">
        <v>130</v>
      </c>
      <c r="CO13" s="451">
        <v>130</v>
      </c>
      <c r="CP13" s="451">
        <v>130</v>
      </c>
      <c r="CQ13" s="451">
        <v>130</v>
      </c>
      <c r="CR13" s="451">
        <v>130</v>
      </c>
      <c r="CS13" s="451">
        <v>130</v>
      </c>
      <c r="CT13" s="451">
        <v>130</v>
      </c>
      <c r="CU13" s="451">
        <v>130</v>
      </c>
      <c r="CV13" s="451">
        <v>130</v>
      </c>
      <c r="CW13" s="451">
        <v>130</v>
      </c>
      <c r="CX13" s="451">
        <v>130</v>
      </c>
      <c r="CY13" s="451">
        <v>130</v>
      </c>
      <c r="CZ13" s="451">
        <v>130</v>
      </c>
      <c r="DA13" s="451">
        <v>130</v>
      </c>
      <c r="DB13" s="451">
        <v>130</v>
      </c>
    </row>
    <row r="14" spans="1:106">
      <c r="A14" s="449" t="s">
        <v>573</v>
      </c>
      <c r="B14" s="450" t="s">
        <v>556</v>
      </c>
      <c r="C14" s="450" t="s">
        <v>559</v>
      </c>
      <c r="D14" s="450" t="s">
        <v>250</v>
      </c>
      <c r="E14" s="451">
        <v>7</v>
      </c>
      <c r="F14" s="451">
        <v>7</v>
      </c>
      <c r="G14" s="451">
        <v>7</v>
      </c>
      <c r="H14" s="451">
        <v>7</v>
      </c>
      <c r="I14" s="451">
        <v>7</v>
      </c>
      <c r="J14" s="451">
        <v>7</v>
      </c>
      <c r="K14" s="451">
        <v>7</v>
      </c>
      <c r="L14" s="451">
        <v>7</v>
      </c>
      <c r="M14" s="451">
        <v>7</v>
      </c>
      <c r="N14" s="451">
        <v>7</v>
      </c>
      <c r="O14" s="451">
        <v>7</v>
      </c>
      <c r="P14" s="451">
        <v>7</v>
      </c>
      <c r="Q14" s="451">
        <v>7</v>
      </c>
      <c r="R14" s="451">
        <v>7</v>
      </c>
      <c r="S14" s="451">
        <v>7</v>
      </c>
      <c r="T14" s="451">
        <v>7</v>
      </c>
      <c r="U14" s="451">
        <v>7</v>
      </c>
      <c r="V14" s="451">
        <v>7</v>
      </c>
      <c r="W14" s="451">
        <v>7</v>
      </c>
      <c r="X14" s="451">
        <v>7</v>
      </c>
      <c r="Y14" s="451">
        <v>7</v>
      </c>
      <c r="Z14" s="451">
        <v>7</v>
      </c>
      <c r="AA14" s="451">
        <v>7</v>
      </c>
      <c r="AB14" s="451">
        <v>7</v>
      </c>
      <c r="AC14" s="451">
        <v>7</v>
      </c>
      <c r="AD14" s="451">
        <v>7</v>
      </c>
      <c r="AE14" s="451">
        <v>7</v>
      </c>
      <c r="AF14" s="451">
        <v>7</v>
      </c>
      <c r="AG14" s="451">
        <v>7</v>
      </c>
      <c r="AH14" s="451">
        <v>7</v>
      </c>
      <c r="AI14" s="451">
        <v>7</v>
      </c>
      <c r="AJ14" s="451">
        <v>7</v>
      </c>
      <c r="AK14" s="451">
        <v>7</v>
      </c>
      <c r="AL14" s="451">
        <v>7</v>
      </c>
      <c r="AM14" s="451">
        <v>7</v>
      </c>
      <c r="AN14" s="451">
        <v>7</v>
      </c>
      <c r="AO14" s="451">
        <v>7</v>
      </c>
      <c r="AP14" s="451">
        <v>7</v>
      </c>
      <c r="AQ14" s="451">
        <v>7</v>
      </c>
      <c r="AR14" s="451">
        <v>7</v>
      </c>
      <c r="AS14" s="451">
        <v>7</v>
      </c>
      <c r="AT14" s="451">
        <v>7</v>
      </c>
      <c r="AU14" s="451">
        <v>7</v>
      </c>
      <c r="AV14" s="451">
        <v>7</v>
      </c>
      <c r="AW14" s="451">
        <v>7</v>
      </c>
      <c r="AX14" s="451">
        <v>7</v>
      </c>
      <c r="AY14" s="451">
        <v>7</v>
      </c>
      <c r="AZ14" s="451">
        <v>7</v>
      </c>
      <c r="BA14" s="451">
        <v>7</v>
      </c>
      <c r="BB14" s="451">
        <v>7</v>
      </c>
      <c r="BC14" s="451">
        <v>7</v>
      </c>
      <c r="BD14" s="451">
        <v>7</v>
      </c>
      <c r="BE14" s="451">
        <v>7</v>
      </c>
      <c r="BF14" s="451">
        <v>7</v>
      </c>
      <c r="BG14" s="451">
        <v>7</v>
      </c>
      <c r="BH14" s="451">
        <v>7</v>
      </c>
      <c r="BI14" s="451">
        <v>7</v>
      </c>
      <c r="BJ14" s="451">
        <v>7</v>
      </c>
      <c r="BK14" s="451">
        <v>7</v>
      </c>
      <c r="BL14" s="451">
        <v>7</v>
      </c>
      <c r="BM14" s="451">
        <v>7</v>
      </c>
      <c r="BN14" s="451">
        <v>7</v>
      </c>
      <c r="BO14" s="451">
        <v>7</v>
      </c>
      <c r="BP14" s="451">
        <v>7</v>
      </c>
      <c r="BQ14" s="451">
        <v>7</v>
      </c>
      <c r="BR14" s="451">
        <v>7</v>
      </c>
      <c r="BS14" s="451">
        <v>7</v>
      </c>
      <c r="BT14" s="451">
        <v>7</v>
      </c>
      <c r="BU14" s="451">
        <v>7</v>
      </c>
      <c r="BV14" s="451">
        <v>7</v>
      </c>
      <c r="BW14" s="451">
        <v>7</v>
      </c>
      <c r="BX14" s="451">
        <v>7</v>
      </c>
      <c r="BY14" s="451">
        <v>7</v>
      </c>
      <c r="BZ14" s="451">
        <v>7</v>
      </c>
      <c r="CA14" s="451">
        <v>7</v>
      </c>
      <c r="CB14" s="451">
        <v>7</v>
      </c>
      <c r="CC14" s="451">
        <v>7</v>
      </c>
      <c r="CD14" s="451">
        <v>7</v>
      </c>
      <c r="CE14" s="451">
        <v>7</v>
      </c>
      <c r="CF14" s="451">
        <v>7</v>
      </c>
      <c r="CG14" s="451">
        <v>7</v>
      </c>
      <c r="CH14" s="451">
        <v>7</v>
      </c>
      <c r="CI14" s="451">
        <v>7</v>
      </c>
      <c r="CJ14" s="451">
        <v>7</v>
      </c>
      <c r="CK14" s="451">
        <v>7</v>
      </c>
      <c r="CL14" s="451">
        <v>7</v>
      </c>
      <c r="CM14" s="451">
        <v>7</v>
      </c>
      <c r="CN14" s="451">
        <v>7</v>
      </c>
      <c r="CO14" s="451">
        <v>7</v>
      </c>
      <c r="CP14" s="451">
        <v>7</v>
      </c>
      <c r="CQ14" s="451">
        <v>7</v>
      </c>
      <c r="CR14" s="451">
        <v>7</v>
      </c>
      <c r="CS14" s="451">
        <v>7</v>
      </c>
      <c r="CT14" s="451">
        <v>7</v>
      </c>
      <c r="CU14" s="451">
        <v>7</v>
      </c>
      <c r="CV14" s="451">
        <v>7</v>
      </c>
      <c r="CW14" s="451">
        <v>7</v>
      </c>
      <c r="CX14" s="451">
        <v>7</v>
      </c>
      <c r="CY14" s="451">
        <v>7</v>
      </c>
      <c r="CZ14" s="451">
        <v>7</v>
      </c>
      <c r="DA14" s="451">
        <v>7</v>
      </c>
      <c r="DB14" s="451">
        <v>7</v>
      </c>
    </row>
    <row r="15" spans="1:106">
      <c r="A15" s="449" t="s">
        <v>574</v>
      </c>
      <c r="B15" s="450" t="s">
        <v>556</v>
      </c>
      <c r="C15" s="450" t="s">
        <v>567</v>
      </c>
      <c r="D15" s="450" t="s">
        <v>250</v>
      </c>
      <c r="E15" s="451">
        <v>1</v>
      </c>
      <c r="F15" s="451">
        <v>1</v>
      </c>
      <c r="G15" s="451">
        <v>1</v>
      </c>
      <c r="H15" s="451">
        <v>1</v>
      </c>
      <c r="I15" s="451">
        <v>1</v>
      </c>
      <c r="J15" s="451">
        <v>1</v>
      </c>
      <c r="K15" s="451">
        <v>1</v>
      </c>
      <c r="L15" s="451">
        <v>1</v>
      </c>
      <c r="M15" s="451">
        <v>1</v>
      </c>
      <c r="N15" s="451">
        <v>1</v>
      </c>
      <c r="O15" s="451">
        <v>1</v>
      </c>
      <c r="P15" s="451">
        <v>1</v>
      </c>
      <c r="Q15" s="451">
        <v>1</v>
      </c>
      <c r="R15" s="451">
        <v>1</v>
      </c>
      <c r="S15" s="451">
        <v>1</v>
      </c>
      <c r="T15" s="451">
        <v>1</v>
      </c>
      <c r="U15" s="451">
        <v>1</v>
      </c>
      <c r="V15" s="451">
        <v>1</v>
      </c>
      <c r="W15" s="451">
        <v>1</v>
      </c>
      <c r="X15" s="451">
        <v>1</v>
      </c>
      <c r="Y15" s="451">
        <v>1</v>
      </c>
      <c r="Z15" s="451">
        <v>1</v>
      </c>
      <c r="AA15" s="451">
        <v>1</v>
      </c>
      <c r="AB15" s="451">
        <v>1</v>
      </c>
      <c r="AC15" s="451">
        <v>1</v>
      </c>
      <c r="AD15" s="451">
        <v>1</v>
      </c>
      <c r="AE15" s="451">
        <v>1</v>
      </c>
      <c r="AF15" s="451">
        <v>1</v>
      </c>
      <c r="AG15" s="451">
        <v>1</v>
      </c>
      <c r="AH15" s="451">
        <v>1</v>
      </c>
      <c r="AI15" s="451">
        <v>1</v>
      </c>
      <c r="AJ15" s="451">
        <v>1</v>
      </c>
      <c r="AK15" s="451">
        <v>1</v>
      </c>
      <c r="AL15" s="451">
        <v>1</v>
      </c>
      <c r="AM15" s="451">
        <v>1</v>
      </c>
      <c r="AN15" s="451">
        <v>1</v>
      </c>
      <c r="AO15" s="451">
        <v>1</v>
      </c>
      <c r="AP15" s="451">
        <v>1</v>
      </c>
      <c r="AQ15" s="451">
        <v>1</v>
      </c>
      <c r="AR15" s="451">
        <v>1</v>
      </c>
      <c r="AS15" s="451">
        <v>1</v>
      </c>
      <c r="AT15" s="451">
        <v>1</v>
      </c>
      <c r="AU15" s="451">
        <v>1</v>
      </c>
      <c r="AV15" s="451">
        <v>1</v>
      </c>
      <c r="AW15" s="451">
        <v>1</v>
      </c>
      <c r="AX15" s="451">
        <v>1</v>
      </c>
      <c r="AY15" s="451">
        <v>1</v>
      </c>
      <c r="AZ15" s="451">
        <v>1</v>
      </c>
      <c r="BA15" s="451">
        <v>1</v>
      </c>
      <c r="BB15" s="451">
        <v>1</v>
      </c>
      <c r="BC15" s="451">
        <v>1</v>
      </c>
      <c r="BD15" s="451">
        <v>1</v>
      </c>
      <c r="BE15" s="451">
        <v>1</v>
      </c>
      <c r="BF15" s="451">
        <v>1</v>
      </c>
      <c r="BG15" s="451">
        <v>1</v>
      </c>
      <c r="BH15" s="451">
        <v>1</v>
      </c>
      <c r="BI15" s="451">
        <v>1</v>
      </c>
      <c r="BJ15" s="451">
        <v>1</v>
      </c>
      <c r="BK15" s="451">
        <v>1</v>
      </c>
      <c r="BL15" s="451">
        <v>1</v>
      </c>
      <c r="BM15" s="451">
        <v>1</v>
      </c>
      <c r="BN15" s="451">
        <v>1</v>
      </c>
      <c r="BO15" s="451">
        <v>1</v>
      </c>
      <c r="BP15" s="451">
        <v>1</v>
      </c>
      <c r="BQ15" s="451">
        <v>1</v>
      </c>
      <c r="BR15" s="451">
        <v>1</v>
      </c>
      <c r="BS15" s="451">
        <v>1</v>
      </c>
      <c r="BT15" s="451">
        <v>1</v>
      </c>
      <c r="BU15" s="451">
        <v>1</v>
      </c>
      <c r="BV15" s="451">
        <v>1</v>
      </c>
      <c r="BW15" s="451">
        <v>1</v>
      </c>
      <c r="BX15" s="451">
        <v>1</v>
      </c>
      <c r="BY15" s="451">
        <v>1</v>
      </c>
      <c r="BZ15" s="451">
        <v>1</v>
      </c>
      <c r="CA15" s="451">
        <v>1</v>
      </c>
      <c r="CB15" s="451">
        <v>1</v>
      </c>
      <c r="CC15" s="451">
        <v>1</v>
      </c>
      <c r="CD15" s="451">
        <v>1</v>
      </c>
      <c r="CE15" s="451">
        <v>1</v>
      </c>
      <c r="CF15" s="451">
        <v>1</v>
      </c>
      <c r="CG15" s="451">
        <v>1</v>
      </c>
      <c r="CH15" s="451">
        <v>1</v>
      </c>
      <c r="CI15" s="451">
        <v>1</v>
      </c>
      <c r="CJ15" s="451">
        <v>1</v>
      </c>
      <c r="CK15" s="451">
        <v>1</v>
      </c>
      <c r="CL15" s="451">
        <v>1</v>
      </c>
      <c r="CM15" s="451">
        <v>1</v>
      </c>
      <c r="CN15" s="451">
        <v>1</v>
      </c>
      <c r="CO15" s="451">
        <v>1</v>
      </c>
      <c r="CP15" s="451">
        <v>1</v>
      </c>
      <c r="CQ15" s="451">
        <v>1</v>
      </c>
      <c r="CR15" s="451">
        <v>1</v>
      </c>
      <c r="CS15" s="451">
        <v>1</v>
      </c>
      <c r="CT15" s="451">
        <v>1</v>
      </c>
      <c r="CU15" s="451">
        <v>1</v>
      </c>
      <c r="CV15" s="451">
        <v>1</v>
      </c>
      <c r="CW15" s="451">
        <v>1</v>
      </c>
      <c r="CX15" s="451">
        <v>1</v>
      </c>
      <c r="CY15" s="451">
        <v>1</v>
      </c>
      <c r="CZ15" s="451">
        <v>1</v>
      </c>
      <c r="DA15" s="451">
        <v>1</v>
      </c>
      <c r="DB15" s="451">
        <v>1</v>
      </c>
    </row>
    <row r="16" spans="1:106">
      <c r="A16" s="449" t="s">
        <v>575</v>
      </c>
      <c r="B16" s="450" t="s">
        <v>556</v>
      </c>
      <c r="C16" s="450" t="s">
        <v>557</v>
      </c>
      <c r="D16" s="450" t="s">
        <v>250</v>
      </c>
      <c r="E16" s="451">
        <v>1</v>
      </c>
      <c r="F16" s="451">
        <v>1</v>
      </c>
      <c r="G16" s="451">
        <v>1</v>
      </c>
      <c r="H16" s="451">
        <v>1</v>
      </c>
      <c r="I16" s="451">
        <v>1</v>
      </c>
      <c r="J16" s="451">
        <v>1</v>
      </c>
      <c r="K16" s="451">
        <v>1</v>
      </c>
      <c r="L16" s="451">
        <v>1</v>
      </c>
      <c r="M16" s="451">
        <v>1</v>
      </c>
      <c r="N16" s="451">
        <v>1</v>
      </c>
      <c r="O16" s="451">
        <v>1</v>
      </c>
      <c r="P16" s="451">
        <v>1</v>
      </c>
      <c r="Q16" s="451">
        <v>1</v>
      </c>
      <c r="R16" s="451">
        <v>1</v>
      </c>
      <c r="S16" s="451">
        <v>1</v>
      </c>
      <c r="T16" s="451">
        <v>1</v>
      </c>
      <c r="U16" s="451">
        <v>1</v>
      </c>
      <c r="V16" s="451">
        <v>1</v>
      </c>
      <c r="W16" s="451">
        <v>1</v>
      </c>
      <c r="X16" s="451">
        <v>1</v>
      </c>
      <c r="Y16" s="451">
        <v>1</v>
      </c>
      <c r="Z16" s="451">
        <v>1</v>
      </c>
      <c r="AA16" s="451">
        <v>1</v>
      </c>
      <c r="AB16" s="451">
        <v>1</v>
      </c>
      <c r="AC16" s="451">
        <v>1</v>
      </c>
      <c r="AD16" s="451">
        <v>1</v>
      </c>
      <c r="AE16" s="451">
        <v>1</v>
      </c>
      <c r="AF16" s="451">
        <v>1</v>
      </c>
      <c r="AG16" s="451">
        <v>1</v>
      </c>
      <c r="AH16" s="451">
        <v>1</v>
      </c>
      <c r="AI16" s="451">
        <v>1</v>
      </c>
      <c r="AJ16" s="451">
        <v>1</v>
      </c>
      <c r="AK16" s="451">
        <v>1</v>
      </c>
      <c r="AL16" s="451">
        <v>1</v>
      </c>
      <c r="AM16" s="451">
        <v>1</v>
      </c>
      <c r="AN16" s="451">
        <v>1</v>
      </c>
      <c r="AO16" s="451">
        <v>1</v>
      </c>
      <c r="AP16" s="451">
        <v>1</v>
      </c>
      <c r="AQ16" s="451">
        <v>1</v>
      </c>
      <c r="AR16" s="451">
        <v>1</v>
      </c>
      <c r="AS16" s="451">
        <v>1</v>
      </c>
      <c r="AT16" s="451">
        <v>1</v>
      </c>
      <c r="AU16" s="451">
        <v>1</v>
      </c>
      <c r="AV16" s="451">
        <v>1</v>
      </c>
      <c r="AW16" s="451">
        <v>1</v>
      </c>
      <c r="AX16" s="451">
        <v>1</v>
      </c>
      <c r="AY16" s="451">
        <v>1</v>
      </c>
      <c r="AZ16" s="451">
        <v>1</v>
      </c>
      <c r="BA16" s="451">
        <v>1</v>
      </c>
      <c r="BB16" s="451">
        <v>1</v>
      </c>
      <c r="BC16" s="451">
        <v>1</v>
      </c>
      <c r="BD16" s="451">
        <v>1</v>
      </c>
      <c r="BE16" s="451">
        <v>1</v>
      </c>
      <c r="BF16" s="451">
        <v>1</v>
      </c>
      <c r="BG16" s="451">
        <v>1</v>
      </c>
      <c r="BH16" s="451">
        <v>1</v>
      </c>
      <c r="BI16" s="451">
        <v>1</v>
      </c>
      <c r="BJ16" s="451">
        <v>1</v>
      </c>
      <c r="BK16" s="451">
        <v>1</v>
      </c>
      <c r="BL16" s="451">
        <v>1</v>
      </c>
      <c r="BM16" s="451">
        <v>1</v>
      </c>
      <c r="BN16" s="451">
        <v>1</v>
      </c>
      <c r="BO16" s="451">
        <v>1</v>
      </c>
      <c r="BP16" s="451">
        <v>1</v>
      </c>
      <c r="BQ16" s="451">
        <v>1</v>
      </c>
      <c r="BR16" s="451">
        <v>1</v>
      </c>
      <c r="BS16" s="451">
        <v>1</v>
      </c>
      <c r="BT16" s="451">
        <v>1</v>
      </c>
      <c r="BU16" s="451">
        <v>1</v>
      </c>
      <c r="BV16" s="451">
        <v>1</v>
      </c>
      <c r="BW16" s="451">
        <v>1</v>
      </c>
      <c r="BX16" s="451">
        <v>1</v>
      </c>
      <c r="BY16" s="451">
        <v>1</v>
      </c>
      <c r="BZ16" s="451">
        <v>1</v>
      </c>
      <c r="CA16" s="451">
        <v>1</v>
      </c>
      <c r="CB16" s="451">
        <v>1</v>
      </c>
      <c r="CC16" s="451">
        <v>1</v>
      </c>
      <c r="CD16" s="451">
        <v>1</v>
      </c>
      <c r="CE16" s="451">
        <v>1</v>
      </c>
      <c r="CF16" s="451">
        <v>1</v>
      </c>
      <c r="CG16" s="451">
        <v>1</v>
      </c>
      <c r="CH16" s="451">
        <v>1</v>
      </c>
      <c r="CI16" s="451">
        <v>1</v>
      </c>
      <c r="CJ16" s="451">
        <v>1</v>
      </c>
      <c r="CK16" s="451">
        <v>1</v>
      </c>
      <c r="CL16" s="451">
        <v>1</v>
      </c>
      <c r="CM16" s="451">
        <v>1</v>
      </c>
      <c r="CN16" s="451">
        <v>1</v>
      </c>
      <c r="CO16" s="451">
        <v>1</v>
      </c>
      <c r="CP16" s="451">
        <v>1</v>
      </c>
      <c r="CQ16" s="451">
        <v>1</v>
      </c>
      <c r="CR16" s="451">
        <v>1</v>
      </c>
      <c r="CS16" s="451">
        <v>1</v>
      </c>
      <c r="CT16" s="451">
        <v>1</v>
      </c>
      <c r="CU16" s="451">
        <v>1</v>
      </c>
      <c r="CV16" s="451">
        <v>1</v>
      </c>
      <c r="CW16" s="451">
        <v>1</v>
      </c>
      <c r="CX16" s="451">
        <v>1</v>
      </c>
      <c r="CY16" s="451">
        <v>1</v>
      </c>
      <c r="CZ16" s="451">
        <v>1</v>
      </c>
      <c r="DA16" s="451">
        <v>1</v>
      </c>
      <c r="DB16" s="451">
        <v>1</v>
      </c>
    </row>
    <row r="17" spans="1:106">
      <c r="A17" s="449" t="s">
        <v>576</v>
      </c>
      <c r="B17" s="450" t="s">
        <v>556</v>
      </c>
      <c r="C17" s="450" t="s">
        <v>557</v>
      </c>
      <c r="D17" s="450" t="s">
        <v>250</v>
      </c>
      <c r="E17" s="451">
        <v>1</v>
      </c>
      <c r="F17" s="451">
        <v>1</v>
      </c>
      <c r="G17" s="451">
        <v>1</v>
      </c>
      <c r="H17" s="451">
        <v>1</v>
      </c>
      <c r="I17" s="451">
        <v>1</v>
      </c>
      <c r="J17" s="451">
        <v>1</v>
      </c>
      <c r="K17" s="451">
        <v>1</v>
      </c>
      <c r="L17" s="451">
        <v>1</v>
      </c>
      <c r="M17" s="451">
        <v>1</v>
      </c>
      <c r="N17" s="451">
        <v>1</v>
      </c>
      <c r="O17" s="451">
        <v>1</v>
      </c>
      <c r="P17" s="451">
        <v>1</v>
      </c>
      <c r="Q17" s="451">
        <v>1</v>
      </c>
      <c r="R17" s="451">
        <v>1</v>
      </c>
      <c r="S17" s="451">
        <v>1</v>
      </c>
      <c r="T17" s="451">
        <v>1</v>
      </c>
      <c r="U17" s="451">
        <v>1</v>
      </c>
      <c r="V17" s="451">
        <v>1</v>
      </c>
      <c r="W17" s="451">
        <v>1</v>
      </c>
      <c r="X17" s="451">
        <v>1</v>
      </c>
      <c r="Y17" s="451">
        <v>1</v>
      </c>
      <c r="Z17" s="451">
        <v>1</v>
      </c>
      <c r="AA17" s="451">
        <v>1</v>
      </c>
      <c r="AB17" s="451">
        <v>1</v>
      </c>
      <c r="AC17" s="451">
        <v>1</v>
      </c>
      <c r="AD17" s="451">
        <v>1</v>
      </c>
      <c r="AE17" s="451">
        <v>1</v>
      </c>
      <c r="AF17" s="451">
        <v>1</v>
      </c>
      <c r="AG17" s="451">
        <v>1</v>
      </c>
      <c r="AH17" s="451">
        <v>1</v>
      </c>
      <c r="AI17" s="451">
        <v>1</v>
      </c>
      <c r="AJ17" s="451">
        <v>1</v>
      </c>
      <c r="AK17" s="451">
        <v>1</v>
      </c>
      <c r="AL17" s="451">
        <v>1</v>
      </c>
      <c r="AM17" s="451">
        <v>1</v>
      </c>
      <c r="AN17" s="451">
        <v>1</v>
      </c>
      <c r="AO17" s="451">
        <v>1</v>
      </c>
      <c r="AP17" s="451">
        <v>1</v>
      </c>
      <c r="AQ17" s="451">
        <v>1</v>
      </c>
      <c r="AR17" s="451">
        <v>1</v>
      </c>
      <c r="AS17" s="451">
        <v>1</v>
      </c>
      <c r="AT17" s="451">
        <v>1</v>
      </c>
      <c r="AU17" s="451">
        <v>1</v>
      </c>
      <c r="AV17" s="451">
        <v>1</v>
      </c>
      <c r="AW17" s="451">
        <v>1</v>
      </c>
      <c r="AX17" s="451">
        <v>1</v>
      </c>
      <c r="AY17" s="451">
        <v>1</v>
      </c>
      <c r="AZ17" s="451">
        <v>1</v>
      </c>
      <c r="BA17" s="451">
        <v>1</v>
      </c>
      <c r="BB17" s="451">
        <v>1</v>
      </c>
      <c r="BC17" s="451">
        <v>1</v>
      </c>
      <c r="BD17" s="451">
        <v>1</v>
      </c>
      <c r="BE17" s="451">
        <v>1</v>
      </c>
      <c r="BF17" s="451">
        <v>1</v>
      </c>
      <c r="BG17" s="451">
        <v>1</v>
      </c>
      <c r="BH17" s="451">
        <v>1</v>
      </c>
      <c r="BI17" s="451">
        <v>1</v>
      </c>
      <c r="BJ17" s="451">
        <v>1</v>
      </c>
      <c r="BK17" s="451">
        <v>1</v>
      </c>
      <c r="BL17" s="451">
        <v>1</v>
      </c>
      <c r="BM17" s="451">
        <v>1</v>
      </c>
      <c r="BN17" s="451">
        <v>1</v>
      </c>
      <c r="BO17" s="451">
        <v>1</v>
      </c>
      <c r="BP17" s="451">
        <v>1</v>
      </c>
      <c r="BQ17" s="451">
        <v>1</v>
      </c>
      <c r="BR17" s="451">
        <v>1</v>
      </c>
      <c r="BS17" s="451">
        <v>1</v>
      </c>
      <c r="BT17" s="451">
        <v>1</v>
      </c>
      <c r="BU17" s="451">
        <v>1</v>
      </c>
      <c r="BV17" s="451">
        <v>1</v>
      </c>
      <c r="BW17" s="451">
        <v>1</v>
      </c>
      <c r="BX17" s="451">
        <v>1</v>
      </c>
      <c r="BY17" s="451">
        <v>1</v>
      </c>
      <c r="BZ17" s="451">
        <v>1</v>
      </c>
      <c r="CA17" s="451">
        <v>1</v>
      </c>
      <c r="CB17" s="451">
        <v>1</v>
      </c>
      <c r="CC17" s="451">
        <v>1</v>
      </c>
      <c r="CD17" s="451">
        <v>1</v>
      </c>
      <c r="CE17" s="451">
        <v>1</v>
      </c>
      <c r="CF17" s="451">
        <v>1</v>
      </c>
      <c r="CG17" s="451">
        <v>1</v>
      </c>
      <c r="CH17" s="451">
        <v>1</v>
      </c>
      <c r="CI17" s="451">
        <v>1</v>
      </c>
      <c r="CJ17" s="451">
        <v>1</v>
      </c>
      <c r="CK17" s="451">
        <v>1</v>
      </c>
      <c r="CL17" s="451">
        <v>1</v>
      </c>
      <c r="CM17" s="451">
        <v>1</v>
      </c>
      <c r="CN17" s="451">
        <v>1</v>
      </c>
      <c r="CO17" s="451">
        <v>1</v>
      </c>
      <c r="CP17" s="451">
        <v>1</v>
      </c>
      <c r="CQ17" s="451">
        <v>1</v>
      </c>
      <c r="CR17" s="451">
        <v>1</v>
      </c>
      <c r="CS17" s="451">
        <v>1</v>
      </c>
      <c r="CT17" s="451">
        <v>1</v>
      </c>
      <c r="CU17" s="451">
        <v>1</v>
      </c>
      <c r="CV17" s="451">
        <v>1</v>
      </c>
      <c r="CW17" s="451">
        <v>1</v>
      </c>
      <c r="CX17" s="451">
        <v>1</v>
      </c>
      <c r="CY17" s="451">
        <v>1</v>
      </c>
      <c r="CZ17" s="451">
        <v>1</v>
      </c>
      <c r="DA17" s="451">
        <v>1</v>
      </c>
      <c r="DB17" s="451">
        <v>1</v>
      </c>
    </row>
    <row r="18" spans="1:106">
      <c r="A18" s="449"/>
      <c r="B18" s="450"/>
      <c r="C18" s="450"/>
      <c r="D18" s="450"/>
    </row>
    <row r="19" spans="1:106">
      <c r="A19" s="449" t="str">
        <f>A3</f>
        <v xml:space="preserve">NWS Corporate Web Site </v>
      </c>
      <c r="B19" s="450" t="s">
        <v>556</v>
      </c>
      <c r="C19" s="450" t="s">
        <v>557</v>
      </c>
      <c r="D19" s="450" t="s">
        <v>577</v>
      </c>
      <c r="E19" s="375">
        <v>36816</v>
      </c>
      <c r="F19" s="375">
        <v>36816</v>
      </c>
      <c r="G19" s="375">
        <v>36816</v>
      </c>
      <c r="H19" s="375">
        <v>36816</v>
      </c>
      <c r="I19" s="375">
        <v>36816</v>
      </c>
      <c r="J19" s="375">
        <v>36816</v>
      </c>
      <c r="K19" s="375">
        <v>36816</v>
      </c>
      <c r="L19" s="375">
        <v>36816</v>
      </c>
      <c r="M19" s="375">
        <v>36816</v>
      </c>
      <c r="N19" s="375">
        <v>36816</v>
      </c>
      <c r="O19" s="375">
        <v>38288.639999999999</v>
      </c>
      <c r="P19" s="375">
        <v>38288.639999999999</v>
      </c>
      <c r="Q19" s="375">
        <v>38288.639999999999</v>
      </c>
      <c r="R19" s="375">
        <v>38288.639999999999</v>
      </c>
      <c r="S19" s="375">
        <v>38288.639999999999</v>
      </c>
      <c r="T19" s="375">
        <v>38288.639999999999</v>
      </c>
      <c r="U19" s="375">
        <v>38288.639999999999</v>
      </c>
      <c r="V19" s="375">
        <v>38288.639999999999</v>
      </c>
      <c r="W19" s="375">
        <v>38288.639999999999</v>
      </c>
      <c r="X19" s="375">
        <v>38288.639999999999</v>
      </c>
      <c r="Y19" s="375">
        <v>38288.639999999999</v>
      </c>
      <c r="Z19" s="375">
        <v>38288.639999999999</v>
      </c>
      <c r="AA19" s="375">
        <v>39820.185600000004</v>
      </c>
      <c r="AB19" s="375">
        <v>39820.185600000004</v>
      </c>
      <c r="AC19" s="375">
        <v>39820.185600000004</v>
      </c>
      <c r="AD19" s="375">
        <v>39820.185600000004</v>
      </c>
      <c r="AE19" s="375">
        <v>39820.185600000004</v>
      </c>
      <c r="AF19" s="375">
        <v>39820.185600000004</v>
      </c>
      <c r="AG19" s="375">
        <v>39820.185600000004</v>
      </c>
      <c r="AH19" s="375">
        <v>39820.185600000004</v>
      </c>
      <c r="AI19" s="375">
        <v>39820.185600000004</v>
      </c>
      <c r="AJ19" s="375">
        <v>39820.185600000004</v>
      </c>
      <c r="AK19" s="375">
        <v>39820.185600000004</v>
      </c>
      <c r="AL19" s="375">
        <v>39820.185600000004</v>
      </c>
      <c r="AM19" s="375">
        <v>41412.993024000003</v>
      </c>
      <c r="AN19" s="375">
        <v>41412.993024000003</v>
      </c>
      <c r="AO19" s="375">
        <v>41412.993024000003</v>
      </c>
      <c r="AP19" s="375">
        <v>41412.993024000003</v>
      </c>
      <c r="AQ19" s="375">
        <v>41412.993024000003</v>
      </c>
      <c r="AR19" s="375">
        <v>41412.993024000003</v>
      </c>
      <c r="AS19" s="375">
        <v>41412.993024000003</v>
      </c>
      <c r="AT19" s="375">
        <v>41412.993024000003</v>
      </c>
      <c r="AU19" s="375">
        <v>41412.993024000003</v>
      </c>
      <c r="AV19" s="375">
        <v>41412.993024000003</v>
      </c>
      <c r="AW19" s="375">
        <v>41412.993024000003</v>
      </c>
      <c r="AX19" s="375">
        <v>41412.993024000003</v>
      </c>
      <c r="AY19" s="375">
        <v>43069.512744960004</v>
      </c>
      <c r="AZ19" s="375">
        <v>43069.512744960004</v>
      </c>
      <c r="BA19" s="375">
        <v>43069.512744960004</v>
      </c>
      <c r="BB19" s="375">
        <v>43069.512744960004</v>
      </c>
      <c r="BC19" s="375">
        <v>43069.512744960004</v>
      </c>
      <c r="BD19" s="375">
        <v>43069.512744960004</v>
      </c>
      <c r="BE19" s="375">
        <v>43069.512744960004</v>
      </c>
      <c r="BF19" s="375">
        <v>43069.512744960004</v>
      </c>
      <c r="BG19" s="375">
        <v>43069.512744960004</v>
      </c>
      <c r="BH19" s="375">
        <v>43069.512744960004</v>
      </c>
      <c r="BI19" s="375">
        <v>43069.512744960004</v>
      </c>
      <c r="BJ19" s="375">
        <v>43069.512744960004</v>
      </c>
      <c r="BK19" s="375">
        <v>44792.293254758406</v>
      </c>
      <c r="BL19" s="375">
        <v>44792.293254758406</v>
      </c>
      <c r="BM19" s="375">
        <v>44792.293254758406</v>
      </c>
      <c r="BN19" s="375">
        <v>44792.293254758406</v>
      </c>
      <c r="BO19" s="375">
        <v>44792.293254758406</v>
      </c>
      <c r="BP19" s="375">
        <v>44792.293254758406</v>
      </c>
      <c r="BQ19" s="375">
        <v>44792.293254758406</v>
      </c>
      <c r="BR19" s="375">
        <v>44792.293254758406</v>
      </c>
      <c r="BS19" s="375">
        <v>44792.293254758406</v>
      </c>
      <c r="BT19" s="375">
        <v>44792.293254758406</v>
      </c>
      <c r="BU19" s="375">
        <v>44792.293254758406</v>
      </c>
      <c r="BV19" s="375">
        <v>44792.293254758406</v>
      </c>
      <c r="BW19" s="375">
        <v>46583.984984948744</v>
      </c>
      <c r="BX19" s="375">
        <v>46583.984984948744</v>
      </c>
      <c r="BY19" s="375">
        <v>46583.984984948744</v>
      </c>
      <c r="BZ19" s="375">
        <v>46583.984984948744</v>
      </c>
      <c r="CA19" s="375">
        <v>46583.984984948744</v>
      </c>
      <c r="CB19" s="375">
        <v>46583.984984948744</v>
      </c>
      <c r="CC19" s="375">
        <v>46583.984984948744</v>
      </c>
      <c r="CD19" s="375">
        <v>46583.984984948744</v>
      </c>
      <c r="CE19" s="375">
        <v>46583.984984948744</v>
      </c>
      <c r="CF19" s="375">
        <v>46583.984984948744</v>
      </c>
      <c r="CG19" s="375">
        <v>46583.984984948744</v>
      </c>
      <c r="CH19" s="375">
        <v>46583.984984948744</v>
      </c>
      <c r="CI19" s="375">
        <v>48447.344384346696</v>
      </c>
      <c r="CJ19" s="375">
        <v>48447.344384346696</v>
      </c>
      <c r="CK19" s="375">
        <v>48447.344384346696</v>
      </c>
      <c r="CL19" s="375">
        <v>48447.344384346696</v>
      </c>
      <c r="CM19" s="375">
        <v>48447.344384346696</v>
      </c>
      <c r="CN19" s="375">
        <v>48447.344384346696</v>
      </c>
      <c r="CO19" s="375">
        <v>48447.344384346696</v>
      </c>
      <c r="CP19" s="375">
        <v>48447.344384346696</v>
      </c>
      <c r="CQ19" s="375">
        <v>48447.344384346696</v>
      </c>
      <c r="CR19" s="375">
        <v>48447.344384346696</v>
      </c>
      <c r="CS19" s="375">
        <v>48447.344384346696</v>
      </c>
      <c r="CT19" s="375">
        <v>48447.344384346696</v>
      </c>
      <c r="CU19" s="375">
        <v>50385.238159720568</v>
      </c>
      <c r="CV19" s="375">
        <v>50385.238159720568</v>
      </c>
      <c r="CW19" s="375">
        <v>50385.238159720568</v>
      </c>
      <c r="CX19" s="375">
        <v>50385.238159720568</v>
      </c>
      <c r="CY19" s="375">
        <v>50385.238159720568</v>
      </c>
      <c r="CZ19" s="375">
        <v>50385.238159720568</v>
      </c>
      <c r="DA19" s="375">
        <v>50385.238159720568</v>
      </c>
      <c r="DB19" s="375">
        <v>50385.238159720568</v>
      </c>
    </row>
    <row r="20" spans="1:106">
      <c r="A20" s="449" t="str">
        <f t="shared" ref="A20:A25" si="0">A8</f>
        <v>Repairs &amp; Maintenance Laptops &amp; Desktops</v>
      </c>
      <c r="B20" s="450" t="s">
        <v>556</v>
      </c>
      <c r="C20" s="450" t="s">
        <v>565</v>
      </c>
      <c r="D20" s="450" t="s">
        <v>577</v>
      </c>
      <c r="E20" s="375">
        <v>153.4</v>
      </c>
      <c r="F20" s="375">
        <v>153.4</v>
      </c>
      <c r="G20" s="375">
        <v>153.4</v>
      </c>
      <c r="H20" s="375">
        <v>153.4</v>
      </c>
      <c r="I20" s="375">
        <v>153.4</v>
      </c>
      <c r="J20" s="375">
        <v>153.4</v>
      </c>
      <c r="K20" s="375">
        <v>153.4</v>
      </c>
      <c r="L20" s="375">
        <v>153.4</v>
      </c>
      <c r="M20" s="375">
        <v>153.4</v>
      </c>
      <c r="N20" s="375">
        <v>153.4</v>
      </c>
      <c r="O20" s="375">
        <v>159.536</v>
      </c>
      <c r="P20" s="375">
        <v>159.536</v>
      </c>
      <c r="Q20" s="375">
        <v>159.536</v>
      </c>
      <c r="R20" s="375">
        <v>159.536</v>
      </c>
      <c r="S20" s="375">
        <v>159.536</v>
      </c>
      <c r="T20" s="375">
        <v>159.536</v>
      </c>
      <c r="U20" s="375">
        <v>159.536</v>
      </c>
      <c r="V20" s="375">
        <v>159.536</v>
      </c>
      <c r="W20" s="375">
        <v>159.536</v>
      </c>
      <c r="X20" s="375">
        <v>159.536</v>
      </c>
      <c r="Y20" s="375">
        <v>159.536</v>
      </c>
      <c r="Z20" s="375">
        <v>159.536</v>
      </c>
      <c r="AA20" s="375">
        <v>165.91744</v>
      </c>
      <c r="AB20" s="375">
        <v>165.91744</v>
      </c>
      <c r="AC20" s="375">
        <v>165.91744</v>
      </c>
      <c r="AD20" s="375">
        <v>165.91744</v>
      </c>
      <c r="AE20" s="375">
        <v>165.91744</v>
      </c>
      <c r="AF20" s="375">
        <v>165.91744</v>
      </c>
      <c r="AG20" s="375">
        <v>165.91744</v>
      </c>
      <c r="AH20" s="375">
        <v>165.91744</v>
      </c>
      <c r="AI20" s="375">
        <v>165.91744</v>
      </c>
      <c r="AJ20" s="375">
        <v>165.91744</v>
      </c>
      <c r="AK20" s="375">
        <v>165.91744</v>
      </c>
      <c r="AL20" s="375">
        <v>165.91744</v>
      </c>
      <c r="AM20" s="375">
        <v>172.55413760000002</v>
      </c>
      <c r="AN20" s="375">
        <v>172.55413760000002</v>
      </c>
      <c r="AO20" s="375">
        <v>172.55413760000002</v>
      </c>
      <c r="AP20" s="375">
        <v>172.55413760000002</v>
      </c>
      <c r="AQ20" s="375">
        <v>172.55413760000002</v>
      </c>
      <c r="AR20" s="375">
        <v>172.55413760000002</v>
      </c>
      <c r="AS20" s="375">
        <v>172.55413760000002</v>
      </c>
      <c r="AT20" s="375">
        <v>172.55413760000002</v>
      </c>
      <c r="AU20" s="375">
        <v>172.55413760000002</v>
      </c>
      <c r="AV20" s="375">
        <v>172.55413760000002</v>
      </c>
      <c r="AW20" s="375">
        <v>172.55413760000002</v>
      </c>
      <c r="AX20" s="375">
        <v>172.55413760000002</v>
      </c>
      <c r="AY20" s="375">
        <v>179.45630310400003</v>
      </c>
      <c r="AZ20" s="375">
        <v>179.45630310400003</v>
      </c>
      <c r="BA20" s="375">
        <v>179.45630310400003</v>
      </c>
      <c r="BB20" s="375">
        <v>179.45630310400003</v>
      </c>
      <c r="BC20" s="375">
        <v>179.45630310400003</v>
      </c>
      <c r="BD20" s="375">
        <v>179.45630310400003</v>
      </c>
      <c r="BE20" s="375">
        <v>179.45630310400003</v>
      </c>
      <c r="BF20" s="375">
        <v>179.45630310400003</v>
      </c>
      <c r="BG20" s="375">
        <v>179.45630310400003</v>
      </c>
      <c r="BH20" s="375">
        <v>179.45630310400003</v>
      </c>
      <c r="BI20" s="375">
        <v>179.45630310400003</v>
      </c>
      <c r="BJ20" s="375">
        <v>179.45630310400003</v>
      </c>
      <c r="BK20" s="375">
        <v>186.63455522816002</v>
      </c>
      <c r="BL20" s="375">
        <v>186.63455522816002</v>
      </c>
      <c r="BM20" s="375">
        <v>186.63455522816002</v>
      </c>
      <c r="BN20" s="375">
        <v>186.63455522816002</v>
      </c>
      <c r="BO20" s="375">
        <v>186.63455522816002</v>
      </c>
      <c r="BP20" s="375">
        <v>186.63455522816002</v>
      </c>
      <c r="BQ20" s="375">
        <v>186.63455522816002</v>
      </c>
      <c r="BR20" s="375">
        <v>186.63455522816002</v>
      </c>
      <c r="BS20" s="375">
        <v>186.63455522816002</v>
      </c>
      <c r="BT20" s="375">
        <v>186.63455522816002</v>
      </c>
      <c r="BU20" s="375">
        <v>186.63455522816002</v>
      </c>
      <c r="BV20" s="375">
        <v>186.63455522816002</v>
      </c>
      <c r="BW20" s="375">
        <v>194.09993743728643</v>
      </c>
      <c r="BX20" s="375">
        <v>194.09993743728643</v>
      </c>
      <c r="BY20" s="375">
        <v>194.09993743728643</v>
      </c>
      <c r="BZ20" s="375">
        <v>194.09993743728643</v>
      </c>
      <c r="CA20" s="375">
        <v>194.09993743728643</v>
      </c>
      <c r="CB20" s="375">
        <v>194.09993743728643</v>
      </c>
      <c r="CC20" s="375">
        <v>194.09993743728643</v>
      </c>
      <c r="CD20" s="375">
        <v>194.09993743728643</v>
      </c>
      <c r="CE20" s="375">
        <v>194.09993743728643</v>
      </c>
      <c r="CF20" s="375">
        <v>194.09993743728643</v>
      </c>
      <c r="CG20" s="375">
        <v>194.09993743728643</v>
      </c>
      <c r="CH20" s="375">
        <v>194.09993743728643</v>
      </c>
      <c r="CI20" s="375">
        <v>201.86393493477789</v>
      </c>
      <c r="CJ20" s="375">
        <v>201.86393493477789</v>
      </c>
      <c r="CK20" s="375">
        <v>201.86393493477789</v>
      </c>
      <c r="CL20" s="375">
        <v>201.86393493477789</v>
      </c>
      <c r="CM20" s="375">
        <v>201.86393493477789</v>
      </c>
      <c r="CN20" s="375">
        <v>201.86393493477789</v>
      </c>
      <c r="CO20" s="375">
        <v>201.86393493477789</v>
      </c>
      <c r="CP20" s="375">
        <v>201.86393493477789</v>
      </c>
      <c r="CQ20" s="375">
        <v>201.86393493477789</v>
      </c>
      <c r="CR20" s="375">
        <v>201.86393493477789</v>
      </c>
      <c r="CS20" s="375">
        <v>201.86393493477789</v>
      </c>
      <c r="CT20" s="375">
        <v>201.86393493477789</v>
      </c>
      <c r="CU20" s="375">
        <v>209.93849233216901</v>
      </c>
      <c r="CV20" s="375">
        <v>209.93849233216901</v>
      </c>
      <c r="CW20" s="375">
        <v>209.93849233216901</v>
      </c>
      <c r="CX20" s="375">
        <v>209.93849233216901</v>
      </c>
      <c r="CY20" s="375">
        <v>209.93849233216901</v>
      </c>
      <c r="CZ20" s="375">
        <v>209.93849233216901</v>
      </c>
      <c r="DA20" s="375">
        <v>209.93849233216901</v>
      </c>
      <c r="DB20" s="375">
        <v>209.93849233216901</v>
      </c>
    </row>
    <row r="21" spans="1:106">
      <c r="A21" s="449" t="str">
        <f t="shared" si="0"/>
        <v>Repairs &amp; Maintenance Printers &amp; Plotters</v>
      </c>
      <c r="B21" s="450" t="s">
        <v>556</v>
      </c>
      <c r="C21" s="450" t="s">
        <v>567</v>
      </c>
      <c r="D21" s="450" t="s">
        <v>577</v>
      </c>
      <c r="E21" s="375">
        <v>278.55492063492062</v>
      </c>
      <c r="F21" s="375">
        <v>278.55492063492062</v>
      </c>
      <c r="G21" s="375">
        <v>278.55492063492062</v>
      </c>
      <c r="H21" s="375">
        <v>278.55492063492062</v>
      </c>
      <c r="I21" s="375">
        <v>278.55492063492062</v>
      </c>
      <c r="J21" s="375">
        <v>278.55492063492062</v>
      </c>
      <c r="K21" s="375">
        <v>278.55492063492062</v>
      </c>
      <c r="L21" s="375">
        <v>278.55492063492062</v>
      </c>
      <c r="M21" s="375">
        <v>278.55492063492062</v>
      </c>
      <c r="N21" s="375">
        <v>278.55492063492062</v>
      </c>
      <c r="O21" s="375">
        <v>289.69711746031743</v>
      </c>
      <c r="P21" s="375">
        <v>289.69711746031743</v>
      </c>
      <c r="Q21" s="375">
        <v>289.69711746031743</v>
      </c>
      <c r="R21" s="375">
        <v>289.69711746031743</v>
      </c>
      <c r="S21" s="375">
        <v>289.69711746031743</v>
      </c>
      <c r="T21" s="375">
        <v>289.69711746031743</v>
      </c>
      <c r="U21" s="375">
        <v>289.69711746031743</v>
      </c>
      <c r="V21" s="375">
        <v>289.69711746031743</v>
      </c>
      <c r="W21" s="375">
        <v>289.69711746031743</v>
      </c>
      <c r="X21" s="375">
        <v>289.69711746031743</v>
      </c>
      <c r="Y21" s="375">
        <v>289.69711746031743</v>
      </c>
      <c r="Z21" s="375">
        <v>289.69711746031743</v>
      </c>
      <c r="AA21" s="375">
        <v>301.28500215873015</v>
      </c>
      <c r="AB21" s="375">
        <v>301.28500215873015</v>
      </c>
      <c r="AC21" s="375">
        <v>301.28500215873015</v>
      </c>
      <c r="AD21" s="375">
        <v>301.28500215873015</v>
      </c>
      <c r="AE21" s="375">
        <v>301.28500215873015</v>
      </c>
      <c r="AF21" s="375">
        <v>301.28500215873015</v>
      </c>
      <c r="AG21" s="375">
        <v>301.28500215873015</v>
      </c>
      <c r="AH21" s="375">
        <v>301.28500215873015</v>
      </c>
      <c r="AI21" s="375">
        <v>301.28500215873015</v>
      </c>
      <c r="AJ21" s="375">
        <v>301.28500215873015</v>
      </c>
      <c r="AK21" s="375">
        <v>301.28500215873015</v>
      </c>
      <c r="AL21" s="375">
        <v>301.28500215873015</v>
      </c>
      <c r="AM21" s="375">
        <v>313.33640224507934</v>
      </c>
      <c r="AN21" s="375">
        <v>313.33640224507934</v>
      </c>
      <c r="AO21" s="375">
        <v>313.33640224507934</v>
      </c>
      <c r="AP21" s="375">
        <v>313.33640224507934</v>
      </c>
      <c r="AQ21" s="375">
        <v>313.33640224507934</v>
      </c>
      <c r="AR21" s="375">
        <v>313.33640224507934</v>
      </c>
      <c r="AS21" s="375">
        <v>313.33640224507934</v>
      </c>
      <c r="AT21" s="375">
        <v>313.33640224507934</v>
      </c>
      <c r="AU21" s="375">
        <v>313.33640224507934</v>
      </c>
      <c r="AV21" s="375">
        <v>313.33640224507934</v>
      </c>
      <c r="AW21" s="375">
        <v>313.33640224507934</v>
      </c>
      <c r="AX21" s="375">
        <v>313.33640224507934</v>
      </c>
      <c r="AY21" s="375">
        <v>325.86985833488251</v>
      </c>
      <c r="AZ21" s="375">
        <v>325.86985833488251</v>
      </c>
      <c r="BA21" s="375">
        <v>325.86985833488251</v>
      </c>
      <c r="BB21" s="375">
        <v>325.86985833488251</v>
      </c>
      <c r="BC21" s="375">
        <v>325.86985833488251</v>
      </c>
      <c r="BD21" s="375">
        <v>325.86985833488251</v>
      </c>
      <c r="BE21" s="375">
        <v>325.86985833488251</v>
      </c>
      <c r="BF21" s="375">
        <v>325.86985833488251</v>
      </c>
      <c r="BG21" s="375">
        <v>325.86985833488251</v>
      </c>
      <c r="BH21" s="375">
        <v>325.86985833488251</v>
      </c>
      <c r="BI21" s="375">
        <v>325.86985833488251</v>
      </c>
      <c r="BJ21" s="375">
        <v>325.86985833488251</v>
      </c>
      <c r="BK21" s="375">
        <v>338.90465266827783</v>
      </c>
      <c r="BL21" s="375">
        <v>338.90465266827783</v>
      </c>
      <c r="BM21" s="375">
        <v>338.90465266827783</v>
      </c>
      <c r="BN21" s="375">
        <v>338.90465266827783</v>
      </c>
      <c r="BO21" s="375">
        <v>338.90465266827783</v>
      </c>
      <c r="BP21" s="375">
        <v>338.90465266827783</v>
      </c>
      <c r="BQ21" s="375">
        <v>338.90465266827783</v>
      </c>
      <c r="BR21" s="375">
        <v>338.90465266827783</v>
      </c>
      <c r="BS21" s="375">
        <v>338.90465266827783</v>
      </c>
      <c r="BT21" s="375">
        <v>338.90465266827783</v>
      </c>
      <c r="BU21" s="375">
        <v>338.90465266827783</v>
      </c>
      <c r="BV21" s="375">
        <v>338.90465266827783</v>
      </c>
      <c r="BW21" s="375">
        <v>352.46083877500894</v>
      </c>
      <c r="BX21" s="375">
        <v>352.46083877500894</v>
      </c>
      <c r="BY21" s="375">
        <v>352.46083877500894</v>
      </c>
      <c r="BZ21" s="375">
        <v>352.46083877500894</v>
      </c>
      <c r="CA21" s="375">
        <v>352.46083877500894</v>
      </c>
      <c r="CB21" s="375">
        <v>352.46083877500894</v>
      </c>
      <c r="CC21" s="375">
        <v>352.46083877500894</v>
      </c>
      <c r="CD21" s="375">
        <v>352.46083877500894</v>
      </c>
      <c r="CE21" s="375">
        <v>352.46083877500894</v>
      </c>
      <c r="CF21" s="375">
        <v>352.46083877500894</v>
      </c>
      <c r="CG21" s="375">
        <v>352.46083877500894</v>
      </c>
      <c r="CH21" s="375">
        <v>352.46083877500894</v>
      </c>
      <c r="CI21" s="375">
        <v>366.55927232600931</v>
      </c>
      <c r="CJ21" s="375">
        <v>366.55927232600931</v>
      </c>
      <c r="CK21" s="375">
        <v>366.55927232600931</v>
      </c>
      <c r="CL21" s="375">
        <v>366.55927232600931</v>
      </c>
      <c r="CM21" s="375">
        <v>366.55927232600931</v>
      </c>
      <c r="CN21" s="375">
        <v>366.55927232600931</v>
      </c>
      <c r="CO21" s="375">
        <v>366.55927232600931</v>
      </c>
      <c r="CP21" s="375">
        <v>366.55927232600931</v>
      </c>
      <c r="CQ21" s="375">
        <v>366.55927232600931</v>
      </c>
      <c r="CR21" s="375">
        <v>366.55927232600931</v>
      </c>
      <c r="CS21" s="375">
        <v>366.55927232600931</v>
      </c>
      <c r="CT21" s="375">
        <v>366.55927232600931</v>
      </c>
      <c r="CU21" s="375">
        <v>381.22164321904967</v>
      </c>
      <c r="CV21" s="375">
        <v>381.22164321904967</v>
      </c>
      <c r="CW21" s="375">
        <v>381.22164321904967</v>
      </c>
      <c r="CX21" s="375">
        <v>381.22164321904967</v>
      </c>
      <c r="CY21" s="375">
        <v>381.22164321904967</v>
      </c>
      <c r="CZ21" s="375">
        <v>381.22164321904967</v>
      </c>
      <c r="DA21" s="375">
        <v>381.22164321904967</v>
      </c>
      <c r="DB21" s="375">
        <v>381.22164321904967</v>
      </c>
    </row>
    <row r="22" spans="1:106">
      <c r="A22" s="449" t="str">
        <f t="shared" si="0"/>
        <v>Cisco Server, Switch, Firewall and UPS &amp; Battery (A.M.C: 20% total cost)</v>
      </c>
      <c r="B22" s="450" t="s">
        <v>556</v>
      </c>
      <c r="C22" s="450" t="s">
        <v>557</v>
      </c>
      <c r="D22" s="450" t="s">
        <v>577</v>
      </c>
      <c r="E22" s="375">
        <v>272480</v>
      </c>
      <c r="F22" s="375">
        <v>272480</v>
      </c>
      <c r="G22" s="375">
        <v>272480</v>
      </c>
      <c r="H22" s="375">
        <v>272480</v>
      </c>
      <c r="I22" s="375">
        <v>272480</v>
      </c>
      <c r="J22" s="375">
        <v>272480</v>
      </c>
      <c r="K22" s="375">
        <v>272480</v>
      </c>
      <c r="L22" s="375">
        <v>272480</v>
      </c>
      <c r="M22" s="375">
        <v>272480</v>
      </c>
      <c r="N22" s="375">
        <v>272480</v>
      </c>
      <c r="O22" s="375">
        <v>283379.20000000001</v>
      </c>
      <c r="P22" s="375">
        <v>283379.20000000001</v>
      </c>
      <c r="Q22" s="375">
        <v>283379.20000000001</v>
      </c>
      <c r="R22" s="375">
        <v>283379.20000000001</v>
      </c>
      <c r="S22" s="375">
        <v>283379.20000000001</v>
      </c>
      <c r="T22" s="375">
        <v>283379.20000000001</v>
      </c>
      <c r="U22" s="375">
        <v>283379.20000000001</v>
      </c>
      <c r="V22" s="375">
        <v>283379.20000000001</v>
      </c>
      <c r="W22" s="375">
        <v>283379.20000000001</v>
      </c>
      <c r="X22" s="375">
        <v>283379.20000000001</v>
      </c>
      <c r="Y22" s="375">
        <v>283379.20000000001</v>
      </c>
      <c r="Z22" s="375">
        <v>283379.20000000001</v>
      </c>
      <c r="AA22" s="375">
        <v>294714.36800000002</v>
      </c>
      <c r="AB22" s="375">
        <v>294714.36800000002</v>
      </c>
      <c r="AC22" s="375">
        <v>294714.36800000002</v>
      </c>
      <c r="AD22" s="375">
        <v>294714.36800000002</v>
      </c>
      <c r="AE22" s="375">
        <v>294714.36800000002</v>
      </c>
      <c r="AF22" s="375">
        <v>294714.36800000002</v>
      </c>
      <c r="AG22" s="375">
        <v>294714.36800000002</v>
      </c>
      <c r="AH22" s="375">
        <v>294714.36800000002</v>
      </c>
      <c r="AI22" s="375">
        <v>294714.36800000002</v>
      </c>
      <c r="AJ22" s="375">
        <v>294714.36800000002</v>
      </c>
      <c r="AK22" s="375">
        <v>294714.36800000002</v>
      </c>
      <c r="AL22" s="375">
        <v>294714.36800000002</v>
      </c>
      <c r="AM22" s="375">
        <v>306502.94272000005</v>
      </c>
      <c r="AN22" s="375">
        <v>306502.94272000005</v>
      </c>
      <c r="AO22" s="375">
        <v>306502.94272000005</v>
      </c>
      <c r="AP22" s="375">
        <v>306502.94272000005</v>
      </c>
      <c r="AQ22" s="375">
        <v>306502.94272000005</v>
      </c>
      <c r="AR22" s="375">
        <v>306502.94272000005</v>
      </c>
      <c r="AS22" s="375">
        <v>306502.94272000005</v>
      </c>
      <c r="AT22" s="375">
        <v>306502.94272000005</v>
      </c>
      <c r="AU22" s="375">
        <v>306502.94272000005</v>
      </c>
      <c r="AV22" s="375">
        <v>306502.94272000005</v>
      </c>
      <c r="AW22" s="375">
        <v>306502.94272000005</v>
      </c>
      <c r="AX22" s="375">
        <v>306502.94272000005</v>
      </c>
      <c r="AY22" s="375">
        <v>318763.06042880006</v>
      </c>
      <c r="AZ22" s="375">
        <v>318763.06042880006</v>
      </c>
      <c r="BA22" s="375">
        <v>318763.06042880006</v>
      </c>
      <c r="BB22" s="375">
        <v>318763.06042880006</v>
      </c>
      <c r="BC22" s="375">
        <v>318763.06042880006</v>
      </c>
      <c r="BD22" s="375">
        <v>318763.06042880006</v>
      </c>
      <c r="BE22" s="375">
        <v>318763.06042880006</v>
      </c>
      <c r="BF22" s="375">
        <v>318763.06042880006</v>
      </c>
      <c r="BG22" s="375">
        <v>318763.06042880006</v>
      </c>
      <c r="BH22" s="375">
        <v>318763.06042880006</v>
      </c>
      <c r="BI22" s="375">
        <v>318763.06042880006</v>
      </c>
      <c r="BJ22" s="375">
        <v>318763.06042880006</v>
      </c>
      <c r="BK22" s="375">
        <v>331513.58284595207</v>
      </c>
      <c r="BL22" s="375">
        <v>331513.58284595207</v>
      </c>
      <c r="BM22" s="375">
        <v>331513.58284595207</v>
      </c>
      <c r="BN22" s="375">
        <v>331513.58284595207</v>
      </c>
      <c r="BO22" s="375">
        <v>331513.58284595207</v>
      </c>
      <c r="BP22" s="375">
        <v>331513.58284595207</v>
      </c>
      <c r="BQ22" s="375">
        <v>331513.58284595207</v>
      </c>
      <c r="BR22" s="375">
        <v>331513.58284595207</v>
      </c>
      <c r="BS22" s="375">
        <v>331513.58284595207</v>
      </c>
      <c r="BT22" s="375">
        <v>331513.58284595207</v>
      </c>
      <c r="BU22" s="375">
        <v>331513.58284595207</v>
      </c>
      <c r="BV22" s="375">
        <v>331513.58284595207</v>
      </c>
      <c r="BW22" s="375">
        <v>344774.12615979015</v>
      </c>
      <c r="BX22" s="375">
        <v>344774.12615979015</v>
      </c>
      <c r="BY22" s="375">
        <v>344774.12615979015</v>
      </c>
      <c r="BZ22" s="375">
        <v>344774.12615979015</v>
      </c>
      <c r="CA22" s="375">
        <v>344774.12615979015</v>
      </c>
      <c r="CB22" s="375">
        <v>344774.12615979015</v>
      </c>
      <c r="CC22" s="375">
        <v>344774.12615979015</v>
      </c>
      <c r="CD22" s="375">
        <v>344774.12615979015</v>
      </c>
      <c r="CE22" s="375">
        <v>344774.12615979015</v>
      </c>
      <c r="CF22" s="375">
        <v>344774.12615979015</v>
      </c>
      <c r="CG22" s="375">
        <v>344774.12615979015</v>
      </c>
      <c r="CH22" s="375">
        <v>344774.12615979015</v>
      </c>
      <c r="CI22" s="375">
        <v>358565.09120618174</v>
      </c>
      <c r="CJ22" s="375">
        <v>358565.09120618174</v>
      </c>
      <c r="CK22" s="375">
        <v>358565.09120618174</v>
      </c>
      <c r="CL22" s="375">
        <v>358565.09120618174</v>
      </c>
      <c r="CM22" s="375">
        <v>358565.09120618174</v>
      </c>
      <c r="CN22" s="375">
        <v>358565.09120618174</v>
      </c>
      <c r="CO22" s="375">
        <v>358565.09120618174</v>
      </c>
      <c r="CP22" s="375">
        <v>358565.09120618174</v>
      </c>
      <c r="CQ22" s="375">
        <v>358565.09120618174</v>
      </c>
      <c r="CR22" s="375">
        <v>358565.09120618174</v>
      </c>
      <c r="CS22" s="375">
        <v>358565.09120618174</v>
      </c>
      <c r="CT22" s="375">
        <v>358565.09120618174</v>
      </c>
      <c r="CU22" s="375">
        <v>372907.69485442899</v>
      </c>
      <c r="CV22" s="375">
        <v>372907.69485442899</v>
      </c>
      <c r="CW22" s="375">
        <v>372907.69485442899</v>
      </c>
      <c r="CX22" s="375">
        <v>372907.69485442899</v>
      </c>
      <c r="CY22" s="375">
        <v>372907.69485442899</v>
      </c>
      <c r="CZ22" s="375">
        <v>372907.69485442899</v>
      </c>
      <c r="DA22" s="375">
        <v>372907.69485442899</v>
      </c>
      <c r="DB22" s="375">
        <v>372907.69485442899</v>
      </c>
    </row>
    <row r="23" spans="1:106">
      <c r="A23" s="449" t="str">
        <f t="shared" si="0"/>
        <v>Symantec Backup (LA): A.M.C</v>
      </c>
      <c r="B23" s="450" t="s">
        <v>556</v>
      </c>
      <c r="C23" s="450" t="s">
        <v>557</v>
      </c>
      <c r="D23" s="450" t="s">
        <v>577</v>
      </c>
      <c r="E23" s="375">
        <v>6136</v>
      </c>
      <c r="F23" s="375">
        <v>6136</v>
      </c>
      <c r="G23" s="375">
        <v>6136</v>
      </c>
      <c r="H23" s="375">
        <v>6136</v>
      </c>
      <c r="I23" s="375">
        <v>6136</v>
      </c>
      <c r="J23" s="375">
        <v>6136</v>
      </c>
      <c r="K23" s="375">
        <v>6136</v>
      </c>
      <c r="L23" s="375">
        <v>6136</v>
      </c>
      <c r="M23" s="375">
        <v>6136</v>
      </c>
      <c r="N23" s="375">
        <v>6136</v>
      </c>
      <c r="O23" s="375">
        <v>6381.4400000000005</v>
      </c>
      <c r="P23" s="375">
        <v>6381.4400000000005</v>
      </c>
      <c r="Q23" s="375">
        <v>6381.4400000000005</v>
      </c>
      <c r="R23" s="375">
        <v>6381.4400000000005</v>
      </c>
      <c r="S23" s="375">
        <v>6381.4400000000005</v>
      </c>
      <c r="T23" s="375">
        <v>6381.4400000000005</v>
      </c>
      <c r="U23" s="375">
        <v>6381.4400000000005</v>
      </c>
      <c r="V23" s="375">
        <v>6381.4400000000005</v>
      </c>
      <c r="W23" s="375">
        <v>6381.4400000000005</v>
      </c>
      <c r="X23" s="375">
        <v>6381.4400000000005</v>
      </c>
      <c r="Y23" s="375">
        <v>6381.4400000000005</v>
      </c>
      <c r="Z23" s="375">
        <v>6381.4400000000005</v>
      </c>
      <c r="AA23" s="375">
        <v>6636.6976000000004</v>
      </c>
      <c r="AB23" s="375">
        <v>6636.6976000000004</v>
      </c>
      <c r="AC23" s="375">
        <v>6636.6976000000004</v>
      </c>
      <c r="AD23" s="375">
        <v>6636.6976000000004</v>
      </c>
      <c r="AE23" s="375">
        <v>6636.6976000000004</v>
      </c>
      <c r="AF23" s="375">
        <v>6636.6976000000004</v>
      </c>
      <c r="AG23" s="375">
        <v>6636.6976000000004</v>
      </c>
      <c r="AH23" s="375">
        <v>6636.6976000000004</v>
      </c>
      <c r="AI23" s="375">
        <v>6636.6976000000004</v>
      </c>
      <c r="AJ23" s="375">
        <v>6636.6976000000004</v>
      </c>
      <c r="AK23" s="375">
        <v>6636.6976000000004</v>
      </c>
      <c r="AL23" s="375">
        <v>6636.6976000000004</v>
      </c>
      <c r="AM23" s="375">
        <v>6902.1655040000005</v>
      </c>
      <c r="AN23" s="375">
        <v>6902.1655040000005</v>
      </c>
      <c r="AO23" s="375">
        <v>6902.1655040000005</v>
      </c>
      <c r="AP23" s="375">
        <v>6902.1655040000005</v>
      </c>
      <c r="AQ23" s="375">
        <v>6902.1655040000005</v>
      </c>
      <c r="AR23" s="375">
        <v>6902.1655040000005</v>
      </c>
      <c r="AS23" s="375">
        <v>6902.1655040000005</v>
      </c>
      <c r="AT23" s="375">
        <v>6902.1655040000005</v>
      </c>
      <c r="AU23" s="375">
        <v>6902.1655040000005</v>
      </c>
      <c r="AV23" s="375">
        <v>6902.1655040000005</v>
      </c>
      <c r="AW23" s="375">
        <v>6902.1655040000005</v>
      </c>
      <c r="AX23" s="375">
        <v>6902.1655040000005</v>
      </c>
      <c r="AY23" s="375">
        <v>7178.2521241600007</v>
      </c>
      <c r="AZ23" s="375">
        <v>7178.2521241600007</v>
      </c>
      <c r="BA23" s="375">
        <v>7178.2521241600007</v>
      </c>
      <c r="BB23" s="375">
        <v>7178.2521241600007</v>
      </c>
      <c r="BC23" s="375">
        <v>7178.2521241600007</v>
      </c>
      <c r="BD23" s="375">
        <v>7178.2521241600007</v>
      </c>
      <c r="BE23" s="375">
        <v>7178.2521241600007</v>
      </c>
      <c r="BF23" s="375">
        <v>7178.2521241600007</v>
      </c>
      <c r="BG23" s="375">
        <v>7178.2521241600007</v>
      </c>
      <c r="BH23" s="375">
        <v>7178.2521241600007</v>
      </c>
      <c r="BI23" s="375">
        <v>7178.2521241600007</v>
      </c>
      <c r="BJ23" s="375">
        <v>7178.2521241600007</v>
      </c>
      <c r="BK23" s="375">
        <v>7465.382209126401</v>
      </c>
      <c r="BL23" s="375">
        <v>7465.382209126401</v>
      </c>
      <c r="BM23" s="375">
        <v>7465.382209126401</v>
      </c>
      <c r="BN23" s="375">
        <v>7465.382209126401</v>
      </c>
      <c r="BO23" s="375">
        <v>7465.382209126401</v>
      </c>
      <c r="BP23" s="375">
        <v>7465.382209126401</v>
      </c>
      <c r="BQ23" s="375">
        <v>7465.382209126401</v>
      </c>
      <c r="BR23" s="375">
        <v>7465.382209126401</v>
      </c>
      <c r="BS23" s="375">
        <v>7465.382209126401</v>
      </c>
      <c r="BT23" s="375">
        <v>7465.382209126401</v>
      </c>
      <c r="BU23" s="375">
        <v>7465.382209126401</v>
      </c>
      <c r="BV23" s="375">
        <v>7465.382209126401</v>
      </c>
      <c r="BW23" s="375">
        <v>7763.9974974914576</v>
      </c>
      <c r="BX23" s="375">
        <v>7763.9974974914576</v>
      </c>
      <c r="BY23" s="375">
        <v>7763.9974974914576</v>
      </c>
      <c r="BZ23" s="375">
        <v>7763.9974974914576</v>
      </c>
      <c r="CA23" s="375">
        <v>7763.9974974914576</v>
      </c>
      <c r="CB23" s="375">
        <v>7763.9974974914576</v>
      </c>
      <c r="CC23" s="375">
        <v>7763.9974974914576</v>
      </c>
      <c r="CD23" s="375">
        <v>7763.9974974914576</v>
      </c>
      <c r="CE23" s="375">
        <v>7763.9974974914576</v>
      </c>
      <c r="CF23" s="375">
        <v>7763.9974974914576</v>
      </c>
      <c r="CG23" s="375">
        <v>7763.9974974914576</v>
      </c>
      <c r="CH23" s="375">
        <v>7763.9974974914576</v>
      </c>
      <c r="CI23" s="375">
        <v>8074.557397391116</v>
      </c>
      <c r="CJ23" s="375">
        <v>8074.557397391116</v>
      </c>
      <c r="CK23" s="375">
        <v>8074.557397391116</v>
      </c>
      <c r="CL23" s="375">
        <v>8074.557397391116</v>
      </c>
      <c r="CM23" s="375">
        <v>8074.557397391116</v>
      </c>
      <c r="CN23" s="375">
        <v>8074.557397391116</v>
      </c>
      <c r="CO23" s="375">
        <v>8074.557397391116</v>
      </c>
      <c r="CP23" s="375">
        <v>8074.557397391116</v>
      </c>
      <c r="CQ23" s="375">
        <v>8074.557397391116</v>
      </c>
      <c r="CR23" s="375">
        <v>8074.557397391116</v>
      </c>
      <c r="CS23" s="375">
        <v>8074.557397391116</v>
      </c>
      <c r="CT23" s="375">
        <v>8074.557397391116</v>
      </c>
      <c r="CU23" s="375">
        <v>8397.5396932867607</v>
      </c>
      <c r="CV23" s="375">
        <v>8397.5396932867607</v>
      </c>
      <c r="CW23" s="375">
        <v>8397.5396932867607</v>
      </c>
      <c r="CX23" s="375">
        <v>8397.5396932867607</v>
      </c>
      <c r="CY23" s="375">
        <v>8397.5396932867607</v>
      </c>
      <c r="CZ23" s="375">
        <v>8397.5396932867607</v>
      </c>
      <c r="DA23" s="375">
        <v>8397.5396932867607</v>
      </c>
      <c r="DB23" s="375">
        <v>8397.5396932867607</v>
      </c>
    </row>
    <row r="24" spans="1:106">
      <c r="A24" s="449" t="str">
        <f t="shared" si="0"/>
        <v>Symantec Anti-Virus (LA): A.M.C</v>
      </c>
      <c r="B24" s="450" t="s">
        <v>556</v>
      </c>
      <c r="C24" s="450" t="s">
        <v>557</v>
      </c>
      <c r="D24" s="450" t="s">
        <v>577</v>
      </c>
      <c r="E24" s="375">
        <v>47.724444444444444</v>
      </c>
      <c r="F24" s="375">
        <v>47.724444444444444</v>
      </c>
      <c r="G24" s="375">
        <v>47.724444444444444</v>
      </c>
      <c r="H24" s="375">
        <v>47.724444444444444</v>
      </c>
      <c r="I24" s="375">
        <v>47.724444444444444</v>
      </c>
      <c r="J24" s="375">
        <v>47.724444444444444</v>
      </c>
      <c r="K24" s="375">
        <v>47.724444444444444</v>
      </c>
      <c r="L24" s="375">
        <v>47.724444444444444</v>
      </c>
      <c r="M24" s="375">
        <v>47.724444444444444</v>
      </c>
      <c r="N24" s="375">
        <v>47.724444444444444</v>
      </c>
      <c r="O24" s="375">
        <v>49.633422222222222</v>
      </c>
      <c r="P24" s="375">
        <v>49.633422222222222</v>
      </c>
      <c r="Q24" s="375">
        <v>49.633422222222222</v>
      </c>
      <c r="R24" s="375">
        <v>49.633422222222222</v>
      </c>
      <c r="S24" s="375">
        <v>49.633422222222222</v>
      </c>
      <c r="T24" s="375">
        <v>49.633422222222222</v>
      </c>
      <c r="U24" s="375">
        <v>49.633422222222222</v>
      </c>
      <c r="V24" s="375">
        <v>49.633422222222222</v>
      </c>
      <c r="W24" s="375">
        <v>49.633422222222222</v>
      </c>
      <c r="X24" s="375">
        <v>49.633422222222222</v>
      </c>
      <c r="Y24" s="375">
        <v>49.633422222222222</v>
      </c>
      <c r="Z24" s="375">
        <v>49.633422222222222</v>
      </c>
      <c r="AA24" s="375">
        <v>51.61875911111111</v>
      </c>
      <c r="AB24" s="375">
        <v>51.61875911111111</v>
      </c>
      <c r="AC24" s="375">
        <v>51.61875911111111</v>
      </c>
      <c r="AD24" s="375">
        <v>51.61875911111111</v>
      </c>
      <c r="AE24" s="375">
        <v>51.61875911111111</v>
      </c>
      <c r="AF24" s="375">
        <v>51.61875911111111</v>
      </c>
      <c r="AG24" s="375">
        <v>51.61875911111111</v>
      </c>
      <c r="AH24" s="375">
        <v>51.61875911111111</v>
      </c>
      <c r="AI24" s="375">
        <v>51.61875911111111</v>
      </c>
      <c r="AJ24" s="375">
        <v>51.61875911111111</v>
      </c>
      <c r="AK24" s="375">
        <v>51.61875911111111</v>
      </c>
      <c r="AL24" s="375">
        <v>51.61875911111111</v>
      </c>
      <c r="AM24" s="375">
        <v>53.683509475555553</v>
      </c>
      <c r="AN24" s="375">
        <v>53.683509475555553</v>
      </c>
      <c r="AO24" s="375">
        <v>53.683509475555553</v>
      </c>
      <c r="AP24" s="375">
        <v>53.683509475555553</v>
      </c>
      <c r="AQ24" s="375">
        <v>53.683509475555553</v>
      </c>
      <c r="AR24" s="375">
        <v>53.683509475555553</v>
      </c>
      <c r="AS24" s="375">
        <v>53.683509475555553</v>
      </c>
      <c r="AT24" s="375">
        <v>53.683509475555553</v>
      </c>
      <c r="AU24" s="375">
        <v>53.683509475555553</v>
      </c>
      <c r="AV24" s="375">
        <v>53.683509475555553</v>
      </c>
      <c r="AW24" s="375">
        <v>53.683509475555553</v>
      </c>
      <c r="AX24" s="375">
        <v>53.683509475555553</v>
      </c>
      <c r="AY24" s="375">
        <v>55.830849854577778</v>
      </c>
      <c r="AZ24" s="375">
        <v>55.830849854577778</v>
      </c>
      <c r="BA24" s="375">
        <v>55.830849854577778</v>
      </c>
      <c r="BB24" s="375">
        <v>55.830849854577778</v>
      </c>
      <c r="BC24" s="375">
        <v>55.830849854577778</v>
      </c>
      <c r="BD24" s="375">
        <v>55.830849854577778</v>
      </c>
      <c r="BE24" s="375">
        <v>55.830849854577778</v>
      </c>
      <c r="BF24" s="375">
        <v>55.830849854577778</v>
      </c>
      <c r="BG24" s="375">
        <v>55.830849854577778</v>
      </c>
      <c r="BH24" s="375">
        <v>55.830849854577778</v>
      </c>
      <c r="BI24" s="375">
        <v>55.830849854577778</v>
      </c>
      <c r="BJ24" s="375">
        <v>55.830849854577778</v>
      </c>
      <c r="BK24" s="375">
        <v>58.064083848760895</v>
      </c>
      <c r="BL24" s="375">
        <v>58.064083848760895</v>
      </c>
      <c r="BM24" s="375">
        <v>58.064083848760895</v>
      </c>
      <c r="BN24" s="375">
        <v>58.064083848760895</v>
      </c>
      <c r="BO24" s="375">
        <v>58.064083848760895</v>
      </c>
      <c r="BP24" s="375">
        <v>58.064083848760895</v>
      </c>
      <c r="BQ24" s="375">
        <v>58.064083848760895</v>
      </c>
      <c r="BR24" s="375">
        <v>58.064083848760895</v>
      </c>
      <c r="BS24" s="375">
        <v>58.064083848760895</v>
      </c>
      <c r="BT24" s="375">
        <v>58.064083848760895</v>
      </c>
      <c r="BU24" s="375">
        <v>58.064083848760895</v>
      </c>
      <c r="BV24" s="375">
        <v>58.064083848760895</v>
      </c>
      <c r="BW24" s="375">
        <v>60.38664720271133</v>
      </c>
      <c r="BX24" s="375">
        <v>60.38664720271133</v>
      </c>
      <c r="BY24" s="375">
        <v>60.38664720271133</v>
      </c>
      <c r="BZ24" s="375">
        <v>60.38664720271133</v>
      </c>
      <c r="CA24" s="375">
        <v>60.38664720271133</v>
      </c>
      <c r="CB24" s="375">
        <v>60.38664720271133</v>
      </c>
      <c r="CC24" s="375">
        <v>60.38664720271133</v>
      </c>
      <c r="CD24" s="375">
        <v>60.38664720271133</v>
      </c>
      <c r="CE24" s="375">
        <v>60.38664720271133</v>
      </c>
      <c r="CF24" s="375">
        <v>60.38664720271133</v>
      </c>
      <c r="CG24" s="375">
        <v>60.38664720271133</v>
      </c>
      <c r="CH24" s="375">
        <v>60.38664720271133</v>
      </c>
      <c r="CI24" s="375">
        <v>62.802113090819788</v>
      </c>
      <c r="CJ24" s="375">
        <v>62.802113090819788</v>
      </c>
      <c r="CK24" s="375">
        <v>62.802113090819788</v>
      </c>
      <c r="CL24" s="375">
        <v>62.802113090819788</v>
      </c>
      <c r="CM24" s="375">
        <v>62.802113090819788</v>
      </c>
      <c r="CN24" s="375">
        <v>62.802113090819788</v>
      </c>
      <c r="CO24" s="375">
        <v>62.802113090819788</v>
      </c>
      <c r="CP24" s="375">
        <v>62.802113090819788</v>
      </c>
      <c r="CQ24" s="375">
        <v>62.802113090819788</v>
      </c>
      <c r="CR24" s="375">
        <v>62.802113090819788</v>
      </c>
      <c r="CS24" s="375">
        <v>62.802113090819788</v>
      </c>
      <c r="CT24" s="375">
        <v>62.802113090819788</v>
      </c>
      <c r="CU24" s="375">
        <v>65.314197614452581</v>
      </c>
      <c r="CV24" s="375">
        <v>65.314197614452581</v>
      </c>
      <c r="CW24" s="375">
        <v>65.314197614452581</v>
      </c>
      <c r="CX24" s="375">
        <v>65.314197614452581</v>
      </c>
      <c r="CY24" s="375">
        <v>65.314197614452581</v>
      </c>
      <c r="CZ24" s="375">
        <v>65.314197614452581</v>
      </c>
      <c r="DA24" s="375">
        <v>65.314197614452581</v>
      </c>
      <c r="DB24" s="375">
        <v>65.314197614452581</v>
      </c>
    </row>
    <row r="25" spans="1:106">
      <c r="A25" s="449" t="str">
        <f t="shared" si="0"/>
        <v>Official email-ID subscription</v>
      </c>
      <c r="B25" s="450" t="s">
        <v>556</v>
      </c>
      <c r="C25" s="450" t="s">
        <v>572</v>
      </c>
      <c r="D25" s="450" t="s">
        <v>577</v>
      </c>
      <c r="E25" s="375">
        <v>52</v>
      </c>
      <c r="F25" s="375">
        <v>52</v>
      </c>
      <c r="G25" s="375">
        <v>52</v>
      </c>
      <c r="H25" s="375">
        <v>52</v>
      </c>
      <c r="I25" s="375">
        <v>52</v>
      </c>
      <c r="J25" s="375">
        <v>52</v>
      </c>
      <c r="K25" s="375">
        <v>52</v>
      </c>
      <c r="L25" s="375">
        <v>52</v>
      </c>
      <c r="M25" s="375">
        <v>52</v>
      </c>
      <c r="N25" s="375">
        <v>52</v>
      </c>
      <c r="O25" s="375">
        <v>54.08</v>
      </c>
      <c r="P25" s="375">
        <v>54.08</v>
      </c>
      <c r="Q25" s="375">
        <v>54.08</v>
      </c>
      <c r="R25" s="375">
        <v>54.08</v>
      </c>
      <c r="S25" s="375">
        <v>54.08</v>
      </c>
      <c r="T25" s="375">
        <v>54.08</v>
      </c>
      <c r="U25" s="375">
        <v>54.08</v>
      </c>
      <c r="V25" s="375">
        <v>54.08</v>
      </c>
      <c r="W25" s="375">
        <v>54.08</v>
      </c>
      <c r="X25" s="375">
        <v>54.08</v>
      </c>
      <c r="Y25" s="375">
        <v>54.08</v>
      </c>
      <c r="Z25" s="375">
        <v>54.08</v>
      </c>
      <c r="AA25" s="375">
        <v>56.243200000000002</v>
      </c>
      <c r="AB25" s="375">
        <v>56.243200000000002</v>
      </c>
      <c r="AC25" s="375">
        <v>56.243200000000002</v>
      </c>
      <c r="AD25" s="375">
        <v>56.243200000000002</v>
      </c>
      <c r="AE25" s="375">
        <v>56.243200000000002</v>
      </c>
      <c r="AF25" s="375">
        <v>56.243200000000002</v>
      </c>
      <c r="AG25" s="375">
        <v>56.243200000000002</v>
      </c>
      <c r="AH25" s="375">
        <v>56.243200000000002</v>
      </c>
      <c r="AI25" s="375">
        <v>56.243200000000002</v>
      </c>
      <c r="AJ25" s="375">
        <v>56.243200000000002</v>
      </c>
      <c r="AK25" s="375">
        <v>56.243200000000002</v>
      </c>
      <c r="AL25" s="375">
        <v>56.243200000000002</v>
      </c>
      <c r="AM25" s="375">
        <v>58.492928000000006</v>
      </c>
      <c r="AN25" s="375">
        <v>58.492928000000006</v>
      </c>
      <c r="AO25" s="375">
        <v>58.492928000000006</v>
      </c>
      <c r="AP25" s="375">
        <v>58.492928000000006</v>
      </c>
      <c r="AQ25" s="375">
        <v>58.492928000000006</v>
      </c>
      <c r="AR25" s="375">
        <v>58.492928000000006</v>
      </c>
      <c r="AS25" s="375">
        <v>58.492928000000006</v>
      </c>
      <c r="AT25" s="375">
        <v>58.492928000000006</v>
      </c>
      <c r="AU25" s="375">
        <v>58.492928000000006</v>
      </c>
      <c r="AV25" s="375">
        <v>58.492928000000006</v>
      </c>
      <c r="AW25" s="375">
        <v>58.492928000000006</v>
      </c>
      <c r="AX25" s="375">
        <v>58.492928000000006</v>
      </c>
      <c r="AY25" s="375">
        <v>60.832645120000009</v>
      </c>
      <c r="AZ25" s="375">
        <v>60.832645120000009</v>
      </c>
      <c r="BA25" s="375">
        <v>60.832645120000009</v>
      </c>
      <c r="BB25" s="375">
        <v>60.832645120000009</v>
      </c>
      <c r="BC25" s="375">
        <v>60.832645120000009</v>
      </c>
      <c r="BD25" s="375">
        <v>60.832645120000009</v>
      </c>
      <c r="BE25" s="375">
        <v>60.832645120000009</v>
      </c>
      <c r="BF25" s="375">
        <v>60.832645120000009</v>
      </c>
      <c r="BG25" s="375">
        <v>60.832645120000009</v>
      </c>
      <c r="BH25" s="375">
        <v>60.832645120000009</v>
      </c>
      <c r="BI25" s="375">
        <v>60.832645120000009</v>
      </c>
      <c r="BJ25" s="375">
        <v>60.832645120000009</v>
      </c>
      <c r="BK25" s="375">
        <v>63.265950924800009</v>
      </c>
      <c r="BL25" s="375">
        <v>63.265950924800009</v>
      </c>
      <c r="BM25" s="375">
        <v>63.265950924800009</v>
      </c>
      <c r="BN25" s="375">
        <v>63.265950924800009</v>
      </c>
      <c r="BO25" s="375">
        <v>63.265950924800009</v>
      </c>
      <c r="BP25" s="375">
        <v>63.265950924800009</v>
      </c>
      <c r="BQ25" s="375">
        <v>63.265950924800009</v>
      </c>
      <c r="BR25" s="375">
        <v>63.265950924800009</v>
      </c>
      <c r="BS25" s="375">
        <v>63.265950924800009</v>
      </c>
      <c r="BT25" s="375">
        <v>63.265950924800009</v>
      </c>
      <c r="BU25" s="375">
        <v>63.265950924800009</v>
      </c>
      <c r="BV25" s="375">
        <v>63.265950924800009</v>
      </c>
      <c r="BW25" s="375">
        <v>65.796588961792011</v>
      </c>
      <c r="BX25" s="375">
        <v>65.796588961792011</v>
      </c>
      <c r="BY25" s="375">
        <v>65.796588961792011</v>
      </c>
      <c r="BZ25" s="375">
        <v>65.796588961792011</v>
      </c>
      <c r="CA25" s="375">
        <v>65.796588961792011</v>
      </c>
      <c r="CB25" s="375">
        <v>65.796588961792011</v>
      </c>
      <c r="CC25" s="375">
        <v>65.796588961792011</v>
      </c>
      <c r="CD25" s="375">
        <v>65.796588961792011</v>
      </c>
      <c r="CE25" s="375">
        <v>65.796588961792011</v>
      </c>
      <c r="CF25" s="375">
        <v>65.796588961792011</v>
      </c>
      <c r="CG25" s="375">
        <v>65.796588961792011</v>
      </c>
      <c r="CH25" s="375">
        <v>65.796588961792011</v>
      </c>
      <c r="CI25" s="375">
        <v>68.42845252026369</v>
      </c>
      <c r="CJ25" s="375">
        <v>68.42845252026369</v>
      </c>
      <c r="CK25" s="375">
        <v>68.42845252026369</v>
      </c>
      <c r="CL25" s="375">
        <v>68.42845252026369</v>
      </c>
      <c r="CM25" s="375">
        <v>68.42845252026369</v>
      </c>
      <c r="CN25" s="375">
        <v>68.42845252026369</v>
      </c>
      <c r="CO25" s="375">
        <v>68.42845252026369</v>
      </c>
      <c r="CP25" s="375">
        <v>68.42845252026369</v>
      </c>
      <c r="CQ25" s="375">
        <v>68.42845252026369</v>
      </c>
      <c r="CR25" s="375">
        <v>68.42845252026369</v>
      </c>
      <c r="CS25" s="375">
        <v>68.42845252026369</v>
      </c>
      <c r="CT25" s="375">
        <v>68.42845252026369</v>
      </c>
      <c r="CU25" s="375">
        <v>71.165590621074244</v>
      </c>
      <c r="CV25" s="375">
        <v>71.165590621074244</v>
      </c>
      <c r="CW25" s="375">
        <v>71.165590621074244</v>
      </c>
      <c r="CX25" s="375">
        <v>71.165590621074244</v>
      </c>
      <c r="CY25" s="375">
        <v>71.165590621074244</v>
      </c>
      <c r="CZ25" s="375">
        <v>71.165590621074244</v>
      </c>
      <c r="DA25" s="375">
        <v>71.165590621074244</v>
      </c>
      <c r="DB25" s="375">
        <v>71.165590621074244</v>
      </c>
    </row>
    <row r="26" spans="1:106">
      <c r="A26" s="449" t="str">
        <f>A16</f>
        <v>AMC Cost of HR Software, Tally Software, CCTV</v>
      </c>
      <c r="B26" s="450" t="s">
        <v>556</v>
      </c>
      <c r="C26" s="450" t="s">
        <v>557</v>
      </c>
      <c r="D26" s="450" t="s">
        <v>577</v>
      </c>
      <c r="E26" s="375">
        <v>12272</v>
      </c>
      <c r="F26" s="375">
        <v>12272</v>
      </c>
      <c r="G26" s="375">
        <v>12272</v>
      </c>
      <c r="H26" s="375">
        <v>12272</v>
      </c>
      <c r="I26" s="375">
        <v>12272</v>
      </c>
      <c r="J26" s="375">
        <v>12272</v>
      </c>
      <c r="K26" s="375">
        <v>12272</v>
      </c>
      <c r="L26" s="375">
        <v>12272</v>
      </c>
      <c r="M26" s="375">
        <v>12272</v>
      </c>
      <c r="N26" s="375">
        <v>12272</v>
      </c>
      <c r="O26" s="375">
        <v>12762.880000000001</v>
      </c>
      <c r="P26" s="375">
        <v>12762.880000000001</v>
      </c>
      <c r="Q26" s="375">
        <v>12762.880000000001</v>
      </c>
      <c r="R26" s="375">
        <v>12762.880000000001</v>
      </c>
      <c r="S26" s="375">
        <v>12762.880000000001</v>
      </c>
      <c r="T26" s="375">
        <v>12762.880000000001</v>
      </c>
      <c r="U26" s="375">
        <v>12762.880000000001</v>
      </c>
      <c r="V26" s="375">
        <v>12762.880000000001</v>
      </c>
      <c r="W26" s="375">
        <v>12762.880000000001</v>
      </c>
      <c r="X26" s="375">
        <v>12762.880000000001</v>
      </c>
      <c r="Y26" s="375">
        <v>12762.880000000001</v>
      </c>
      <c r="Z26" s="375">
        <v>12762.880000000001</v>
      </c>
      <c r="AA26" s="375">
        <v>13273.395200000001</v>
      </c>
      <c r="AB26" s="375">
        <v>13273.395200000001</v>
      </c>
      <c r="AC26" s="375">
        <v>13273.395200000001</v>
      </c>
      <c r="AD26" s="375">
        <v>13273.395200000001</v>
      </c>
      <c r="AE26" s="375">
        <v>13273.395200000001</v>
      </c>
      <c r="AF26" s="375">
        <v>13273.395200000001</v>
      </c>
      <c r="AG26" s="375">
        <v>13273.395200000001</v>
      </c>
      <c r="AH26" s="375">
        <v>13273.395200000001</v>
      </c>
      <c r="AI26" s="375">
        <v>13273.395200000001</v>
      </c>
      <c r="AJ26" s="375">
        <v>13273.395200000001</v>
      </c>
      <c r="AK26" s="375">
        <v>13273.395200000001</v>
      </c>
      <c r="AL26" s="375">
        <v>13273.395200000001</v>
      </c>
      <c r="AM26" s="375">
        <v>13804.331008000001</v>
      </c>
      <c r="AN26" s="375">
        <v>13804.331008000001</v>
      </c>
      <c r="AO26" s="375">
        <v>13804.331008000001</v>
      </c>
      <c r="AP26" s="375">
        <v>13804.331008000001</v>
      </c>
      <c r="AQ26" s="375">
        <v>13804.331008000001</v>
      </c>
      <c r="AR26" s="375">
        <v>13804.331008000001</v>
      </c>
      <c r="AS26" s="375">
        <v>13804.331008000001</v>
      </c>
      <c r="AT26" s="375">
        <v>13804.331008000001</v>
      </c>
      <c r="AU26" s="375">
        <v>13804.331008000001</v>
      </c>
      <c r="AV26" s="375">
        <v>13804.331008000001</v>
      </c>
      <c r="AW26" s="375">
        <v>13804.331008000001</v>
      </c>
      <c r="AX26" s="375">
        <v>13804.331008000001</v>
      </c>
      <c r="AY26" s="375">
        <v>14356.504248320001</v>
      </c>
      <c r="AZ26" s="375">
        <v>14356.504248320001</v>
      </c>
      <c r="BA26" s="375">
        <v>14356.504248320001</v>
      </c>
      <c r="BB26" s="375">
        <v>14356.504248320001</v>
      </c>
      <c r="BC26" s="375">
        <v>14356.504248320001</v>
      </c>
      <c r="BD26" s="375">
        <v>14356.504248320001</v>
      </c>
      <c r="BE26" s="375">
        <v>14356.504248320001</v>
      </c>
      <c r="BF26" s="375">
        <v>14356.504248320001</v>
      </c>
      <c r="BG26" s="375">
        <v>14356.504248320001</v>
      </c>
      <c r="BH26" s="375">
        <v>14356.504248320001</v>
      </c>
      <c r="BI26" s="375">
        <v>14356.504248320001</v>
      </c>
      <c r="BJ26" s="375">
        <v>14356.504248320001</v>
      </c>
      <c r="BK26" s="375">
        <v>14930.764418252802</v>
      </c>
      <c r="BL26" s="375">
        <v>14930.764418252802</v>
      </c>
      <c r="BM26" s="375">
        <v>14930.764418252802</v>
      </c>
      <c r="BN26" s="375">
        <v>14930.764418252802</v>
      </c>
      <c r="BO26" s="375">
        <v>14930.764418252802</v>
      </c>
      <c r="BP26" s="375">
        <v>14930.764418252802</v>
      </c>
      <c r="BQ26" s="375">
        <v>14930.764418252802</v>
      </c>
      <c r="BR26" s="375">
        <v>14930.764418252802</v>
      </c>
      <c r="BS26" s="375">
        <v>14930.764418252802</v>
      </c>
      <c r="BT26" s="375">
        <v>14930.764418252802</v>
      </c>
      <c r="BU26" s="375">
        <v>14930.764418252802</v>
      </c>
      <c r="BV26" s="375">
        <v>14930.764418252802</v>
      </c>
      <c r="BW26" s="375">
        <v>15527.994994982915</v>
      </c>
      <c r="BX26" s="375">
        <v>15527.994994982915</v>
      </c>
      <c r="BY26" s="375">
        <v>15527.994994982915</v>
      </c>
      <c r="BZ26" s="375">
        <v>15527.994994982915</v>
      </c>
      <c r="CA26" s="375">
        <v>15527.994994982915</v>
      </c>
      <c r="CB26" s="375">
        <v>15527.994994982915</v>
      </c>
      <c r="CC26" s="375">
        <v>15527.994994982915</v>
      </c>
      <c r="CD26" s="375">
        <v>15527.994994982915</v>
      </c>
      <c r="CE26" s="375">
        <v>15527.994994982915</v>
      </c>
      <c r="CF26" s="375">
        <v>15527.994994982915</v>
      </c>
      <c r="CG26" s="375">
        <v>15527.994994982915</v>
      </c>
      <c r="CH26" s="375">
        <v>15527.994994982915</v>
      </c>
      <c r="CI26" s="375">
        <v>16149.114794782232</v>
      </c>
      <c r="CJ26" s="375">
        <v>16149.114794782232</v>
      </c>
      <c r="CK26" s="375">
        <v>16149.114794782232</v>
      </c>
      <c r="CL26" s="375">
        <v>16149.114794782232</v>
      </c>
      <c r="CM26" s="375">
        <v>16149.114794782232</v>
      </c>
      <c r="CN26" s="375">
        <v>16149.114794782232</v>
      </c>
      <c r="CO26" s="375">
        <v>16149.114794782232</v>
      </c>
      <c r="CP26" s="375">
        <v>16149.114794782232</v>
      </c>
      <c r="CQ26" s="375">
        <v>16149.114794782232</v>
      </c>
      <c r="CR26" s="375">
        <v>16149.114794782232</v>
      </c>
      <c r="CS26" s="375">
        <v>16149.114794782232</v>
      </c>
      <c r="CT26" s="375">
        <v>16149.114794782232</v>
      </c>
      <c r="CU26" s="375">
        <v>16795.079386573521</v>
      </c>
      <c r="CV26" s="375">
        <v>16795.079386573521</v>
      </c>
      <c r="CW26" s="375">
        <v>16795.079386573521</v>
      </c>
      <c r="CX26" s="375">
        <v>16795.079386573521</v>
      </c>
      <c r="CY26" s="375">
        <v>16795.079386573521</v>
      </c>
      <c r="CZ26" s="375">
        <v>16795.079386573521</v>
      </c>
      <c r="DA26" s="375">
        <v>16795.079386573521</v>
      </c>
      <c r="DB26" s="375">
        <v>16795.079386573521</v>
      </c>
    </row>
    <row r="27" spans="1:106">
      <c r="A27" s="449" t="str">
        <f>A17</f>
        <v>Desktop Rentals</v>
      </c>
      <c r="B27" s="450" t="s">
        <v>556</v>
      </c>
      <c r="C27" s="450" t="s">
        <v>557</v>
      </c>
      <c r="D27" s="450" t="s">
        <v>577</v>
      </c>
      <c r="E27" s="375">
        <v>39816</v>
      </c>
      <c r="F27" s="375">
        <v>39816</v>
      </c>
      <c r="G27" s="375">
        <v>39816</v>
      </c>
      <c r="H27" s="375">
        <v>39816</v>
      </c>
      <c r="I27" s="375">
        <v>39816</v>
      </c>
      <c r="J27" s="375">
        <v>39816</v>
      </c>
      <c r="K27" s="375">
        <v>39816</v>
      </c>
      <c r="L27" s="375">
        <v>39816</v>
      </c>
      <c r="M27" s="375">
        <v>39816</v>
      </c>
      <c r="N27" s="375">
        <v>39816</v>
      </c>
      <c r="O27" s="375">
        <v>41408.639999999999</v>
      </c>
      <c r="P27" s="375">
        <v>41408.639999999999</v>
      </c>
      <c r="Q27" s="375">
        <v>23408.639999999999</v>
      </c>
      <c r="R27" s="375">
        <v>23408.639999999999</v>
      </c>
      <c r="S27" s="375">
        <v>23408.639999999999</v>
      </c>
      <c r="T27" s="375">
        <v>23408.639999999999</v>
      </c>
      <c r="U27" s="375">
        <v>23408.639999999999</v>
      </c>
      <c r="V27" s="375">
        <v>23408.639999999999</v>
      </c>
      <c r="W27" s="375">
        <v>23408.639999999999</v>
      </c>
      <c r="X27" s="375">
        <v>23408.639999999999</v>
      </c>
      <c r="Y27" s="375">
        <v>23408.639999999999</v>
      </c>
      <c r="Z27" s="375">
        <v>23408.639999999999</v>
      </c>
      <c r="AA27" s="375">
        <v>24344.9856</v>
      </c>
      <c r="AB27" s="375">
        <v>24344.9856</v>
      </c>
      <c r="AC27" s="375">
        <v>24344.9856</v>
      </c>
      <c r="AD27" s="375">
        <v>24344.9856</v>
      </c>
      <c r="AE27" s="375">
        <v>24344.9856</v>
      </c>
      <c r="AF27" s="375">
        <v>24344.9856</v>
      </c>
      <c r="AG27" s="375">
        <v>24344.9856</v>
      </c>
      <c r="AH27" s="375">
        <v>24344.9856</v>
      </c>
      <c r="AI27" s="375">
        <v>24344.9856</v>
      </c>
      <c r="AJ27" s="375">
        <v>24344.9856</v>
      </c>
      <c r="AK27" s="375">
        <v>24344.9856</v>
      </c>
      <c r="AL27" s="375">
        <v>24344.9856</v>
      </c>
      <c r="AM27" s="375">
        <v>25318.785024000001</v>
      </c>
      <c r="AN27" s="375">
        <v>25318.785024000001</v>
      </c>
      <c r="AO27" s="375">
        <v>25318.785024000001</v>
      </c>
      <c r="AP27" s="375">
        <v>25318.785024000001</v>
      </c>
      <c r="AQ27" s="375">
        <v>25318.785024000001</v>
      </c>
      <c r="AR27" s="375">
        <v>25318.785024000001</v>
      </c>
      <c r="AS27" s="375">
        <v>25318.785024000001</v>
      </c>
      <c r="AT27" s="375">
        <v>25318.785024000001</v>
      </c>
      <c r="AU27" s="375">
        <v>25318.785024000001</v>
      </c>
      <c r="AV27" s="375">
        <v>25318.785024000001</v>
      </c>
      <c r="AW27" s="375">
        <v>25318.785024000001</v>
      </c>
      <c r="AX27" s="375">
        <v>25318.785024000001</v>
      </c>
      <c r="AY27" s="375">
        <v>26331.536424960002</v>
      </c>
      <c r="AZ27" s="375">
        <v>26331.536424960002</v>
      </c>
      <c r="BA27" s="375">
        <v>26331.536424960002</v>
      </c>
      <c r="BB27" s="375">
        <v>26331.536424960002</v>
      </c>
      <c r="BC27" s="375">
        <v>26331.536424960002</v>
      </c>
      <c r="BD27" s="375">
        <v>26331.536424960002</v>
      </c>
      <c r="BE27" s="375">
        <v>26331.536424960002</v>
      </c>
      <c r="BF27" s="375">
        <v>26331.536424960002</v>
      </c>
      <c r="BG27" s="375">
        <v>26331.536424960002</v>
      </c>
      <c r="BH27" s="375">
        <v>26331.536424960002</v>
      </c>
      <c r="BI27" s="375">
        <v>26331.536424960002</v>
      </c>
      <c r="BJ27" s="375">
        <v>26331.536424960002</v>
      </c>
      <c r="BK27" s="375">
        <v>27384.797881958402</v>
      </c>
      <c r="BL27" s="375">
        <v>27384.797881958402</v>
      </c>
      <c r="BM27" s="375">
        <v>27384.797881958402</v>
      </c>
      <c r="BN27" s="375">
        <v>27384.797881958402</v>
      </c>
      <c r="BO27" s="375">
        <v>27384.797881958402</v>
      </c>
      <c r="BP27" s="375">
        <v>27384.797881958402</v>
      </c>
      <c r="BQ27" s="375">
        <v>27384.797881958402</v>
      </c>
      <c r="BR27" s="375">
        <v>27384.797881958402</v>
      </c>
      <c r="BS27" s="375">
        <v>27384.797881958402</v>
      </c>
      <c r="BT27" s="375">
        <v>27384.797881958402</v>
      </c>
      <c r="BU27" s="375">
        <v>27384.797881958402</v>
      </c>
      <c r="BV27" s="375">
        <v>27384.797881958402</v>
      </c>
      <c r="BW27" s="375">
        <v>28480.189797236741</v>
      </c>
      <c r="BX27" s="375">
        <v>28480.189797236741</v>
      </c>
      <c r="BY27" s="375">
        <v>28480.189797236741</v>
      </c>
      <c r="BZ27" s="375">
        <v>28480.189797236741</v>
      </c>
      <c r="CA27" s="375">
        <v>28480.189797236741</v>
      </c>
      <c r="CB27" s="375">
        <v>28480.189797236741</v>
      </c>
      <c r="CC27" s="375">
        <v>28480.189797236741</v>
      </c>
      <c r="CD27" s="375">
        <v>28480.189797236741</v>
      </c>
      <c r="CE27" s="375">
        <v>28480.189797236741</v>
      </c>
      <c r="CF27" s="375">
        <v>28480.189797236741</v>
      </c>
      <c r="CG27" s="375">
        <v>28480.189797236741</v>
      </c>
      <c r="CH27" s="375">
        <v>28480.189797236741</v>
      </c>
      <c r="CI27" s="375">
        <v>29619.39738912621</v>
      </c>
      <c r="CJ27" s="375">
        <v>29619.39738912621</v>
      </c>
      <c r="CK27" s="375">
        <v>29619.39738912621</v>
      </c>
      <c r="CL27" s="375">
        <v>29619.39738912621</v>
      </c>
      <c r="CM27" s="375">
        <v>29619.39738912621</v>
      </c>
      <c r="CN27" s="375">
        <v>29619.39738912621</v>
      </c>
      <c r="CO27" s="375">
        <v>29619.39738912621</v>
      </c>
      <c r="CP27" s="375">
        <v>29619.39738912621</v>
      </c>
      <c r="CQ27" s="375">
        <v>29619.39738912621</v>
      </c>
      <c r="CR27" s="375">
        <v>29619.39738912621</v>
      </c>
      <c r="CS27" s="375">
        <v>29619.39738912621</v>
      </c>
      <c r="CT27" s="375">
        <v>29619.39738912621</v>
      </c>
      <c r="CU27" s="375">
        <v>30804.17328469126</v>
      </c>
      <c r="CV27" s="375">
        <v>30804.17328469126</v>
      </c>
      <c r="CW27" s="375">
        <v>30804.17328469126</v>
      </c>
      <c r="CX27" s="375">
        <v>30804.17328469126</v>
      </c>
      <c r="CY27" s="375">
        <v>30804.17328469126</v>
      </c>
      <c r="CZ27" s="375">
        <v>30804.17328469126</v>
      </c>
      <c r="DA27" s="375">
        <v>30804.17328469126</v>
      </c>
      <c r="DB27" s="375">
        <v>30804.17328469126</v>
      </c>
    </row>
    <row r="28" spans="1:106">
      <c r="A28" s="449"/>
      <c r="B28" s="450"/>
      <c r="C28" s="450"/>
      <c r="D28" s="450"/>
    </row>
    <row r="29" spans="1:106">
      <c r="A29" s="449" t="str">
        <f>A19</f>
        <v xml:space="preserve">NWS Corporate Web Site </v>
      </c>
      <c r="B29" s="450" t="s">
        <v>556</v>
      </c>
      <c r="C29" s="450" t="s">
        <v>557</v>
      </c>
      <c r="D29" s="450" t="s">
        <v>504</v>
      </c>
      <c r="E29" s="451">
        <f t="shared" ref="E29:BP29" si="1">E3*E19</f>
        <v>0</v>
      </c>
      <c r="F29" s="451">
        <f t="shared" si="1"/>
        <v>0</v>
      </c>
      <c r="G29" s="451">
        <f t="shared" si="1"/>
        <v>0</v>
      </c>
      <c r="H29" s="451">
        <f t="shared" si="1"/>
        <v>0</v>
      </c>
      <c r="I29" s="451">
        <f t="shared" si="1"/>
        <v>0</v>
      </c>
      <c r="J29" s="451">
        <f t="shared" si="1"/>
        <v>0</v>
      </c>
      <c r="K29" s="451">
        <f t="shared" si="1"/>
        <v>0</v>
      </c>
      <c r="L29" s="451">
        <f t="shared" si="1"/>
        <v>0</v>
      </c>
      <c r="M29" s="451">
        <f t="shared" si="1"/>
        <v>36816</v>
      </c>
      <c r="N29" s="451">
        <f t="shared" si="1"/>
        <v>0</v>
      </c>
      <c r="O29" s="451">
        <f t="shared" si="1"/>
        <v>0</v>
      </c>
      <c r="P29" s="451">
        <f t="shared" si="1"/>
        <v>0</v>
      </c>
      <c r="Q29" s="451">
        <f t="shared" si="1"/>
        <v>0</v>
      </c>
      <c r="R29" s="451">
        <f t="shared" si="1"/>
        <v>0</v>
      </c>
      <c r="S29" s="451">
        <f t="shared" si="1"/>
        <v>0</v>
      </c>
      <c r="T29" s="451">
        <f t="shared" si="1"/>
        <v>0</v>
      </c>
      <c r="U29" s="451">
        <f t="shared" si="1"/>
        <v>0</v>
      </c>
      <c r="V29" s="451">
        <f t="shared" si="1"/>
        <v>0</v>
      </c>
      <c r="W29" s="451">
        <f t="shared" si="1"/>
        <v>0</v>
      </c>
      <c r="X29" s="451">
        <f t="shared" si="1"/>
        <v>0</v>
      </c>
      <c r="Y29" s="451">
        <f t="shared" si="1"/>
        <v>38288.639999999999</v>
      </c>
      <c r="Z29" s="451">
        <f t="shared" si="1"/>
        <v>0</v>
      </c>
      <c r="AA29" s="451">
        <f t="shared" si="1"/>
        <v>0</v>
      </c>
      <c r="AB29" s="451">
        <f t="shared" si="1"/>
        <v>0</v>
      </c>
      <c r="AC29" s="451">
        <f t="shared" si="1"/>
        <v>0</v>
      </c>
      <c r="AD29" s="451">
        <f t="shared" si="1"/>
        <v>0</v>
      </c>
      <c r="AE29" s="451">
        <f t="shared" si="1"/>
        <v>0</v>
      </c>
      <c r="AF29" s="451">
        <f t="shared" si="1"/>
        <v>0</v>
      </c>
      <c r="AG29" s="451">
        <f t="shared" si="1"/>
        <v>0</v>
      </c>
      <c r="AH29" s="451">
        <f t="shared" si="1"/>
        <v>0</v>
      </c>
      <c r="AI29" s="451">
        <f t="shared" si="1"/>
        <v>0</v>
      </c>
      <c r="AJ29" s="451">
        <f t="shared" si="1"/>
        <v>0</v>
      </c>
      <c r="AK29" s="451">
        <f t="shared" si="1"/>
        <v>39820.185600000004</v>
      </c>
      <c r="AL29" s="451">
        <f t="shared" si="1"/>
        <v>0</v>
      </c>
      <c r="AM29" s="451">
        <f t="shared" si="1"/>
        <v>0</v>
      </c>
      <c r="AN29" s="451">
        <f t="shared" si="1"/>
        <v>0</v>
      </c>
      <c r="AO29" s="451">
        <f t="shared" si="1"/>
        <v>0</v>
      </c>
      <c r="AP29" s="451">
        <f t="shared" si="1"/>
        <v>0</v>
      </c>
      <c r="AQ29" s="451">
        <f t="shared" si="1"/>
        <v>0</v>
      </c>
      <c r="AR29" s="451">
        <f t="shared" si="1"/>
        <v>0</v>
      </c>
      <c r="AS29" s="451">
        <f t="shared" si="1"/>
        <v>0</v>
      </c>
      <c r="AT29" s="451">
        <f t="shared" si="1"/>
        <v>0</v>
      </c>
      <c r="AU29" s="451">
        <f t="shared" si="1"/>
        <v>0</v>
      </c>
      <c r="AV29" s="451">
        <f t="shared" si="1"/>
        <v>0</v>
      </c>
      <c r="AW29" s="451">
        <f t="shared" si="1"/>
        <v>41412.993024000003</v>
      </c>
      <c r="AX29" s="451">
        <f t="shared" si="1"/>
        <v>0</v>
      </c>
      <c r="AY29" s="451">
        <f t="shared" si="1"/>
        <v>0</v>
      </c>
      <c r="AZ29" s="451">
        <f t="shared" si="1"/>
        <v>0</v>
      </c>
      <c r="BA29" s="451">
        <f t="shared" si="1"/>
        <v>0</v>
      </c>
      <c r="BB29" s="451">
        <f t="shared" si="1"/>
        <v>0</v>
      </c>
      <c r="BC29" s="451">
        <f t="shared" si="1"/>
        <v>0</v>
      </c>
      <c r="BD29" s="451">
        <f t="shared" si="1"/>
        <v>0</v>
      </c>
      <c r="BE29" s="451">
        <f t="shared" si="1"/>
        <v>0</v>
      </c>
      <c r="BF29" s="451">
        <f t="shared" si="1"/>
        <v>0</v>
      </c>
      <c r="BG29" s="451">
        <f t="shared" si="1"/>
        <v>0</v>
      </c>
      <c r="BH29" s="451">
        <f t="shared" si="1"/>
        <v>0</v>
      </c>
      <c r="BI29" s="451">
        <f t="shared" si="1"/>
        <v>43069.512744960004</v>
      </c>
      <c r="BJ29" s="451">
        <f t="shared" si="1"/>
        <v>0</v>
      </c>
      <c r="BK29" s="451">
        <f t="shared" si="1"/>
        <v>0</v>
      </c>
      <c r="BL29" s="451">
        <f t="shared" si="1"/>
        <v>0</v>
      </c>
      <c r="BM29" s="451">
        <f t="shared" si="1"/>
        <v>0</v>
      </c>
      <c r="BN29" s="451">
        <f t="shared" si="1"/>
        <v>0</v>
      </c>
      <c r="BO29" s="451">
        <f t="shared" si="1"/>
        <v>0</v>
      </c>
      <c r="BP29" s="451">
        <f t="shared" si="1"/>
        <v>0</v>
      </c>
      <c r="BQ29" s="451">
        <f t="shared" ref="BQ29:DB29" si="2">BQ3*BQ19</f>
        <v>0</v>
      </c>
      <c r="BR29" s="451">
        <f t="shared" si="2"/>
        <v>0</v>
      </c>
      <c r="BS29" s="451">
        <f t="shared" si="2"/>
        <v>0</v>
      </c>
      <c r="BT29" s="451">
        <f t="shared" si="2"/>
        <v>0</v>
      </c>
      <c r="BU29" s="451">
        <f t="shared" si="2"/>
        <v>44792.293254758406</v>
      </c>
      <c r="BV29" s="451">
        <f t="shared" si="2"/>
        <v>0</v>
      </c>
      <c r="BW29" s="451">
        <f t="shared" si="2"/>
        <v>0</v>
      </c>
      <c r="BX29" s="451">
        <f t="shared" si="2"/>
        <v>0</v>
      </c>
      <c r="BY29" s="451">
        <f t="shared" si="2"/>
        <v>0</v>
      </c>
      <c r="BZ29" s="451">
        <f t="shared" si="2"/>
        <v>0</v>
      </c>
      <c r="CA29" s="451">
        <f t="shared" si="2"/>
        <v>0</v>
      </c>
      <c r="CB29" s="451">
        <f t="shared" si="2"/>
        <v>0</v>
      </c>
      <c r="CC29" s="451">
        <f t="shared" si="2"/>
        <v>0</v>
      </c>
      <c r="CD29" s="451">
        <f t="shared" si="2"/>
        <v>0</v>
      </c>
      <c r="CE29" s="451">
        <f t="shared" si="2"/>
        <v>0</v>
      </c>
      <c r="CF29" s="451">
        <f t="shared" si="2"/>
        <v>0</v>
      </c>
      <c r="CG29" s="451">
        <f t="shared" si="2"/>
        <v>46583.984984948744</v>
      </c>
      <c r="CH29" s="451">
        <f t="shared" si="2"/>
        <v>0</v>
      </c>
      <c r="CI29" s="451">
        <f t="shared" si="2"/>
        <v>0</v>
      </c>
      <c r="CJ29" s="451">
        <f t="shared" si="2"/>
        <v>0</v>
      </c>
      <c r="CK29" s="451">
        <f t="shared" si="2"/>
        <v>0</v>
      </c>
      <c r="CL29" s="451">
        <f t="shared" si="2"/>
        <v>0</v>
      </c>
      <c r="CM29" s="451">
        <f t="shared" si="2"/>
        <v>0</v>
      </c>
      <c r="CN29" s="451">
        <f t="shared" si="2"/>
        <v>0</v>
      </c>
      <c r="CO29" s="451">
        <f t="shared" si="2"/>
        <v>0</v>
      </c>
      <c r="CP29" s="451">
        <f t="shared" si="2"/>
        <v>0</v>
      </c>
      <c r="CQ29" s="451">
        <f t="shared" si="2"/>
        <v>0</v>
      </c>
      <c r="CR29" s="451">
        <f t="shared" si="2"/>
        <v>0</v>
      </c>
      <c r="CS29" s="451">
        <f t="shared" si="2"/>
        <v>48447.344384346696</v>
      </c>
      <c r="CT29" s="451">
        <f t="shared" si="2"/>
        <v>0</v>
      </c>
      <c r="CU29" s="451">
        <f t="shared" si="2"/>
        <v>0</v>
      </c>
      <c r="CV29" s="451">
        <f t="shared" si="2"/>
        <v>0</v>
      </c>
      <c r="CW29" s="451">
        <f t="shared" si="2"/>
        <v>0</v>
      </c>
      <c r="CX29" s="451">
        <f t="shared" si="2"/>
        <v>0</v>
      </c>
      <c r="CY29" s="451">
        <f t="shared" si="2"/>
        <v>0</v>
      </c>
      <c r="CZ29" s="451">
        <f t="shared" si="2"/>
        <v>0</v>
      </c>
      <c r="DA29" s="451">
        <f t="shared" si="2"/>
        <v>0</v>
      </c>
      <c r="DB29" s="451">
        <f t="shared" si="2"/>
        <v>0</v>
      </c>
    </row>
    <row r="30" spans="1:106">
      <c r="A30" s="449" t="str">
        <f>A20</f>
        <v>Repairs &amp; Maintenance Laptops &amp; Desktops</v>
      </c>
      <c r="B30" s="450" t="s">
        <v>556</v>
      </c>
      <c r="C30" s="450" t="s">
        <v>565</v>
      </c>
      <c r="D30" s="450" t="s">
        <v>504</v>
      </c>
      <c r="E30" s="451">
        <f t="shared" ref="E30:BP32" si="3">E8*E20</f>
        <v>19942</v>
      </c>
      <c r="F30" s="451">
        <f t="shared" si="3"/>
        <v>19942</v>
      </c>
      <c r="G30" s="451">
        <f t="shared" si="3"/>
        <v>19942</v>
      </c>
      <c r="H30" s="451">
        <f t="shared" si="3"/>
        <v>19942</v>
      </c>
      <c r="I30" s="451">
        <f t="shared" si="3"/>
        <v>19942</v>
      </c>
      <c r="J30" s="451">
        <f t="shared" si="3"/>
        <v>19942</v>
      </c>
      <c r="K30" s="451">
        <f t="shared" si="3"/>
        <v>19942</v>
      </c>
      <c r="L30" s="451">
        <f t="shared" si="3"/>
        <v>19942</v>
      </c>
      <c r="M30" s="451">
        <f t="shared" si="3"/>
        <v>19942</v>
      </c>
      <c r="N30" s="451">
        <f t="shared" si="3"/>
        <v>19942</v>
      </c>
      <c r="O30" s="451">
        <f t="shared" si="3"/>
        <v>20739.68</v>
      </c>
      <c r="P30" s="451">
        <f t="shared" si="3"/>
        <v>20739.68</v>
      </c>
      <c r="Q30" s="451">
        <f t="shared" si="3"/>
        <v>20739.68</v>
      </c>
      <c r="R30" s="451">
        <f t="shared" si="3"/>
        <v>20739.68</v>
      </c>
      <c r="S30" s="451">
        <f t="shared" si="3"/>
        <v>20739.68</v>
      </c>
      <c r="T30" s="451">
        <f t="shared" si="3"/>
        <v>20739.68</v>
      </c>
      <c r="U30" s="451">
        <f t="shared" si="3"/>
        <v>20739.68</v>
      </c>
      <c r="V30" s="451">
        <f t="shared" si="3"/>
        <v>20739.68</v>
      </c>
      <c r="W30" s="451">
        <f t="shared" si="3"/>
        <v>20739.68</v>
      </c>
      <c r="X30" s="451">
        <f t="shared" si="3"/>
        <v>20739.68</v>
      </c>
      <c r="Y30" s="451">
        <f t="shared" si="3"/>
        <v>20739.68</v>
      </c>
      <c r="Z30" s="451">
        <f t="shared" si="3"/>
        <v>20739.68</v>
      </c>
      <c r="AA30" s="451">
        <f t="shared" si="3"/>
        <v>21569.267199999998</v>
      </c>
      <c r="AB30" s="451">
        <f t="shared" si="3"/>
        <v>21569.267199999998</v>
      </c>
      <c r="AC30" s="451">
        <f t="shared" si="3"/>
        <v>21569.267199999998</v>
      </c>
      <c r="AD30" s="451">
        <f t="shared" si="3"/>
        <v>21569.267199999998</v>
      </c>
      <c r="AE30" s="451">
        <f t="shared" si="3"/>
        <v>21569.267199999998</v>
      </c>
      <c r="AF30" s="451">
        <f t="shared" si="3"/>
        <v>21569.267199999998</v>
      </c>
      <c r="AG30" s="451">
        <f t="shared" si="3"/>
        <v>21569.267199999998</v>
      </c>
      <c r="AH30" s="451">
        <f t="shared" si="3"/>
        <v>21569.267199999998</v>
      </c>
      <c r="AI30" s="451">
        <f t="shared" si="3"/>
        <v>21569.267199999998</v>
      </c>
      <c r="AJ30" s="451">
        <f t="shared" si="3"/>
        <v>21569.267199999998</v>
      </c>
      <c r="AK30" s="451">
        <f t="shared" si="3"/>
        <v>21569.267199999998</v>
      </c>
      <c r="AL30" s="451">
        <f t="shared" si="3"/>
        <v>21569.267199999998</v>
      </c>
      <c r="AM30" s="451">
        <f t="shared" si="3"/>
        <v>22432.037888000003</v>
      </c>
      <c r="AN30" s="451">
        <f t="shared" si="3"/>
        <v>22432.037888000003</v>
      </c>
      <c r="AO30" s="451">
        <f t="shared" si="3"/>
        <v>22432.037888000003</v>
      </c>
      <c r="AP30" s="451">
        <f t="shared" si="3"/>
        <v>22432.037888000003</v>
      </c>
      <c r="AQ30" s="451">
        <f t="shared" si="3"/>
        <v>22432.037888000003</v>
      </c>
      <c r="AR30" s="451">
        <f t="shared" si="3"/>
        <v>22432.037888000003</v>
      </c>
      <c r="AS30" s="451">
        <f t="shared" si="3"/>
        <v>22432.037888000003</v>
      </c>
      <c r="AT30" s="451">
        <f t="shared" si="3"/>
        <v>22432.037888000003</v>
      </c>
      <c r="AU30" s="451">
        <f t="shared" si="3"/>
        <v>22432.037888000003</v>
      </c>
      <c r="AV30" s="451">
        <f t="shared" si="3"/>
        <v>22432.037888000003</v>
      </c>
      <c r="AW30" s="451">
        <f t="shared" si="3"/>
        <v>22432.037888000003</v>
      </c>
      <c r="AX30" s="451">
        <f t="shared" si="3"/>
        <v>22432.037888000003</v>
      </c>
      <c r="AY30" s="451">
        <f t="shared" si="3"/>
        <v>23329.319403520003</v>
      </c>
      <c r="AZ30" s="451">
        <f t="shared" si="3"/>
        <v>23329.319403520003</v>
      </c>
      <c r="BA30" s="451">
        <f t="shared" si="3"/>
        <v>23329.319403520003</v>
      </c>
      <c r="BB30" s="451">
        <f t="shared" si="3"/>
        <v>23329.319403520003</v>
      </c>
      <c r="BC30" s="451">
        <f t="shared" si="3"/>
        <v>23329.319403520003</v>
      </c>
      <c r="BD30" s="451">
        <f t="shared" si="3"/>
        <v>23329.319403520003</v>
      </c>
      <c r="BE30" s="451">
        <f t="shared" si="3"/>
        <v>23329.319403520003</v>
      </c>
      <c r="BF30" s="451">
        <f t="shared" si="3"/>
        <v>23329.319403520003</v>
      </c>
      <c r="BG30" s="451">
        <f t="shared" si="3"/>
        <v>23329.319403520003</v>
      </c>
      <c r="BH30" s="451">
        <f t="shared" si="3"/>
        <v>23329.319403520003</v>
      </c>
      <c r="BI30" s="451">
        <f t="shared" si="3"/>
        <v>23329.319403520003</v>
      </c>
      <c r="BJ30" s="451">
        <f t="shared" si="3"/>
        <v>23329.319403520003</v>
      </c>
      <c r="BK30" s="451">
        <f t="shared" si="3"/>
        <v>24262.492179660803</v>
      </c>
      <c r="BL30" s="451">
        <f t="shared" si="3"/>
        <v>24262.492179660803</v>
      </c>
      <c r="BM30" s="451">
        <f t="shared" si="3"/>
        <v>24262.492179660803</v>
      </c>
      <c r="BN30" s="451">
        <f t="shared" si="3"/>
        <v>24262.492179660803</v>
      </c>
      <c r="BO30" s="451">
        <f t="shared" si="3"/>
        <v>24262.492179660803</v>
      </c>
      <c r="BP30" s="451">
        <f t="shared" si="3"/>
        <v>24262.492179660803</v>
      </c>
      <c r="BQ30" s="451">
        <f t="shared" ref="BQ30:DB32" si="4">BQ8*BQ20</f>
        <v>24262.492179660803</v>
      </c>
      <c r="BR30" s="451">
        <f t="shared" si="4"/>
        <v>24262.492179660803</v>
      </c>
      <c r="BS30" s="451">
        <f t="shared" si="4"/>
        <v>24262.492179660803</v>
      </c>
      <c r="BT30" s="451">
        <f t="shared" si="4"/>
        <v>24262.492179660803</v>
      </c>
      <c r="BU30" s="451">
        <f t="shared" si="4"/>
        <v>24262.492179660803</v>
      </c>
      <c r="BV30" s="451">
        <f t="shared" si="4"/>
        <v>24262.492179660803</v>
      </c>
      <c r="BW30" s="451">
        <f t="shared" si="4"/>
        <v>25232.991866847235</v>
      </c>
      <c r="BX30" s="451">
        <f t="shared" si="4"/>
        <v>25232.991866847235</v>
      </c>
      <c r="BY30" s="451">
        <f t="shared" si="4"/>
        <v>25232.991866847235</v>
      </c>
      <c r="BZ30" s="451">
        <f t="shared" si="4"/>
        <v>25232.991866847235</v>
      </c>
      <c r="CA30" s="451">
        <f t="shared" si="4"/>
        <v>25232.991866847235</v>
      </c>
      <c r="CB30" s="451">
        <f t="shared" si="4"/>
        <v>25232.991866847235</v>
      </c>
      <c r="CC30" s="451">
        <f t="shared" si="4"/>
        <v>25232.991866847235</v>
      </c>
      <c r="CD30" s="451">
        <f t="shared" si="4"/>
        <v>25232.991866847235</v>
      </c>
      <c r="CE30" s="451">
        <f t="shared" si="4"/>
        <v>25232.991866847235</v>
      </c>
      <c r="CF30" s="451">
        <f t="shared" si="4"/>
        <v>25232.991866847235</v>
      </c>
      <c r="CG30" s="451">
        <f t="shared" si="4"/>
        <v>25232.991866847235</v>
      </c>
      <c r="CH30" s="451">
        <f t="shared" si="4"/>
        <v>25232.991866847235</v>
      </c>
      <c r="CI30" s="451">
        <f t="shared" si="4"/>
        <v>26242.311541521125</v>
      </c>
      <c r="CJ30" s="451">
        <f t="shared" si="4"/>
        <v>26242.311541521125</v>
      </c>
      <c r="CK30" s="451">
        <f t="shared" si="4"/>
        <v>26242.311541521125</v>
      </c>
      <c r="CL30" s="451">
        <f t="shared" si="4"/>
        <v>26242.311541521125</v>
      </c>
      <c r="CM30" s="451">
        <f t="shared" si="4"/>
        <v>26242.311541521125</v>
      </c>
      <c r="CN30" s="451">
        <f t="shared" si="4"/>
        <v>26242.311541521125</v>
      </c>
      <c r="CO30" s="451">
        <f t="shared" si="4"/>
        <v>26242.311541521125</v>
      </c>
      <c r="CP30" s="451">
        <f t="shared" si="4"/>
        <v>26242.311541521125</v>
      </c>
      <c r="CQ30" s="451">
        <f t="shared" si="4"/>
        <v>26242.311541521125</v>
      </c>
      <c r="CR30" s="451">
        <f t="shared" si="4"/>
        <v>26242.311541521125</v>
      </c>
      <c r="CS30" s="451">
        <f t="shared" si="4"/>
        <v>26242.311541521125</v>
      </c>
      <c r="CT30" s="451">
        <f t="shared" si="4"/>
        <v>26242.311541521125</v>
      </c>
      <c r="CU30" s="451">
        <f t="shared" si="4"/>
        <v>27292.00400318197</v>
      </c>
      <c r="CV30" s="451">
        <f t="shared" si="4"/>
        <v>27292.00400318197</v>
      </c>
      <c r="CW30" s="451">
        <f t="shared" si="4"/>
        <v>27292.00400318197</v>
      </c>
      <c r="CX30" s="451">
        <f t="shared" si="4"/>
        <v>27292.00400318197</v>
      </c>
      <c r="CY30" s="451">
        <f t="shared" si="4"/>
        <v>27292.00400318197</v>
      </c>
      <c r="CZ30" s="451">
        <f t="shared" si="4"/>
        <v>27292.00400318197</v>
      </c>
      <c r="DA30" s="451">
        <f t="shared" si="4"/>
        <v>27292.00400318197</v>
      </c>
      <c r="DB30" s="451">
        <f t="shared" si="4"/>
        <v>27292.00400318197</v>
      </c>
    </row>
    <row r="31" spans="1:106">
      <c r="A31" s="449" t="str">
        <f>A21</f>
        <v>Repairs &amp; Maintenance Printers &amp; Plotters</v>
      </c>
      <c r="B31" s="450" t="s">
        <v>556</v>
      </c>
      <c r="C31" s="450" t="s">
        <v>567</v>
      </c>
      <c r="D31" s="450" t="s">
        <v>504</v>
      </c>
      <c r="E31" s="451">
        <f t="shared" si="3"/>
        <v>11699.306666666665</v>
      </c>
      <c r="F31" s="451">
        <f t="shared" si="3"/>
        <v>11699.306666666665</v>
      </c>
      <c r="G31" s="451">
        <f t="shared" si="3"/>
        <v>11699.306666666665</v>
      </c>
      <c r="H31" s="451">
        <f t="shared" si="3"/>
        <v>11699.306666666665</v>
      </c>
      <c r="I31" s="451">
        <f t="shared" si="3"/>
        <v>11699.306666666665</v>
      </c>
      <c r="J31" s="451">
        <f t="shared" si="3"/>
        <v>11699.306666666665</v>
      </c>
      <c r="K31" s="451">
        <f t="shared" si="3"/>
        <v>11699.306666666665</v>
      </c>
      <c r="L31" s="451">
        <f t="shared" si="3"/>
        <v>11699.306666666665</v>
      </c>
      <c r="M31" s="451">
        <f t="shared" si="3"/>
        <v>11699.306666666665</v>
      </c>
      <c r="N31" s="451">
        <f t="shared" si="3"/>
        <v>11699.306666666665</v>
      </c>
      <c r="O31" s="451">
        <f t="shared" si="3"/>
        <v>12167.278933333331</v>
      </c>
      <c r="P31" s="451">
        <f t="shared" si="3"/>
        <v>12167.278933333331</v>
      </c>
      <c r="Q31" s="451">
        <f t="shared" si="3"/>
        <v>12167.278933333331</v>
      </c>
      <c r="R31" s="451">
        <f t="shared" si="3"/>
        <v>12167.278933333331</v>
      </c>
      <c r="S31" s="451">
        <f t="shared" si="3"/>
        <v>12167.278933333331</v>
      </c>
      <c r="T31" s="451">
        <f t="shared" si="3"/>
        <v>12167.278933333331</v>
      </c>
      <c r="U31" s="451">
        <f t="shared" si="3"/>
        <v>12167.278933333331</v>
      </c>
      <c r="V31" s="451">
        <f t="shared" si="3"/>
        <v>12167.278933333331</v>
      </c>
      <c r="W31" s="451">
        <f t="shared" si="3"/>
        <v>12167.278933333331</v>
      </c>
      <c r="X31" s="451">
        <f t="shared" si="3"/>
        <v>12167.278933333331</v>
      </c>
      <c r="Y31" s="451">
        <f t="shared" si="3"/>
        <v>12167.278933333331</v>
      </c>
      <c r="Z31" s="451">
        <f t="shared" si="3"/>
        <v>12167.278933333331</v>
      </c>
      <c r="AA31" s="451">
        <f t="shared" si="3"/>
        <v>12653.970090666666</v>
      </c>
      <c r="AB31" s="451">
        <f t="shared" si="3"/>
        <v>12653.970090666666</v>
      </c>
      <c r="AC31" s="451">
        <f t="shared" si="3"/>
        <v>12653.970090666666</v>
      </c>
      <c r="AD31" s="451">
        <f t="shared" si="3"/>
        <v>12653.970090666666</v>
      </c>
      <c r="AE31" s="451">
        <f t="shared" si="3"/>
        <v>12653.970090666666</v>
      </c>
      <c r="AF31" s="451">
        <f t="shared" si="3"/>
        <v>12653.970090666666</v>
      </c>
      <c r="AG31" s="451">
        <f t="shared" si="3"/>
        <v>12653.970090666666</v>
      </c>
      <c r="AH31" s="451">
        <f t="shared" si="3"/>
        <v>12653.970090666666</v>
      </c>
      <c r="AI31" s="451">
        <f t="shared" si="3"/>
        <v>12653.970090666666</v>
      </c>
      <c r="AJ31" s="451">
        <f t="shared" si="3"/>
        <v>12653.970090666666</v>
      </c>
      <c r="AK31" s="451">
        <f t="shared" si="3"/>
        <v>12653.970090666666</v>
      </c>
      <c r="AL31" s="451">
        <f t="shared" si="3"/>
        <v>12653.970090666666</v>
      </c>
      <c r="AM31" s="451">
        <f t="shared" si="3"/>
        <v>13160.128894293332</v>
      </c>
      <c r="AN31" s="451">
        <f t="shared" si="3"/>
        <v>13160.128894293332</v>
      </c>
      <c r="AO31" s="451">
        <f t="shared" si="3"/>
        <v>13160.128894293332</v>
      </c>
      <c r="AP31" s="451">
        <f t="shared" si="3"/>
        <v>13160.128894293332</v>
      </c>
      <c r="AQ31" s="451">
        <f t="shared" si="3"/>
        <v>13160.128894293332</v>
      </c>
      <c r="AR31" s="451">
        <f t="shared" si="3"/>
        <v>13160.128894293332</v>
      </c>
      <c r="AS31" s="451">
        <f t="shared" si="3"/>
        <v>13160.128894293332</v>
      </c>
      <c r="AT31" s="451">
        <f t="shared" si="3"/>
        <v>13160.128894293332</v>
      </c>
      <c r="AU31" s="451">
        <f t="shared" si="3"/>
        <v>13160.128894293332</v>
      </c>
      <c r="AV31" s="451">
        <f t="shared" si="3"/>
        <v>13160.128894293332</v>
      </c>
      <c r="AW31" s="451">
        <f t="shared" si="3"/>
        <v>13160.128894293332</v>
      </c>
      <c r="AX31" s="451">
        <f t="shared" si="3"/>
        <v>13160.128894293332</v>
      </c>
      <c r="AY31" s="451">
        <f t="shared" si="3"/>
        <v>13686.534050065065</v>
      </c>
      <c r="AZ31" s="451">
        <f t="shared" si="3"/>
        <v>13686.534050065065</v>
      </c>
      <c r="BA31" s="451">
        <f t="shared" si="3"/>
        <v>13686.534050065065</v>
      </c>
      <c r="BB31" s="451">
        <f t="shared" si="3"/>
        <v>13686.534050065065</v>
      </c>
      <c r="BC31" s="451">
        <f t="shared" si="3"/>
        <v>13686.534050065065</v>
      </c>
      <c r="BD31" s="451">
        <f t="shared" si="3"/>
        <v>13686.534050065065</v>
      </c>
      <c r="BE31" s="451">
        <f t="shared" si="3"/>
        <v>13686.534050065065</v>
      </c>
      <c r="BF31" s="451">
        <f t="shared" si="3"/>
        <v>13686.534050065065</v>
      </c>
      <c r="BG31" s="451">
        <f t="shared" si="3"/>
        <v>13686.534050065065</v>
      </c>
      <c r="BH31" s="451">
        <f t="shared" si="3"/>
        <v>13686.534050065065</v>
      </c>
      <c r="BI31" s="451">
        <f t="shared" si="3"/>
        <v>13686.534050065065</v>
      </c>
      <c r="BJ31" s="451">
        <f t="shared" si="3"/>
        <v>13686.534050065065</v>
      </c>
      <c r="BK31" s="451">
        <f t="shared" si="3"/>
        <v>14233.995412067668</v>
      </c>
      <c r="BL31" s="451">
        <f t="shared" si="3"/>
        <v>14233.995412067668</v>
      </c>
      <c r="BM31" s="451">
        <f t="shared" si="3"/>
        <v>14233.995412067668</v>
      </c>
      <c r="BN31" s="451">
        <f t="shared" si="3"/>
        <v>14233.995412067668</v>
      </c>
      <c r="BO31" s="451">
        <f t="shared" si="3"/>
        <v>14233.995412067668</v>
      </c>
      <c r="BP31" s="451">
        <f t="shared" si="3"/>
        <v>14233.995412067668</v>
      </c>
      <c r="BQ31" s="451">
        <f t="shared" si="4"/>
        <v>14233.995412067668</v>
      </c>
      <c r="BR31" s="451">
        <f t="shared" si="4"/>
        <v>14233.995412067668</v>
      </c>
      <c r="BS31" s="451">
        <f t="shared" si="4"/>
        <v>14233.995412067668</v>
      </c>
      <c r="BT31" s="451">
        <f t="shared" si="4"/>
        <v>14233.995412067668</v>
      </c>
      <c r="BU31" s="451">
        <f t="shared" si="4"/>
        <v>14233.995412067668</v>
      </c>
      <c r="BV31" s="451">
        <f t="shared" si="4"/>
        <v>14233.995412067668</v>
      </c>
      <c r="BW31" s="451">
        <f t="shared" si="4"/>
        <v>14803.355228550376</v>
      </c>
      <c r="BX31" s="451">
        <f t="shared" si="4"/>
        <v>14803.355228550376</v>
      </c>
      <c r="BY31" s="451">
        <f t="shared" si="4"/>
        <v>14803.355228550376</v>
      </c>
      <c r="BZ31" s="451">
        <f t="shared" si="4"/>
        <v>14803.355228550376</v>
      </c>
      <c r="CA31" s="451">
        <f t="shared" si="4"/>
        <v>14803.355228550376</v>
      </c>
      <c r="CB31" s="451">
        <f t="shared" si="4"/>
        <v>14803.355228550376</v>
      </c>
      <c r="CC31" s="451">
        <f t="shared" si="4"/>
        <v>14803.355228550376</v>
      </c>
      <c r="CD31" s="451">
        <f t="shared" si="4"/>
        <v>14803.355228550376</v>
      </c>
      <c r="CE31" s="451">
        <f t="shared" si="4"/>
        <v>14803.355228550376</v>
      </c>
      <c r="CF31" s="451">
        <f t="shared" si="4"/>
        <v>14803.355228550376</v>
      </c>
      <c r="CG31" s="451">
        <f t="shared" si="4"/>
        <v>14803.355228550376</v>
      </c>
      <c r="CH31" s="451">
        <f t="shared" si="4"/>
        <v>14803.355228550376</v>
      </c>
      <c r="CI31" s="451">
        <f t="shared" si="4"/>
        <v>15395.489437692391</v>
      </c>
      <c r="CJ31" s="451">
        <f t="shared" si="4"/>
        <v>15395.489437692391</v>
      </c>
      <c r="CK31" s="451">
        <f t="shared" si="4"/>
        <v>15395.489437692391</v>
      </c>
      <c r="CL31" s="451">
        <f t="shared" si="4"/>
        <v>15395.489437692391</v>
      </c>
      <c r="CM31" s="451">
        <f t="shared" si="4"/>
        <v>15395.489437692391</v>
      </c>
      <c r="CN31" s="451">
        <f t="shared" si="4"/>
        <v>15395.489437692391</v>
      </c>
      <c r="CO31" s="451">
        <f t="shared" si="4"/>
        <v>15395.489437692391</v>
      </c>
      <c r="CP31" s="451">
        <f t="shared" si="4"/>
        <v>15395.489437692391</v>
      </c>
      <c r="CQ31" s="451">
        <f t="shared" si="4"/>
        <v>15395.489437692391</v>
      </c>
      <c r="CR31" s="451">
        <f t="shared" si="4"/>
        <v>15395.489437692391</v>
      </c>
      <c r="CS31" s="451">
        <f t="shared" si="4"/>
        <v>15395.489437692391</v>
      </c>
      <c r="CT31" s="451">
        <f t="shared" si="4"/>
        <v>15395.489437692391</v>
      </c>
      <c r="CU31" s="451">
        <f t="shared" si="4"/>
        <v>16011.309015200086</v>
      </c>
      <c r="CV31" s="451">
        <f t="shared" si="4"/>
        <v>16011.309015200086</v>
      </c>
      <c r="CW31" s="451">
        <f t="shared" si="4"/>
        <v>16011.309015200086</v>
      </c>
      <c r="CX31" s="451">
        <f t="shared" si="4"/>
        <v>16011.309015200086</v>
      </c>
      <c r="CY31" s="451">
        <f t="shared" si="4"/>
        <v>16011.309015200086</v>
      </c>
      <c r="CZ31" s="451">
        <f t="shared" si="4"/>
        <v>16011.309015200086</v>
      </c>
      <c r="DA31" s="451">
        <f t="shared" si="4"/>
        <v>16011.309015200086</v>
      </c>
      <c r="DB31" s="451">
        <f t="shared" si="4"/>
        <v>16011.309015200086</v>
      </c>
    </row>
    <row r="32" spans="1:106">
      <c r="A32" s="449" t="str">
        <f>A22</f>
        <v>Cisco Server, Switch, Firewall and UPS &amp; Battery (A.M.C: 20% total cost)</v>
      </c>
      <c r="B32" s="450" t="s">
        <v>556</v>
      </c>
      <c r="C32" s="450" t="s">
        <v>557</v>
      </c>
      <c r="D32" s="450" t="s">
        <v>504</v>
      </c>
      <c r="E32" s="451">
        <f t="shared" si="3"/>
        <v>0</v>
      </c>
      <c r="F32" s="451">
        <f t="shared" si="3"/>
        <v>0</v>
      </c>
      <c r="G32" s="451">
        <f t="shared" si="3"/>
        <v>0</v>
      </c>
      <c r="H32" s="451">
        <f t="shared" si="3"/>
        <v>0</v>
      </c>
      <c r="I32" s="451">
        <f t="shared" si="3"/>
        <v>0</v>
      </c>
      <c r="J32" s="451">
        <f t="shared" si="3"/>
        <v>272480</v>
      </c>
      <c r="K32" s="451">
        <f t="shared" si="3"/>
        <v>0</v>
      </c>
      <c r="L32" s="451">
        <f t="shared" si="3"/>
        <v>0</v>
      </c>
      <c r="M32" s="451">
        <f t="shared" si="3"/>
        <v>0</v>
      </c>
      <c r="N32" s="451">
        <f t="shared" si="3"/>
        <v>0</v>
      </c>
      <c r="O32" s="451">
        <f t="shared" si="3"/>
        <v>0</v>
      </c>
      <c r="P32" s="451">
        <f t="shared" si="3"/>
        <v>0</v>
      </c>
      <c r="Q32" s="451">
        <f t="shared" si="3"/>
        <v>0</v>
      </c>
      <c r="R32" s="451">
        <f t="shared" si="3"/>
        <v>0</v>
      </c>
      <c r="S32" s="451">
        <f t="shared" si="3"/>
        <v>0</v>
      </c>
      <c r="T32" s="451">
        <f t="shared" si="3"/>
        <v>0</v>
      </c>
      <c r="U32" s="451">
        <f t="shared" si="3"/>
        <v>0</v>
      </c>
      <c r="V32" s="451">
        <f t="shared" si="3"/>
        <v>283379.20000000001</v>
      </c>
      <c r="W32" s="451">
        <f t="shared" si="3"/>
        <v>0</v>
      </c>
      <c r="X32" s="451">
        <f t="shared" si="3"/>
        <v>0</v>
      </c>
      <c r="Y32" s="451">
        <f t="shared" si="3"/>
        <v>0</v>
      </c>
      <c r="Z32" s="451">
        <f t="shared" si="3"/>
        <v>0</v>
      </c>
      <c r="AA32" s="451">
        <f t="shared" si="3"/>
        <v>0</v>
      </c>
      <c r="AB32" s="451">
        <f t="shared" si="3"/>
        <v>0</v>
      </c>
      <c r="AC32" s="451">
        <f t="shared" si="3"/>
        <v>0</v>
      </c>
      <c r="AD32" s="451">
        <f t="shared" si="3"/>
        <v>0</v>
      </c>
      <c r="AE32" s="451">
        <f t="shared" si="3"/>
        <v>0</v>
      </c>
      <c r="AF32" s="451">
        <f t="shared" si="3"/>
        <v>0</v>
      </c>
      <c r="AG32" s="451">
        <f t="shared" si="3"/>
        <v>0</v>
      </c>
      <c r="AH32" s="451">
        <f t="shared" si="3"/>
        <v>294714.36800000002</v>
      </c>
      <c r="AI32" s="451">
        <f t="shared" si="3"/>
        <v>0</v>
      </c>
      <c r="AJ32" s="451">
        <f t="shared" si="3"/>
        <v>0</v>
      </c>
      <c r="AK32" s="451">
        <f t="shared" si="3"/>
        <v>0</v>
      </c>
      <c r="AL32" s="451">
        <f t="shared" si="3"/>
        <v>0</v>
      </c>
      <c r="AM32" s="451">
        <f t="shared" si="3"/>
        <v>0</v>
      </c>
      <c r="AN32" s="451">
        <f t="shared" si="3"/>
        <v>0</v>
      </c>
      <c r="AO32" s="451">
        <f t="shared" si="3"/>
        <v>0</v>
      </c>
      <c r="AP32" s="451">
        <f t="shared" si="3"/>
        <v>0</v>
      </c>
      <c r="AQ32" s="451">
        <f t="shared" si="3"/>
        <v>0</v>
      </c>
      <c r="AR32" s="451">
        <f t="shared" si="3"/>
        <v>0</v>
      </c>
      <c r="AS32" s="451">
        <f t="shared" si="3"/>
        <v>0</v>
      </c>
      <c r="AT32" s="451">
        <f t="shared" si="3"/>
        <v>306502.94272000005</v>
      </c>
      <c r="AU32" s="451">
        <f t="shared" si="3"/>
        <v>0</v>
      </c>
      <c r="AV32" s="451">
        <f t="shared" si="3"/>
        <v>0</v>
      </c>
      <c r="AW32" s="451">
        <f t="shared" si="3"/>
        <v>0</v>
      </c>
      <c r="AX32" s="451">
        <f t="shared" si="3"/>
        <v>0</v>
      </c>
      <c r="AY32" s="451">
        <f t="shared" si="3"/>
        <v>0</v>
      </c>
      <c r="AZ32" s="451">
        <f t="shared" si="3"/>
        <v>0</v>
      </c>
      <c r="BA32" s="451">
        <f t="shared" si="3"/>
        <v>0</v>
      </c>
      <c r="BB32" s="451">
        <f t="shared" si="3"/>
        <v>0</v>
      </c>
      <c r="BC32" s="451">
        <f t="shared" si="3"/>
        <v>0</v>
      </c>
      <c r="BD32" s="451">
        <f t="shared" si="3"/>
        <v>0</v>
      </c>
      <c r="BE32" s="451">
        <f t="shared" si="3"/>
        <v>0</v>
      </c>
      <c r="BF32" s="451">
        <f t="shared" si="3"/>
        <v>318763.06042880006</v>
      </c>
      <c r="BG32" s="451">
        <f t="shared" si="3"/>
        <v>0</v>
      </c>
      <c r="BH32" s="451">
        <f t="shared" si="3"/>
        <v>0</v>
      </c>
      <c r="BI32" s="451">
        <f t="shared" si="3"/>
        <v>0</v>
      </c>
      <c r="BJ32" s="451">
        <f t="shared" si="3"/>
        <v>0</v>
      </c>
      <c r="BK32" s="451">
        <f t="shared" si="3"/>
        <v>0</v>
      </c>
      <c r="BL32" s="451">
        <f t="shared" si="3"/>
        <v>0</v>
      </c>
      <c r="BM32" s="451">
        <f t="shared" si="3"/>
        <v>0</v>
      </c>
      <c r="BN32" s="451">
        <f t="shared" si="3"/>
        <v>0</v>
      </c>
      <c r="BO32" s="451">
        <f t="shared" si="3"/>
        <v>0</v>
      </c>
      <c r="BP32" s="451">
        <f t="shared" si="3"/>
        <v>0</v>
      </c>
      <c r="BQ32" s="451">
        <f t="shared" si="4"/>
        <v>0</v>
      </c>
      <c r="BR32" s="451">
        <f t="shared" si="4"/>
        <v>331513.58284595207</v>
      </c>
      <c r="BS32" s="451">
        <f t="shared" si="4"/>
        <v>0</v>
      </c>
      <c r="BT32" s="451">
        <f t="shared" si="4"/>
        <v>0</v>
      </c>
      <c r="BU32" s="451">
        <f t="shared" si="4"/>
        <v>0</v>
      </c>
      <c r="BV32" s="451">
        <f t="shared" si="4"/>
        <v>0</v>
      </c>
      <c r="BW32" s="451">
        <f t="shared" si="4"/>
        <v>0</v>
      </c>
      <c r="BX32" s="451">
        <f t="shared" si="4"/>
        <v>0</v>
      </c>
      <c r="BY32" s="451">
        <f t="shared" si="4"/>
        <v>0</v>
      </c>
      <c r="BZ32" s="451">
        <f t="shared" si="4"/>
        <v>0</v>
      </c>
      <c r="CA32" s="451">
        <f t="shared" si="4"/>
        <v>0</v>
      </c>
      <c r="CB32" s="451">
        <f t="shared" si="4"/>
        <v>0</v>
      </c>
      <c r="CC32" s="451">
        <f t="shared" si="4"/>
        <v>0</v>
      </c>
      <c r="CD32" s="451">
        <f t="shared" si="4"/>
        <v>344774.12615979015</v>
      </c>
      <c r="CE32" s="451">
        <f t="shared" si="4"/>
        <v>0</v>
      </c>
      <c r="CF32" s="451">
        <f t="shared" si="4"/>
        <v>0</v>
      </c>
      <c r="CG32" s="451">
        <f t="shared" si="4"/>
        <v>0</v>
      </c>
      <c r="CH32" s="451">
        <f t="shared" si="4"/>
        <v>0</v>
      </c>
      <c r="CI32" s="451">
        <f t="shared" si="4"/>
        <v>0</v>
      </c>
      <c r="CJ32" s="451">
        <f t="shared" si="4"/>
        <v>0</v>
      </c>
      <c r="CK32" s="451">
        <f t="shared" si="4"/>
        <v>0</v>
      </c>
      <c r="CL32" s="451">
        <f t="shared" si="4"/>
        <v>0</v>
      </c>
      <c r="CM32" s="451">
        <f t="shared" si="4"/>
        <v>0</v>
      </c>
      <c r="CN32" s="451">
        <f t="shared" si="4"/>
        <v>0</v>
      </c>
      <c r="CO32" s="451">
        <f t="shared" si="4"/>
        <v>0</v>
      </c>
      <c r="CP32" s="451">
        <f t="shared" si="4"/>
        <v>358565.09120618174</v>
      </c>
      <c r="CQ32" s="451">
        <f t="shared" si="4"/>
        <v>0</v>
      </c>
      <c r="CR32" s="451">
        <f t="shared" si="4"/>
        <v>0</v>
      </c>
      <c r="CS32" s="451">
        <f t="shared" si="4"/>
        <v>0</v>
      </c>
      <c r="CT32" s="451">
        <f t="shared" si="4"/>
        <v>0</v>
      </c>
      <c r="CU32" s="451">
        <f t="shared" si="4"/>
        <v>0</v>
      </c>
      <c r="CV32" s="451">
        <f t="shared" si="4"/>
        <v>0</v>
      </c>
      <c r="CW32" s="451">
        <f t="shared" si="4"/>
        <v>0</v>
      </c>
      <c r="CX32" s="451">
        <f t="shared" si="4"/>
        <v>0</v>
      </c>
      <c r="CY32" s="451">
        <f t="shared" si="4"/>
        <v>0</v>
      </c>
      <c r="CZ32" s="451">
        <f t="shared" si="4"/>
        <v>0</v>
      </c>
      <c r="DA32" s="451">
        <f t="shared" si="4"/>
        <v>0</v>
      </c>
      <c r="DB32" s="451">
        <f t="shared" si="4"/>
        <v>372907.69485442899</v>
      </c>
    </row>
    <row r="33" spans="1:106">
      <c r="A33" s="449" t="str">
        <f>A25</f>
        <v>Official email-ID subscription</v>
      </c>
      <c r="B33" s="450" t="s">
        <v>556</v>
      </c>
      <c r="C33" s="450" t="s">
        <v>572</v>
      </c>
      <c r="D33" s="450" t="s">
        <v>504</v>
      </c>
      <c r="E33" s="451">
        <f t="shared" ref="E33:BP33" si="5">E13*E25</f>
        <v>9360</v>
      </c>
      <c r="F33" s="451">
        <f t="shared" si="5"/>
        <v>9360</v>
      </c>
      <c r="G33" s="451">
        <f t="shared" si="5"/>
        <v>9360</v>
      </c>
      <c r="H33" s="451">
        <f t="shared" si="5"/>
        <v>9360</v>
      </c>
      <c r="I33" s="451">
        <f t="shared" si="5"/>
        <v>9360</v>
      </c>
      <c r="J33" s="451">
        <f t="shared" si="5"/>
        <v>9360</v>
      </c>
      <c r="K33" s="451">
        <f t="shared" si="5"/>
        <v>9360</v>
      </c>
      <c r="L33" s="451">
        <f t="shared" si="5"/>
        <v>9360</v>
      </c>
      <c r="M33" s="451">
        <f t="shared" si="5"/>
        <v>9360</v>
      </c>
      <c r="N33" s="451">
        <f t="shared" si="5"/>
        <v>9360</v>
      </c>
      <c r="O33" s="451">
        <f t="shared" si="5"/>
        <v>9734.4</v>
      </c>
      <c r="P33" s="451">
        <f t="shared" si="5"/>
        <v>9734.4</v>
      </c>
      <c r="Q33" s="451">
        <f t="shared" si="5"/>
        <v>7030.4</v>
      </c>
      <c r="R33" s="451">
        <f t="shared" si="5"/>
        <v>7030.4</v>
      </c>
      <c r="S33" s="451">
        <f t="shared" si="5"/>
        <v>7030.4</v>
      </c>
      <c r="T33" s="451">
        <f t="shared" si="5"/>
        <v>7030.4</v>
      </c>
      <c r="U33" s="451">
        <f t="shared" si="5"/>
        <v>7030.4</v>
      </c>
      <c r="V33" s="451">
        <f t="shared" si="5"/>
        <v>7030.4</v>
      </c>
      <c r="W33" s="451">
        <f t="shared" si="5"/>
        <v>7030.4</v>
      </c>
      <c r="X33" s="451">
        <f t="shared" si="5"/>
        <v>7030.4</v>
      </c>
      <c r="Y33" s="451">
        <f t="shared" si="5"/>
        <v>7030.4</v>
      </c>
      <c r="Z33" s="451">
        <f t="shared" si="5"/>
        <v>7030.4</v>
      </c>
      <c r="AA33" s="451">
        <f t="shared" si="5"/>
        <v>7311.616</v>
      </c>
      <c r="AB33" s="451">
        <f t="shared" si="5"/>
        <v>7311.616</v>
      </c>
      <c r="AC33" s="451">
        <f t="shared" si="5"/>
        <v>7311.616</v>
      </c>
      <c r="AD33" s="451">
        <f t="shared" si="5"/>
        <v>7311.616</v>
      </c>
      <c r="AE33" s="451">
        <f t="shared" si="5"/>
        <v>7311.616</v>
      </c>
      <c r="AF33" s="451">
        <f t="shared" si="5"/>
        <v>7311.616</v>
      </c>
      <c r="AG33" s="451">
        <f t="shared" si="5"/>
        <v>7311.616</v>
      </c>
      <c r="AH33" s="451">
        <f t="shared" si="5"/>
        <v>7311.616</v>
      </c>
      <c r="AI33" s="451">
        <f t="shared" si="5"/>
        <v>7311.616</v>
      </c>
      <c r="AJ33" s="451">
        <f t="shared" si="5"/>
        <v>7311.616</v>
      </c>
      <c r="AK33" s="451">
        <f t="shared" si="5"/>
        <v>7311.616</v>
      </c>
      <c r="AL33" s="451">
        <f t="shared" si="5"/>
        <v>7311.616</v>
      </c>
      <c r="AM33" s="451">
        <f t="shared" si="5"/>
        <v>7604.080640000001</v>
      </c>
      <c r="AN33" s="451">
        <f t="shared" si="5"/>
        <v>7604.080640000001</v>
      </c>
      <c r="AO33" s="451">
        <f t="shared" si="5"/>
        <v>7604.080640000001</v>
      </c>
      <c r="AP33" s="451">
        <f t="shared" si="5"/>
        <v>7604.080640000001</v>
      </c>
      <c r="AQ33" s="451">
        <f t="shared" si="5"/>
        <v>7604.080640000001</v>
      </c>
      <c r="AR33" s="451">
        <f t="shared" si="5"/>
        <v>7604.080640000001</v>
      </c>
      <c r="AS33" s="451">
        <f t="shared" si="5"/>
        <v>7604.080640000001</v>
      </c>
      <c r="AT33" s="451">
        <f t="shared" si="5"/>
        <v>7604.080640000001</v>
      </c>
      <c r="AU33" s="451">
        <f t="shared" si="5"/>
        <v>7604.080640000001</v>
      </c>
      <c r="AV33" s="451">
        <f t="shared" si="5"/>
        <v>7604.080640000001</v>
      </c>
      <c r="AW33" s="451">
        <f t="shared" si="5"/>
        <v>7604.080640000001</v>
      </c>
      <c r="AX33" s="451">
        <f t="shared" si="5"/>
        <v>7604.080640000001</v>
      </c>
      <c r="AY33" s="451">
        <f t="shared" si="5"/>
        <v>7908.2438656000013</v>
      </c>
      <c r="AZ33" s="451">
        <f t="shared" si="5"/>
        <v>7908.2438656000013</v>
      </c>
      <c r="BA33" s="451">
        <f t="shared" si="5"/>
        <v>7908.2438656000013</v>
      </c>
      <c r="BB33" s="451">
        <f t="shared" si="5"/>
        <v>7908.2438656000013</v>
      </c>
      <c r="BC33" s="451">
        <f t="shared" si="5"/>
        <v>7908.2438656000013</v>
      </c>
      <c r="BD33" s="451">
        <f t="shared" si="5"/>
        <v>7908.2438656000013</v>
      </c>
      <c r="BE33" s="451">
        <f t="shared" si="5"/>
        <v>7908.2438656000013</v>
      </c>
      <c r="BF33" s="451">
        <f t="shared" si="5"/>
        <v>7908.2438656000013</v>
      </c>
      <c r="BG33" s="451">
        <f t="shared" si="5"/>
        <v>7908.2438656000013</v>
      </c>
      <c r="BH33" s="451">
        <f t="shared" si="5"/>
        <v>7908.2438656000013</v>
      </c>
      <c r="BI33" s="451">
        <f t="shared" si="5"/>
        <v>7908.2438656000013</v>
      </c>
      <c r="BJ33" s="451">
        <f t="shared" si="5"/>
        <v>7908.2438656000013</v>
      </c>
      <c r="BK33" s="451">
        <f t="shared" si="5"/>
        <v>8224.5736202240005</v>
      </c>
      <c r="BL33" s="451">
        <f t="shared" si="5"/>
        <v>8224.5736202240005</v>
      </c>
      <c r="BM33" s="451">
        <f t="shared" si="5"/>
        <v>8224.5736202240005</v>
      </c>
      <c r="BN33" s="451">
        <f t="shared" si="5"/>
        <v>8224.5736202240005</v>
      </c>
      <c r="BO33" s="451">
        <f t="shared" si="5"/>
        <v>8224.5736202240005</v>
      </c>
      <c r="BP33" s="451">
        <f t="shared" si="5"/>
        <v>8224.5736202240005</v>
      </c>
      <c r="BQ33" s="451">
        <f t="shared" ref="BQ33:DB33" si="6">BQ13*BQ25</f>
        <v>8224.5736202240005</v>
      </c>
      <c r="BR33" s="451">
        <f t="shared" si="6"/>
        <v>8224.5736202240005</v>
      </c>
      <c r="BS33" s="451">
        <f t="shared" si="6"/>
        <v>8224.5736202240005</v>
      </c>
      <c r="BT33" s="451">
        <f t="shared" si="6"/>
        <v>8224.5736202240005</v>
      </c>
      <c r="BU33" s="451">
        <f t="shared" si="6"/>
        <v>8224.5736202240005</v>
      </c>
      <c r="BV33" s="451">
        <f t="shared" si="6"/>
        <v>8224.5736202240005</v>
      </c>
      <c r="BW33" s="451">
        <f t="shared" si="6"/>
        <v>8553.5565650329609</v>
      </c>
      <c r="BX33" s="451">
        <f t="shared" si="6"/>
        <v>8553.5565650329609</v>
      </c>
      <c r="BY33" s="451">
        <f t="shared" si="6"/>
        <v>8553.5565650329609</v>
      </c>
      <c r="BZ33" s="451">
        <f t="shared" si="6"/>
        <v>8553.5565650329609</v>
      </c>
      <c r="CA33" s="451">
        <f t="shared" si="6"/>
        <v>8553.5565650329609</v>
      </c>
      <c r="CB33" s="451">
        <f t="shared" si="6"/>
        <v>8553.5565650329609</v>
      </c>
      <c r="CC33" s="451">
        <f t="shared" si="6"/>
        <v>8553.5565650329609</v>
      </c>
      <c r="CD33" s="451">
        <f t="shared" si="6"/>
        <v>8553.5565650329609</v>
      </c>
      <c r="CE33" s="451">
        <f t="shared" si="6"/>
        <v>8553.5565650329609</v>
      </c>
      <c r="CF33" s="451">
        <f t="shared" si="6"/>
        <v>8553.5565650329609</v>
      </c>
      <c r="CG33" s="451">
        <f t="shared" si="6"/>
        <v>8553.5565650329609</v>
      </c>
      <c r="CH33" s="451">
        <f t="shared" si="6"/>
        <v>8553.5565650329609</v>
      </c>
      <c r="CI33" s="451">
        <f t="shared" si="6"/>
        <v>8895.69882763428</v>
      </c>
      <c r="CJ33" s="451">
        <f t="shared" si="6"/>
        <v>8895.69882763428</v>
      </c>
      <c r="CK33" s="451">
        <f t="shared" si="6"/>
        <v>8895.69882763428</v>
      </c>
      <c r="CL33" s="451">
        <f t="shared" si="6"/>
        <v>8895.69882763428</v>
      </c>
      <c r="CM33" s="451">
        <f t="shared" si="6"/>
        <v>8895.69882763428</v>
      </c>
      <c r="CN33" s="451">
        <f t="shared" si="6"/>
        <v>8895.69882763428</v>
      </c>
      <c r="CO33" s="451">
        <f t="shared" si="6"/>
        <v>8895.69882763428</v>
      </c>
      <c r="CP33" s="451">
        <f t="shared" si="6"/>
        <v>8895.69882763428</v>
      </c>
      <c r="CQ33" s="451">
        <f t="shared" si="6"/>
        <v>8895.69882763428</v>
      </c>
      <c r="CR33" s="451">
        <f t="shared" si="6"/>
        <v>8895.69882763428</v>
      </c>
      <c r="CS33" s="451">
        <f t="shared" si="6"/>
        <v>8895.69882763428</v>
      </c>
      <c r="CT33" s="451">
        <f t="shared" si="6"/>
        <v>8895.69882763428</v>
      </c>
      <c r="CU33" s="451">
        <f t="shared" si="6"/>
        <v>9251.5267807396522</v>
      </c>
      <c r="CV33" s="451">
        <f t="shared" si="6"/>
        <v>9251.5267807396522</v>
      </c>
      <c r="CW33" s="451">
        <f t="shared" si="6"/>
        <v>9251.5267807396522</v>
      </c>
      <c r="CX33" s="451">
        <f t="shared" si="6"/>
        <v>9251.5267807396522</v>
      </c>
      <c r="CY33" s="451">
        <f t="shared" si="6"/>
        <v>9251.5267807396522</v>
      </c>
      <c r="CZ33" s="451">
        <f t="shared" si="6"/>
        <v>9251.5267807396522</v>
      </c>
      <c r="DA33" s="451">
        <f t="shared" si="6"/>
        <v>9251.5267807396522</v>
      </c>
      <c r="DB33" s="451">
        <f t="shared" si="6"/>
        <v>9251.5267807396522</v>
      </c>
    </row>
    <row r="34" spans="1:106">
      <c r="A34" s="449" t="str">
        <f>A26</f>
        <v>AMC Cost of HR Software, Tally Software, CCTV</v>
      </c>
      <c r="B34" s="450" t="s">
        <v>556</v>
      </c>
      <c r="C34" s="450" t="s">
        <v>557</v>
      </c>
      <c r="D34" s="450" t="s">
        <v>504</v>
      </c>
      <c r="E34" s="451">
        <f t="shared" ref="E34:BP35" si="7">E16*E26</f>
        <v>12272</v>
      </c>
      <c r="F34" s="451">
        <f t="shared" si="7"/>
        <v>12272</v>
      </c>
      <c r="G34" s="451">
        <f t="shared" si="7"/>
        <v>12272</v>
      </c>
      <c r="H34" s="451">
        <f t="shared" si="7"/>
        <v>12272</v>
      </c>
      <c r="I34" s="451">
        <f t="shared" si="7"/>
        <v>12272</v>
      </c>
      <c r="J34" s="451">
        <f t="shared" si="7"/>
        <v>12272</v>
      </c>
      <c r="K34" s="451">
        <f t="shared" si="7"/>
        <v>12272</v>
      </c>
      <c r="L34" s="451">
        <f t="shared" si="7"/>
        <v>12272</v>
      </c>
      <c r="M34" s="451">
        <f t="shared" si="7"/>
        <v>12272</v>
      </c>
      <c r="N34" s="451">
        <f t="shared" si="7"/>
        <v>12272</v>
      </c>
      <c r="O34" s="451">
        <f t="shared" si="7"/>
        <v>12762.880000000001</v>
      </c>
      <c r="P34" s="451">
        <f t="shared" si="7"/>
        <v>12762.880000000001</v>
      </c>
      <c r="Q34" s="451">
        <f t="shared" si="7"/>
        <v>12762.880000000001</v>
      </c>
      <c r="R34" s="451">
        <f t="shared" si="7"/>
        <v>12762.880000000001</v>
      </c>
      <c r="S34" s="451">
        <f t="shared" si="7"/>
        <v>12762.880000000001</v>
      </c>
      <c r="T34" s="451">
        <f t="shared" si="7"/>
        <v>12762.880000000001</v>
      </c>
      <c r="U34" s="451">
        <f t="shared" si="7"/>
        <v>12762.880000000001</v>
      </c>
      <c r="V34" s="451">
        <f t="shared" si="7"/>
        <v>12762.880000000001</v>
      </c>
      <c r="W34" s="451">
        <f t="shared" si="7"/>
        <v>12762.880000000001</v>
      </c>
      <c r="X34" s="451">
        <f t="shared" si="7"/>
        <v>12762.880000000001</v>
      </c>
      <c r="Y34" s="451">
        <f t="shared" si="7"/>
        <v>12762.880000000001</v>
      </c>
      <c r="Z34" s="451">
        <f t="shared" si="7"/>
        <v>12762.880000000001</v>
      </c>
      <c r="AA34" s="451">
        <f t="shared" si="7"/>
        <v>13273.395200000001</v>
      </c>
      <c r="AB34" s="451">
        <f t="shared" si="7"/>
        <v>13273.395200000001</v>
      </c>
      <c r="AC34" s="451">
        <f t="shared" si="7"/>
        <v>13273.395200000001</v>
      </c>
      <c r="AD34" s="451">
        <f t="shared" si="7"/>
        <v>13273.395200000001</v>
      </c>
      <c r="AE34" s="451">
        <f t="shared" si="7"/>
        <v>13273.395200000001</v>
      </c>
      <c r="AF34" s="451">
        <f t="shared" si="7"/>
        <v>13273.395200000001</v>
      </c>
      <c r="AG34" s="451">
        <f t="shared" si="7"/>
        <v>13273.395200000001</v>
      </c>
      <c r="AH34" s="451">
        <f t="shared" si="7"/>
        <v>13273.395200000001</v>
      </c>
      <c r="AI34" s="451">
        <f t="shared" si="7"/>
        <v>13273.395200000001</v>
      </c>
      <c r="AJ34" s="451">
        <f t="shared" si="7"/>
        <v>13273.395200000001</v>
      </c>
      <c r="AK34" s="451">
        <f t="shared" si="7"/>
        <v>13273.395200000001</v>
      </c>
      <c r="AL34" s="451">
        <f t="shared" si="7"/>
        <v>13273.395200000001</v>
      </c>
      <c r="AM34" s="451">
        <f t="shared" si="7"/>
        <v>13804.331008000001</v>
      </c>
      <c r="AN34" s="451">
        <f t="shared" si="7"/>
        <v>13804.331008000001</v>
      </c>
      <c r="AO34" s="451">
        <f t="shared" si="7"/>
        <v>13804.331008000001</v>
      </c>
      <c r="AP34" s="451">
        <f t="shared" si="7"/>
        <v>13804.331008000001</v>
      </c>
      <c r="AQ34" s="451">
        <f t="shared" si="7"/>
        <v>13804.331008000001</v>
      </c>
      <c r="AR34" s="451">
        <f t="shared" si="7"/>
        <v>13804.331008000001</v>
      </c>
      <c r="AS34" s="451">
        <f t="shared" si="7"/>
        <v>13804.331008000001</v>
      </c>
      <c r="AT34" s="451">
        <f t="shared" si="7"/>
        <v>13804.331008000001</v>
      </c>
      <c r="AU34" s="451">
        <f t="shared" si="7"/>
        <v>13804.331008000001</v>
      </c>
      <c r="AV34" s="451">
        <f t="shared" si="7"/>
        <v>13804.331008000001</v>
      </c>
      <c r="AW34" s="451">
        <f t="shared" si="7"/>
        <v>13804.331008000001</v>
      </c>
      <c r="AX34" s="451">
        <f t="shared" si="7"/>
        <v>13804.331008000001</v>
      </c>
      <c r="AY34" s="451">
        <f t="shared" si="7"/>
        <v>14356.504248320001</v>
      </c>
      <c r="AZ34" s="451">
        <f t="shared" si="7"/>
        <v>14356.504248320001</v>
      </c>
      <c r="BA34" s="451">
        <f t="shared" si="7"/>
        <v>14356.504248320001</v>
      </c>
      <c r="BB34" s="451">
        <f t="shared" si="7"/>
        <v>14356.504248320001</v>
      </c>
      <c r="BC34" s="451">
        <f t="shared" si="7"/>
        <v>14356.504248320001</v>
      </c>
      <c r="BD34" s="451">
        <f t="shared" si="7"/>
        <v>14356.504248320001</v>
      </c>
      <c r="BE34" s="451">
        <f t="shared" si="7"/>
        <v>14356.504248320001</v>
      </c>
      <c r="BF34" s="451">
        <f t="shared" si="7"/>
        <v>14356.504248320001</v>
      </c>
      <c r="BG34" s="451">
        <f t="shared" si="7"/>
        <v>14356.504248320001</v>
      </c>
      <c r="BH34" s="451">
        <f t="shared" si="7"/>
        <v>14356.504248320001</v>
      </c>
      <c r="BI34" s="451">
        <f t="shared" si="7"/>
        <v>14356.504248320001</v>
      </c>
      <c r="BJ34" s="451">
        <f t="shared" si="7"/>
        <v>14356.504248320001</v>
      </c>
      <c r="BK34" s="451">
        <f t="shared" si="7"/>
        <v>14930.764418252802</v>
      </c>
      <c r="BL34" s="451">
        <f t="shared" si="7"/>
        <v>14930.764418252802</v>
      </c>
      <c r="BM34" s="451">
        <f t="shared" si="7"/>
        <v>14930.764418252802</v>
      </c>
      <c r="BN34" s="451">
        <f t="shared" si="7"/>
        <v>14930.764418252802</v>
      </c>
      <c r="BO34" s="451">
        <f t="shared" si="7"/>
        <v>14930.764418252802</v>
      </c>
      <c r="BP34" s="451">
        <f t="shared" si="7"/>
        <v>14930.764418252802</v>
      </c>
      <c r="BQ34" s="451">
        <f t="shared" ref="BQ34:DB35" si="8">BQ16*BQ26</f>
        <v>14930.764418252802</v>
      </c>
      <c r="BR34" s="451">
        <f t="shared" si="8"/>
        <v>14930.764418252802</v>
      </c>
      <c r="BS34" s="451">
        <f t="shared" si="8"/>
        <v>14930.764418252802</v>
      </c>
      <c r="BT34" s="451">
        <f t="shared" si="8"/>
        <v>14930.764418252802</v>
      </c>
      <c r="BU34" s="451">
        <f t="shared" si="8"/>
        <v>14930.764418252802</v>
      </c>
      <c r="BV34" s="451">
        <f t="shared" si="8"/>
        <v>14930.764418252802</v>
      </c>
      <c r="BW34" s="451">
        <f t="shared" si="8"/>
        <v>15527.994994982915</v>
      </c>
      <c r="BX34" s="451">
        <f t="shared" si="8"/>
        <v>15527.994994982915</v>
      </c>
      <c r="BY34" s="451">
        <f t="shared" si="8"/>
        <v>15527.994994982915</v>
      </c>
      <c r="BZ34" s="451">
        <f t="shared" si="8"/>
        <v>15527.994994982915</v>
      </c>
      <c r="CA34" s="451">
        <f t="shared" si="8"/>
        <v>15527.994994982915</v>
      </c>
      <c r="CB34" s="451">
        <f t="shared" si="8"/>
        <v>15527.994994982915</v>
      </c>
      <c r="CC34" s="451">
        <f t="shared" si="8"/>
        <v>15527.994994982915</v>
      </c>
      <c r="CD34" s="451">
        <f t="shared" si="8"/>
        <v>15527.994994982915</v>
      </c>
      <c r="CE34" s="451">
        <f t="shared" si="8"/>
        <v>15527.994994982915</v>
      </c>
      <c r="CF34" s="451">
        <f t="shared" si="8"/>
        <v>15527.994994982915</v>
      </c>
      <c r="CG34" s="451">
        <f t="shared" si="8"/>
        <v>15527.994994982915</v>
      </c>
      <c r="CH34" s="451">
        <f t="shared" si="8"/>
        <v>15527.994994982915</v>
      </c>
      <c r="CI34" s="451">
        <f t="shared" si="8"/>
        <v>16149.114794782232</v>
      </c>
      <c r="CJ34" s="451">
        <f t="shared" si="8"/>
        <v>16149.114794782232</v>
      </c>
      <c r="CK34" s="451">
        <f t="shared" si="8"/>
        <v>16149.114794782232</v>
      </c>
      <c r="CL34" s="451">
        <f t="shared" si="8"/>
        <v>16149.114794782232</v>
      </c>
      <c r="CM34" s="451">
        <f t="shared" si="8"/>
        <v>16149.114794782232</v>
      </c>
      <c r="CN34" s="451">
        <f t="shared" si="8"/>
        <v>16149.114794782232</v>
      </c>
      <c r="CO34" s="451">
        <f t="shared" si="8"/>
        <v>16149.114794782232</v>
      </c>
      <c r="CP34" s="451">
        <f t="shared" si="8"/>
        <v>16149.114794782232</v>
      </c>
      <c r="CQ34" s="451">
        <f t="shared" si="8"/>
        <v>16149.114794782232</v>
      </c>
      <c r="CR34" s="451">
        <f t="shared" si="8"/>
        <v>16149.114794782232</v>
      </c>
      <c r="CS34" s="451">
        <f t="shared" si="8"/>
        <v>16149.114794782232</v>
      </c>
      <c r="CT34" s="451">
        <f t="shared" si="8"/>
        <v>16149.114794782232</v>
      </c>
      <c r="CU34" s="451">
        <f t="shared" si="8"/>
        <v>16795.079386573521</v>
      </c>
      <c r="CV34" s="451">
        <f t="shared" si="8"/>
        <v>16795.079386573521</v>
      </c>
      <c r="CW34" s="451">
        <f t="shared" si="8"/>
        <v>16795.079386573521</v>
      </c>
      <c r="CX34" s="451">
        <f t="shared" si="8"/>
        <v>16795.079386573521</v>
      </c>
      <c r="CY34" s="451">
        <f t="shared" si="8"/>
        <v>16795.079386573521</v>
      </c>
      <c r="CZ34" s="451">
        <f t="shared" si="8"/>
        <v>16795.079386573521</v>
      </c>
      <c r="DA34" s="451">
        <f t="shared" si="8"/>
        <v>16795.079386573521</v>
      </c>
      <c r="DB34" s="451">
        <f t="shared" si="8"/>
        <v>16795.079386573521</v>
      </c>
    </row>
    <row r="35" spans="1:106">
      <c r="A35" s="449" t="str">
        <f>A27</f>
        <v>Desktop Rentals</v>
      </c>
      <c r="B35" s="450" t="s">
        <v>556</v>
      </c>
      <c r="C35" s="450" t="s">
        <v>557</v>
      </c>
      <c r="D35" s="450" t="s">
        <v>504</v>
      </c>
      <c r="E35" s="451">
        <f t="shared" si="7"/>
        <v>39816</v>
      </c>
      <c r="F35" s="451">
        <f t="shared" si="7"/>
        <v>39816</v>
      </c>
      <c r="G35" s="451">
        <f t="shared" si="7"/>
        <v>39816</v>
      </c>
      <c r="H35" s="451">
        <f t="shared" si="7"/>
        <v>39816</v>
      </c>
      <c r="I35" s="451">
        <f t="shared" si="7"/>
        <v>39816</v>
      </c>
      <c r="J35" s="451">
        <f t="shared" si="7"/>
        <v>39816</v>
      </c>
      <c r="K35" s="451">
        <f t="shared" si="7"/>
        <v>39816</v>
      </c>
      <c r="L35" s="451">
        <f t="shared" si="7"/>
        <v>39816</v>
      </c>
      <c r="M35" s="451">
        <f t="shared" si="7"/>
        <v>39816</v>
      </c>
      <c r="N35" s="451">
        <f t="shared" si="7"/>
        <v>39816</v>
      </c>
      <c r="O35" s="451">
        <f t="shared" si="7"/>
        <v>41408.639999999999</v>
      </c>
      <c r="P35" s="451">
        <f t="shared" si="7"/>
        <v>41408.639999999999</v>
      </c>
      <c r="Q35" s="451">
        <f t="shared" si="7"/>
        <v>23408.639999999999</v>
      </c>
      <c r="R35" s="451">
        <f t="shared" si="7"/>
        <v>23408.639999999999</v>
      </c>
      <c r="S35" s="451">
        <f t="shared" si="7"/>
        <v>23408.639999999999</v>
      </c>
      <c r="T35" s="451">
        <f t="shared" si="7"/>
        <v>23408.639999999999</v>
      </c>
      <c r="U35" s="451">
        <f t="shared" si="7"/>
        <v>23408.639999999999</v>
      </c>
      <c r="V35" s="451">
        <f t="shared" si="7"/>
        <v>23408.639999999999</v>
      </c>
      <c r="W35" s="451">
        <f t="shared" si="7"/>
        <v>23408.639999999999</v>
      </c>
      <c r="X35" s="451">
        <f t="shared" si="7"/>
        <v>23408.639999999999</v>
      </c>
      <c r="Y35" s="451">
        <f t="shared" si="7"/>
        <v>23408.639999999999</v>
      </c>
      <c r="Z35" s="451">
        <f t="shared" si="7"/>
        <v>23408.639999999999</v>
      </c>
      <c r="AA35" s="451">
        <f t="shared" si="7"/>
        <v>24344.9856</v>
      </c>
      <c r="AB35" s="451">
        <f t="shared" si="7"/>
        <v>24344.9856</v>
      </c>
      <c r="AC35" s="451">
        <f t="shared" si="7"/>
        <v>24344.9856</v>
      </c>
      <c r="AD35" s="451">
        <f t="shared" si="7"/>
        <v>24344.9856</v>
      </c>
      <c r="AE35" s="451">
        <f t="shared" si="7"/>
        <v>24344.9856</v>
      </c>
      <c r="AF35" s="451">
        <f t="shared" si="7"/>
        <v>24344.9856</v>
      </c>
      <c r="AG35" s="451">
        <f t="shared" si="7"/>
        <v>24344.9856</v>
      </c>
      <c r="AH35" s="451">
        <f t="shared" si="7"/>
        <v>24344.9856</v>
      </c>
      <c r="AI35" s="451">
        <f t="shared" si="7"/>
        <v>24344.9856</v>
      </c>
      <c r="AJ35" s="451">
        <f t="shared" si="7"/>
        <v>24344.9856</v>
      </c>
      <c r="AK35" s="451">
        <f t="shared" si="7"/>
        <v>24344.9856</v>
      </c>
      <c r="AL35" s="451">
        <f t="shared" si="7"/>
        <v>24344.9856</v>
      </c>
      <c r="AM35" s="451">
        <f t="shared" si="7"/>
        <v>25318.785024000001</v>
      </c>
      <c r="AN35" s="451">
        <f t="shared" si="7"/>
        <v>25318.785024000001</v>
      </c>
      <c r="AO35" s="451">
        <f t="shared" si="7"/>
        <v>25318.785024000001</v>
      </c>
      <c r="AP35" s="451">
        <f t="shared" si="7"/>
        <v>25318.785024000001</v>
      </c>
      <c r="AQ35" s="451">
        <f t="shared" si="7"/>
        <v>25318.785024000001</v>
      </c>
      <c r="AR35" s="451">
        <f t="shared" si="7"/>
        <v>25318.785024000001</v>
      </c>
      <c r="AS35" s="451">
        <f t="shared" si="7"/>
        <v>25318.785024000001</v>
      </c>
      <c r="AT35" s="451">
        <f t="shared" si="7"/>
        <v>25318.785024000001</v>
      </c>
      <c r="AU35" s="451">
        <f t="shared" si="7"/>
        <v>25318.785024000001</v>
      </c>
      <c r="AV35" s="451">
        <f t="shared" si="7"/>
        <v>25318.785024000001</v>
      </c>
      <c r="AW35" s="451">
        <f t="shared" si="7"/>
        <v>25318.785024000001</v>
      </c>
      <c r="AX35" s="451">
        <f t="shared" si="7"/>
        <v>25318.785024000001</v>
      </c>
      <c r="AY35" s="451">
        <f t="shared" si="7"/>
        <v>26331.536424960002</v>
      </c>
      <c r="AZ35" s="451">
        <f t="shared" si="7"/>
        <v>26331.536424960002</v>
      </c>
      <c r="BA35" s="451">
        <f t="shared" si="7"/>
        <v>26331.536424960002</v>
      </c>
      <c r="BB35" s="451">
        <f t="shared" si="7"/>
        <v>26331.536424960002</v>
      </c>
      <c r="BC35" s="451">
        <f t="shared" si="7"/>
        <v>26331.536424960002</v>
      </c>
      <c r="BD35" s="451">
        <f t="shared" si="7"/>
        <v>26331.536424960002</v>
      </c>
      <c r="BE35" s="451">
        <f t="shared" si="7"/>
        <v>26331.536424960002</v>
      </c>
      <c r="BF35" s="451">
        <f t="shared" si="7"/>
        <v>26331.536424960002</v>
      </c>
      <c r="BG35" s="451">
        <f t="shared" si="7"/>
        <v>26331.536424960002</v>
      </c>
      <c r="BH35" s="451">
        <f t="shared" si="7"/>
        <v>26331.536424960002</v>
      </c>
      <c r="BI35" s="451">
        <f t="shared" si="7"/>
        <v>26331.536424960002</v>
      </c>
      <c r="BJ35" s="451">
        <f t="shared" si="7"/>
        <v>26331.536424960002</v>
      </c>
      <c r="BK35" s="451">
        <f t="shared" si="7"/>
        <v>27384.797881958402</v>
      </c>
      <c r="BL35" s="451">
        <f t="shared" si="7"/>
        <v>27384.797881958402</v>
      </c>
      <c r="BM35" s="451">
        <f t="shared" si="7"/>
        <v>27384.797881958402</v>
      </c>
      <c r="BN35" s="451">
        <f t="shared" si="7"/>
        <v>27384.797881958402</v>
      </c>
      <c r="BO35" s="451">
        <f t="shared" si="7"/>
        <v>27384.797881958402</v>
      </c>
      <c r="BP35" s="451">
        <f t="shared" si="7"/>
        <v>27384.797881958402</v>
      </c>
      <c r="BQ35" s="451">
        <f t="shared" si="8"/>
        <v>27384.797881958402</v>
      </c>
      <c r="BR35" s="451">
        <f t="shared" si="8"/>
        <v>27384.797881958402</v>
      </c>
      <c r="BS35" s="451">
        <f t="shared" si="8"/>
        <v>27384.797881958402</v>
      </c>
      <c r="BT35" s="451">
        <f t="shared" si="8"/>
        <v>27384.797881958402</v>
      </c>
      <c r="BU35" s="451">
        <f t="shared" si="8"/>
        <v>27384.797881958402</v>
      </c>
      <c r="BV35" s="451">
        <f t="shared" si="8"/>
        <v>27384.797881958402</v>
      </c>
      <c r="BW35" s="451">
        <f t="shared" si="8"/>
        <v>28480.189797236741</v>
      </c>
      <c r="BX35" s="451">
        <f t="shared" si="8"/>
        <v>28480.189797236741</v>
      </c>
      <c r="BY35" s="451">
        <f t="shared" si="8"/>
        <v>28480.189797236741</v>
      </c>
      <c r="BZ35" s="451">
        <f t="shared" si="8"/>
        <v>28480.189797236741</v>
      </c>
      <c r="CA35" s="451">
        <f t="shared" si="8"/>
        <v>28480.189797236741</v>
      </c>
      <c r="CB35" s="451">
        <f t="shared" si="8"/>
        <v>28480.189797236741</v>
      </c>
      <c r="CC35" s="451">
        <f t="shared" si="8"/>
        <v>28480.189797236741</v>
      </c>
      <c r="CD35" s="451">
        <f t="shared" si="8"/>
        <v>28480.189797236741</v>
      </c>
      <c r="CE35" s="451">
        <f t="shared" si="8"/>
        <v>28480.189797236741</v>
      </c>
      <c r="CF35" s="451">
        <f t="shared" si="8"/>
        <v>28480.189797236741</v>
      </c>
      <c r="CG35" s="451">
        <f t="shared" si="8"/>
        <v>28480.189797236741</v>
      </c>
      <c r="CH35" s="451">
        <f t="shared" si="8"/>
        <v>28480.189797236741</v>
      </c>
      <c r="CI35" s="451">
        <f t="shared" si="8"/>
        <v>29619.39738912621</v>
      </c>
      <c r="CJ35" s="451">
        <f t="shared" si="8"/>
        <v>29619.39738912621</v>
      </c>
      <c r="CK35" s="451">
        <f t="shared" si="8"/>
        <v>29619.39738912621</v>
      </c>
      <c r="CL35" s="451">
        <f t="shared" si="8"/>
        <v>29619.39738912621</v>
      </c>
      <c r="CM35" s="451">
        <f t="shared" si="8"/>
        <v>29619.39738912621</v>
      </c>
      <c r="CN35" s="451">
        <f t="shared" si="8"/>
        <v>29619.39738912621</v>
      </c>
      <c r="CO35" s="451">
        <f t="shared" si="8"/>
        <v>29619.39738912621</v>
      </c>
      <c r="CP35" s="451">
        <f t="shared" si="8"/>
        <v>29619.39738912621</v>
      </c>
      <c r="CQ35" s="451">
        <f t="shared" si="8"/>
        <v>29619.39738912621</v>
      </c>
      <c r="CR35" s="451">
        <f t="shared" si="8"/>
        <v>29619.39738912621</v>
      </c>
      <c r="CS35" s="451">
        <f t="shared" si="8"/>
        <v>29619.39738912621</v>
      </c>
      <c r="CT35" s="451">
        <f t="shared" si="8"/>
        <v>29619.39738912621</v>
      </c>
      <c r="CU35" s="451">
        <f t="shared" si="8"/>
        <v>30804.17328469126</v>
      </c>
      <c r="CV35" s="451">
        <f t="shared" si="8"/>
        <v>30804.17328469126</v>
      </c>
      <c r="CW35" s="451">
        <f t="shared" si="8"/>
        <v>30804.17328469126</v>
      </c>
      <c r="CX35" s="451">
        <f t="shared" si="8"/>
        <v>30804.17328469126</v>
      </c>
      <c r="CY35" s="451">
        <f t="shared" si="8"/>
        <v>30804.17328469126</v>
      </c>
      <c r="CZ35" s="451">
        <f t="shared" si="8"/>
        <v>30804.17328469126</v>
      </c>
      <c r="DA35" s="451">
        <f t="shared" si="8"/>
        <v>30804.17328469126</v>
      </c>
      <c r="DB35" s="451">
        <f t="shared" si="8"/>
        <v>30804.17328469126</v>
      </c>
    </row>
    <row r="36" spans="1:106" ht="12.75" thickBot="1">
      <c r="A36" s="446" t="s">
        <v>578</v>
      </c>
      <c r="B36" s="450"/>
      <c r="C36" s="452"/>
      <c r="D36" s="453" t="s">
        <v>504</v>
      </c>
      <c r="E36" s="379">
        <f t="shared" ref="E36:BP36" si="9">SUM(E29:E35)</f>
        <v>93089.306666666671</v>
      </c>
      <c r="F36" s="379">
        <f t="shared" si="9"/>
        <v>93089.306666666671</v>
      </c>
      <c r="G36" s="379">
        <f t="shared" si="9"/>
        <v>93089.306666666671</v>
      </c>
      <c r="H36" s="379">
        <f t="shared" si="9"/>
        <v>93089.306666666671</v>
      </c>
      <c r="I36" s="379">
        <f t="shared" si="9"/>
        <v>93089.306666666671</v>
      </c>
      <c r="J36" s="379">
        <f t="shared" si="9"/>
        <v>365569.30666666664</v>
      </c>
      <c r="K36" s="379">
        <f t="shared" si="9"/>
        <v>93089.306666666671</v>
      </c>
      <c r="L36" s="379">
        <f t="shared" si="9"/>
        <v>93089.306666666671</v>
      </c>
      <c r="M36" s="379">
        <f t="shared" si="9"/>
        <v>129905.30666666667</v>
      </c>
      <c r="N36" s="379">
        <f t="shared" si="9"/>
        <v>93089.306666666671</v>
      </c>
      <c r="O36" s="379">
        <f t="shared" si="9"/>
        <v>96812.878933333326</v>
      </c>
      <c r="P36" s="379">
        <f t="shared" si="9"/>
        <v>96812.878933333326</v>
      </c>
      <c r="Q36" s="379">
        <f t="shared" si="9"/>
        <v>76108.878933333326</v>
      </c>
      <c r="R36" s="379">
        <f t="shared" si="9"/>
        <v>76108.878933333326</v>
      </c>
      <c r="S36" s="379">
        <f t="shared" si="9"/>
        <v>76108.878933333326</v>
      </c>
      <c r="T36" s="379">
        <f t="shared" si="9"/>
        <v>76108.878933333326</v>
      </c>
      <c r="U36" s="379">
        <f t="shared" si="9"/>
        <v>76108.878933333326</v>
      </c>
      <c r="V36" s="379">
        <f t="shared" si="9"/>
        <v>359488.0789333334</v>
      </c>
      <c r="W36" s="379">
        <f t="shared" si="9"/>
        <v>76108.878933333326</v>
      </c>
      <c r="X36" s="379">
        <f t="shared" si="9"/>
        <v>76108.878933333326</v>
      </c>
      <c r="Y36" s="379">
        <f t="shared" si="9"/>
        <v>114397.51893333333</v>
      </c>
      <c r="Z36" s="379">
        <f t="shared" si="9"/>
        <v>76108.878933333326</v>
      </c>
      <c r="AA36" s="379">
        <f t="shared" si="9"/>
        <v>79153.234090666665</v>
      </c>
      <c r="AB36" s="379">
        <f t="shared" si="9"/>
        <v>79153.234090666665</v>
      </c>
      <c r="AC36" s="379">
        <f t="shared" si="9"/>
        <v>79153.234090666665</v>
      </c>
      <c r="AD36" s="379">
        <f t="shared" si="9"/>
        <v>79153.234090666665</v>
      </c>
      <c r="AE36" s="379">
        <f t="shared" si="9"/>
        <v>79153.234090666665</v>
      </c>
      <c r="AF36" s="379">
        <f t="shared" si="9"/>
        <v>79153.234090666665</v>
      </c>
      <c r="AG36" s="379">
        <f t="shared" si="9"/>
        <v>79153.234090666665</v>
      </c>
      <c r="AH36" s="379">
        <f t="shared" si="9"/>
        <v>373867.60209066671</v>
      </c>
      <c r="AI36" s="379">
        <f t="shared" si="9"/>
        <v>79153.234090666665</v>
      </c>
      <c r="AJ36" s="379">
        <f t="shared" si="9"/>
        <v>79153.234090666665</v>
      </c>
      <c r="AK36" s="379">
        <f t="shared" si="9"/>
        <v>118973.41969066666</v>
      </c>
      <c r="AL36" s="379">
        <f t="shared" si="9"/>
        <v>79153.234090666665</v>
      </c>
      <c r="AM36" s="379">
        <f t="shared" si="9"/>
        <v>82319.363454293343</v>
      </c>
      <c r="AN36" s="379">
        <f t="shared" si="9"/>
        <v>82319.363454293343</v>
      </c>
      <c r="AO36" s="379">
        <f t="shared" si="9"/>
        <v>82319.363454293343</v>
      </c>
      <c r="AP36" s="379">
        <f t="shared" si="9"/>
        <v>82319.363454293343</v>
      </c>
      <c r="AQ36" s="379">
        <f t="shared" si="9"/>
        <v>82319.363454293343</v>
      </c>
      <c r="AR36" s="379">
        <f t="shared" si="9"/>
        <v>82319.363454293343</v>
      </c>
      <c r="AS36" s="379">
        <f t="shared" si="9"/>
        <v>82319.363454293343</v>
      </c>
      <c r="AT36" s="379">
        <f t="shared" si="9"/>
        <v>388822.30617429339</v>
      </c>
      <c r="AU36" s="379">
        <f t="shared" si="9"/>
        <v>82319.363454293343</v>
      </c>
      <c r="AV36" s="379">
        <f t="shared" si="9"/>
        <v>82319.363454293343</v>
      </c>
      <c r="AW36" s="379">
        <f t="shared" si="9"/>
        <v>123732.35647829332</v>
      </c>
      <c r="AX36" s="379">
        <f t="shared" si="9"/>
        <v>82319.363454293343</v>
      </c>
      <c r="AY36" s="379">
        <f t="shared" si="9"/>
        <v>85612.137992465083</v>
      </c>
      <c r="AZ36" s="379">
        <f t="shared" si="9"/>
        <v>85612.137992465083</v>
      </c>
      <c r="BA36" s="379">
        <f t="shared" si="9"/>
        <v>85612.137992465083</v>
      </c>
      <c r="BB36" s="379">
        <f t="shared" si="9"/>
        <v>85612.137992465083</v>
      </c>
      <c r="BC36" s="379">
        <f t="shared" si="9"/>
        <v>85612.137992465083</v>
      </c>
      <c r="BD36" s="379">
        <f t="shared" si="9"/>
        <v>85612.137992465083</v>
      </c>
      <c r="BE36" s="379">
        <f t="shared" si="9"/>
        <v>85612.137992465083</v>
      </c>
      <c r="BF36" s="379">
        <f t="shared" si="9"/>
        <v>404375.19842126512</v>
      </c>
      <c r="BG36" s="379">
        <f t="shared" si="9"/>
        <v>85612.137992465083</v>
      </c>
      <c r="BH36" s="379">
        <f t="shared" si="9"/>
        <v>85612.137992465083</v>
      </c>
      <c r="BI36" s="379">
        <f t="shared" si="9"/>
        <v>128681.65073742508</v>
      </c>
      <c r="BJ36" s="379">
        <f t="shared" si="9"/>
        <v>85612.137992465083</v>
      </c>
      <c r="BK36" s="379">
        <f t="shared" si="9"/>
        <v>89036.623512163671</v>
      </c>
      <c r="BL36" s="379">
        <f t="shared" si="9"/>
        <v>89036.623512163671</v>
      </c>
      <c r="BM36" s="379">
        <f t="shared" si="9"/>
        <v>89036.623512163671</v>
      </c>
      <c r="BN36" s="379">
        <f t="shared" si="9"/>
        <v>89036.623512163671</v>
      </c>
      <c r="BO36" s="379">
        <f t="shared" si="9"/>
        <v>89036.623512163671</v>
      </c>
      <c r="BP36" s="379">
        <f t="shared" si="9"/>
        <v>89036.623512163671</v>
      </c>
      <c r="BQ36" s="379">
        <f t="shared" ref="BQ36:DB36" si="10">SUM(BQ29:BQ35)</f>
        <v>89036.623512163671</v>
      </c>
      <c r="BR36" s="379">
        <f t="shared" si="10"/>
        <v>420550.20635811577</v>
      </c>
      <c r="BS36" s="379">
        <f t="shared" si="10"/>
        <v>89036.623512163671</v>
      </c>
      <c r="BT36" s="379">
        <f t="shared" si="10"/>
        <v>89036.623512163671</v>
      </c>
      <c r="BU36" s="379">
        <f t="shared" si="10"/>
        <v>133828.91676692208</v>
      </c>
      <c r="BV36" s="379">
        <f t="shared" si="10"/>
        <v>89036.623512163671</v>
      </c>
      <c r="BW36" s="379">
        <f t="shared" si="10"/>
        <v>92598.08845265022</v>
      </c>
      <c r="BX36" s="379">
        <f t="shared" si="10"/>
        <v>92598.08845265022</v>
      </c>
      <c r="BY36" s="379">
        <f t="shared" si="10"/>
        <v>92598.08845265022</v>
      </c>
      <c r="BZ36" s="379">
        <f t="shared" si="10"/>
        <v>92598.08845265022</v>
      </c>
      <c r="CA36" s="379">
        <f t="shared" si="10"/>
        <v>92598.08845265022</v>
      </c>
      <c r="CB36" s="379">
        <f t="shared" si="10"/>
        <v>92598.08845265022</v>
      </c>
      <c r="CC36" s="379">
        <f t="shared" si="10"/>
        <v>92598.08845265022</v>
      </c>
      <c r="CD36" s="379">
        <f t="shared" si="10"/>
        <v>437372.21461244038</v>
      </c>
      <c r="CE36" s="379">
        <f t="shared" si="10"/>
        <v>92598.08845265022</v>
      </c>
      <c r="CF36" s="379">
        <f t="shared" si="10"/>
        <v>92598.08845265022</v>
      </c>
      <c r="CG36" s="379">
        <f t="shared" si="10"/>
        <v>139182.07343759897</v>
      </c>
      <c r="CH36" s="379">
        <f t="shared" si="10"/>
        <v>92598.08845265022</v>
      </c>
      <c r="CI36" s="379">
        <f t="shared" si="10"/>
        <v>96302.011990756233</v>
      </c>
      <c r="CJ36" s="379">
        <f t="shared" si="10"/>
        <v>96302.011990756233</v>
      </c>
      <c r="CK36" s="379">
        <f t="shared" si="10"/>
        <v>96302.011990756233</v>
      </c>
      <c r="CL36" s="379">
        <f t="shared" si="10"/>
        <v>96302.011990756233</v>
      </c>
      <c r="CM36" s="379">
        <f t="shared" si="10"/>
        <v>96302.011990756233</v>
      </c>
      <c r="CN36" s="379">
        <f t="shared" si="10"/>
        <v>96302.011990756233</v>
      </c>
      <c r="CO36" s="379">
        <f t="shared" si="10"/>
        <v>96302.011990756233</v>
      </c>
      <c r="CP36" s="379">
        <f t="shared" si="10"/>
        <v>454867.10319693794</v>
      </c>
      <c r="CQ36" s="379">
        <f t="shared" si="10"/>
        <v>96302.011990756233</v>
      </c>
      <c r="CR36" s="379">
        <f t="shared" si="10"/>
        <v>96302.011990756233</v>
      </c>
      <c r="CS36" s="379">
        <f t="shared" si="10"/>
        <v>144749.35637510291</v>
      </c>
      <c r="CT36" s="379">
        <f t="shared" si="10"/>
        <v>96302.011990756233</v>
      </c>
      <c r="CU36" s="379">
        <f t="shared" si="10"/>
        <v>100154.09247038649</v>
      </c>
      <c r="CV36" s="379">
        <f t="shared" si="10"/>
        <v>100154.09247038649</v>
      </c>
      <c r="CW36" s="379">
        <f t="shared" si="10"/>
        <v>100154.09247038649</v>
      </c>
      <c r="CX36" s="379">
        <f t="shared" si="10"/>
        <v>100154.09247038649</v>
      </c>
      <c r="CY36" s="379">
        <f t="shared" si="10"/>
        <v>100154.09247038649</v>
      </c>
      <c r="CZ36" s="379">
        <f t="shared" si="10"/>
        <v>100154.09247038649</v>
      </c>
      <c r="DA36" s="379">
        <f t="shared" si="10"/>
        <v>100154.09247038649</v>
      </c>
      <c r="DB36" s="379">
        <f t="shared" si="10"/>
        <v>473061.78732481546</v>
      </c>
    </row>
    <row r="37" spans="1:106" ht="15.75" thickTop="1">
      <c r="E37" s="340"/>
    </row>
  </sheetData>
  <autoFilter ref="A2:DB3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63"/>
  <sheetViews>
    <sheetView workbookViewId="0">
      <pane xSplit="1" ySplit="2" topLeftCell="AQ3" activePane="bottomRight" state="frozen"/>
      <selection activeCell="U8" sqref="U8"/>
      <selection pane="topRight" activeCell="U8" sqref="U8"/>
      <selection pane="bottomLeft" activeCell="U8" sqref="U8"/>
      <selection pane="bottomRight" activeCell="BB3" sqref="BB3"/>
    </sheetView>
  </sheetViews>
  <sheetFormatPr defaultColWidth="8" defaultRowHeight="12" customHeight="1"/>
  <cols>
    <col min="1" max="1" width="32.85546875" customWidth="1"/>
    <col min="2" max="2" width="12.5703125" hidden="1" customWidth="1"/>
    <col min="3" max="4" width="11.140625" hidden="1" customWidth="1"/>
    <col min="5" max="5" width="10.28515625" hidden="1" customWidth="1"/>
    <col min="6" max="6" width="11.140625" hidden="1" customWidth="1"/>
    <col min="7" max="7" width="10.28515625" hidden="1" customWidth="1"/>
    <col min="8" max="9" width="11.140625" hidden="1" customWidth="1"/>
    <col min="10" max="11" width="10.28515625" hidden="1" customWidth="1"/>
    <col min="12" max="12" width="11.140625" hidden="1" customWidth="1"/>
    <col min="13" max="13" width="12.5703125" hidden="1" customWidth="1"/>
    <col min="14" max="14" width="10.28515625" hidden="1" customWidth="1"/>
    <col min="15" max="16" width="11.140625" hidden="1" customWidth="1"/>
    <col min="17" max="17" width="10.28515625" hidden="1" customWidth="1"/>
    <col min="18" max="18" width="11.140625" hidden="1" customWidth="1"/>
    <col min="19" max="19" width="10.28515625" hidden="1" customWidth="1"/>
    <col min="20" max="21" width="11.140625" hidden="1" customWidth="1"/>
    <col min="22" max="23" width="10.28515625" hidden="1" customWidth="1"/>
    <col min="24" max="24" width="11.140625" hidden="1" customWidth="1"/>
    <col min="25" max="25" width="10.28515625" hidden="1" customWidth="1"/>
    <col min="26" max="26" width="10.28515625" bestFit="1" customWidth="1"/>
    <col min="27" max="28" width="11.140625" bestFit="1" customWidth="1"/>
    <col min="29" max="29" width="10.28515625" customWidth="1"/>
    <col min="30" max="30" width="11.140625" customWidth="1"/>
    <col min="31" max="31" width="10.28515625" bestFit="1" customWidth="1"/>
    <col min="32" max="33" width="11.140625" bestFit="1" customWidth="1"/>
    <col min="34" max="35" width="10.28515625" bestFit="1" customWidth="1"/>
    <col min="36" max="36" width="11.140625" bestFit="1" customWidth="1"/>
    <col min="37" max="37" width="10.28515625" customWidth="1"/>
    <col min="38" max="38" width="10.28515625" bestFit="1" customWidth="1"/>
    <col min="39" max="40" width="11.140625" bestFit="1" customWidth="1"/>
    <col min="41" max="41" width="10.28515625" customWidth="1"/>
    <col min="42" max="42" width="11.140625" customWidth="1"/>
    <col min="43" max="43" width="10.28515625" bestFit="1" customWidth="1"/>
    <col min="44" max="45" width="11.140625" bestFit="1" customWidth="1"/>
    <col min="46" max="47" width="10.28515625" bestFit="1" customWidth="1"/>
    <col min="48" max="48" width="11.140625" bestFit="1" customWidth="1"/>
    <col min="49" max="49" width="10.28515625" customWidth="1"/>
    <col min="50" max="50" width="10.28515625" bestFit="1" customWidth="1"/>
    <col min="51" max="52" width="11.140625" bestFit="1" customWidth="1"/>
    <col min="53" max="53" width="10.28515625" customWidth="1"/>
    <col min="54" max="54" width="11.140625" customWidth="1"/>
    <col min="55" max="55" width="10.28515625" bestFit="1" customWidth="1"/>
    <col min="56" max="57" width="11.140625" bestFit="1" customWidth="1"/>
    <col min="58" max="59" width="10.28515625" bestFit="1" customWidth="1"/>
    <col min="60" max="60" width="11.140625" bestFit="1" customWidth="1"/>
    <col min="61" max="61" width="10.28515625" customWidth="1"/>
    <col min="62" max="62" width="10.28515625" bestFit="1" customWidth="1"/>
    <col min="63" max="64" width="11.140625" bestFit="1" customWidth="1"/>
    <col min="65" max="65" width="10.28515625" customWidth="1"/>
    <col min="66" max="66" width="11.140625" customWidth="1"/>
    <col min="67" max="67" width="10.28515625" bestFit="1" customWidth="1"/>
    <col min="68" max="69" width="11.140625" bestFit="1" customWidth="1"/>
    <col min="70" max="71" width="10.28515625" bestFit="1" customWidth="1"/>
    <col min="72" max="72" width="11.140625" bestFit="1" customWidth="1"/>
    <col min="73" max="73" width="10.28515625" customWidth="1"/>
    <col min="74" max="74" width="10.28515625" bestFit="1" customWidth="1"/>
    <col min="75" max="76" width="11.140625" bestFit="1" customWidth="1"/>
    <col min="77" max="77" width="10.28515625" customWidth="1"/>
    <col min="78" max="78" width="11.140625" customWidth="1"/>
    <col min="79" max="79" width="10.28515625" bestFit="1" customWidth="1"/>
    <col min="80" max="81" width="11.140625" bestFit="1" customWidth="1"/>
    <col min="82" max="83" width="10.28515625" bestFit="1" customWidth="1"/>
    <col min="84" max="84" width="11.140625" bestFit="1" customWidth="1"/>
    <col min="85" max="85" width="10.28515625" customWidth="1"/>
    <col min="86" max="86" width="10.28515625" bestFit="1" customWidth="1"/>
    <col min="87" max="88" width="11.140625" bestFit="1" customWidth="1"/>
    <col min="89" max="89" width="10.28515625" customWidth="1"/>
    <col min="90" max="90" width="11.140625" customWidth="1"/>
    <col min="91" max="91" width="10.28515625" bestFit="1" customWidth="1"/>
    <col min="92" max="93" width="11.140625" bestFit="1" customWidth="1"/>
    <col min="94" max="95" width="10.28515625" bestFit="1" customWidth="1"/>
    <col min="96" max="96" width="11.140625" customWidth="1"/>
    <col min="97" max="97" width="10.28515625" customWidth="1"/>
    <col min="98" max="98" width="10.28515625" bestFit="1" customWidth="1"/>
    <col min="99" max="100" width="11.140625" bestFit="1" customWidth="1"/>
    <col min="101" max="101" width="10.28515625" customWidth="1"/>
    <col min="102" max="102" width="11.140625" customWidth="1"/>
    <col min="103" max="103" width="10.28515625" bestFit="1" customWidth="1"/>
  </cols>
  <sheetData>
    <row r="1" spans="1:103" ht="12" customHeight="1">
      <c r="A1" s="444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317" t="s">
        <v>504</v>
      </c>
    </row>
    <row r="2" spans="1:103" ht="12" customHeight="1">
      <c r="A2" s="454" t="s">
        <v>2</v>
      </c>
      <c r="B2" s="332">
        <f>'O&amp;M'!B1</f>
        <v>43951</v>
      </c>
      <c r="C2" s="332">
        <f>'O&amp;M'!C1</f>
        <v>43982</v>
      </c>
      <c r="D2" s="332">
        <f>'O&amp;M'!D1</f>
        <v>44012</v>
      </c>
      <c r="E2" s="332">
        <f>'O&amp;M'!E1</f>
        <v>44043</v>
      </c>
      <c r="F2" s="332">
        <f>'O&amp;M'!F1</f>
        <v>44074</v>
      </c>
      <c r="G2" s="332">
        <f>'O&amp;M'!G1</f>
        <v>44104</v>
      </c>
      <c r="H2" s="332">
        <f>'O&amp;M'!H1</f>
        <v>44135</v>
      </c>
      <c r="I2" s="332">
        <f>'O&amp;M'!I1</f>
        <v>44165</v>
      </c>
      <c r="J2" s="332">
        <f>'O&amp;M'!J1</f>
        <v>44196</v>
      </c>
      <c r="K2" s="332">
        <f>'O&amp;M'!K1</f>
        <v>44227</v>
      </c>
      <c r="L2" s="332">
        <f>'O&amp;M'!L1</f>
        <v>44255</v>
      </c>
      <c r="M2" s="332">
        <f>'O&amp;M'!M1</f>
        <v>44286</v>
      </c>
      <c r="N2" s="332">
        <f>'O&amp;M'!N1</f>
        <v>44316</v>
      </c>
      <c r="O2" s="332">
        <f>'O&amp;M'!O1</f>
        <v>44347</v>
      </c>
      <c r="P2" s="332">
        <f>'O&amp;M'!P1</f>
        <v>44377</v>
      </c>
      <c r="Q2" s="332">
        <f>'O&amp;M'!Q1</f>
        <v>44408</v>
      </c>
      <c r="R2" s="332">
        <f>'O&amp;M'!R1</f>
        <v>44439</v>
      </c>
      <c r="S2" s="332">
        <f>'O&amp;M'!S1</f>
        <v>44469</v>
      </c>
      <c r="T2" s="332">
        <f>'O&amp;M'!T1</f>
        <v>44500</v>
      </c>
      <c r="U2" s="332">
        <f>'O&amp;M'!U1</f>
        <v>44530</v>
      </c>
      <c r="V2" s="332">
        <f>'O&amp;M'!V1</f>
        <v>44561</v>
      </c>
      <c r="W2" s="332">
        <f>'O&amp;M'!W1</f>
        <v>44592</v>
      </c>
      <c r="X2" s="332">
        <f>'O&amp;M'!X1</f>
        <v>44620</v>
      </c>
      <c r="Y2" s="332">
        <f>'O&amp;M'!Y1</f>
        <v>44651</v>
      </c>
      <c r="Z2" s="332">
        <f>'O&amp;M'!Z1</f>
        <v>44681</v>
      </c>
      <c r="AA2" s="332">
        <f>'O&amp;M'!AA1</f>
        <v>44712</v>
      </c>
      <c r="AB2" s="332">
        <f>'O&amp;M'!AB1</f>
        <v>44742</v>
      </c>
      <c r="AC2" s="332">
        <f>'O&amp;M'!AC1</f>
        <v>44773</v>
      </c>
      <c r="AD2" s="332">
        <f>'O&amp;M'!AD1</f>
        <v>44804</v>
      </c>
      <c r="AE2" s="332">
        <f>'O&amp;M'!AE1</f>
        <v>44834</v>
      </c>
      <c r="AF2" s="332">
        <f>'O&amp;M'!AF1</f>
        <v>44865</v>
      </c>
      <c r="AG2" s="332">
        <f>'O&amp;M'!AG1</f>
        <v>44895</v>
      </c>
      <c r="AH2" s="332">
        <f>'O&amp;M'!AH1</f>
        <v>44926</v>
      </c>
      <c r="AI2" s="332">
        <f>'O&amp;M'!AI1</f>
        <v>44957</v>
      </c>
      <c r="AJ2" s="332">
        <f>'O&amp;M'!AJ1</f>
        <v>44985</v>
      </c>
      <c r="AK2" s="332">
        <f>'O&amp;M'!AK1</f>
        <v>45016</v>
      </c>
      <c r="AL2" s="332">
        <f>'O&amp;M'!AL1</f>
        <v>45046</v>
      </c>
      <c r="AM2" s="332">
        <f>'O&amp;M'!AM1</f>
        <v>45077</v>
      </c>
      <c r="AN2" s="332">
        <f>'O&amp;M'!AN1</f>
        <v>45107</v>
      </c>
      <c r="AO2" s="332">
        <f>'O&amp;M'!AO1</f>
        <v>45138</v>
      </c>
      <c r="AP2" s="332">
        <f>'O&amp;M'!AP1</f>
        <v>45169</v>
      </c>
      <c r="AQ2" s="332">
        <f>'O&amp;M'!AQ1</f>
        <v>45199</v>
      </c>
      <c r="AR2" s="332">
        <f>'O&amp;M'!AR1</f>
        <v>45230</v>
      </c>
      <c r="AS2" s="332">
        <f>'O&amp;M'!AS1</f>
        <v>45260</v>
      </c>
      <c r="AT2" s="332">
        <f>'O&amp;M'!AT1</f>
        <v>45291</v>
      </c>
      <c r="AU2" s="332">
        <f>'O&amp;M'!AU1</f>
        <v>45322</v>
      </c>
      <c r="AV2" s="332">
        <f>'O&amp;M'!AV1</f>
        <v>45351</v>
      </c>
      <c r="AW2" s="332">
        <f>'O&amp;M'!AW1</f>
        <v>45382</v>
      </c>
      <c r="AX2" s="332">
        <f>'O&amp;M'!AX1</f>
        <v>45412</v>
      </c>
      <c r="AY2" s="332">
        <f>'O&amp;M'!AY1</f>
        <v>45443</v>
      </c>
      <c r="AZ2" s="332">
        <f>'O&amp;M'!AZ1</f>
        <v>45473</v>
      </c>
      <c r="BA2" s="332">
        <f>'O&amp;M'!BA1</f>
        <v>45504</v>
      </c>
      <c r="BB2" s="332">
        <f>'O&amp;M'!BB1</f>
        <v>45535</v>
      </c>
      <c r="BC2" s="332">
        <f>'O&amp;M'!BC1</f>
        <v>45565</v>
      </c>
      <c r="BD2" s="332">
        <f>'O&amp;M'!BD1</f>
        <v>45596</v>
      </c>
      <c r="BE2" s="332">
        <f>'O&amp;M'!BE1</f>
        <v>45626</v>
      </c>
      <c r="BF2" s="332">
        <f>'O&amp;M'!BF1</f>
        <v>45657</v>
      </c>
      <c r="BG2" s="332">
        <f>'O&amp;M'!BG1</f>
        <v>45688</v>
      </c>
      <c r="BH2" s="332">
        <f>'O&amp;M'!BH1</f>
        <v>45716</v>
      </c>
      <c r="BI2" s="332">
        <f>'O&amp;M'!BI1</f>
        <v>45747</v>
      </c>
      <c r="BJ2" s="332">
        <f>'O&amp;M'!BJ1</f>
        <v>45777</v>
      </c>
      <c r="BK2" s="332">
        <f>'O&amp;M'!BK1</f>
        <v>45808</v>
      </c>
      <c r="BL2" s="332">
        <f>'O&amp;M'!BL1</f>
        <v>45838</v>
      </c>
      <c r="BM2" s="332">
        <f>'O&amp;M'!BM1</f>
        <v>45869</v>
      </c>
      <c r="BN2" s="332">
        <f>'O&amp;M'!BN1</f>
        <v>45900</v>
      </c>
      <c r="BO2" s="332">
        <f>'O&amp;M'!BO1</f>
        <v>45930</v>
      </c>
      <c r="BP2" s="332">
        <f>'O&amp;M'!BP1</f>
        <v>45961</v>
      </c>
      <c r="BQ2" s="332">
        <f>'O&amp;M'!BQ1</f>
        <v>45991</v>
      </c>
      <c r="BR2" s="332">
        <f>'O&amp;M'!BR1</f>
        <v>46022</v>
      </c>
      <c r="BS2" s="332">
        <f>'O&amp;M'!BS1</f>
        <v>46053</v>
      </c>
      <c r="BT2" s="332">
        <f>'O&amp;M'!BT1</f>
        <v>46081</v>
      </c>
      <c r="BU2" s="332">
        <f>'O&amp;M'!BU1</f>
        <v>46112</v>
      </c>
      <c r="BV2" s="332">
        <f>'O&amp;M'!BV1</f>
        <v>46142</v>
      </c>
      <c r="BW2" s="332">
        <f>'O&amp;M'!BW1</f>
        <v>46173</v>
      </c>
      <c r="BX2" s="332">
        <f>'O&amp;M'!BX1</f>
        <v>46203</v>
      </c>
      <c r="BY2" s="332">
        <f>'O&amp;M'!BY1</f>
        <v>46234</v>
      </c>
      <c r="BZ2" s="332">
        <f>'O&amp;M'!BZ1</f>
        <v>46265</v>
      </c>
      <c r="CA2" s="332">
        <f>'O&amp;M'!CA1</f>
        <v>46295</v>
      </c>
      <c r="CB2" s="332">
        <f>'O&amp;M'!CB1</f>
        <v>46326</v>
      </c>
      <c r="CC2" s="332">
        <f>'O&amp;M'!CC1</f>
        <v>46356</v>
      </c>
      <c r="CD2" s="332">
        <f>'O&amp;M'!CD1</f>
        <v>46387</v>
      </c>
      <c r="CE2" s="332">
        <f>'O&amp;M'!CE1</f>
        <v>46418</v>
      </c>
      <c r="CF2" s="332">
        <f>'O&amp;M'!CF1</f>
        <v>46446</v>
      </c>
      <c r="CG2" s="332">
        <f>'O&amp;M'!CG1</f>
        <v>46477</v>
      </c>
      <c r="CH2" s="332">
        <f>'O&amp;M'!CH1</f>
        <v>46507</v>
      </c>
      <c r="CI2" s="332">
        <f>'O&amp;M'!CI1</f>
        <v>46538</v>
      </c>
      <c r="CJ2" s="332">
        <f>'O&amp;M'!CJ1</f>
        <v>46568</v>
      </c>
      <c r="CK2" s="332">
        <f>'O&amp;M'!CK1</f>
        <v>46599</v>
      </c>
      <c r="CL2" s="332">
        <f>'O&amp;M'!CL1</f>
        <v>46630</v>
      </c>
      <c r="CM2" s="332">
        <f>'O&amp;M'!CM1</f>
        <v>46660</v>
      </c>
      <c r="CN2" s="332">
        <f>'O&amp;M'!CN1</f>
        <v>46691</v>
      </c>
      <c r="CO2" s="332">
        <f>'O&amp;M'!CO1</f>
        <v>46721</v>
      </c>
      <c r="CP2" s="332">
        <f>'O&amp;M'!CP1</f>
        <v>46752</v>
      </c>
      <c r="CQ2" s="332">
        <f>'O&amp;M'!CQ1</f>
        <v>46783</v>
      </c>
      <c r="CR2" s="332">
        <f>'O&amp;M'!CR1</f>
        <v>46812</v>
      </c>
      <c r="CS2" s="332">
        <f>'O&amp;M'!CS1</f>
        <v>46843</v>
      </c>
      <c r="CT2" s="332">
        <f>'O&amp;M'!CT1</f>
        <v>46873</v>
      </c>
      <c r="CU2" s="332">
        <f>'O&amp;M'!CU1</f>
        <v>46904</v>
      </c>
      <c r="CV2" s="332">
        <f>'O&amp;M'!CV1</f>
        <v>46934</v>
      </c>
      <c r="CW2" s="332">
        <f>'O&amp;M'!CW1</f>
        <v>46965</v>
      </c>
      <c r="CX2" s="332">
        <f>'O&amp;M'!CX1</f>
        <v>46996</v>
      </c>
      <c r="CY2" s="332">
        <f>'O&amp;M'!CY1</f>
        <v>47026</v>
      </c>
    </row>
    <row r="3" spans="1:103" ht="12" customHeight="1">
      <c r="A3" s="293" t="s">
        <v>579</v>
      </c>
      <c r="B3" s="304">
        <v>10000000</v>
      </c>
      <c r="C3" s="304">
        <v>0</v>
      </c>
      <c r="D3" s="304">
        <v>897272</v>
      </c>
      <c r="E3" s="304">
        <v>0</v>
      </c>
      <c r="F3" s="304">
        <v>0</v>
      </c>
      <c r="G3" s="304">
        <v>12272</v>
      </c>
      <c r="H3" s="304">
        <v>0</v>
      </c>
      <c r="I3" s="304">
        <v>3894000</v>
      </c>
      <c r="J3" s="304">
        <v>12272</v>
      </c>
      <c r="K3" s="304">
        <v>0</v>
      </c>
      <c r="L3" s="304">
        <v>0</v>
      </c>
      <c r="M3" s="304">
        <v>12272</v>
      </c>
      <c r="N3" s="304">
        <v>0</v>
      </c>
      <c r="O3" s="304">
        <v>4248000</v>
      </c>
      <c r="P3" s="304">
        <v>897762.88</v>
      </c>
      <c r="Q3" s="304">
        <v>0</v>
      </c>
      <c r="R3" s="304">
        <v>0</v>
      </c>
      <c r="S3" s="304">
        <v>12762.880000000001</v>
      </c>
      <c r="T3" s="304">
        <v>0</v>
      </c>
      <c r="U3" s="304">
        <v>0</v>
      </c>
      <c r="V3" s="304">
        <v>12762.880000000001</v>
      </c>
      <c r="W3" s="304">
        <v>0</v>
      </c>
      <c r="X3" s="304">
        <v>0</v>
      </c>
      <c r="Y3" s="304">
        <v>12762.880000000001</v>
      </c>
      <c r="Z3" s="304">
        <v>0</v>
      </c>
      <c r="AA3" s="304">
        <v>4248000</v>
      </c>
      <c r="AB3" s="304">
        <v>898273.39520000003</v>
      </c>
      <c r="AC3" s="304">
        <v>0</v>
      </c>
      <c r="AD3" s="304">
        <v>0</v>
      </c>
      <c r="AE3" s="304">
        <v>13273.395200000001</v>
      </c>
      <c r="AF3" s="304">
        <v>0</v>
      </c>
      <c r="AG3" s="304">
        <v>0</v>
      </c>
      <c r="AH3" s="304">
        <v>13273.395200000001</v>
      </c>
      <c r="AI3" s="304">
        <v>0</v>
      </c>
      <c r="AJ3" s="304">
        <v>0</v>
      </c>
      <c r="AK3" s="304">
        <v>13273.395200000001</v>
      </c>
      <c r="AL3" s="304">
        <v>0</v>
      </c>
      <c r="AM3" s="304">
        <v>4248000</v>
      </c>
      <c r="AN3" s="304">
        <v>898804.33100799995</v>
      </c>
      <c r="AO3" s="304">
        <v>0</v>
      </c>
      <c r="AP3" s="304">
        <v>0</v>
      </c>
      <c r="AQ3" s="304">
        <v>13804.331008000001</v>
      </c>
      <c r="AR3" s="304">
        <v>0</v>
      </c>
      <c r="AS3" s="304">
        <v>0</v>
      </c>
      <c r="AT3" s="304">
        <v>13804.331008000001</v>
      </c>
      <c r="AU3" s="304">
        <v>0</v>
      </c>
      <c r="AV3" s="304">
        <v>0</v>
      </c>
      <c r="AW3" s="304">
        <v>13804.331008000001</v>
      </c>
      <c r="AX3" s="304">
        <v>0</v>
      </c>
      <c r="AY3" s="304">
        <v>4248000</v>
      </c>
      <c r="AZ3" s="304">
        <v>899356.50424832001</v>
      </c>
      <c r="BA3" s="304">
        <v>0</v>
      </c>
      <c r="BB3" s="304">
        <v>0</v>
      </c>
      <c r="BC3" s="304">
        <v>14356.504248320001</v>
      </c>
      <c r="BD3" s="304">
        <v>0</v>
      </c>
      <c r="BE3" s="304">
        <v>0</v>
      </c>
      <c r="BF3" s="304">
        <v>14356.504248320001</v>
      </c>
      <c r="BG3" s="304">
        <v>0</v>
      </c>
      <c r="BH3" s="304">
        <v>0</v>
      </c>
      <c r="BI3" s="304">
        <v>14356.504248320001</v>
      </c>
      <c r="BJ3" s="304">
        <v>0</v>
      </c>
      <c r="BK3" s="304">
        <v>4248000</v>
      </c>
      <c r="BL3" s="304">
        <v>899930.76441825274</v>
      </c>
      <c r="BM3" s="304">
        <v>0</v>
      </c>
      <c r="BN3" s="304">
        <v>0</v>
      </c>
      <c r="BO3" s="304">
        <v>14930.764418252802</v>
      </c>
      <c r="BP3" s="304">
        <v>0</v>
      </c>
      <c r="BQ3" s="304">
        <v>0</v>
      </c>
      <c r="BR3" s="304">
        <v>14930.764418252802</v>
      </c>
      <c r="BS3" s="304">
        <v>0</v>
      </c>
      <c r="BT3" s="304">
        <v>0</v>
      </c>
      <c r="BU3" s="304">
        <v>14930.764418252802</v>
      </c>
      <c r="BV3" s="304">
        <v>0</v>
      </c>
      <c r="BW3" s="304">
        <v>4248000</v>
      </c>
      <c r="BX3" s="304">
        <v>900527.99499498296</v>
      </c>
      <c r="BY3" s="304">
        <v>0</v>
      </c>
      <c r="BZ3" s="304">
        <v>0</v>
      </c>
      <c r="CA3" s="304">
        <v>15527.994994982915</v>
      </c>
      <c r="CB3" s="304">
        <v>0</v>
      </c>
      <c r="CC3" s="304">
        <v>0</v>
      </c>
      <c r="CD3" s="304">
        <v>15527.994994982915</v>
      </c>
      <c r="CE3" s="304">
        <v>0</v>
      </c>
      <c r="CF3" s="304">
        <v>0</v>
      </c>
      <c r="CG3" s="304">
        <v>0</v>
      </c>
      <c r="CH3" s="304">
        <v>0</v>
      </c>
      <c r="CI3" s="304">
        <v>4248000</v>
      </c>
      <c r="CJ3" s="304">
        <v>885000</v>
      </c>
      <c r="CK3" s="304">
        <v>0</v>
      </c>
      <c r="CL3" s="304">
        <v>0</v>
      </c>
      <c r="CM3" s="304">
        <v>0</v>
      </c>
      <c r="CN3" s="304">
        <v>0</v>
      </c>
      <c r="CO3" s="304">
        <v>0</v>
      </c>
      <c r="CP3" s="304">
        <v>0</v>
      </c>
      <c r="CQ3" s="304">
        <v>0</v>
      </c>
      <c r="CR3" s="304">
        <v>0</v>
      </c>
      <c r="CS3" s="304">
        <v>0</v>
      </c>
      <c r="CT3" s="304">
        <v>0</v>
      </c>
      <c r="CU3" s="304">
        <v>2124000</v>
      </c>
      <c r="CV3" s="304">
        <v>0</v>
      </c>
      <c r="CW3" s="304">
        <v>0</v>
      </c>
      <c r="CX3" s="304">
        <v>0</v>
      </c>
      <c r="CY3" s="304">
        <v>0</v>
      </c>
    </row>
    <row r="4" spans="1:103" ht="12" customHeight="1">
      <c r="A4" s="293" t="s">
        <v>580</v>
      </c>
      <c r="B4" s="304">
        <v>12616082.768409438</v>
      </c>
      <c r="C4" s="304">
        <v>85904</v>
      </c>
      <c r="D4" s="304">
        <v>85904</v>
      </c>
      <c r="E4" s="304">
        <v>85904</v>
      </c>
      <c r="F4" s="304">
        <v>85904</v>
      </c>
      <c r="G4" s="304">
        <v>85904</v>
      </c>
      <c r="H4" s="304">
        <v>85904</v>
      </c>
      <c r="I4" s="304">
        <v>85904</v>
      </c>
      <c r="J4" s="304">
        <v>85904</v>
      </c>
      <c r="K4" s="304">
        <v>85904</v>
      </c>
      <c r="L4" s="304">
        <v>85904</v>
      </c>
      <c r="M4" s="304">
        <v>10085904</v>
      </c>
      <c r="N4" s="304">
        <v>589340.16000000003</v>
      </c>
      <c r="O4" s="304">
        <v>89340.160000000003</v>
      </c>
      <c r="P4" s="304">
        <v>89340.160000000003</v>
      </c>
      <c r="Q4" s="304">
        <v>89340.160000000003</v>
      </c>
      <c r="R4" s="304">
        <v>89340.160000000003</v>
      </c>
      <c r="S4" s="304">
        <v>89340.160000000003</v>
      </c>
      <c r="T4" s="304">
        <v>89340.160000000003</v>
      </c>
      <c r="U4" s="304">
        <v>89340.160000000003</v>
      </c>
      <c r="V4" s="304">
        <v>89340.160000000003</v>
      </c>
      <c r="W4" s="304">
        <v>89340.160000000003</v>
      </c>
      <c r="X4" s="304">
        <v>89340.160000000003</v>
      </c>
      <c r="Y4" s="304">
        <v>89340.160000000003</v>
      </c>
      <c r="Z4" s="304">
        <v>592913.76639999996</v>
      </c>
      <c r="AA4" s="304">
        <v>92913.766400000008</v>
      </c>
      <c r="AB4" s="304">
        <v>92913.766400000008</v>
      </c>
      <c r="AC4" s="304">
        <v>92913.766400000008</v>
      </c>
      <c r="AD4" s="304">
        <v>92913.766400000008</v>
      </c>
      <c r="AE4" s="304">
        <v>92913.766400000008</v>
      </c>
      <c r="AF4" s="304">
        <v>92913.766400000008</v>
      </c>
      <c r="AG4" s="304">
        <v>92913.766400000008</v>
      </c>
      <c r="AH4" s="304">
        <v>92913.766400000008</v>
      </c>
      <c r="AI4" s="304">
        <v>92913.766400000008</v>
      </c>
      <c r="AJ4" s="304">
        <v>92913.766400000008</v>
      </c>
      <c r="AK4" s="304">
        <v>92913.766400000008</v>
      </c>
      <c r="AL4" s="304">
        <v>596630.317056</v>
      </c>
      <c r="AM4" s="304">
        <v>96630.317056000014</v>
      </c>
      <c r="AN4" s="304">
        <v>96630.317056000014</v>
      </c>
      <c r="AO4" s="304">
        <v>96630.317056000014</v>
      </c>
      <c r="AP4" s="304">
        <v>96630.317056000014</v>
      </c>
      <c r="AQ4" s="304">
        <v>96630.317056000014</v>
      </c>
      <c r="AR4" s="304">
        <v>96630.317056000014</v>
      </c>
      <c r="AS4" s="304">
        <v>96630.317056000014</v>
      </c>
      <c r="AT4" s="304">
        <v>96630.317056000014</v>
      </c>
      <c r="AU4" s="304">
        <v>96630.317056000014</v>
      </c>
      <c r="AV4" s="304">
        <v>96630.317056000014</v>
      </c>
      <c r="AW4" s="304">
        <v>96630.317056000014</v>
      </c>
      <c r="AX4" s="304">
        <v>600495.52973824006</v>
      </c>
      <c r="AY4" s="304">
        <v>100495.52973824002</v>
      </c>
      <c r="AZ4" s="304">
        <v>100495.52973824002</v>
      </c>
      <c r="BA4" s="304">
        <v>100495.52973824002</v>
      </c>
      <c r="BB4" s="304">
        <v>100495.52973824002</v>
      </c>
      <c r="BC4" s="304">
        <v>100495.52973824002</v>
      </c>
      <c r="BD4" s="304">
        <v>100495.52973824002</v>
      </c>
      <c r="BE4" s="304">
        <v>100495.52973824002</v>
      </c>
      <c r="BF4" s="304">
        <v>100495.52973824002</v>
      </c>
      <c r="BG4" s="304">
        <v>100495.52973824002</v>
      </c>
      <c r="BH4" s="304">
        <v>100495.52973824002</v>
      </c>
      <c r="BI4" s="304">
        <v>100495.52973824002</v>
      </c>
      <c r="BJ4" s="304">
        <v>604515.35092776967</v>
      </c>
      <c r="BK4" s="304">
        <v>104515.35092776961</v>
      </c>
      <c r="BL4" s="304">
        <v>104515.35092776961</v>
      </c>
      <c r="BM4" s="304">
        <v>104515.35092776961</v>
      </c>
      <c r="BN4" s="304">
        <v>104515.35092776961</v>
      </c>
      <c r="BO4" s="304">
        <v>104515.35092776961</v>
      </c>
      <c r="BP4" s="304">
        <v>104515.35092776961</v>
      </c>
      <c r="BQ4" s="304">
        <v>104515.35092776961</v>
      </c>
      <c r="BR4" s="304">
        <v>104515.35092776961</v>
      </c>
      <c r="BS4" s="304">
        <v>104515.35092776961</v>
      </c>
      <c r="BT4" s="304">
        <v>104515.35092776961</v>
      </c>
      <c r="BU4" s="304">
        <v>104515.35092776961</v>
      </c>
      <c r="BV4" s="304">
        <v>608695.96496488038</v>
      </c>
      <c r="BW4" s="304">
        <v>108695.9649648804</v>
      </c>
      <c r="BX4" s="304">
        <v>108695.9649648804</v>
      </c>
      <c r="BY4" s="304">
        <v>108695.9649648804</v>
      </c>
      <c r="BZ4" s="304">
        <v>108695.9649648804</v>
      </c>
      <c r="CA4" s="304">
        <v>108695.9649648804</v>
      </c>
      <c r="CB4" s="304">
        <v>108695.9649648804</v>
      </c>
      <c r="CC4" s="304">
        <v>108695.9649648804</v>
      </c>
      <c r="CD4" s="304">
        <v>108695.9649648804</v>
      </c>
      <c r="CE4" s="304">
        <v>108695.9649648804</v>
      </c>
      <c r="CF4" s="304">
        <v>108695.9649648804</v>
      </c>
      <c r="CG4" s="304">
        <v>108695.9649648804</v>
      </c>
      <c r="CH4" s="304">
        <v>613043.80356347561</v>
      </c>
      <c r="CI4" s="304">
        <v>113043.80356347562</v>
      </c>
      <c r="CJ4" s="304">
        <v>113043.80356347562</v>
      </c>
      <c r="CK4" s="304">
        <v>113043.80356347562</v>
      </c>
      <c r="CL4" s="304">
        <v>113043.80356347562</v>
      </c>
      <c r="CM4" s="304">
        <v>113043.80356347562</v>
      </c>
      <c r="CN4" s="304">
        <v>113043.80356347562</v>
      </c>
      <c r="CO4" s="304">
        <v>113043.80356347562</v>
      </c>
      <c r="CP4" s="304">
        <v>113043.80356347562</v>
      </c>
      <c r="CQ4" s="304">
        <v>113043.80356347562</v>
      </c>
      <c r="CR4" s="304">
        <v>113043.80356347562</v>
      </c>
      <c r="CS4" s="304">
        <v>113043.80356347562</v>
      </c>
      <c r="CT4" s="304">
        <v>617565.55570601462</v>
      </c>
      <c r="CU4" s="304">
        <v>117565.55570601465</v>
      </c>
      <c r="CV4" s="304">
        <v>117565.55570601465</v>
      </c>
      <c r="CW4" s="304">
        <v>117565.55570601465</v>
      </c>
      <c r="CX4" s="304">
        <v>117565.55570601465</v>
      </c>
      <c r="CY4" s="304">
        <v>117565.55570601465</v>
      </c>
    </row>
    <row r="5" spans="1:103" ht="12" customHeight="1">
      <c r="A5" s="293" t="s">
        <v>581</v>
      </c>
      <c r="B5" s="375">
        <v>0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245440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255257.60000000001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  <c r="AH5" s="375">
        <v>0</v>
      </c>
      <c r="AI5" s="375">
        <v>0</v>
      </c>
      <c r="AJ5" s="375">
        <v>265467.90400000004</v>
      </c>
      <c r="AK5" s="375">
        <v>0</v>
      </c>
      <c r="AL5" s="375">
        <v>0</v>
      </c>
      <c r="AM5" s="375">
        <v>0</v>
      </c>
      <c r="AN5" s="375">
        <v>0</v>
      </c>
      <c r="AO5" s="375">
        <v>0</v>
      </c>
      <c r="AP5" s="375">
        <v>0</v>
      </c>
      <c r="AQ5" s="375">
        <v>0</v>
      </c>
      <c r="AR5" s="375">
        <v>0</v>
      </c>
      <c r="AS5" s="375">
        <v>0</v>
      </c>
      <c r="AT5" s="375">
        <v>0</v>
      </c>
      <c r="AU5" s="375">
        <v>0</v>
      </c>
      <c r="AV5" s="375">
        <v>276086.62016000005</v>
      </c>
      <c r="AW5" s="375">
        <v>0</v>
      </c>
      <c r="AX5" s="375">
        <v>0</v>
      </c>
      <c r="AY5" s="375">
        <v>0</v>
      </c>
      <c r="AZ5" s="375">
        <v>0</v>
      </c>
      <c r="BA5" s="375">
        <v>0</v>
      </c>
      <c r="BB5" s="375">
        <v>0</v>
      </c>
      <c r="BC5" s="375">
        <v>0</v>
      </c>
      <c r="BD5" s="375">
        <v>0</v>
      </c>
      <c r="BE5" s="375">
        <v>0</v>
      </c>
      <c r="BF5" s="375">
        <v>0</v>
      </c>
      <c r="BG5" s="375">
        <v>0</v>
      </c>
      <c r="BH5" s="375">
        <v>287130.08496640006</v>
      </c>
      <c r="BI5" s="375">
        <v>0</v>
      </c>
      <c r="BJ5" s="375">
        <v>0</v>
      </c>
      <c r="BK5" s="375">
        <v>0</v>
      </c>
      <c r="BL5" s="375">
        <v>0</v>
      </c>
      <c r="BM5" s="375">
        <v>0</v>
      </c>
      <c r="BN5" s="375">
        <v>0</v>
      </c>
      <c r="BO5" s="375">
        <v>0</v>
      </c>
      <c r="BP5" s="375">
        <v>0</v>
      </c>
      <c r="BQ5" s="375">
        <v>0</v>
      </c>
      <c r="BR5" s="375">
        <v>0</v>
      </c>
      <c r="BS5" s="375">
        <v>0</v>
      </c>
      <c r="BT5" s="375">
        <v>298615.28836505604</v>
      </c>
      <c r="BU5" s="375">
        <v>0</v>
      </c>
      <c r="BV5" s="375">
        <v>0</v>
      </c>
      <c r="BW5" s="375">
        <v>0</v>
      </c>
      <c r="BX5" s="375">
        <v>0</v>
      </c>
      <c r="BY5" s="375">
        <v>0</v>
      </c>
      <c r="BZ5" s="375">
        <v>0</v>
      </c>
      <c r="CA5" s="375">
        <v>0</v>
      </c>
      <c r="CB5" s="375">
        <v>0</v>
      </c>
      <c r="CC5" s="375">
        <v>0</v>
      </c>
      <c r="CD5" s="375">
        <v>0</v>
      </c>
      <c r="CE5" s="375">
        <v>0</v>
      </c>
      <c r="CF5" s="375">
        <v>310559.89989965828</v>
      </c>
      <c r="CG5" s="375">
        <v>0</v>
      </c>
      <c r="CH5" s="375">
        <v>0</v>
      </c>
      <c r="CI5" s="375">
        <v>0</v>
      </c>
      <c r="CJ5" s="375">
        <v>0</v>
      </c>
      <c r="CK5" s="375">
        <v>0</v>
      </c>
      <c r="CL5" s="375">
        <v>0</v>
      </c>
      <c r="CM5" s="375">
        <v>0</v>
      </c>
      <c r="CN5" s="375">
        <v>0</v>
      </c>
      <c r="CO5" s="375">
        <v>0</v>
      </c>
      <c r="CP5" s="375">
        <v>0</v>
      </c>
      <c r="CQ5" s="375">
        <v>0</v>
      </c>
      <c r="CR5" s="375">
        <v>322982.29589564464</v>
      </c>
      <c r="CS5" s="375">
        <v>0</v>
      </c>
      <c r="CT5" s="375">
        <v>0</v>
      </c>
      <c r="CU5" s="375">
        <v>0</v>
      </c>
      <c r="CV5" s="375">
        <v>0</v>
      </c>
      <c r="CW5" s="375">
        <v>0</v>
      </c>
      <c r="CX5" s="375">
        <v>0</v>
      </c>
      <c r="CY5" s="375">
        <v>0</v>
      </c>
    </row>
    <row r="6" spans="1:103" ht="12" customHeight="1">
      <c r="A6" s="293" t="s">
        <v>582</v>
      </c>
      <c r="B6" s="304">
        <v>244085</v>
      </c>
      <c r="C6" s="304">
        <v>220017.2</v>
      </c>
      <c r="D6" s="304">
        <v>30680</v>
      </c>
      <c r="E6" s="304">
        <v>244085</v>
      </c>
      <c r="F6" s="304">
        <v>30680</v>
      </c>
      <c r="G6" s="304">
        <v>620680</v>
      </c>
      <c r="H6" s="304">
        <v>244085</v>
      </c>
      <c r="I6" s="304">
        <v>30680</v>
      </c>
      <c r="J6" s="304">
        <v>30680</v>
      </c>
      <c r="K6" s="304">
        <v>244085</v>
      </c>
      <c r="L6" s="304">
        <v>30680</v>
      </c>
      <c r="M6" s="304">
        <v>30680</v>
      </c>
      <c r="N6" s="304">
        <v>221941.2</v>
      </c>
      <c r="O6" s="304">
        <v>228817.88800000004</v>
      </c>
      <c r="P6" s="304">
        <v>31907.200000000001</v>
      </c>
      <c r="Q6" s="304">
        <v>221941.2</v>
      </c>
      <c r="R6" s="304">
        <v>31907.200000000001</v>
      </c>
      <c r="S6" s="304">
        <v>621907.19999999995</v>
      </c>
      <c r="T6" s="304">
        <v>221941.2</v>
      </c>
      <c r="U6" s="304">
        <v>31907.200000000001</v>
      </c>
      <c r="V6" s="304">
        <v>31907.200000000001</v>
      </c>
      <c r="W6" s="304">
        <v>221941.2</v>
      </c>
      <c r="X6" s="304">
        <v>31907.200000000001</v>
      </c>
      <c r="Y6" s="304">
        <v>31907.200000000001</v>
      </c>
      <c r="Z6" s="304">
        <v>230818.84800000003</v>
      </c>
      <c r="AA6" s="304">
        <v>237970.60352000003</v>
      </c>
      <c r="AB6" s="304">
        <v>33183.488000000005</v>
      </c>
      <c r="AC6" s="304">
        <v>230818.84800000003</v>
      </c>
      <c r="AD6" s="304">
        <v>33183.488000000005</v>
      </c>
      <c r="AE6" s="304">
        <v>623183.48800000001</v>
      </c>
      <c r="AF6" s="304">
        <v>230818.84800000003</v>
      </c>
      <c r="AG6" s="304">
        <v>33183.488000000005</v>
      </c>
      <c r="AH6" s="304">
        <v>33183.488000000005</v>
      </c>
      <c r="AI6" s="304">
        <v>230818.84800000003</v>
      </c>
      <c r="AJ6" s="304">
        <v>33183.488000000005</v>
      </c>
      <c r="AK6" s="304">
        <v>33183.488000000005</v>
      </c>
      <c r="AL6" s="304">
        <v>240051.60192000004</v>
      </c>
      <c r="AM6" s="304">
        <v>247489.42766080005</v>
      </c>
      <c r="AN6" s="304">
        <v>34510.827520000006</v>
      </c>
      <c r="AO6" s="304">
        <v>240051.60192000004</v>
      </c>
      <c r="AP6" s="304">
        <v>34510.827520000006</v>
      </c>
      <c r="AQ6" s="304">
        <v>624510.82752000005</v>
      </c>
      <c r="AR6" s="304">
        <v>240051.60192000004</v>
      </c>
      <c r="AS6" s="304">
        <v>34510.827520000006</v>
      </c>
      <c r="AT6" s="304">
        <v>34510.827520000006</v>
      </c>
      <c r="AU6" s="304">
        <v>240051.60192000004</v>
      </c>
      <c r="AV6" s="304">
        <v>34510.827520000006</v>
      </c>
      <c r="AW6" s="304">
        <v>34510.827520000006</v>
      </c>
      <c r="AX6" s="304">
        <v>249653.66599680006</v>
      </c>
      <c r="AY6" s="304">
        <v>257389.00476723205</v>
      </c>
      <c r="AZ6" s="304">
        <v>35891.260620800007</v>
      </c>
      <c r="BA6" s="304">
        <v>249653.66599680006</v>
      </c>
      <c r="BB6" s="304">
        <v>35891.260620800007</v>
      </c>
      <c r="BC6" s="304">
        <v>625891.26062079996</v>
      </c>
      <c r="BD6" s="304">
        <v>249653.66599680006</v>
      </c>
      <c r="BE6" s="304">
        <v>35891.260620800007</v>
      </c>
      <c r="BF6" s="304">
        <v>35891.260620800007</v>
      </c>
      <c r="BG6" s="304">
        <v>249653.66599680006</v>
      </c>
      <c r="BH6" s="304">
        <v>35891.260620800007</v>
      </c>
      <c r="BI6" s="304">
        <v>35891.260620800007</v>
      </c>
      <c r="BJ6" s="304">
        <v>259639.81263667205</v>
      </c>
      <c r="BK6" s="304">
        <v>267684.56495792134</v>
      </c>
      <c r="BL6" s="304">
        <v>37326.911045632005</v>
      </c>
      <c r="BM6" s="304">
        <v>259639.81263667205</v>
      </c>
      <c r="BN6" s="304">
        <v>37326.911045632005</v>
      </c>
      <c r="BO6" s="304">
        <v>627326.91104563198</v>
      </c>
      <c r="BP6" s="304">
        <v>259639.81263667205</v>
      </c>
      <c r="BQ6" s="304">
        <v>37326.911045632005</v>
      </c>
      <c r="BR6" s="304">
        <v>37326.911045632005</v>
      </c>
      <c r="BS6" s="304">
        <v>259639.81263667205</v>
      </c>
      <c r="BT6" s="304">
        <v>37326.911045632005</v>
      </c>
      <c r="BU6" s="304">
        <v>37326.911045632005</v>
      </c>
      <c r="BV6" s="304">
        <v>270025.40514213894</v>
      </c>
      <c r="BW6" s="304">
        <v>278391.94755623816</v>
      </c>
      <c r="BX6" s="304">
        <v>38819.987487457285</v>
      </c>
      <c r="BY6" s="304">
        <v>270025.40514213894</v>
      </c>
      <c r="BZ6" s="304">
        <v>38819.987487457285</v>
      </c>
      <c r="CA6" s="304">
        <v>628819.98748745723</v>
      </c>
      <c r="CB6" s="304">
        <v>270025.40514213894</v>
      </c>
      <c r="CC6" s="304">
        <v>38819.987487457285</v>
      </c>
      <c r="CD6" s="304">
        <v>38819.987487457285</v>
      </c>
      <c r="CE6" s="304">
        <v>270025.40514213894</v>
      </c>
      <c r="CF6" s="304">
        <v>38819.987487457285</v>
      </c>
      <c r="CG6" s="304">
        <v>38819.987487457285</v>
      </c>
      <c r="CH6" s="304">
        <v>280826.42134782451</v>
      </c>
      <c r="CI6" s="304">
        <v>289527.62545848772</v>
      </c>
      <c r="CJ6" s="304">
        <v>40372.78698695558</v>
      </c>
      <c r="CK6" s="304">
        <v>280826.42134782451</v>
      </c>
      <c r="CL6" s="304">
        <v>40372.78698695558</v>
      </c>
      <c r="CM6" s="304">
        <v>630372.78698695556</v>
      </c>
      <c r="CN6" s="304">
        <v>280826.42134782451</v>
      </c>
      <c r="CO6" s="304">
        <v>40372.78698695558</v>
      </c>
      <c r="CP6" s="304">
        <v>40372.78698695558</v>
      </c>
      <c r="CQ6" s="304">
        <v>280826.42134782451</v>
      </c>
      <c r="CR6" s="304">
        <v>40372.78698695558</v>
      </c>
      <c r="CS6" s="304">
        <v>40372.78698695558</v>
      </c>
      <c r="CT6" s="304">
        <v>292059.47820173751</v>
      </c>
      <c r="CU6" s="304">
        <v>301108.73047682724</v>
      </c>
      <c r="CV6" s="304">
        <v>41987.698466433802</v>
      </c>
      <c r="CW6" s="304">
        <v>292059.47820173751</v>
      </c>
      <c r="CX6" s="304">
        <v>41987.698466433802</v>
      </c>
      <c r="CY6" s="304">
        <v>631987.69846643379</v>
      </c>
    </row>
    <row r="7" spans="1:103" ht="12" customHeight="1">
      <c r="A7" s="293" t="s">
        <v>583</v>
      </c>
      <c r="B7" s="375">
        <v>0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55224</v>
      </c>
      <c r="I7" s="375">
        <v>0</v>
      </c>
      <c r="J7" s="375">
        <v>0</v>
      </c>
      <c r="K7" s="375">
        <v>0</v>
      </c>
      <c r="L7" s="375">
        <v>0</v>
      </c>
      <c r="M7" s="375">
        <v>0</v>
      </c>
      <c r="N7" s="375">
        <v>0</v>
      </c>
      <c r="O7" s="375">
        <v>0</v>
      </c>
      <c r="P7" s="375">
        <v>0</v>
      </c>
      <c r="Q7" s="375">
        <v>0</v>
      </c>
      <c r="R7" s="375">
        <v>0</v>
      </c>
      <c r="S7" s="375">
        <v>0</v>
      </c>
      <c r="T7" s="375">
        <v>57432.959999999999</v>
      </c>
      <c r="U7" s="375">
        <v>0</v>
      </c>
      <c r="V7" s="375">
        <v>0</v>
      </c>
      <c r="W7" s="375">
        <v>0</v>
      </c>
      <c r="X7" s="375">
        <v>0</v>
      </c>
      <c r="Y7" s="375">
        <v>0</v>
      </c>
      <c r="Z7" s="375">
        <v>0</v>
      </c>
      <c r="AA7" s="375">
        <v>0</v>
      </c>
      <c r="AB7" s="375">
        <v>0</v>
      </c>
      <c r="AC7" s="375">
        <v>0</v>
      </c>
      <c r="AD7" s="375">
        <v>0</v>
      </c>
      <c r="AE7" s="375">
        <v>0</v>
      </c>
      <c r="AF7" s="375">
        <v>59730.278400000003</v>
      </c>
      <c r="AG7" s="375">
        <v>0</v>
      </c>
      <c r="AH7" s="375">
        <v>0</v>
      </c>
      <c r="AI7" s="375">
        <v>0</v>
      </c>
      <c r="AJ7" s="375">
        <v>0</v>
      </c>
      <c r="AK7" s="375">
        <v>0</v>
      </c>
      <c r="AL7" s="375">
        <v>0</v>
      </c>
      <c r="AM7" s="375">
        <v>0</v>
      </c>
      <c r="AN7" s="375">
        <v>0</v>
      </c>
      <c r="AO7" s="375">
        <v>0</v>
      </c>
      <c r="AP7" s="375">
        <v>0</v>
      </c>
      <c r="AQ7" s="375">
        <v>0</v>
      </c>
      <c r="AR7" s="375">
        <v>62119.489536000008</v>
      </c>
      <c r="AS7" s="375">
        <v>0</v>
      </c>
      <c r="AT7" s="375">
        <v>0</v>
      </c>
      <c r="AU7" s="375">
        <v>0</v>
      </c>
      <c r="AV7" s="375">
        <v>0</v>
      </c>
      <c r="AW7" s="375">
        <v>0</v>
      </c>
      <c r="AX7" s="375">
        <v>0</v>
      </c>
      <c r="AY7" s="375">
        <v>0</v>
      </c>
      <c r="AZ7" s="375">
        <v>0</v>
      </c>
      <c r="BA7" s="375">
        <v>0</v>
      </c>
      <c r="BB7" s="375">
        <v>0</v>
      </c>
      <c r="BC7" s="375">
        <v>0</v>
      </c>
      <c r="BD7" s="375">
        <v>64604.26911744001</v>
      </c>
      <c r="BE7" s="375">
        <v>0</v>
      </c>
      <c r="BF7" s="375">
        <v>0</v>
      </c>
      <c r="BG7" s="375">
        <v>0</v>
      </c>
      <c r="BH7" s="375">
        <v>0</v>
      </c>
      <c r="BI7" s="375">
        <v>0</v>
      </c>
      <c r="BJ7" s="375">
        <v>0</v>
      </c>
      <c r="BK7" s="375">
        <v>0</v>
      </c>
      <c r="BL7" s="375">
        <v>0</v>
      </c>
      <c r="BM7" s="375">
        <v>0</v>
      </c>
      <c r="BN7" s="375">
        <v>0</v>
      </c>
      <c r="BO7" s="375">
        <v>0</v>
      </c>
      <c r="BP7" s="375">
        <v>67188.439882137609</v>
      </c>
      <c r="BQ7" s="375">
        <v>0</v>
      </c>
      <c r="BR7" s="375">
        <v>0</v>
      </c>
      <c r="BS7" s="375">
        <v>0</v>
      </c>
      <c r="BT7" s="375">
        <v>0</v>
      </c>
      <c r="BU7" s="375">
        <v>0</v>
      </c>
      <c r="BV7" s="375">
        <v>0</v>
      </c>
      <c r="BW7" s="375">
        <v>0</v>
      </c>
      <c r="BX7" s="375">
        <v>0</v>
      </c>
      <c r="BY7" s="375">
        <v>0</v>
      </c>
      <c r="BZ7" s="375">
        <v>0</v>
      </c>
      <c r="CA7" s="375">
        <v>0</v>
      </c>
      <c r="CB7" s="375">
        <v>69875.977477423119</v>
      </c>
      <c r="CC7" s="375">
        <v>0</v>
      </c>
      <c r="CD7" s="375">
        <v>0</v>
      </c>
      <c r="CE7" s="375">
        <v>0</v>
      </c>
      <c r="CF7" s="375">
        <v>0</v>
      </c>
      <c r="CG7" s="375">
        <v>0</v>
      </c>
      <c r="CH7" s="375">
        <v>0</v>
      </c>
      <c r="CI7" s="375">
        <v>0</v>
      </c>
      <c r="CJ7" s="375">
        <v>0</v>
      </c>
      <c r="CK7" s="375">
        <v>0</v>
      </c>
      <c r="CL7" s="375">
        <v>0</v>
      </c>
      <c r="CM7" s="375">
        <v>0</v>
      </c>
      <c r="CN7" s="375">
        <v>72671.016576520051</v>
      </c>
      <c r="CO7" s="375">
        <v>0</v>
      </c>
      <c r="CP7" s="375">
        <v>0</v>
      </c>
      <c r="CQ7" s="375">
        <v>0</v>
      </c>
      <c r="CR7" s="375">
        <v>0</v>
      </c>
      <c r="CS7" s="375">
        <v>0</v>
      </c>
      <c r="CT7" s="375">
        <v>0</v>
      </c>
      <c r="CU7" s="375">
        <v>0</v>
      </c>
      <c r="CV7" s="375">
        <v>0</v>
      </c>
      <c r="CW7" s="375">
        <v>0</v>
      </c>
      <c r="CX7" s="375">
        <v>0</v>
      </c>
      <c r="CY7" s="375">
        <v>0</v>
      </c>
    </row>
    <row r="8" spans="1:103" ht="12" customHeight="1">
      <c r="A8" s="293" t="s">
        <v>584</v>
      </c>
      <c r="B8" s="375">
        <v>0</v>
      </c>
      <c r="C8" s="375">
        <v>0</v>
      </c>
      <c r="D8" s="375">
        <v>0</v>
      </c>
      <c r="E8" s="375">
        <v>0</v>
      </c>
      <c r="F8" s="375">
        <v>35400</v>
      </c>
      <c r="G8" s="375">
        <v>0</v>
      </c>
      <c r="H8" s="375">
        <v>0</v>
      </c>
      <c r="I8" s="375">
        <v>0</v>
      </c>
      <c r="J8" s="375">
        <v>0</v>
      </c>
      <c r="K8" s="375">
        <v>0</v>
      </c>
      <c r="L8" s="375">
        <v>0</v>
      </c>
      <c r="M8" s="375">
        <v>0</v>
      </c>
      <c r="N8" s="375">
        <v>0</v>
      </c>
      <c r="O8" s="375">
        <v>0</v>
      </c>
      <c r="P8" s="375">
        <v>0</v>
      </c>
      <c r="Q8" s="375">
        <v>0</v>
      </c>
      <c r="R8" s="375">
        <v>35400</v>
      </c>
      <c r="S8" s="375">
        <v>0</v>
      </c>
      <c r="T8" s="375">
        <v>0</v>
      </c>
      <c r="U8" s="375">
        <v>0</v>
      </c>
      <c r="V8" s="375">
        <v>0</v>
      </c>
      <c r="W8" s="375">
        <v>0</v>
      </c>
      <c r="X8" s="375">
        <v>0</v>
      </c>
      <c r="Y8" s="375">
        <v>0</v>
      </c>
      <c r="Z8" s="375">
        <v>0</v>
      </c>
      <c r="AA8" s="375">
        <v>0</v>
      </c>
      <c r="AB8" s="375">
        <v>0</v>
      </c>
      <c r="AC8" s="375">
        <v>0</v>
      </c>
      <c r="AD8" s="375">
        <v>35400</v>
      </c>
      <c r="AE8" s="375">
        <v>0</v>
      </c>
      <c r="AF8" s="375">
        <v>0</v>
      </c>
      <c r="AG8" s="375">
        <v>0</v>
      </c>
      <c r="AH8" s="375">
        <v>0</v>
      </c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N8" s="375">
        <v>0</v>
      </c>
      <c r="AO8" s="375">
        <v>0</v>
      </c>
      <c r="AP8" s="375">
        <v>35400</v>
      </c>
      <c r="AQ8" s="375">
        <v>0</v>
      </c>
      <c r="AR8" s="375">
        <v>0</v>
      </c>
      <c r="AS8" s="375">
        <v>0</v>
      </c>
      <c r="AT8" s="375">
        <v>0</v>
      </c>
      <c r="AU8" s="375">
        <v>0</v>
      </c>
      <c r="AV8" s="375">
        <v>0</v>
      </c>
      <c r="AW8" s="375">
        <v>0</v>
      </c>
      <c r="AX8" s="375">
        <v>0</v>
      </c>
      <c r="AY8" s="375">
        <v>0</v>
      </c>
      <c r="AZ8" s="375">
        <v>0</v>
      </c>
      <c r="BA8" s="375">
        <v>0</v>
      </c>
      <c r="BB8" s="375">
        <v>35400</v>
      </c>
      <c r="BC8" s="375">
        <v>0</v>
      </c>
      <c r="BD8" s="375">
        <v>0</v>
      </c>
      <c r="BE8" s="375">
        <v>0</v>
      </c>
      <c r="BF8" s="375">
        <v>0</v>
      </c>
      <c r="BG8" s="375">
        <v>0</v>
      </c>
      <c r="BH8" s="375">
        <v>0</v>
      </c>
      <c r="BI8" s="375">
        <v>0</v>
      </c>
      <c r="BJ8" s="375">
        <v>0</v>
      </c>
      <c r="BK8" s="375">
        <v>0</v>
      </c>
      <c r="BL8" s="375">
        <v>0</v>
      </c>
      <c r="BM8" s="375">
        <v>0</v>
      </c>
      <c r="BN8" s="375">
        <v>35400</v>
      </c>
      <c r="BO8" s="375">
        <v>0</v>
      </c>
      <c r="BP8" s="375">
        <v>0</v>
      </c>
      <c r="BQ8" s="375">
        <v>0</v>
      </c>
      <c r="BR8" s="375">
        <v>0</v>
      </c>
      <c r="BS8" s="375">
        <v>0</v>
      </c>
      <c r="BT8" s="375">
        <v>0</v>
      </c>
      <c r="BU8" s="375">
        <v>0</v>
      </c>
      <c r="BV8" s="375">
        <v>0</v>
      </c>
      <c r="BW8" s="375">
        <v>0</v>
      </c>
      <c r="BX8" s="375">
        <v>0</v>
      </c>
      <c r="BY8" s="375">
        <v>0</v>
      </c>
      <c r="BZ8" s="375">
        <v>35400</v>
      </c>
      <c r="CA8" s="375">
        <v>0</v>
      </c>
      <c r="CB8" s="375">
        <v>0</v>
      </c>
      <c r="CC8" s="375">
        <v>0</v>
      </c>
      <c r="CD8" s="375">
        <v>0</v>
      </c>
      <c r="CE8" s="375">
        <v>0</v>
      </c>
      <c r="CF8" s="375">
        <v>0</v>
      </c>
      <c r="CG8" s="375">
        <v>0</v>
      </c>
      <c r="CH8" s="375">
        <v>0</v>
      </c>
      <c r="CI8" s="375">
        <v>0</v>
      </c>
      <c r="CJ8" s="375">
        <v>0</v>
      </c>
      <c r="CK8" s="375">
        <v>0</v>
      </c>
      <c r="CL8" s="375">
        <v>35400</v>
      </c>
      <c r="CM8" s="375">
        <v>0</v>
      </c>
      <c r="CN8" s="375">
        <v>0</v>
      </c>
      <c r="CO8" s="375">
        <v>0</v>
      </c>
      <c r="CP8" s="375">
        <v>0</v>
      </c>
      <c r="CQ8" s="375">
        <v>0</v>
      </c>
      <c r="CR8" s="375">
        <v>0</v>
      </c>
      <c r="CS8" s="375">
        <v>0</v>
      </c>
      <c r="CT8" s="375">
        <v>0</v>
      </c>
      <c r="CU8" s="375">
        <v>0</v>
      </c>
      <c r="CV8" s="375">
        <v>0</v>
      </c>
      <c r="CW8" s="375">
        <v>0</v>
      </c>
      <c r="CX8" s="375">
        <v>35400</v>
      </c>
      <c r="CY8" s="375">
        <v>0</v>
      </c>
    </row>
    <row r="9" spans="1:103" ht="12" customHeight="1">
      <c r="A9" s="293" t="s">
        <v>585</v>
      </c>
      <c r="B9" s="375">
        <v>0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11800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12272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>
        <v>0</v>
      </c>
      <c r="AG9" s="375">
        <v>12762.880000000001</v>
      </c>
      <c r="AH9" s="375">
        <v>0</v>
      </c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75">
        <v>0</v>
      </c>
      <c r="AO9" s="375">
        <v>0</v>
      </c>
      <c r="AP9" s="375">
        <v>0</v>
      </c>
      <c r="AQ9" s="375">
        <v>0</v>
      </c>
      <c r="AR9" s="375">
        <v>0</v>
      </c>
      <c r="AS9" s="375">
        <v>13273.395200000001</v>
      </c>
      <c r="AT9" s="375">
        <v>0</v>
      </c>
      <c r="AU9" s="375">
        <v>0</v>
      </c>
      <c r="AV9" s="375">
        <v>0</v>
      </c>
      <c r="AW9" s="375">
        <v>0</v>
      </c>
      <c r="AX9" s="375">
        <v>0</v>
      </c>
      <c r="AY9" s="375">
        <v>0</v>
      </c>
      <c r="AZ9" s="375">
        <v>0</v>
      </c>
      <c r="BA9" s="375">
        <v>0</v>
      </c>
      <c r="BB9" s="375">
        <v>0</v>
      </c>
      <c r="BC9" s="375">
        <v>0</v>
      </c>
      <c r="BD9" s="375">
        <v>0</v>
      </c>
      <c r="BE9" s="375">
        <v>13804.331008000001</v>
      </c>
      <c r="BF9" s="375">
        <v>0</v>
      </c>
      <c r="BG9" s="375">
        <v>0</v>
      </c>
      <c r="BH9" s="375">
        <v>0</v>
      </c>
      <c r="BI9" s="375">
        <v>0</v>
      </c>
      <c r="BJ9" s="375">
        <v>0</v>
      </c>
      <c r="BK9" s="375">
        <v>0</v>
      </c>
      <c r="BL9" s="375">
        <v>0</v>
      </c>
      <c r="BM9" s="375">
        <v>0</v>
      </c>
      <c r="BN9" s="375">
        <v>0</v>
      </c>
      <c r="BO9" s="375">
        <v>0</v>
      </c>
      <c r="BP9" s="375">
        <v>0</v>
      </c>
      <c r="BQ9" s="375">
        <v>14356.504248320001</v>
      </c>
      <c r="BR9" s="375">
        <v>0</v>
      </c>
      <c r="BS9" s="375">
        <v>0</v>
      </c>
      <c r="BT9" s="375">
        <v>0</v>
      </c>
      <c r="BU9" s="375">
        <v>0</v>
      </c>
      <c r="BV9" s="375">
        <v>0</v>
      </c>
      <c r="BW9" s="375">
        <v>0</v>
      </c>
      <c r="BX9" s="375">
        <v>0</v>
      </c>
      <c r="BY9" s="375">
        <v>0</v>
      </c>
      <c r="BZ9" s="375">
        <v>0</v>
      </c>
      <c r="CA9" s="375">
        <v>0</v>
      </c>
      <c r="CB9" s="375">
        <v>0</v>
      </c>
      <c r="CC9" s="375">
        <v>14930.764418252802</v>
      </c>
      <c r="CD9" s="375">
        <v>0</v>
      </c>
      <c r="CE9" s="375">
        <v>0</v>
      </c>
      <c r="CF9" s="375">
        <v>0</v>
      </c>
      <c r="CG9" s="375">
        <v>0</v>
      </c>
      <c r="CH9" s="375">
        <v>0</v>
      </c>
      <c r="CI9" s="375">
        <v>0</v>
      </c>
      <c r="CJ9" s="375">
        <v>0</v>
      </c>
      <c r="CK9" s="375">
        <v>0</v>
      </c>
      <c r="CL9" s="375">
        <v>0</v>
      </c>
      <c r="CM9" s="375">
        <v>0</v>
      </c>
      <c r="CN9" s="375">
        <v>0</v>
      </c>
      <c r="CO9" s="375">
        <v>15527.994994982915</v>
      </c>
      <c r="CP9" s="375">
        <v>0</v>
      </c>
      <c r="CQ9" s="375">
        <v>0</v>
      </c>
      <c r="CR9" s="375">
        <v>0</v>
      </c>
      <c r="CS9" s="375">
        <v>0</v>
      </c>
      <c r="CT9" s="375">
        <v>0</v>
      </c>
      <c r="CU9" s="375">
        <v>0</v>
      </c>
      <c r="CV9" s="375">
        <v>0</v>
      </c>
      <c r="CW9" s="375">
        <v>0</v>
      </c>
      <c r="CX9" s="375">
        <v>0</v>
      </c>
      <c r="CY9" s="375">
        <v>0</v>
      </c>
    </row>
    <row r="10" spans="1:103" ht="12" customHeight="1">
      <c r="A10" s="293" t="s">
        <v>586</v>
      </c>
      <c r="B10" s="304">
        <v>0</v>
      </c>
      <c r="C10" s="304">
        <v>0</v>
      </c>
      <c r="D10" s="304">
        <v>0</v>
      </c>
      <c r="E10" s="304">
        <v>0</v>
      </c>
      <c r="F10" s="304">
        <v>0</v>
      </c>
      <c r="G10" s="304">
        <v>0</v>
      </c>
      <c r="H10" s="304">
        <v>0</v>
      </c>
      <c r="I10" s="304">
        <v>0</v>
      </c>
      <c r="J10" s="304">
        <v>177000</v>
      </c>
      <c r="K10" s="304">
        <v>0</v>
      </c>
      <c r="L10" s="304">
        <v>0</v>
      </c>
      <c r="M10" s="304">
        <v>0</v>
      </c>
      <c r="N10" s="304">
        <v>0</v>
      </c>
      <c r="O10" s="304">
        <v>0</v>
      </c>
      <c r="P10" s="304">
        <v>0</v>
      </c>
      <c r="Q10" s="304">
        <v>0</v>
      </c>
      <c r="R10" s="304">
        <v>0</v>
      </c>
      <c r="S10" s="304">
        <v>0</v>
      </c>
      <c r="T10" s="304">
        <v>0</v>
      </c>
      <c r="U10" s="304">
        <v>0</v>
      </c>
      <c r="V10" s="304">
        <v>184080</v>
      </c>
      <c r="W10" s="304">
        <v>0</v>
      </c>
      <c r="X10" s="304">
        <v>0</v>
      </c>
      <c r="Y10" s="304">
        <v>0</v>
      </c>
      <c r="Z10" s="304">
        <v>0</v>
      </c>
      <c r="AA10" s="304">
        <v>0</v>
      </c>
      <c r="AB10" s="304">
        <v>0</v>
      </c>
      <c r="AC10" s="304">
        <v>0</v>
      </c>
      <c r="AD10" s="304">
        <v>0</v>
      </c>
      <c r="AE10" s="304">
        <v>0</v>
      </c>
      <c r="AF10" s="304">
        <v>0</v>
      </c>
      <c r="AG10" s="304">
        <v>0</v>
      </c>
      <c r="AH10" s="304">
        <v>191443.20000000001</v>
      </c>
      <c r="AI10" s="304">
        <v>0</v>
      </c>
      <c r="AJ10" s="304">
        <v>0</v>
      </c>
      <c r="AK10" s="304">
        <v>0</v>
      </c>
      <c r="AL10" s="304">
        <v>0</v>
      </c>
      <c r="AM10" s="304">
        <v>0</v>
      </c>
      <c r="AN10" s="304">
        <v>0</v>
      </c>
      <c r="AO10" s="304">
        <v>0</v>
      </c>
      <c r="AP10" s="304">
        <v>0</v>
      </c>
      <c r="AQ10" s="304">
        <v>0</v>
      </c>
      <c r="AR10" s="304">
        <v>0</v>
      </c>
      <c r="AS10" s="304">
        <v>0</v>
      </c>
      <c r="AT10" s="304">
        <v>199100.92800000001</v>
      </c>
      <c r="AU10" s="304">
        <v>0</v>
      </c>
      <c r="AV10" s="304">
        <v>0</v>
      </c>
      <c r="AW10" s="304">
        <v>0</v>
      </c>
      <c r="AX10" s="304">
        <v>0</v>
      </c>
      <c r="AY10" s="304">
        <v>0</v>
      </c>
      <c r="AZ10" s="304">
        <v>0</v>
      </c>
      <c r="BA10" s="304">
        <v>0</v>
      </c>
      <c r="BB10" s="304">
        <v>0</v>
      </c>
      <c r="BC10" s="304">
        <v>0</v>
      </c>
      <c r="BD10" s="304">
        <v>0</v>
      </c>
      <c r="BE10" s="304">
        <v>0</v>
      </c>
      <c r="BF10" s="304">
        <v>207064.96512000001</v>
      </c>
      <c r="BG10" s="304">
        <v>0</v>
      </c>
      <c r="BH10" s="304">
        <v>0</v>
      </c>
      <c r="BI10" s="304">
        <v>0</v>
      </c>
      <c r="BJ10" s="304">
        <v>0</v>
      </c>
      <c r="BK10" s="304">
        <v>0</v>
      </c>
      <c r="BL10" s="304">
        <v>0</v>
      </c>
      <c r="BM10" s="304">
        <v>0</v>
      </c>
      <c r="BN10" s="304">
        <v>0</v>
      </c>
      <c r="BO10" s="304">
        <v>0</v>
      </c>
      <c r="BP10" s="304">
        <v>0</v>
      </c>
      <c r="BQ10" s="304">
        <v>0</v>
      </c>
      <c r="BR10" s="304">
        <v>215347.56372480001</v>
      </c>
      <c r="BS10" s="304">
        <v>0</v>
      </c>
      <c r="BT10" s="304">
        <v>0</v>
      </c>
      <c r="BU10" s="304">
        <v>0</v>
      </c>
      <c r="BV10" s="304">
        <v>0</v>
      </c>
      <c r="BW10" s="304">
        <v>0</v>
      </c>
      <c r="BX10" s="304">
        <v>0</v>
      </c>
      <c r="BY10" s="304">
        <v>0</v>
      </c>
      <c r="BZ10" s="304">
        <v>0</v>
      </c>
      <c r="CA10" s="304">
        <v>0</v>
      </c>
      <c r="CB10" s="304">
        <v>0</v>
      </c>
      <c r="CC10" s="304">
        <v>0</v>
      </c>
      <c r="CD10" s="304">
        <v>223961.46627379203</v>
      </c>
      <c r="CE10" s="304">
        <v>0</v>
      </c>
      <c r="CF10" s="304">
        <v>0</v>
      </c>
      <c r="CG10" s="304">
        <v>0</v>
      </c>
      <c r="CH10" s="304">
        <v>0</v>
      </c>
      <c r="CI10" s="304">
        <v>0</v>
      </c>
      <c r="CJ10" s="304">
        <v>0</v>
      </c>
      <c r="CK10" s="304">
        <v>0</v>
      </c>
      <c r="CL10" s="304">
        <v>0</v>
      </c>
      <c r="CM10" s="304">
        <v>0</v>
      </c>
      <c r="CN10" s="304">
        <v>0</v>
      </c>
      <c r="CO10" s="304">
        <v>0</v>
      </c>
      <c r="CP10" s="304">
        <v>232919.92492474371</v>
      </c>
      <c r="CQ10" s="304">
        <v>0</v>
      </c>
      <c r="CR10" s="304">
        <v>0</v>
      </c>
      <c r="CS10" s="304">
        <v>0</v>
      </c>
      <c r="CT10" s="304">
        <v>0</v>
      </c>
      <c r="CU10" s="304">
        <v>0</v>
      </c>
      <c r="CV10" s="304">
        <v>0</v>
      </c>
      <c r="CW10" s="304">
        <v>0</v>
      </c>
      <c r="CX10" s="304">
        <v>0</v>
      </c>
      <c r="CY10" s="304">
        <v>0</v>
      </c>
    </row>
    <row r="11" spans="1:103" ht="12" customHeight="1">
      <c r="A11" s="293" t="s">
        <v>587</v>
      </c>
      <c r="B11" s="375">
        <v>0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1227200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1276288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1327339.52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1380433.1008000001</v>
      </c>
      <c r="AS11" s="375">
        <v>0</v>
      </c>
      <c r="AT11" s="375">
        <v>0</v>
      </c>
      <c r="AU11" s="375">
        <v>0</v>
      </c>
      <c r="AV11" s="375">
        <v>0</v>
      </c>
      <c r="AW11" s="375">
        <v>0</v>
      </c>
      <c r="AX11" s="375">
        <v>0</v>
      </c>
      <c r="AY11" s="375">
        <v>0</v>
      </c>
      <c r="AZ11" s="375">
        <v>0</v>
      </c>
      <c r="BA11" s="375">
        <v>0</v>
      </c>
      <c r="BB11" s="375">
        <v>0</v>
      </c>
      <c r="BC11" s="375">
        <v>0</v>
      </c>
      <c r="BD11" s="375">
        <v>1435650.4248320002</v>
      </c>
      <c r="BE11" s="375">
        <v>0</v>
      </c>
      <c r="BF11" s="375">
        <v>0</v>
      </c>
      <c r="BG11" s="375">
        <v>0</v>
      </c>
      <c r="BH11" s="375">
        <v>0</v>
      </c>
      <c r="BI11" s="375">
        <v>0</v>
      </c>
      <c r="BJ11" s="375">
        <v>0</v>
      </c>
      <c r="BK11" s="375">
        <v>0</v>
      </c>
      <c r="BL11" s="375">
        <v>0</v>
      </c>
      <c r="BM11" s="375">
        <v>0</v>
      </c>
      <c r="BN11" s="375">
        <v>0</v>
      </c>
      <c r="BO11" s="375">
        <v>0</v>
      </c>
      <c r="BP11" s="375">
        <v>1493076.4418252802</v>
      </c>
      <c r="BQ11" s="375">
        <v>0</v>
      </c>
      <c r="BR11" s="375">
        <v>0</v>
      </c>
      <c r="BS11" s="375">
        <v>0</v>
      </c>
      <c r="BT11" s="375">
        <v>0</v>
      </c>
      <c r="BU11" s="375">
        <v>0</v>
      </c>
      <c r="BV11" s="375">
        <v>0</v>
      </c>
      <c r="BW11" s="375">
        <v>0</v>
      </c>
      <c r="BX11" s="375">
        <v>0</v>
      </c>
      <c r="BY11" s="375">
        <v>0</v>
      </c>
      <c r="BZ11" s="375">
        <v>0</v>
      </c>
      <c r="CA11" s="375">
        <v>0</v>
      </c>
      <c r="CB11" s="375">
        <v>1552799.4994982914</v>
      </c>
      <c r="CC11" s="375">
        <v>0</v>
      </c>
      <c r="CD11" s="375">
        <v>0</v>
      </c>
      <c r="CE11" s="375">
        <v>0</v>
      </c>
      <c r="CF11" s="375">
        <v>0</v>
      </c>
      <c r="CG11" s="375">
        <v>0</v>
      </c>
      <c r="CH11" s="375">
        <v>0</v>
      </c>
      <c r="CI11" s="375">
        <v>0</v>
      </c>
      <c r="CJ11" s="375">
        <v>0</v>
      </c>
      <c r="CK11" s="375">
        <v>0</v>
      </c>
      <c r="CL11" s="375">
        <v>0</v>
      </c>
      <c r="CM11" s="375">
        <v>0</v>
      </c>
      <c r="CN11" s="375">
        <v>1614911.479478223</v>
      </c>
      <c r="CO11" s="375">
        <v>0</v>
      </c>
      <c r="CP11" s="375">
        <v>0</v>
      </c>
      <c r="CQ11" s="375">
        <v>0</v>
      </c>
      <c r="CR11" s="375">
        <v>0</v>
      </c>
      <c r="CS11" s="375">
        <v>0</v>
      </c>
      <c r="CT11" s="375">
        <v>0</v>
      </c>
      <c r="CU11" s="375">
        <v>0</v>
      </c>
      <c r="CV11" s="375">
        <v>0</v>
      </c>
      <c r="CW11" s="375">
        <v>0</v>
      </c>
      <c r="CX11" s="375">
        <v>0</v>
      </c>
      <c r="CY11" s="375">
        <v>0</v>
      </c>
    </row>
    <row r="12" spans="1:103" ht="12" customHeight="1">
      <c r="A12" s="293" t="s">
        <v>588</v>
      </c>
      <c r="B12" s="375">
        <v>0</v>
      </c>
      <c r="C12" s="375">
        <v>0</v>
      </c>
      <c r="D12" s="375">
        <v>981760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1021030.4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1061871.6160000002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1104346.4806400002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T12" s="375">
        <v>0</v>
      </c>
      <c r="AU12" s="375">
        <v>0</v>
      </c>
      <c r="AV12" s="375">
        <v>0</v>
      </c>
      <c r="AW12" s="375">
        <v>0</v>
      </c>
      <c r="AX12" s="375">
        <v>0</v>
      </c>
      <c r="AY12" s="375">
        <v>0</v>
      </c>
      <c r="AZ12" s="375">
        <v>1148520.3398656002</v>
      </c>
      <c r="BA12" s="375">
        <v>0</v>
      </c>
      <c r="BB12" s="375">
        <v>0</v>
      </c>
      <c r="BC12" s="375">
        <v>0</v>
      </c>
      <c r="BD12" s="375">
        <v>0</v>
      </c>
      <c r="BE12" s="375">
        <v>0</v>
      </c>
      <c r="BF12" s="375">
        <v>0</v>
      </c>
      <c r="BG12" s="375">
        <v>0</v>
      </c>
      <c r="BH12" s="375">
        <v>0</v>
      </c>
      <c r="BI12" s="375">
        <v>0</v>
      </c>
      <c r="BJ12" s="375">
        <v>0</v>
      </c>
      <c r="BK12" s="375">
        <v>0</v>
      </c>
      <c r="BL12" s="375">
        <v>1194461.1534602242</v>
      </c>
      <c r="BM12" s="375">
        <v>0</v>
      </c>
      <c r="BN12" s="375">
        <v>0</v>
      </c>
      <c r="BO12" s="375">
        <v>0</v>
      </c>
      <c r="BP12" s="375">
        <v>0</v>
      </c>
      <c r="BQ12" s="375">
        <v>0</v>
      </c>
      <c r="BR12" s="375">
        <v>0</v>
      </c>
      <c r="BS12" s="375">
        <v>0</v>
      </c>
      <c r="BT12" s="375">
        <v>0</v>
      </c>
      <c r="BU12" s="375">
        <v>0</v>
      </c>
      <c r="BV12" s="375">
        <v>0</v>
      </c>
      <c r="BW12" s="375">
        <v>0</v>
      </c>
      <c r="BX12" s="375">
        <v>1242239.5995986331</v>
      </c>
      <c r="BY12" s="375">
        <v>0</v>
      </c>
      <c r="BZ12" s="375">
        <v>0</v>
      </c>
      <c r="CA12" s="375">
        <v>0</v>
      </c>
      <c r="CB12" s="375">
        <v>0</v>
      </c>
      <c r="CC12" s="375">
        <v>0</v>
      </c>
      <c r="CD12" s="375">
        <v>0</v>
      </c>
      <c r="CE12" s="375">
        <v>0</v>
      </c>
      <c r="CF12" s="375">
        <v>0</v>
      </c>
      <c r="CG12" s="375">
        <v>0</v>
      </c>
      <c r="CH12" s="375">
        <v>0</v>
      </c>
      <c r="CI12" s="375">
        <v>0</v>
      </c>
      <c r="CJ12" s="375">
        <v>1291929.1835825786</v>
      </c>
      <c r="CK12" s="375">
        <v>0</v>
      </c>
      <c r="CL12" s="375">
        <v>0</v>
      </c>
      <c r="CM12" s="375">
        <v>0</v>
      </c>
      <c r="CN12" s="375">
        <v>0</v>
      </c>
      <c r="CO12" s="375">
        <v>0</v>
      </c>
      <c r="CP12" s="375">
        <v>0</v>
      </c>
      <c r="CQ12" s="375">
        <v>0</v>
      </c>
      <c r="CR12" s="375">
        <v>0</v>
      </c>
      <c r="CS12" s="375">
        <v>0</v>
      </c>
      <c r="CT12" s="375">
        <v>0</v>
      </c>
      <c r="CU12" s="375">
        <v>0</v>
      </c>
      <c r="CV12" s="375">
        <v>1343606.3509258816</v>
      </c>
      <c r="CW12" s="375">
        <v>0</v>
      </c>
      <c r="CX12" s="375">
        <v>0</v>
      </c>
      <c r="CY12" s="375">
        <v>0</v>
      </c>
    </row>
    <row r="13" spans="1:103" ht="12" customHeight="1">
      <c r="A13" s="293" t="s">
        <v>589</v>
      </c>
      <c r="B13" s="304">
        <v>0</v>
      </c>
      <c r="C13" s="304">
        <v>0</v>
      </c>
      <c r="D13" s="304">
        <v>30680</v>
      </c>
      <c r="E13" s="304">
        <v>0</v>
      </c>
      <c r="F13" s="304">
        <v>0</v>
      </c>
      <c r="G13" s="304">
        <v>30680</v>
      </c>
      <c r="H13" s="304">
        <v>0</v>
      </c>
      <c r="I13" s="304">
        <v>0</v>
      </c>
      <c r="J13" s="304">
        <v>30680</v>
      </c>
      <c r="K13" s="304">
        <v>0</v>
      </c>
      <c r="L13" s="304">
        <v>0</v>
      </c>
      <c r="M13" s="304">
        <v>30680</v>
      </c>
      <c r="N13" s="304">
        <v>0</v>
      </c>
      <c r="O13" s="304">
        <v>0</v>
      </c>
      <c r="P13" s="304">
        <v>31907.200000000001</v>
      </c>
      <c r="Q13" s="304">
        <v>0</v>
      </c>
      <c r="R13" s="304">
        <v>0</v>
      </c>
      <c r="S13" s="304">
        <v>31907.200000000001</v>
      </c>
      <c r="T13" s="304">
        <v>0</v>
      </c>
      <c r="U13" s="304">
        <v>0</v>
      </c>
      <c r="V13" s="304">
        <v>31907.200000000001</v>
      </c>
      <c r="W13" s="304">
        <v>0</v>
      </c>
      <c r="X13" s="304">
        <v>0</v>
      </c>
      <c r="Y13" s="304">
        <v>31907.200000000001</v>
      </c>
      <c r="Z13" s="304">
        <v>0</v>
      </c>
      <c r="AA13" s="304">
        <v>0</v>
      </c>
      <c r="AB13" s="304">
        <v>33183.488000000005</v>
      </c>
      <c r="AC13" s="304">
        <v>0</v>
      </c>
      <c r="AD13" s="304">
        <v>0</v>
      </c>
      <c r="AE13" s="304">
        <v>33183.488000000005</v>
      </c>
      <c r="AF13" s="304">
        <v>0</v>
      </c>
      <c r="AG13" s="304">
        <v>0</v>
      </c>
      <c r="AH13" s="304">
        <v>33183.488000000005</v>
      </c>
      <c r="AI13" s="304">
        <v>0</v>
      </c>
      <c r="AJ13" s="304">
        <v>0</v>
      </c>
      <c r="AK13" s="304">
        <v>33183.488000000005</v>
      </c>
      <c r="AL13" s="304">
        <v>0</v>
      </c>
      <c r="AM13" s="304">
        <v>0</v>
      </c>
      <c r="AN13" s="304">
        <v>34510.827520000006</v>
      </c>
      <c r="AO13" s="304">
        <v>0</v>
      </c>
      <c r="AP13" s="304">
        <v>0</v>
      </c>
      <c r="AQ13" s="304">
        <v>34510.827520000006</v>
      </c>
      <c r="AR13" s="304">
        <v>0</v>
      </c>
      <c r="AS13" s="304">
        <v>0</v>
      </c>
      <c r="AT13" s="304">
        <v>34510.827520000006</v>
      </c>
      <c r="AU13" s="304">
        <v>0</v>
      </c>
      <c r="AV13" s="304">
        <v>0</v>
      </c>
      <c r="AW13" s="304">
        <v>34510.827520000006</v>
      </c>
      <c r="AX13" s="304">
        <v>0</v>
      </c>
      <c r="AY13" s="304">
        <v>0</v>
      </c>
      <c r="AZ13" s="304">
        <v>35891.260620800007</v>
      </c>
      <c r="BA13" s="304">
        <v>0</v>
      </c>
      <c r="BB13" s="304">
        <v>0</v>
      </c>
      <c r="BC13" s="304">
        <v>35891.260620800007</v>
      </c>
      <c r="BD13" s="304">
        <v>0</v>
      </c>
      <c r="BE13" s="304">
        <v>0</v>
      </c>
      <c r="BF13" s="304">
        <v>35891.260620800007</v>
      </c>
      <c r="BG13" s="304">
        <v>0</v>
      </c>
      <c r="BH13" s="304">
        <v>0</v>
      </c>
      <c r="BI13" s="304">
        <v>35891.260620800007</v>
      </c>
      <c r="BJ13" s="304">
        <v>0</v>
      </c>
      <c r="BK13" s="304">
        <v>0</v>
      </c>
      <c r="BL13" s="304">
        <v>37326.911045632005</v>
      </c>
      <c r="BM13" s="304">
        <v>0</v>
      </c>
      <c r="BN13" s="304">
        <v>0</v>
      </c>
      <c r="BO13" s="304">
        <v>37326.911045632005</v>
      </c>
      <c r="BP13" s="304">
        <v>0</v>
      </c>
      <c r="BQ13" s="304">
        <v>0</v>
      </c>
      <c r="BR13" s="304">
        <v>37326.911045632005</v>
      </c>
      <c r="BS13" s="304">
        <v>0</v>
      </c>
      <c r="BT13" s="304">
        <v>0</v>
      </c>
      <c r="BU13" s="304">
        <v>37326.911045632005</v>
      </c>
      <c r="BV13" s="304">
        <v>0</v>
      </c>
      <c r="BW13" s="304">
        <v>0</v>
      </c>
      <c r="BX13" s="304">
        <v>38819.987487457285</v>
      </c>
      <c r="BY13" s="304">
        <v>0</v>
      </c>
      <c r="BZ13" s="304">
        <v>0</v>
      </c>
      <c r="CA13" s="304">
        <v>38819.987487457285</v>
      </c>
      <c r="CB13" s="304">
        <v>0</v>
      </c>
      <c r="CC13" s="304">
        <v>0</v>
      </c>
      <c r="CD13" s="304">
        <v>38819.987487457285</v>
      </c>
      <c r="CE13" s="304">
        <v>0</v>
      </c>
      <c r="CF13" s="304">
        <v>0</v>
      </c>
      <c r="CG13" s="304">
        <v>38819.987487457285</v>
      </c>
      <c r="CH13" s="304">
        <v>0</v>
      </c>
      <c r="CI13" s="304">
        <v>0</v>
      </c>
      <c r="CJ13" s="304">
        <v>40372.78698695558</v>
      </c>
      <c r="CK13" s="304">
        <v>0</v>
      </c>
      <c r="CL13" s="304">
        <v>0</v>
      </c>
      <c r="CM13" s="304">
        <v>40372.78698695558</v>
      </c>
      <c r="CN13" s="304">
        <v>0</v>
      </c>
      <c r="CO13" s="304">
        <v>0</v>
      </c>
      <c r="CP13" s="304">
        <v>40372.78698695558</v>
      </c>
      <c r="CQ13" s="304">
        <v>0</v>
      </c>
      <c r="CR13" s="304">
        <v>0</v>
      </c>
      <c r="CS13" s="304">
        <v>40372.78698695558</v>
      </c>
      <c r="CT13" s="304">
        <v>0</v>
      </c>
      <c r="CU13" s="304">
        <v>0</v>
      </c>
      <c r="CV13" s="304">
        <v>41987.698466433802</v>
      </c>
      <c r="CW13" s="304">
        <v>0</v>
      </c>
      <c r="CX13" s="304">
        <v>0</v>
      </c>
      <c r="CY13" s="304">
        <v>41987.698466433802</v>
      </c>
    </row>
    <row r="14" spans="1:103" ht="12" customHeight="1" thickBot="1">
      <c r="A14" s="444" t="s">
        <v>590</v>
      </c>
      <c r="B14" s="455">
        <f t="shared" ref="B14:BM14" si="0">SUM(B3:B13)</f>
        <v>22860167.768409438</v>
      </c>
      <c r="C14" s="455">
        <f t="shared" si="0"/>
        <v>305921.2</v>
      </c>
      <c r="D14" s="455">
        <f t="shared" si="0"/>
        <v>2026296</v>
      </c>
      <c r="E14" s="455">
        <f t="shared" si="0"/>
        <v>329989</v>
      </c>
      <c r="F14" s="455">
        <f t="shared" si="0"/>
        <v>151984</v>
      </c>
      <c r="G14" s="455">
        <f t="shared" si="0"/>
        <v>749536</v>
      </c>
      <c r="H14" s="455">
        <f t="shared" si="0"/>
        <v>1612413</v>
      </c>
      <c r="I14" s="455">
        <f t="shared" si="0"/>
        <v>4022384</v>
      </c>
      <c r="J14" s="455">
        <f t="shared" si="0"/>
        <v>336536</v>
      </c>
      <c r="K14" s="455">
        <f t="shared" si="0"/>
        <v>329989</v>
      </c>
      <c r="L14" s="455">
        <f t="shared" si="0"/>
        <v>362024</v>
      </c>
      <c r="M14" s="455">
        <f t="shared" si="0"/>
        <v>10159536</v>
      </c>
      <c r="N14" s="455">
        <f t="shared" si="0"/>
        <v>811281.3600000001</v>
      </c>
      <c r="O14" s="455">
        <f t="shared" si="0"/>
        <v>4566158.0480000004</v>
      </c>
      <c r="P14" s="455">
        <f t="shared" si="0"/>
        <v>2071947.84</v>
      </c>
      <c r="Q14" s="455">
        <f t="shared" si="0"/>
        <v>311281.36</v>
      </c>
      <c r="R14" s="455">
        <f t="shared" si="0"/>
        <v>156647.35999999999</v>
      </c>
      <c r="S14" s="455">
        <f t="shared" si="0"/>
        <v>755917.44</v>
      </c>
      <c r="T14" s="455">
        <f t="shared" si="0"/>
        <v>1645002.32</v>
      </c>
      <c r="U14" s="455">
        <f t="shared" si="0"/>
        <v>133519.35999999999</v>
      </c>
      <c r="V14" s="455">
        <f t="shared" si="0"/>
        <v>349997.44</v>
      </c>
      <c r="W14" s="455">
        <f t="shared" si="0"/>
        <v>311281.36</v>
      </c>
      <c r="X14" s="455">
        <f t="shared" si="0"/>
        <v>376504.96</v>
      </c>
      <c r="Y14" s="455">
        <f t="shared" si="0"/>
        <v>165917.44000000003</v>
      </c>
      <c r="Z14" s="455">
        <f t="shared" si="0"/>
        <v>823732.61439999996</v>
      </c>
      <c r="AA14" s="455">
        <f t="shared" si="0"/>
        <v>4578884.3699200004</v>
      </c>
      <c r="AB14" s="455">
        <f t="shared" si="0"/>
        <v>2119425.7535999999</v>
      </c>
      <c r="AC14" s="455">
        <f t="shared" si="0"/>
        <v>323732.61440000002</v>
      </c>
      <c r="AD14" s="455">
        <f t="shared" si="0"/>
        <v>161497.25440000001</v>
      </c>
      <c r="AE14" s="455">
        <f t="shared" si="0"/>
        <v>762554.13760000002</v>
      </c>
      <c r="AF14" s="455">
        <f t="shared" si="0"/>
        <v>1710802.4128</v>
      </c>
      <c r="AG14" s="455">
        <f t="shared" si="0"/>
        <v>138860.13440000001</v>
      </c>
      <c r="AH14" s="455">
        <f t="shared" si="0"/>
        <v>363997.33760000003</v>
      </c>
      <c r="AI14" s="455">
        <f t="shared" si="0"/>
        <v>323732.61440000002</v>
      </c>
      <c r="AJ14" s="455">
        <f t="shared" si="0"/>
        <v>391565.15840000007</v>
      </c>
      <c r="AK14" s="455">
        <f t="shared" si="0"/>
        <v>172554.13760000002</v>
      </c>
      <c r="AL14" s="455">
        <f t="shared" si="0"/>
        <v>836681.91897600004</v>
      </c>
      <c r="AM14" s="455">
        <f t="shared" si="0"/>
        <v>4592119.7447168007</v>
      </c>
      <c r="AN14" s="455">
        <f t="shared" si="0"/>
        <v>2168802.7837439999</v>
      </c>
      <c r="AO14" s="455">
        <f t="shared" si="0"/>
        <v>336681.91897600004</v>
      </c>
      <c r="AP14" s="455">
        <f t="shared" si="0"/>
        <v>166541.14457600002</v>
      </c>
      <c r="AQ14" s="455">
        <f t="shared" si="0"/>
        <v>769456.30310400017</v>
      </c>
      <c r="AR14" s="455">
        <f t="shared" si="0"/>
        <v>1779234.5093120001</v>
      </c>
      <c r="AS14" s="455">
        <f t="shared" si="0"/>
        <v>144414.53977600002</v>
      </c>
      <c r="AT14" s="455">
        <f t="shared" si="0"/>
        <v>378557.23110400001</v>
      </c>
      <c r="AU14" s="455">
        <f t="shared" si="0"/>
        <v>336681.91897600004</v>
      </c>
      <c r="AV14" s="455">
        <f t="shared" si="0"/>
        <v>407227.76473600004</v>
      </c>
      <c r="AW14" s="455">
        <f t="shared" si="0"/>
        <v>179456.30310399999</v>
      </c>
      <c r="AX14" s="455">
        <f t="shared" si="0"/>
        <v>850149.19573504012</v>
      </c>
      <c r="AY14" s="455">
        <f t="shared" si="0"/>
        <v>4605884.5345054716</v>
      </c>
      <c r="AZ14" s="455">
        <f t="shared" si="0"/>
        <v>2220154.89509376</v>
      </c>
      <c r="BA14" s="455">
        <f t="shared" si="0"/>
        <v>350149.19573504006</v>
      </c>
      <c r="BB14" s="455">
        <f t="shared" si="0"/>
        <v>171786.79035904002</v>
      </c>
      <c r="BC14" s="455">
        <f t="shared" si="0"/>
        <v>776634.55522815988</v>
      </c>
      <c r="BD14" s="455">
        <f t="shared" si="0"/>
        <v>1850403.8896844801</v>
      </c>
      <c r="BE14" s="455">
        <f t="shared" si="0"/>
        <v>150191.12136704003</v>
      </c>
      <c r="BF14" s="455">
        <f t="shared" si="0"/>
        <v>393699.52034816006</v>
      </c>
      <c r="BG14" s="455">
        <f t="shared" si="0"/>
        <v>350149.19573504006</v>
      </c>
      <c r="BH14" s="455">
        <f t="shared" si="0"/>
        <v>423516.87532544008</v>
      </c>
      <c r="BI14" s="455">
        <f t="shared" si="0"/>
        <v>186634.55522816005</v>
      </c>
      <c r="BJ14" s="455">
        <f t="shared" si="0"/>
        <v>864155.16356444173</v>
      </c>
      <c r="BK14" s="455">
        <f t="shared" si="0"/>
        <v>4620199.9158856906</v>
      </c>
      <c r="BL14" s="455">
        <f t="shared" si="0"/>
        <v>2273561.0908975103</v>
      </c>
      <c r="BM14" s="455">
        <f t="shared" si="0"/>
        <v>364155.16356444167</v>
      </c>
      <c r="BN14" s="455">
        <f t="shared" ref="BN14:CY14" si="1">SUM(BN3:BN13)</f>
        <v>177242.26197340162</v>
      </c>
      <c r="BO14" s="455">
        <f t="shared" si="1"/>
        <v>784099.93743728637</v>
      </c>
      <c r="BP14" s="455">
        <f t="shared" si="1"/>
        <v>1924420.0452718595</v>
      </c>
      <c r="BQ14" s="455">
        <f t="shared" si="1"/>
        <v>156198.76622172163</v>
      </c>
      <c r="BR14" s="455">
        <f t="shared" si="1"/>
        <v>409447.50116208638</v>
      </c>
      <c r="BS14" s="455">
        <f t="shared" si="1"/>
        <v>364155.16356444167</v>
      </c>
      <c r="BT14" s="455">
        <f t="shared" si="1"/>
        <v>440457.55033845769</v>
      </c>
      <c r="BU14" s="455">
        <f t="shared" si="1"/>
        <v>194099.93743728643</v>
      </c>
      <c r="BV14" s="455">
        <f t="shared" si="1"/>
        <v>878721.37010701932</v>
      </c>
      <c r="BW14" s="455">
        <f t="shared" si="1"/>
        <v>4635087.9125211183</v>
      </c>
      <c r="BX14" s="455">
        <f t="shared" si="1"/>
        <v>2329103.5345334108</v>
      </c>
      <c r="BY14" s="455">
        <f t="shared" si="1"/>
        <v>378721.37010701932</v>
      </c>
      <c r="BZ14" s="455">
        <f t="shared" si="1"/>
        <v>182915.95245233769</v>
      </c>
      <c r="CA14" s="455">
        <f t="shared" si="1"/>
        <v>791863.93493477791</v>
      </c>
      <c r="CB14" s="455">
        <f t="shared" si="1"/>
        <v>2001396.8470827339</v>
      </c>
      <c r="CC14" s="455">
        <f t="shared" si="1"/>
        <v>162446.71687059049</v>
      </c>
      <c r="CD14" s="455">
        <f t="shared" si="1"/>
        <v>425825.40120856994</v>
      </c>
      <c r="CE14" s="455">
        <f t="shared" si="1"/>
        <v>378721.37010701932</v>
      </c>
      <c r="CF14" s="455">
        <f t="shared" si="1"/>
        <v>458075.85235199594</v>
      </c>
      <c r="CG14" s="455">
        <f t="shared" si="1"/>
        <v>186335.93993979497</v>
      </c>
      <c r="CH14" s="455">
        <f t="shared" si="1"/>
        <v>893870.22491130012</v>
      </c>
      <c r="CI14" s="455">
        <f t="shared" si="1"/>
        <v>4650571.4290219629</v>
      </c>
      <c r="CJ14" s="455">
        <f t="shared" si="1"/>
        <v>2370718.5611199653</v>
      </c>
      <c r="CK14" s="455">
        <f t="shared" si="1"/>
        <v>393870.22491130012</v>
      </c>
      <c r="CL14" s="455">
        <f t="shared" si="1"/>
        <v>188816.5905504312</v>
      </c>
      <c r="CM14" s="455">
        <f t="shared" si="1"/>
        <v>783789.37753738672</v>
      </c>
      <c r="CN14" s="455">
        <f t="shared" si="1"/>
        <v>2081452.7209660432</v>
      </c>
      <c r="CO14" s="455">
        <f t="shared" si="1"/>
        <v>168944.5855454141</v>
      </c>
      <c r="CP14" s="455">
        <f t="shared" si="1"/>
        <v>426709.30246213044</v>
      </c>
      <c r="CQ14" s="455">
        <f t="shared" si="1"/>
        <v>393870.22491130012</v>
      </c>
      <c r="CR14" s="455">
        <f t="shared" si="1"/>
        <v>476398.8864460758</v>
      </c>
      <c r="CS14" s="455">
        <f t="shared" si="1"/>
        <v>193789.37753738678</v>
      </c>
      <c r="CT14" s="455">
        <f t="shared" si="1"/>
        <v>909625.03390775213</v>
      </c>
      <c r="CU14" s="455">
        <f t="shared" si="1"/>
        <v>2542674.2861828422</v>
      </c>
      <c r="CV14" s="455">
        <f t="shared" si="1"/>
        <v>1545147.3035647641</v>
      </c>
      <c r="CW14" s="455">
        <f t="shared" si="1"/>
        <v>409625.03390775213</v>
      </c>
      <c r="CX14" s="455">
        <f t="shared" si="1"/>
        <v>194953.25417244845</v>
      </c>
      <c r="CY14" s="455">
        <f t="shared" si="1"/>
        <v>791540.95263888221</v>
      </c>
    </row>
    <row r="15" spans="1:103" ht="12" customHeight="1" thickTop="1">
      <c r="A15" s="293"/>
      <c r="B15" s="293"/>
      <c r="C15" s="293"/>
      <c r="D15" s="302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302">
        <v>0.04</v>
      </c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293"/>
      <c r="AU15" s="293"/>
      <c r="AV15" s="293"/>
      <c r="AW15" s="293"/>
      <c r="AX15" s="293"/>
      <c r="AY15" s="293"/>
      <c r="AZ15" s="293"/>
      <c r="BA15" s="293"/>
      <c r="BB15" s="293"/>
      <c r="BC15" s="293"/>
      <c r="BD15" s="293"/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  <c r="BR15" s="293"/>
      <c r="BS15" s="293"/>
      <c r="BT15" s="293"/>
      <c r="BU15" s="293"/>
      <c r="BV15" s="293"/>
      <c r="BW15" s="293"/>
      <c r="BX15" s="293"/>
      <c r="BY15" s="293"/>
      <c r="BZ15" s="293"/>
      <c r="CA15" s="293"/>
      <c r="CB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P15" s="293"/>
      <c r="CQ15" s="293"/>
      <c r="CR15" s="293"/>
      <c r="CS15" s="293"/>
      <c r="CT15" s="293"/>
      <c r="CU15" s="293"/>
      <c r="CV15" s="293"/>
      <c r="CW15" s="293"/>
      <c r="CX15" s="293"/>
      <c r="CY15" s="293"/>
    </row>
    <row r="16" spans="1:103" ht="12" customHeight="1">
      <c r="A16" s="444" t="s">
        <v>591</v>
      </c>
      <c r="B16" s="292">
        <f t="shared" ref="B16:BM16" si="2">B2</f>
        <v>43951</v>
      </c>
      <c r="C16" s="292">
        <f t="shared" si="2"/>
        <v>43982</v>
      </c>
      <c r="D16" s="292">
        <f t="shared" si="2"/>
        <v>44012</v>
      </c>
      <c r="E16" s="292">
        <f t="shared" si="2"/>
        <v>44043</v>
      </c>
      <c r="F16" s="292">
        <f t="shared" si="2"/>
        <v>44074</v>
      </c>
      <c r="G16" s="292">
        <f t="shared" si="2"/>
        <v>44104</v>
      </c>
      <c r="H16" s="292">
        <f t="shared" si="2"/>
        <v>44135</v>
      </c>
      <c r="I16" s="292">
        <f t="shared" si="2"/>
        <v>44165</v>
      </c>
      <c r="J16" s="292">
        <f t="shared" si="2"/>
        <v>44196</v>
      </c>
      <c r="K16" s="292">
        <f t="shared" si="2"/>
        <v>44227</v>
      </c>
      <c r="L16" s="292">
        <f t="shared" si="2"/>
        <v>44255</v>
      </c>
      <c r="M16" s="292">
        <f t="shared" si="2"/>
        <v>44286</v>
      </c>
      <c r="N16" s="292">
        <f t="shared" si="2"/>
        <v>44316</v>
      </c>
      <c r="O16" s="292">
        <f t="shared" si="2"/>
        <v>44347</v>
      </c>
      <c r="P16" s="292">
        <f t="shared" si="2"/>
        <v>44377</v>
      </c>
      <c r="Q16" s="292">
        <f t="shared" si="2"/>
        <v>44408</v>
      </c>
      <c r="R16" s="292">
        <f t="shared" si="2"/>
        <v>44439</v>
      </c>
      <c r="S16" s="292">
        <f t="shared" si="2"/>
        <v>44469</v>
      </c>
      <c r="T16" s="292">
        <f t="shared" si="2"/>
        <v>44500</v>
      </c>
      <c r="U16" s="292">
        <f t="shared" si="2"/>
        <v>44530</v>
      </c>
      <c r="V16" s="292">
        <f t="shared" si="2"/>
        <v>44561</v>
      </c>
      <c r="W16" s="292">
        <f t="shared" si="2"/>
        <v>44592</v>
      </c>
      <c r="X16" s="292">
        <f t="shared" si="2"/>
        <v>44620</v>
      </c>
      <c r="Y16" s="292">
        <f t="shared" si="2"/>
        <v>44651</v>
      </c>
      <c r="Z16" s="292">
        <f t="shared" si="2"/>
        <v>44681</v>
      </c>
      <c r="AA16" s="292">
        <f t="shared" si="2"/>
        <v>44712</v>
      </c>
      <c r="AB16" s="292">
        <f t="shared" si="2"/>
        <v>44742</v>
      </c>
      <c r="AC16" s="292">
        <f t="shared" si="2"/>
        <v>44773</v>
      </c>
      <c r="AD16" s="292">
        <f t="shared" si="2"/>
        <v>44804</v>
      </c>
      <c r="AE16" s="292">
        <f t="shared" si="2"/>
        <v>44834</v>
      </c>
      <c r="AF16" s="292">
        <f t="shared" si="2"/>
        <v>44865</v>
      </c>
      <c r="AG16" s="292">
        <f t="shared" si="2"/>
        <v>44895</v>
      </c>
      <c r="AH16" s="292">
        <f t="shared" si="2"/>
        <v>44926</v>
      </c>
      <c r="AI16" s="292">
        <f t="shared" si="2"/>
        <v>44957</v>
      </c>
      <c r="AJ16" s="292">
        <f t="shared" si="2"/>
        <v>44985</v>
      </c>
      <c r="AK16" s="292">
        <f t="shared" si="2"/>
        <v>45016</v>
      </c>
      <c r="AL16" s="292">
        <f t="shared" si="2"/>
        <v>45046</v>
      </c>
      <c r="AM16" s="292">
        <f t="shared" si="2"/>
        <v>45077</v>
      </c>
      <c r="AN16" s="292">
        <f t="shared" si="2"/>
        <v>45107</v>
      </c>
      <c r="AO16" s="292">
        <f t="shared" si="2"/>
        <v>45138</v>
      </c>
      <c r="AP16" s="292">
        <f t="shared" si="2"/>
        <v>45169</v>
      </c>
      <c r="AQ16" s="292">
        <f t="shared" si="2"/>
        <v>45199</v>
      </c>
      <c r="AR16" s="292">
        <f t="shared" si="2"/>
        <v>45230</v>
      </c>
      <c r="AS16" s="292">
        <f t="shared" si="2"/>
        <v>45260</v>
      </c>
      <c r="AT16" s="292">
        <f t="shared" si="2"/>
        <v>45291</v>
      </c>
      <c r="AU16" s="292">
        <f t="shared" si="2"/>
        <v>45322</v>
      </c>
      <c r="AV16" s="292">
        <f t="shared" si="2"/>
        <v>45351</v>
      </c>
      <c r="AW16" s="292">
        <f t="shared" si="2"/>
        <v>45382</v>
      </c>
      <c r="AX16" s="292">
        <f t="shared" si="2"/>
        <v>45412</v>
      </c>
      <c r="AY16" s="292">
        <f t="shared" si="2"/>
        <v>45443</v>
      </c>
      <c r="AZ16" s="292">
        <f t="shared" si="2"/>
        <v>45473</v>
      </c>
      <c r="BA16" s="292">
        <f t="shared" si="2"/>
        <v>45504</v>
      </c>
      <c r="BB16" s="292">
        <f t="shared" si="2"/>
        <v>45535</v>
      </c>
      <c r="BC16" s="292">
        <f t="shared" si="2"/>
        <v>45565</v>
      </c>
      <c r="BD16" s="292">
        <f t="shared" si="2"/>
        <v>45596</v>
      </c>
      <c r="BE16" s="292">
        <f t="shared" si="2"/>
        <v>45626</v>
      </c>
      <c r="BF16" s="292">
        <f t="shared" si="2"/>
        <v>45657</v>
      </c>
      <c r="BG16" s="292">
        <f t="shared" si="2"/>
        <v>45688</v>
      </c>
      <c r="BH16" s="292">
        <f t="shared" si="2"/>
        <v>45716</v>
      </c>
      <c r="BI16" s="292">
        <f t="shared" si="2"/>
        <v>45747</v>
      </c>
      <c r="BJ16" s="292">
        <f t="shared" si="2"/>
        <v>45777</v>
      </c>
      <c r="BK16" s="292">
        <f t="shared" si="2"/>
        <v>45808</v>
      </c>
      <c r="BL16" s="292">
        <f t="shared" si="2"/>
        <v>45838</v>
      </c>
      <c r="BM16" s="292">
        <f t="shared" si="2"/>
        <v>45869</v>
      </c>
      <c r="BN16" s="292">
        <f t="shared" ref="BN16:CY16" si="3">BN2</f>
        <v>45900</v>
      </c>
      <c r="BO16" s="292">
        <f t="shared" si="3"/>
        <v>45930</v>
      </c>
      <c r="BP16" s="292">
        <f t="shared" si="3"/>
        <v>45961</v>
      </c>
      <c r="BQ16" s="292">
        <f t="shared" si="3"/>
        <v>45991</v>
      </c>
      <c r="BR16" s="292">
        <f t="shared" si="3"/>
        <v>46022</v>
      </c>
      <c r="BS16" s="292">
        <f t="shared" si="3"/>
        <v>46053</v>
      </c>
      <c r="BT16" s="292">
        <f t="shared" si="3"/>
        <v>46081</v>
      </c>
      <c r="BU16" s="292">
        <f t="shared" si="3"/>
        <v>46112</v>
      </c>
      <c r="BV16" s="292">
        <f t="shared" si="3"/>
        <v>46142</v>
      </c>
      <c r="BW16" s="292">
        <f t="shared" si="3"/>
        <v>46173</v>
      </c>
      <c r="BX16" s="292">
        <f t="shared" si="3"/>
        <v>46203</v>
      </c>
      <c r="BY16" s="292">
        <f t="shared" si="3"/>
        <v>46234</v>
      </c>
      <c r="BZ16" s="292">
        <f t="shared" si="3"/>
        <v>46265</v>
      </c>
      <c r="CA16" s="292">
        <f t="shared" si="3"/>
        <v>46295</v>
      </c>
      <c r="CB16" s="292">
        <f t="shared" si="3"/>
        <v>46326</v>
      </c>
      <c r="CC16" s="292">
        <f t="shared" si="3"/>
        <v>46356</v>
      </c>
      <c r="CD16" s="292">
        <f t="shared" si="3"/>
        <v>46387</v>
      </c>
      <c r="CE16" s="292">
        <f t="shared" si="3"/>
        <v>46418</v>
      </c>
      <c r="CF16" s="292">
        <f t="shared" si="3"/>
        <v>46446</v>
      </c>
      <c r="CG16" s="292">
        <f t="shared" si="3"/>
        <v>46477</v>
      </c>
      <c r="CH16" s="292">
        <f t="shared" si="3"/>
        <v>46507</v>
      </c>
      <c r="CI16" s="292">
        <f t="shared" si="3"/>
        <v>46538</v>
      </c>
      <c r="CJ16" s="292">
        <f t="shared" si="3"/>
        <v>46568</v>
      </c>
      <c r="CK16" s="292">
        <f t="shared" si="3"/>
        <v>46599</v>
      </c>
      <c r="CL16" s="292">
        <f t="shared" si="3"/>
        <v>46630</v>
      </c>
      <c r="CM16" s="292">
        <f t="shared" si="3"/>
        <v>46660</v>
      </c>
      <c r="CN16" s="292">
        <f t="shared" si="3"/>
        <v>46691</v>
      </c>
      <c r="CO16" s="292">
        <f t="shared" si="3"/>
        <v>46721</v>
      </c>
      <c r="CP16" s="292">
        <f t="shared" si="3"/>
        <v>46752</v>
      </c>
      <c r="CQ16" s="292">
        <f t="shared" si="3"/>
        <v>46783</v>
      </c>
      <c r="CR16" s="292">
        <f t="shared" si="3"/>
        <v>46812</v>
      </c>
      <c r="CS16" s="292">
        <f t="shared" si="3"/>
        <v>46843</v>
      </c>
      <c r="CT16" s="292">
        <f t="shared" si="3"/>
        <v>46873</v>
      </c>
      <c r="CU16" s="292">
        <f t="shared" si="3"/>
        <v>46904</v>
      </c>
      <c r="CV16" s="292">
        <f t="shared" si="3"/>
        <v>46934</v>
      </c>
      <c r="CW16" s="292">
        <f t="shared" si="3"/>
        <v>46965</v>
      </c>
      <c r="CX16" s="292">
        <f t="shared" si="3"/>
        <v>46996</v>
      </c>
      <c r="CY16" s="292">
        <f t="shared" si="3"/>
        <v>47026</v>
      </c>
    </row>
    <row r="17" spans="1:103" ht="12" customHeight="1">
      <c r="A17" s="293" t="s">
        <v>592</v>
      </c>
      <c r="B17" s="375">
        <v>30680</v>
      </c>
      <c r="C17" s="375">
        <v>0</v>
      </c>
      <c r="D17" s="375">
        <v>0</v>
      </c>
      <c r="E17" s="375">
        <v>30680</v>
      </c>
      <c r="F17" s="375">
        <v>0</v>
      </c>
      <c r="G17" s="375">
        <v>0</v>
      </c>
      <c r="H17" s="375">
        <v>30680</v>
      </c>
      <c r="I17" s="375">
        <v>0</v>
      </c>
      <c r="J17" s="375">
        <v>0</v>
      </c>
      <c r="K17" s="375">
        <v>30680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5">
        <v>0</v>
      </c>
      <c r="AE17" s="375">
        <v>0</v>
      </c>
      <c r="AF17" s="375">
        <v>0</v>
      </c>
      <c r="AG17" s="375">
        <v>0</v>
      </c>
      <c r="AH17" s="375">
        <v>0</v>
      </c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N17" s="375">
        <v>0</v>
      </c>
      <c r="AO17" s="375">
        <v>0</v>
      </c>
      <c r="AP17" s="375">
        <v>0</v>
      </c>
      <c r="AQ17" s="375">
        <v>0</v>
      </c>
      <c r="AR17" s="375">
        <v>0</v>
      </c>
      <c r="AS17" s="375">
        <v>0</v>
      </c>
      <c r="AT17" s="375">
        <v>0</v>
      </c>
      <c r="AU17" s="375">
        <v>0</v>
      </c>
      <c r="AV17" s="375">
        <v>0</v>
      </c>
      <c r="AW17" s="375">
        <v>0</v>
      </c>
      <c r="AX17" s="375">
        <v>0</v>
      </c>
      <c r="AY17" s="375">
        <v>0</v>
      </c>
      <c r="AZ17" s="375">
        <v>0</v>
      </c>
      <c r="BA17" s="375">
        <v>0</v>
      </c>
      <c r="BB17" s="375">
        <v>0</v>
      </c>
      <c r="BC17" s="375">
        <v>0</v>
      </c>
      <c r="BD17" s="375">
        <v>0</v>
      </c>
      <c r="BE17" s="375">
        <v>0</v>
      </c>
      <c r="BF17" s="375">
        <v>0</v>
      </c>
      <c r="BG17" s="375">
        <v>0</v>
      </c>
      <c r="BH17" s="375">
        <v>0</v>
      </c>
      <c r="BI17" s="375">
        <v>0</v>
      </c>
      <c r="BJ17" s="375">
        <v>0</v>
      </c>
      <c r="BK17" s="375">
        <v>0</v>
      </c>
      <c r="BL17" s="375">
        <v>0</v>
      </c>
      <c r="BM17" s="375">
        <v>0</v>
      </c>
      <c r="BN17" s="375">
        <v>0</v>
      </c>
      <c r="BO17" s="375">
        <v>0</v>
      </c>
      <c r="BP17" s="375">
        <v>0</v>
      </c>
      <c r="BQ17" s="375">
        <v>0</v>
      </c>
      <c r="BR17" s="375">
        <v>0</v>
      </c>
      <c r="BS17" s="375">
        <v>0</v>
      </c>
      <c r="BT17" s="375">
        <v>0</v>
      </c>
      <c r="BU17" s="375">
        <v>0</v>
      </c>
      <c r="BV17" s="375">
        <v>0</v>
      </c>
      <c r="BW17" s="375">
        <v>0</v>
      </c>
      <c r="BX17" s="375">
        <v>0</v>
      </c>
      <c r="BY17" s="375">
        <v>0</v>
      </c>
      <c r="BZ17" s="375">
        <v>0</v>
      </c>
      <c r="CA17" s="375">
        <v>0</v>
      </c>
      <c r="CB17" s="375">
        <v>0</v>
      </c>
      <c r="CC17" s="375">
        <v>0</v>
      </c>
      <c r="CD17" s="375">
        <v>0</v>
      </c>
      <c r="CE17" s="375">
        <v>0</v>
      </c>
      <c r="CF17" s="375">
        <v>0</v>
      </c>
      <c r="CG17" s="375">
        <v>0</v>
      </c>
      <c r="CH17" s="375">
        <v>0</v>
      </c>
      <c r="CI17" s="375">
        <v>0</v>
      </c>
      <c r="CJ17" s="375">
        <v>0</v>
      </c>
      <c r="CK17" s="375">
        <v>0</v>
      </c>
      <c r="CL17" s="375">
        <v>0</v>
      </c>
      <c r="CM17" s="375">
        <v>0</v>
      </c>
      <c r="CN17" s="375">
        <v>0</v>
      </c>
      <c r="CO17" s="375">
        <v>0</v>
      </c>
      <c r="CP17" s="375">
        <v>0</v>
      </c>
      <c r="CQ17" s="375">
        <v>0</v>
      </c>
      <c r="CR17" s="375">
        <v>0</v>
      </c>
      <c r="CS17" s="375">
        <v>0</v>
      </c>
      <c r="CT17" s="375">
        <v>0</v>
      </c>
      <c r="CU17" s="375">
        <v>0</v>
      </c>
      <c r="CV17" s="375">
        <v>0</v>
      </c>
      <c r="CW17" s="375">
        <v>0</v>
      </c>
      <c r="CX17" s="375">
        <v>0</v>
      </c>
      <c r="CY17" s="375">
        <v>0</v>
      </c>
    </row>
    <row r="18" spans="1:103" ht="12" customHeight="1">
      <c r="A18" s="293" t="s">
        <v>593</v>
      </c>
      <c r="B18" s="375">
        <v>30680</v>
      </c>
      <c r="C18" s="375">
        <v>30680</v>
      </c>
      <c r="D18" s="375">
        <v>30680</v>
      </c>
      <c r="E18" s="375">
        <v>30680</v>
      </c>
      <c r="F18" s="375">
        <v>30680</v>
      </c>
      <c r="G18" s="375">
        <v>30680</v>
      </c>
      <c r="H18" s="375">
        <v>30680</v>
      </c>
      <c r="I18" s="375">
        <v>30680</v>
      </c>
      <c r="J18" s="375">
        <v>30680</v>
      </c>
      <c r="K18" s="375">
        <v>30680</v>
      </c>
      <c r="L18" s="375">
        <v>30680</v>
      </c>
      <c r="M18" s="375">
        <v>30680</v>
      </c>
      <c r="N18" s="375">
        <v>31907.200000000001</v>
      </c>
      <c r="O18" s="375">
        <v>31907.200000000001</v>
      </c>
      <c r="P18" s="375">
        <v>31907.200000000001</v>
      </c>
      <c r="Q18" s="375">
        <v>31907.200000000001</v>
      </c>
      <c r="R18" s="375">
        <v>31907.200000000001</v>
      </c>
      <c r="S18" s="375">
        <v>31907.200000000001</v>
      </c>
      <c r="T18" s="375">
        <v>31907.200000000001</v>
      </c>
      <c r="U18" s="375">
        <v>31907.200000000001</v>
      </c>
      <c r="V18" s="375">
        <v>31907.200000000001</v>
      </c>
      <c r="W18" s="375">
        <v>31907.200000000001</v>
      </c>
      <c r="X18" s="375">
        <v>31907.200000000001</v>
      </c>
      <c r="Y18" s="375">
        <v>31907.200000000001</v>
      </c>
      <c r="Z18" s="375">
        <v>33183.488000000005</v>
      </c>
      <c r="AA18" s="375">
        <v>33183.488000000005</v>
      </c>
      <c r="AB18" s="375">
        <v>33183.488000000005</v>
      </c>
      <c r="AC18" s="375">
        <v>33183.488000000005</v>
      </c>
      <c r="AD18" s="375">
        <v>33183.488000000005</v>
      </c>
      <c r="AE18" s="375">
        <v>33183.488000000005</v>
      </c>
      <c r="AF18" s="375">
        <v>33183.488000000005</v>
      </c>
      <c r="AG18" s="375">
        <v>33183.488000000005</v>
      </c>
      <c r="AH18" s="375">
        <v>33183.488000000005</v>
      </c>
      <c r="AI18" s="375">
        <v>33183.488000000005</v>
      </c>
      <c r="AJ18" s="375">
        <v>33183.488000000005</v>
      </c>
      <c r="AK18" s="375">
        <v>33183.488000000005</v>
      </c>
      <c r="AL18" s="375">
        <v>34510.827520000006</v>
      </c>
      <c r="AM18" s="375">
        <v>34510.827520000006</v>
      </c>
      <c r="AN18" s="375">
        <v>34510.827520000006</v>
      </c>
      <c r="AO18" s="375">
        <v>34510.827520000006</v>
      </c>
      <c r="AP18" s="375">
        <v>34510.827520000006</v>
      </c>
      <c r="AQ18" s="375">
        <v>34510.827520000006</v>
      </c>
      <c r="AR18" s="375">
        <v>34510.827520000006</v>
      </c>
      <c r="AS18" s="375">
        <v>34510.827520000006</v>
      </c>
      <c r="AT18" s="375">
        <v>34510.827520000006</v>
      </c>
      <c r="AU18" s="375">
        <v>34510.827520000006</v>
      </c>
      <c r="AV18" s="375">
        <v>34510.827520000006</v>
      </c>
      <c r="AW18" s="375">
        <v>34510.827520000006</v>
      </c>
      <c r="AX18" s="375">
        <v>35891.260620800007</v>
      </c>
      <c r="AY18" s="375">
        <v>35891.260620800007</v>
      </c>
      <c r="AZ18" s="375">
        <v>35891.260620800007</v>
      </c>
      <c r="BA18" s="375">
        <v>35891.260620800007</v>
      </c>
      <c r="BB18" s="375">
        <v>35891.260620800007</v>
      </c>
      <c r="BC18" s="375">
        <v>35891.260620800007</v>
      </c>
      <c r="BD18" s="375">
        <v>35891.260620800007</v>
      </c>
      <c r="BE18" s="375">
        <v>35891.260620800007</v>
      </c>
      <c r="BF18" s="375">
        <v>35891.260620800007</v>
      </c>
      <c r="BG18" s="375">
        <v>35891.260620800007</v>
      </c>
      <c r="BH18" s="375">
        <v>35891.260620800007</v>
      </c>
      <c r="BI18" s="375">
        <v>35891.260620800007</v>
      </c>
      <c r="BJ18" s="375">
        <v>37326.911045632005</v>
      </c>
      <c r="BK18" s="375">
        <v>37326.911045632005</v>
      </c>
      <c r="BL18" s="375">
        <v>37326.911045632005</v>
      </c>
      <c r="BM18" s="375">
        <v>37326.911045632005</v>
      </c>
      <c r="BN18" s="375">
        <v>37326.911045632005</v>
      </c>
      <c r="BO18" s="375">
        <v>37326.911045632005</v>
      </c>
      <c r="BP18" s="375">
        <v>37326.911045632005</v>
      </c>
      <c r="BQ18" s="375">
        <v>37326.911045632005</v>
      </c>
      <c r="BR18" s="375">
        <v>37326.911045632005</v>
      </c>
      <c r="BS18" s="375">
        <v>37326.911045632005</v>
      </c>
      <c r="BT18" s="375">
        <v>37326.911045632005</v>
      </c>
      <c r="BU18" s="375">
        <v>37326.911045632005</v>
      </c>
      <c r="BV18" s="375">
        <v>38819.987487457285</v>
      </c>
      <c r="BW18" s="375">
        <v>38819.987487457285</v>
      </c>
      <c r="BX18" s="375">
        <v>38819.987487457285</v>
      </c>
      <c r="BY18" s="375">
        <v>38819.987487457285</v>
      </c>
      <c r="BZ18" s="375">
        <v>38819.987487457285</v>
      </c>
      <c r="CA18" s="375">
        <v>38819.987487457285</v>
      </c>
      <c r="CB18" s="375">
        <v>38819.987487457285</v>
      </c>
      <c r="CC18" s="375">
        <v>38819.987487457285</v>
      </c>
      <c r="CD18" s="375">
        <v>38819.987487457285</v>
      </c>
      <c r="CE18" s="375">
        <v>38819.987487457285</v>
      </c>
      <c r="CF18" s="375">
        <v>38819.987487457285</v>
      </c>
      <c r="CG18" s="375">
        <v>38819.987487457285</v>
      </c>
      <c r="CH18" s="375">
        <v>40372.78698695558</v>
      </c>
      <c r="CI18" s="375">
        <v>40372.78698695558</v>
      </c>
      <c r="CJ18" s="375">
        <v>40372.78698695558</v>
      </c>
      <c r="CK18" s="375">
        <v>40372.78698695558</v>
      </c>
      <c r="CL18" s="375">
        <v>40372.78698695558</v>
      </c>
      <c r="CM18" s="375">
        <v>40372.78698695558</v>
      </c>
      <c r="CN18" s="375">
        <v>40372.78698695558</v>
      </c>
      <c r="CO18" s="375">
        <v>40372.78698695558</v>
      </c>
      <c r="CP18" s="375">
        <v>40372.78698695558</v>
      </c>
      <c r="CQ18" s="375">
        <v>40372.78698695558</v>
      </c>
      <c r="CR18" s="375">
        <v>40372.78698695558</v>
      </c>
      <c r="CS18" s="375">
        <v>40372.78698695558</v>
      </c>
      <c r="CT18" s="375">
        <v>41987.698466433802</v>
      </c>
      <c r="CU18" s="375">
        <v>41987.698466433802</v>
      </c>
      <c r="CV18" s="375">
        <v>41987.698466433802</v>
      </c>
      <c r="CW18" s="375">
        <v>41987.698466433802</v>
      </c>
      <c r="CX18" s="375">
        <v>41987.698466433802</v>
      </c>
      <c r="CY18" s="375">
        <v>41987.698466433802</v>
      </c>
    </row>
    <row r="19" spans="1:103" ht="12" customHeight="1">
      <c r="A19" s="293" t="s">
        <v>594</v>
      </c>
      <c r="B19" s="375">
        <v>0</v>
      </c>
      <c r="C19" s="375">
        <v>0</v>
      </c>
      <c r="D19" s="375">
        <v>0</v>
      </c>
      <c r="E19" s="375">
        <v>0</v>
      </c>
      <c r="F19" s="375">
        <v>0</v>
      </c>
      <c r="G19" s="375">
        <v>590000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590000</v>
      </c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5">
        <v>0</v>
      </c>
      <c r="AE19" s="375">
        <v>590000</v>
      </c>
      <c r="AF19" s="375">
        <v>0</v>
      </c>
      <c r="AG19" s="375">
        <v>0</v>
      </c>
      <c r="AH19" s="375">
        <v>0</v>
      </c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75">
        <v>0</v>
      </c>
      <c r="AO19" s="375">
        <v>0</v>
      </c>
      <c r="AP19" s="375">
        <v>0</v>
      </c>
      <c r="AQ19" s="375">
        <v>590000</v>
      </c>
      <c r="AR19" s="375">
        <v>0</v>
      </c>
      <c r="AS19" s="375">
        <v>0</v>
      </c>
      <c r="AT19" s="375">
        <v>0</v>
      </c>
      <c r="AU19" s="375">
        <v>0</v>
      </c>
      <c r="AV19" s="375">
        <v>0</v>
      </c>
      <c r="AW19" s="375">
        <v>0</v>
      </c>
      <c r="AX19" s="375">
        <v>0</v>
      </c>
      <c r="AY19" s="375">
        <v>0</v>
      </c>
      <c r="AZ19" s="375">
        <v>0</v>
      </c>
      <c r="BA19" s="375">
        <v>0</v>
      </c>
      <c r="BB19" s="375">
        <v>0</v>
      </c>
      <c r="BC19" s="375">
        <v>590000</v>
      </c>
      <c r="BD19" s="375">
        <v>0</v>
      </c>
      <c r="BE19" s="375">
        <v>0</v>
      </c>
      <c r="BF19" s="375">
        <v>0</v>
      </c>
      <c r="BG19" s="375">
        <v>0</v>
      </c>
      <c r="BH19" s="375">
        <v>0</v>
      </c>
      <c r="BI19" s="375">
        <v>0</v>
      </c>
      <c r="BJ19" s="375">
        <v>0</v>
      </c>
      <c r="BK19" s="375">
        <v>0</v>
      </c>
      <c r="BL19" s="375">
        <v>0</v>
      </c>
      <c r="BM19" s="375">
        <v>0</v>
      </c>
      <c r="BN19" s="375">
        <v>0</v>
      </c>
      <c r="BO19" s="375">
        <v>590000</v>
      </c>
      <c r="BP19" s="375">
        <v>0</v>
      </c>
      <c r="BQ19" s="375">
        <v>0</v>
      </c>
      <c r="BR19" s="375">
        <v>0</v>
      </c>
      <c r="BS19" s="375">
        <v>0</v>
      </c>
      <c r="BT19" s="375">
        <v>0</v>
      </c>
      <c r="BU19" s="375">
        <v>0</v>
      </c>
      <c r="BV19" s="375">
        <v>0</v>
      </c>
      <c r="BW19" s="375">
        <v>0</v>
      </c>
      <c r="BX19" s="375">
        <v>0</v>
      </c>
      <c r="BY19" s="375">
        <v>0</v>
      </c>
      <c r="BZ19" s="375">
        <v>0</v>
      </c>
      <c r="CA19" s="375">
        <v>590000</v>
      </c>
      <c r="CB19" s="375">
        <v>0</v>
      </c>
      <c r="CC19" s="375">
        <v>0</v>
      </c>
      <c r="CD19" s="375">
        <v>0</v>
      </c>
      <c r="CE19" s="375">
        <v>0</v>
      </c>
      <c r="CF19" s="375">
        <v>0</v>
      </c>
      <c r="CG19" s="375">
        <v>0</v>
      </c>
      <c r="CH19" s="375">
        <v>0</v>
      </c>
      <c r="CI19" s="375">
        <v>0</v>
      </c>
      <c r="CJ19" s="375">
        <v>0</v>
      </c>
      <c r="CK19" s="375">
        <v>0</v>
      </c>
      <c r="CL19" s="375">
        <v>0</v>
      </c>
      <c r="CM19" s="375">
        <v>590000</v>
      </c>
      <c r="CN19" s="375">
        <v>0</v>
      </c>
      <c r="CO19" s="375">
        <v>0</v>
      </c>
      <c r="CP19" s="375">
        <v>0</v>
      </c>
      <c r="CQ19" s="375">
        <v>0</v>
      </c>
      <c r="CR19" s="375">
        <v>0</v>
      </c>
      <c r="CS19" s="375">
        <v>0</v>
      </c>
      <c r="CT19" s="375">
        <v>0</v>
      </c>
      <c r="CU19" s="375">
        <v>0</v>
      </c>
      <c r="CV19" s="375">
        <v>0</v>
      </c>
      <c r="CW19" s="375">
        <v>0</v>
      </c>
      <c r="CX19" s="375">
        <v>0</v>
      </c>
      <c r="CY19" s="375">
        <v>590000</v>
      </c>
    </row>
    <row r="20" spans="1:103" ht="12" customHeight="1">
      <c r="A20" s="293" t="s">
        <v>595</v>
      </c>
      <c r="B20" s="375">
        <v>0</v>
      </c>
      <c r="C20" s="375">
        <v>189337.2</v>
      </c>
      <c r="D20" s="375">
        <v>0</v>
      </c>
      <c r="E20" s="375">
        <v>0</v>
      </c>
      <c r="F20" s="375">
        <v>0</v>
      </c>
      <c r="G20" s="375">
        <v>0</v>
      </c>
      <c r="H20" s="375">
        <v>0</v>
      </c>
      <c r="I20" s="375">
        <v>0</v>
      </c>
      <c r="J20" s="375">
        <v>0</v>
      </c>
      <c r="K20" s="375">
        <v>0</v>
      </c>
      <c r="L20" s="375">
        <v>0</v>
      </c>
      <c r="M20" s="375">
        <v>0</v>
      </c>
      <c r="N20" s="375">
        <v>0</v>
      </c>
      <c r="O20" s="375">
        <v>196910.68800000002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5">
        <v>0</v>
      </c>
      <c r="V20" s="375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204787.11552000002</v>
      </c>
      <c r="AB20" s="375">
        <v>0</v>
      </c>
      <c r="AC20" s="375">
        <v>0</v>
      </c>
      <c r="AD20" s="375">
        <v>0</v>
      </c>
      <c r="AE20" s="375">
        <v>0</v>
      </c>
      <c r="AF20" s="375">
        <v>0</v>
      </c>
      <c r="AG20" s="375">
        <v>0</v>
      </c>
      <c r="AH20" s="375">
        <v>0</v>
      </c>
      <c r="AI20" s="375">
        <v>0</v>
      </c>
      <c r="AJ20" s="375">
        <v>0</v>
      </c>
      <c r="AK20" s="375">
        <v>0</v>
      </c>
      <c r="AL20" s="375">
        <v>0</v>
      </c>
      <c r="AM20" s="375">
        <v>212978.60014080003</v>
      </c>
      <c r="AN20" s="375">
        <v>0</v>
      </c>
      <c r="AO20" s="375">
        <v>0</v>
      </c>
      <c r="AP20" s="375">
        <v>0</v>
      </c>
      <c r="AQ20" s="375">
        <v>0</v>
      </c>
      <c r="AR20" s="375">
        <v>0</v>
      </c>
      <c r="AS20" s="375">
        <v>0</v>
      </c>
      <c r="AT20" s="375">
        <v>0</v>
      </c>
      <c r="AU20" s="375">
        <v>0</v>
      </c>
      <c r="AV20" s="375">
        <v>0</v>
      </c>
      <c r="AW20" s="375">
        <v>0</v>
      </c>
      <c r="AX20" s="375">
        <v>0</v>
      </c>
      <c r="AY20" s="375">
        <v>221497.74414643203</v>
      </c>
      <c r="AZ20" s="375">
        <v>0</v>
      </c>
      <c r="BA20" s="375">
        <v>0</v>
      </c>
      <c r="BB20" s="375">
        <v>0</v>
      </c>
      <c r="BC20" s="375">
        <v>0</v>
      </c>
      <c r="BD20" s="375">
        <v>0</v>
      </c>
      <c r="BE20" s="375">
        <v>0</v>
      </c>
      <c r="BF20" s="375">
        <v>0</v>
      </c>
      <c r="BG20" s="375">
        <v>0</v>
      </c>
      <c r="BH20" s="375">
        <v>0</v>
      </c>
      <c r="BI20" s="375">
        <v>0</v>
      </c>
      <c r="BJ20" s="375">
        <v>0</v>
      </c>
      <c r="BK20" s="375">
        <v>230357.65391228933</v>
      </c>
      <c r="BL20" s="375">
        <v>0</v>
      </c>
      <c r="BM20" s="375">
        <v>0</v>
      </c>
      <c r="BN20" s="375">
        <v>0</v>
      </c>
      <c r="BO20" s="375">
        <v>0</v>
      </c>
      <c r="BP20" s="375">
        <v>0</v>
      </c>
      <c r="BQ20" s="375">
        <v>0</v>
      </c>
      <c r="BR20" s="375">
        <v>0</v>
      </c>
      <c r="BS20" s="375">
        <v>0</v>
      </c>
      <c r="BT20" s="375">
        <v>0</v>
      </c>
      <c r="BU20" s="375">
        <v>0</v>
      </c>
      <c r="BV20" s="375">
        <v>0</v>
      </c>
      <c r="BW20" s="375">
        <v>239571.9600687809</v>
      </c>
      <c r="BX20" s="375">
        <v>0</v>
      </c>
      <c r="BY20" s="375">
        <v>0</v>
      </c>
      <c r="BZ20" s="375">
        <v>0</v>
      </c>
      <c r="CA20" s="375">
        <v>0</v>
      </c>
      <c r="CB20" s="375">
        <v>0</v>
      </c>
      <c r="CC20" s="375">
        <v>0</v>
      </c>
      <c r="CD20" s="375">
        <v>0</v>
      </c>
      <c r="CE20" s="375">
        <v>0</v>
      </c>
      <c r="CF20" s="375">
        <v>0</v>
      </c>
      <c r="CG20" s="375">
        <v>0</v>
      </c>
      <c r="CH20" s="375">
        <v>0</v>
      </c>
      <c r="CI20" s="375">
        <v>249154.83847153213</v>
      </c>
      <c r="CJ20" s="375">
        <v>0</v>
      </c>
      <c r="CK20" s="375">
        <v>0</v>
      </c>
      <c r="CL20" s="375">
        <v>0</v>
      </c>
      <c r="CM20" s="375">
        <v>0</v>
      </c>
      <c r="CN20" s="375">
        <v>0</v>
      </c>
      <c r="CO20" s="375">
        <v>0</v>
      </c>
      <c r="CP20" s="375">
        <v>0</v>
      </c>
      <c r="CQ20" s="375">
        <v>0</v>
      </c>
      <c r="CR20" s="375">
        <v>0</v>
      </c>
      <c r="CS20" s="375">
        <v>0</v>
      </c>
      <c r="CT20" s="375">
        <v>0</v>
      </c>
      <c r="CU20" s="375">
        <v>259121.03201039342</v>
      </c>
      <c r="CV20" s="375">
        <v>0</v>
      </c>
      <c r="CW20" s="375">
        <v>0</v>
      </c>
      <c r="CX20" s="375">
        <v>0</v>
      </c>
      <c r="CY20" s="375">
        <v>0</v>
      </c>
    </row>
    <row r="21" spans="1:103" ht="12" customHeight="1">
      <c r="A21" s="293" t="s">
        <v>596</v>
      </c>
      <c r="B21" s="375">
        <v>0</v>
      </c>
      <c r="C21" s="375">
        <v>0</v>
      </c>
      <c r="D21" s="375">
        <v>0</v>
      </c>
      <c r="E21" s="375">
        <v>0</v>
      </c>
      <c r="F21" s="375">
        <v>0</v>
      </c>
      <c r="G21" s="375">
        <v>0</v>
      </c>
      <c r="H21" s="375">
        <v>0</v>
      </c>
      <c r="I21" s="375">
        <v>0</v>
      </c>
      <c r="J21" s="375">
        <v>0</v>
      </c>
      <c r="K21" s="375">
        <v>0</v>
      </c>
      <c r="L21" s="375">
        <v>0</v>
      </c>
      <c r="M21" s="375">
        <v>0</v>
      </c>
      <c r="N21" s="375">
        <v>0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5">
        <v>0</v>
      </c>
      <c r="V21" s="375">
        <v>0</v>
      </c>
      <c r="W21" s="375">
        <v>0</v>
      </c>
      <c r="X21" s="375">
        <v>0</v>
      </c>
      <c r="Y21" s="375">
        <v>0</v>
      </c>
      <c r="Z21" s="375">
        <v>0</v>
      </c>
      <c r="AA21" s="375">
        <v>0</v>
      </c>
      <c r="AB21" s="375">
        <v>0</v>
      </c>
      <c r="AC21" s="375">
        <v>0</v>
      </c>
      <c r="AD21" s="375">
        <v>0</v>
      </c>
      <c r="AE21" s="375">
        <v>0</v>
      </c>
      <c r="AF21" s="375">
        <v>0</v>
      </c>
      <c r="AG21" s="375">
        <v>0</v>
      </c>
      <c r="AH21" s="375">
        <v>0</v>
      </c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N21" s="375">
        <v>0</v>
      </c>
      <c r="AO21" s="375">
        <v>0</v>
      </c>
      <c r="AP21" s="375">
        <v>0</v>
      </c>
      <c r="AQ21" s="375">
        <v>0</v>
      </c>
      <c r="AR21" s="375">
        <v>0</v>
      </c>
      <c r="AS21" s="375">
        <v>0</v>
      </c>
      <c r="AT21" s="375">
        <v>0</v>
      </c>
      <c r="AU21" s="375">
        <v>0</v>
      </c>
      <c r="AV21" s="375">
        <v>0</v>
      </c>
      <c r="AW21" s="375">
        <v>0</v>
      </c>
      <c r="AX21" s="375">
        <v>0</v>
      </c>
      <c r="AY21" s="375">
        <v>0</v>
      </c>
      <c r="AZ21" s="375">
        <v>0</v>
      </c>
      <c r="BA21" s="375">
        <v>0</v>
      </c>
      <c r="BB21" s="375">
        <v>0</v>
      </c>
      <c r="BC21" s="375">
        <v>0</v>
      </c>
      <c r="BD21" s="375">
        <v>0</v>
      </c>
      <c r="BE21" s="375">
        <v>0</v>
      </c>
      <c r="BF21" s="375">
        <v>0</v>
      </c>
      <c r="BG21" s="375">
        <v>0</v>
      </c>
      <c r="BH21" s="375">
        <v>0</v>
      </c>
      <c r="BI21" s="375">
        <v>0</v>
      </c>
      <c r="BJ21" s="375">
        <v>0</v>
      </c>
      <c r="BK21" s="375">
        <v>0</v>
      </c>
      <c r="BL21" s="375">
        <v>0</v>
      </c>
      <c r="BM21" s="375">
        <v>0</v>
      </c>
      <c r="BN21" s="375">
        <v>0</v>
      </c>
      <c r="BO21" s="375">
        <v>0</v>
      </c>
      <c r="BP21" s="375">
        <v>0</v>
      </c>
      <c r="BQ21" s="375">
        <v>0</v>
      </c>
      <c r="BR21" s="375">
        <v>0</v>
      </c>
      <c r="BS21" s="375">
        <v>0</v>
      </c>
      <c r="BT21" s="375">
        <v>0</v>
      </c>
      <c r="BU21" s="375">
        <v>0</v>
      </c>
      <c r="BV21" s="375">
        <v>0</v>
      </c>
      <c r="BW21" s="375">
        <v>0</v>
      </c>
      <c r="BX21" s="375">
        <v>0</v>
      </c>
      <c r="BY21" s="375">
        <v>0</v>
      </c>
      <c r="BZ21" s="375">
        <v>0</v>
      </c>
      <c r="CA21" s="375">
        <v>0</v>
      </c>
      <c r="CB21" s="375">
        <v>0</v>
      </c>
      <c r="CC21" s="375">
        <v>0</v>
      </c>
      <c r="CD21" s="375">
        <v>0</v>
      </c>
      <c r="CE21" s="375">
        <v>0</v>
      </c>
      <c r="CF21" s="375">
        <v>0</v>
      </c>
      <c r="CG21" s="375">
        <v>0</v>
      </c>
      <c r="CH21" s="375">
        <v>0</v>
      </c>
      <c r="CI21" s="375">
        <v>0</v>
      </c>
      <c r="CJ21" s="375">
        <v>0</v>
      </c>
      <c r="CK21" s="375">
        <v>0</v>
      </c>
      <c r="CL21" s="375">
        <v>0</v>
      </c>
      <c r="CM21" s="375">
        <v>0</v>
      </c>
      <c r="CN21" s="375">
        <v>0</v>
      </c>
      <c r="CO21" s="375">
        <v>0</v>
      </c>
      <c r="CP21" s="375">
        <v>0</v>
      </c>
      <c r="CQ21" s="375">
        <v>0</v>
      </c>
      <c r="CR21" s="375">
        <v>0</v>
      </c>
      <c r="CS21" s="375">
        <v>0</v>
      </c>
      <c r="CT21" s="375">
        <v>0</v>
      </c>
      <c r="CU21" s="375">
        <v>0</v>
      </c>
      <c r="CV21" s="375">
        <v>0</v>
      </c>
      <c r="CW21" s="375">
        <v>0</v>
      </c>
      <c r="CX21" s="375">
        <v>0</v>
      </c>
      <c r="CY21" s="375">
        <v>0</v>
      </c>
    </row>
    <row r="22" spans="1:103" ht="12" customHeight="1">
      <c r="A22" s="293" t="s">
        <v>597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5">
        <v>0</v>
      </c>
      <c r="V22" s="375">
        <v>0</v>
      </c>
      <c r="W22" s="375">
        <v>0</v>
      </c>
      <c r="X22" s="375">
        <v>0</v>
      </c>
      <c r="Y22" s="375">
        <v>0</v>
      </c>
      <c r="Z22" s="375">
        <v>0</v>
      </c>
      <c r="AA22" s="375">
        <v>0</v>
      </c>
      <c r="AB22" s="375">
        <v>0</v>
      </c>
      <c r="AC22" s="375">
        <v>0</v>
      </c>
      <c r="AD22" s="375">
        <v>0</v>
      </c>
      <c r="AE22" s="375">
        <v>0</v>
      </c>
      <c r="AF22" s="375">
        <v>0</v>
      </c>
      <c r="AG22" s="375">
        <v>0</v>
      </c>
      <c r="AH22" s="375">
        <v>0</v>
      </c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N22" s="375">
        <v>0</v>
      </c>
      <c r="AO22" s="375">
        <v>0</v>
      </c>
      <c r="AP22" s="375">
        <v>0</v>
      </c>
      <c r="AQ22" s="375">
        <v>0</v>
      </c>
      <c r="AR22" s="375">
        <v>0</v>
      </c>
      <c r="AS22" s="375">
        <v>0</v>
      </c>
      <c r="AT22" s="375">
        <v>0</v>
      </c>
      <c r="AU22" s="375">
        <v>0</v>
      </c>
      <c r="AV22" s="375">
        <v>0</v>
      </c>
      <c r="AW22" s="375">
        <v>0</v>
      </c>
      <c r="AX22" s="375">
        <v>0</v>
      </c>
      <c r="AY22" s="375">
        <v>0</v>
      </c>
      <c r="AZ22" s="375">
        <v>0</v>
      </c>
      <c r="BA22" s="375">
        <v>0</v>
      </c>
      <c r="BB22" s="375">
        <v>0</v>
      </c>
      <c r="BC22" s="375">
        <v>0</v>
      </c>
      <c r="BD22" s="375">
        <v>0</v>
      </c>
      <c r="BE22" s="375">
        <v>0</v>
      </c>
      <c r="BF22" s="375">
        <v>0</v>
      </c>
      <c r="BG22" s="375">
        <v>0</v>
      </c>
      <c r="BH22" s="375">
        <v>0</v>
      </c>
      <c r="BI22" s="375">
        <v>0</v>
      </c>
      <c r="BJ22" s="375">
        <v>0</v>
      </c>
      <c r="BK22" s="375">
        <v>0</v>
      </c>
      <c r="BL22" s="375">
        <v>0</v>
      </c>
      <c r="BM22" s="375">
        <v>0</v>
      </c>
      <c r="BN22" s="375">
        <v>0</v>
      </c>
      <c r="BO22" s="375">
        <v>0</v>
      </c>
      <c r="BP22" s="375">
        <v>0</v>
      </c>
      <c r="BQ22" s="375">
        <v>0</v>
      </c>
      <c r="BR22" s="375">
        <v>0</v>
      </c>
      <c r="BS22" s="375">
        <v>0</v>
      </c>
      <c r="BT22" s="375">
        <v>0</v>
      </c>
      <c r="BU22" s="375">
        <v>0</v>
      </c>
      <c r="BV22" s="375">
        <v>0</v>
      </c>
      <c r="BW22" s="375">
        <v>0</v>
      </c>
      <c r="BX22" s="375">
        <v>0</v>
      </c>
      <c r="BY22" s="375">
        <v>0</v>
      </c>
      <c r="BZ22" s="375">
        <v>0</v>
      </c>
      <c r="CA22" s="375">
        <v>0</v>
      </c>
      <c r="CB22" s="375">
        <v>0</v>
      </c>
      <c r="CC22" s="375">
        <v>0</v>
      </c>
      <c r="CD22" s="375">
        <v>0</v>
      </c>
      <c r="CE22" s="375">
        <v>0</v>
      </c>
      <c r="CF22" s="375">
        <v>0</v>
      </c>
      <c r="CG22" s="375">
        <v>0</v>
      </c>
      <c r="CH22" s="375">
        <v>0</v>
      </c>
      <c r="CI22" s="375">
        <v>0</v>
      </c>
      <c r="CJ22" s="375">
        <v>0</v>
      </c>
      <c r="CK22" s="375">
        <v>0</v>
      </c>
      <c r="CL22" s="375">
        <v>0</v>
      </c>
      <c r="CM22" s="375">
        <v>0</v>
      </c>
      <c r="CN22" s="375">
        <v>0</v>
      </c>
      <c r="CO22" s="375">
        <v>0</v>
      </c>
      <c r="CP22" s="375">
        <v>0</v>
      </c>
      <c r="CQ22" s="375">
        <v>0</v>
      </c>
      <c r="CR22" s="375">
        <v>0</v>
      </c>
      <c r="CS22" s="375">
        <v>0</v>
      </c>
      <c r="CT22" s="375">
        <v>0</v>
      </c>
      <c r="CU22" s="375">
        <v>0</v>
      </c>
      <c r="CV22" s="375">
        <v>0</v>
      </c>
      <c r="CW22" s="375">
        <v>0</v>
      </c>
      <c r="CX22" s="375">
        <v>0</v>
      </c>
      <c r="CY22" s="375">
        <v>0</v>
      </c>
    </row>
    <row r="23" spans="1:103" ht="12" customHeight="1">
      <c r="A23" s="293" t="s">
        <v>598</v>
      </c>
      <c r="B23" s="375">
        <v>182725</v>
      </c>
      <c r="C23" s="375">
        <v>0</v>
      </c>
      <c r="D23" s="375">
        <v>0</v>
      </c>
      <c r="E23" s="375">
        <v>182725</v>
      </c>
      <c r="F23" s="375">
        <v>0</v>
      </c>
      <c r="G23" s="375">
        <v>0</v>
      </c>
      <c r="H23" s="375">
        <v>182725</v>
      </c>
      <c r="I23" s="375">
        <v>0</v>
      </c>
      <c r="J23" s="375">
        <v>0</v>
      </c>
      <c r="K23" s="375">
        <v>182725</v>
      </c>
      <c r="L23" s="375">
        <v>0</v>
      </c>
      <c r="M23" s="375">
        <v>0</v>
      </c>
      <c r="N23" s="375">
        <v>190034</v>
      </c>
      <c r="O23" s="375">
        <v>0</v>
      </c>
      <c r="P23" s="375">
        <v>0</v>
      </c>
      <c r="Q23" s="375">
        <v>190034</v>
      </c>
      <c r="R23" s="375">
        <v>0</v>
      </c>
      <c r="S23" s="375">
        <v>0</v>
      </c>
      <c r="T23" s="375">
        <v>190034</v>
      </c>
      <c r="U23" s="375">
        <v>0</v>
      </c>
      <c r="V23" s="375">
        <v>0</v>
      </c>
      <c r="W23" s="375">
        <v>190034</v>
      </c>
      <c r="X23" s="375">
        <v>0</v>
      </c>
      <c r="Y23" s="375">
        <v>0</v>
      </c>
      <c r="Z23" s="375">
        <v>197635.36000000002</v>
      </c>
      <c r="AA23" s="375">
        <v>0</v>
      </c>
      <c r="AB23" s="375">
        <v>0</v>
      </c>
      <c r="AC23" s="375">
        <v>197635.36000000002</v>
      </c>
      <c r="AD23" s="375">
        <v>0</v>
      </c>
      <c r="AE23" s="375">
        <v>0</v>
      </c>
      <c r="AF23" s="375">
        <v>197635.36000000002</v>
      </c>
      <c r="AG23" s="375">
        <v>0</v>
      </c>
      <c r="AH23" s="375">
        <v>0</v>
      </c>
      <c r="AI23" s="375">
        <v>197635.36000000002</v>
      </c>
      <c r="AJ23" s="375">
        <v>0</v>
      </c>
      <c r="AK23" s="375">
        <v>0</v>
      </c>
      <c r="AL23" s="375">
        <v>205540.77440000002</v>
      </c>
      <c r="AM23" s="375">
        <v>0</v>
      </c>
      <c r="AN23" s="375">
        <v>0</v>
      </c>
      <c r="AO23" s="375">
        <v>205540.77440000002</v>
      </c>
      <c r="AP23" s="375">
        <v>0</v>
      </c>
      <c r="AQ23" s="375">
        <v>0</v>
      </c>
      <c r="AR23" s="375">
        <v>205540.77440000002</v>
      </c>
      <c r="AS23" s="375">
        <v>0</v>
      </c>
      <c r="AT23" s="375">
        <v>0</v>
      </c>
      <c r="AU23" s="375">
        <v>205540.77440000002</v>
      </c>
      <c r="AV23" s="375">
        <v>0</v>
      </c>
      <c r="AW23" s="375">
        <v>0</v>
      </c>
      <c r="AX23" s="375">
        <v>213762.40537600004</v>
      </c>
      <c r="AY23" s="375">
        <v>0</v>
      </c>
      <c r="AZ23" s="375">
        <v>0</v>
      </c>
      <c r="BA23" s="375">
        <v>213762.40537600004</v>
      </c>
      <c r="BB23" s="375">
        <v>0</v>
      </c>
      <c r="BC23" s="375">
        <v>0</v>
      </c>
      <c r="BD23" s="375">
        <v>213762.40537600004</v>
      </c>
      <c r="BE23" s="375">
        <v>0</v>
      </c>
      <c r="BF23" s="375">
        <v>0</v>
      </c>
      <c r="BG23" s="375">
        <v>213762.40537600004</v>
      </c>
      <c r="BH23" s="375">
        <v>0</v>
      </c>
      <c r="BI23" s="375">
        <v>0</v>
      </c>
      <c r="BJ23" s="375">
        <v>222312.90159104005</v>
      </c>
      <c r="BK23" s="375">
        <v>0</v>
      </c>
      <c r="BL23" s="375">
        <v>0</v>
      </c>
      <c r="BM23" s="375">
        <v>222312.90159104005</v>
      </c>
      <c r="BN23" s="375">
        <v>0</v>
      </c>
      <c r="BO23" s="375">
        <v>0</v>
      </c>
      <c r="BP23" s="375">
        <v>222312.90159104005</v>
      </c>
      <c r="BQ23" s="375">
        <v>0</v>
      </c>
      <c r="BR23" s="375">
        <v>0</v>
      </c>
      <c r="BS23" s="375">
        <v>222312.90159104005</v>
      </c>
      <c r="BT23" s="375">
        <v>0</v>
      </c>
      <c r="BU23" s="375">
        <v>0</v>
      </c>
      <c r="BV23" s="375">
        <v>231205.41765468166</v>
      </c>
      <c r="BW23" s="375">
        <v>0</v>
      </c>
      <c r="BX23" s="375">
        <v>0</v>
      </c>
      <c r="BY23" s="375">
        <v>231205.41765468166</v>
      </c>
      <c r="BZ23" s="375">
        <v>0</v>
      </c>
      <c r="CA23" s="375">
        <v>0</v>
      </c>
      <c r="CB23" s="375">
        <v>231205.41765468166</v>
      </c>
      <c r="CC23" s="375">
        <v>0</v>
      </c>
      <c r="CD23" s="375">
        <v>0</v>
      </c>
      <c r="CE23" s="375">
        <v>231205.41765468166</v>
      </c>
      <c r="CF23" s="375">
        <v>0</v>
      </c>
      <c r="CG23" s="375">
        <v>0</v>
      </c>
      <c r="CH23" s="375">
        <v>240453.63436086892</v>
      </c>
      <c r="CI23" s="375">
        <v>0</v>
      </c>
      <c r="CJ23" s="375">
        <v>0</v>
      </c>
      <c r="CK23" s="375">
        <v>240453.63436086892</v>
      </c>
      <c r="CL23" s="375">
        <v>0</v>
      </c>
      <c r="CM23" s="375">
        <v>0</v>
      </c>
      <c r="CN23" s="375">
        <v>240453.63436086892</v>
      </c>
      <c r="CO23" s="375">
        <v>0</v>
      </c>
      <c r="CP23" s="375">
        <v>0</v>
      </c>
      <c r="CQ23" s="375">
        <v>240453.63436086892</v>
      </c>
      <c r="CR23" s="375">
        <v>0</v>
      </c>
      <c r="CS23" s="375">
        <v>0</v>
      </c>
      <c r="CT23" s="375">
        <v>250071.77973530369</v>
      </c>
      <c r="CU23" s="375">
        <v>0</v>
      </c>
      <c r="CV23" s="375">
        <v>0</v>
      </c>
      <c r="CW23" s="375">
        <v>250071.77973530369</v>
      </c>
      <c r="CX23" s="375">
        <v>0</v>
      </c>
      <c r="CY23" s="375">
        <v>0</v>
      </c>
    </row>
    <row r="24" spans="1:103" ht="12" customHeight="1" thickBot="1">
      <c r="A24" s="444" t="s">
        <v>104</v>
      </c>
      <c r="B24" s="379">
        <f t="shared" ref="B24:BM24" si="4">SUM(B17:B23)</f>
        <v>244085</v>
      </c>
      <c r="C24" s="379">
        <f t="shared" si="4"/>
        <v>220017.2</v>
      </c>
      <c r="D24" s="379">
        <f t="shared" si="4"/>
        <v>30680</v>
      </c>
      <c r="E24" s="379">
        <f t="shared" si="4"/>
        <v>244085</v>
      </c>
      <c r="F24" s="379">
        <f t="shared" si="4"/>
        <v>30680</v>
      </c>
      <c r="G24" s="379">
        <f t="shared" si="4"/>
        <v>620680</v>
      </c>
      <c r="H24" s="379">
        <f t="shared" si="4"/>
        <v>244085</v>
      </c>
      <c r="I24" s="379">
        <f t="shared" si="4"/>
        <v>30680</v>
      </c>
      <c r="J24" s="379">
        <f t="shared" si="4"/>
        <v>30680</v>
      </c>
      <c r="K24" s="379">
        <f t="shared" si="4"/>
        <v>244085</v>
      </c>
      <c r="L24" s="379">
        <f t="shared" si="4"/>
        <v>30680</v>
      </c>
      <c r="M24" s="379">
        <f t="shared" si="4"/>
        <v>30680</v>
      </c>
      <c r="N24" s="379">
        <f t="shared" si="4"/>
        <v>221941.2</v>
      </c>
      <c r="O24" s="379">
        <f t="shared" si="4"/>
        <v>228817.88800000004</v>
      </c>
      <c r="P24" s="379">
        <f t="shared" si="4"/>
        <v>31907.200000000001</v>
      </c>
      <c r="Q24" s="379">
        <f t="shared" si="4"/>
        <v>221941.2</v>
      </c>
      <c r="R24" s="379">
        <f t="shared" si="4"/>
        <v>31907.200000000001</v>
      </c>
      <c r="S24" s="379">
        <f t="shared" si="4"/>
        <v>621907.19999999995</v>
      </c>
      <c r="T24" s="379">
        <f t="shared" si="4"/>
        <v>221941.2</v>
      </c>
      <c r="U24" s="379">
        <f t="shared" si="4"/>
        <v>31907.200000000001</v>
      </c>
      <c r="V24" s="379">
        <f t="shared" si="4"/>
        <v>31907.200000000001</v>
      </c>
      <c r="W24" s="379">
        <f t="shared" si="4"/>
        <v>221941.2</v>
      </c>
      <c r="X24" s="379">
        <f t="shared" si="4"/>
        <v>31907.200000000001</v>
      </c>
      <c r="Y24" s="379">
        <f t="shared" si="4"/>
        <v>31907.200000000001</v>
      </c>
      <c r="Z24" s="379">
        <f t="shared" si="4"/>
        <v>230818.84800000003</v>
      </c>
      <c r="AA24" s="379">
        <f t="shared" si="4"/>
        <v>237970.60352000003</v>
      </c>
      <c r="AB24" s="379">
        <f t="shared" si="4"/>
        <v>33183.488000000005</v>
      </c>
      <c r="AC24" s="379">
        <f t="shared" si="4"/>
        <v>230818.84800000003</v>
      </c>
      <c r="AD24" s="379">
        <f t="shared" si="4"/>
        <v>33183.488000000005</v>
      </c>
      <c r="AE24" s="379">
        <f t="shared" si="4"/>
        <v>623183.48800000001</v>
      </c>
      <c r="AF24" s="379">
        <f t="shared" si="4"/>
        <v>230818.84800000003</v>
      </c>
      <c r="AG24" s="379">
        <f t="shared" si="4"/>
        <v>33183.488000000005</v>
      </c>
      <c r="AH24" s="379">
        <f t="shared" si="4"/>
        <v>33183.488000000005</v>
      </c>
      <c r="AI24" s="379">
        <f t="shared" si="4"/>
        <v>230818.84800000003</v>
      </c>
      <c r="AJ24" s="379">
        <f t="shared" si="4"/>
        <v>33183.488000000005</v>
      </c>
      <c r="AK24" s="379">
        <f t="shared" si="4"/>
        <v>33183.488000000005</v>
      </c>
      <c r="AL24" s="379">
        <f t="shared" si="4"/>
        <v>240051.60192000004</v>
      </c>
      <c r="AM24" s="379">
        <f t="shared" si="4"/>
        <v>247489.42766080005</v>
      </c>
      <c r="AN24" s="379">
        <f t="shared" si="4"/>
        <v>34510.827520000006</v>
      </c>
      <c r="AO24" s="379">
        <f t="shared" si="4"/>
        <v>240051.60192000004</v>
      </c>
      <c r="AP24" s="379">
        <f t="shared" si="4"/>
        <v>34510.827520000006</v>
      </c>
      <c r="AQ24" s="379">
        <f t="shared" si="4"/>
        <v>624510.82752000005</v>
      </c>
      <c r="AR24" s="379">
        <f t="shared" si="4"/>
        <v>240051.60192000004</v>
      </c>
      <c r="AS24" s="379">
        <f t="shared" si="4"/>
        <v>34510.827520000006</v>
      </c>
      <c r="AT24" s="379">
        <f t="shared" si="4"/>
        <v>34510.827520000006</v>
      </c>
      <c r="AU24" s="379">
        <f t="shared" si="4"/>
        <v>240051.60192000004</v>
      </c>
      <c r="AV24" s="379">
        <f t="shared" si="4"/>
        <v>34510.827520000006</v>
      </c>
      <c r="AW24" s="379">
        <f t="shared" si="4"/>
        <v>34510.827520000006</v>
      </c>
      <c r="AX24" s="379">
        <f t="shared" si="4"/>
        <v>249653.66599680006</v>
      </c>
      <c r="AY24" s="379">
        <f t="shared" si="4"/>
        <v>257389.00476723205</v>
      </c>
      <c r="AZ24" s="379">
        <f t="shared" si="4"/>
        <v>35891.260620800007</v>
      </c>
      <c r="BA24" s="379">
        <f t="shared" si="4"/>
        <v>249653.66599680006</v>
      </c>
      <c r="BB24" s="379">
        <f t="shared" si="4"/>
        <v>35891.260620800007</v>
      </c>
      <c r="BC24" s="379">
        <f t="shared" si="4"/>
        <v>625891.26062079996</v>
      </c>
      <c r="BD24" s="379">
        <f t="shared" si="4"/>
        <v>249653.66599680006</v>
      </c>
      <c r="BE24" s="379">
        <f t="shared" si="4"/>
        <v>35891.260620800007</v>
      </c>
      <c r="BF24" s="379">
        <f t="shared" si="4"/>
        <v>35891.260620800007</v>
      </c>
      <c r="BG24" s="379">
        <f t="shared" si="4"/>
        <v>249653.66599680006</v>
      </c>
      <c r="BH24" s="379">
        <f t="shared" si="4"/>
        <v>35891.260620800007</v>
      </c>
      <c r="BI24" s="379">
        <f t="shared" si="4"/>
        <v>35891.260620800007</v>
      </c>
      <c r="BJ24" s="379">
        <f t="shared" si="4"/>
        <v>259639.81263667205</v>
      </c>
      <c r="BK24" s="379">
        <f t="shared" si="4"/>
        <v>267684.56495792134</v>
      </c>
      <c r="BL24" s="379">
        <f t="shared" si="4"/>
        <v>37326.911045632005</v>
      </c>
      <c r="BM24" s="379">
        <f t="shared" si="4"/>
        <v>259639.81263667205</v>
      </c>
      <c r="BN24" s="379">
        <f t="shared" ref="BN24:CY24" si="5">SUM(BN17:BN23)</f>
        <v>37326.911045632005</v>
      </c>
      <c r="BO24" s="379">
        <f t="shared" si="5"/>
        <v>627326.91104563198</v>
      </c>
      <c r="BP24" s="379">
        <f t="shared" si="5"/>
        <v>259639.81263667205</v>
      </c>
      <c r="BQ24" s="379">
        <f t="shared" si="5"/>
        <v>37326.911045632005</v>
      </c>
      <c r="BR24" s="379">
        <f t="shared" si="5"/>
        <v>37326.911045632005</v>
      </c>
      <c r="BS24" s="379">
        <f t="shared" si="5"/>
        <v>259639.81263667205</v>
      </c>
      <c r="BT24" s="379">
        <f t="shared" si="5"/>
        <v>37326.911045632005</v>
      </c>
      <c r="BU24" s="379">
        <f t="shared" si="5"/>
        <v>37326.911045632005</v>
      </c>
      <c r="BV24" s="379">
        <f t="shared" si="5"/>
        <v>270025.40514213894</v>
      </c>
      <c r="BW24" s="379">
        <f t="shared" si="5"/>
        <v>278391.94755623816</v>
      </c>
      <c r="BX24" s="379">
        <f t="shared" si="5"/>
        <v>38819.987487457285</v>
      </c>
      <c r="BY24" s="379">
        <f t="shared" si="5"/>
        <v>270025.40514213894</v>
      </c>
      <c r="BZ24" s="379">
        <f t="shared" si="5"/>
        <v>38819.987487457285</v>
      </c>
      <c r="CA24" s="379">
        <f t="shared" si="5"/>
        <v>628819.98748745723</v>
      </c>
      <c r="CB24" s="379">
        <f t="shared" si="5"/>
        <v>270025.40514213894</v>
      </c>
      <c r="CC24" s="379">
        <f t="shared" si="5"/>
        <v>38819.987487457285</v>
      </c>
      <c r="CD24" s="379">
        <f t="shared" si="5"/>
        <v>38819.987487457285</v>
      </c>
      <c r="CE24" s="379">
        <f t="shared" si="5"/>
        <v>270025.40514213894</v>
      </c>
      <c r="CF24" s="379">
        <f t="shared" si="5"/>
        <v>38819.987487457285</v>
      </c>
      <c r="CG24" s="379">
        <f t="shared" si="5"/>
        <v>38819.987487457285</v>
      </c>
      <c r="CH24" s="379">
        <f t="shared" si="5"/>
        <v>280826.42134782451</v>
      </c>
      <c r="CI24" s="379">
        <f t="shared" si="5"/>
        <v>289527.62545848772</v>
      </c>
      <c r="CJ24" s="379">
        <f t="shared" si="5"/>
        <v>40372.78698695558</v>
      </c>
      <c r="CK24" s="379">
        <f t="shared" si="5"/>
        <v>280826.42134782451</v>
      </c>
      <c r="CL24" s="379">
        <f t="shared" si="5"/>
        <v>40372.78698695558</v>
      </c>
      <c r="CM24" s="379">
        <f t="shared" si="5"/>
        <v>630372.78698695556</v>
      </c>
      <c r="CN24" s="379">
        <f t="shared" si="5"/>
        <v>280826.42134782451</v>
      </c>
      <c r="CO24" s="379">
        <f t="shared" si="5"/>
        <v>40372.78698695558</v>
      </c>
      <c r="CP24" s="379">
        <f t="shared" si="5"/>
        <v>40372.78698695558</v>
      </c>
      <c r="CQ24" s="379">
        <f t="shared" si="5"/>
        <v>280826.42134782451</v>
      </c>
      <c r="CR24" s="379">
        <f t="shared" si="5"/>
        <v>40372.78698695558</v>
      </c>
      <c r="CS24" s="379">
        <f t="shared" si="5"/>
        <v>40372.78698695558</v>
      </c>
      <c r="CT24" s="379">
        <f t="shared" si="5"/>
        <v>292059.47820173751</v>
      </c>
      <c r="CU24" s="379">
        <f t="shared" si="5"/>
        <v>301108.73047682724</v>
      </c>
      <c r="CV24" s="379">
        <f t="shared" si="5"/>
        <v>41987.698466433802</v>
      </c>
      <c r="CW24" s="379">
        <f t="shared" si="5"/>
        <v>292059.47820173751</v>
      </c>
      <c r="CX24" s="379">
        <f t="shared" si="5"/>
        <v>41987.698466433802</v>
      </c>
      <c r="CY24" s="379">
        <f t="shared" si="5"/>
        <v>631987.69846643379</v>
      </c>
    </row>
    <row r="25" spans="1:103" ht="12" customHeight="1" thickTop="1">
      <c r="A25" s="293"/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  <c r="BR25" s="293"/>
      <c r="BS25" s="293"/>
      <c r="BT25" s="293"/>
      <c r="BU25" s="293"/>
      <c r="BV25" s="293"/>
      <c r="BW25" s="293"/>
      <c r="BX25" s="293"/>
      <c r="BY25" s="293"/>
      <c r="BZ25" s="293"/>
      <c r="CA25" s="293"/>
      <c r="CB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P25" s="293"/>
      <c r="CQ25" s="293"/>
      <c r="CR25" s="293"/>
      <c r="CS25" s="293"/>
      <c r="CT25" s="293"/>
      <c r="CU25" s="293"/>
      <c r="CV25" s="293"/>
      <c r="CW25" s="293"/>
      <c r="CX25" s="293"/>
      <c r="CY25" s="293"/>
    </row>
    <row r="26" spans="1:103" ht="12" customHeight="1">
      <c r="A26" s="444" t="s">
        <v>580</v>
      </c>
      <c r="B26" s="292">
        <f t="shared" ref="B26:BM26" si="6">B2</f>
        <v>43951</v>
      </c>
      <c r="C26" s="292">
        <f t="shared" si="6"/>
        <v>43982</v>
      </c>
      <c r="D26" s="292">
        <f t="shared" si="6"/>
        <v>44012</v>
      </c>
      <c r="E26" s="292">
        <f t="shared" si="6"/>
        <v>44043</v>
      </c>
      <c r="F26" s="292">
        <f t="shared" si="6"/>
        <v>44074</v>
      </c>
      <c r="G26" s="292">
        <f t="shared" si="6"/>
        <v>44104</v>
      </c>
      <c r="H26" s="292">
        <f t="shared" si="6"/>
        <v>44135</v>
      </c>
      <c r="I26" s="292">
        <f t="shared" si="6"/>
        <v>44165</v>
      </c>
      <c r="J26" s="292">
        <f t="shared" si="6"/>
        <v>44196</v>
      </c>
      <c r="K26" s="292">
        <f t="shared" si="6"/>
        <v>44227</v>
      </c>
      <c r="L26" s="292">
        <f t="shared" si="6"/>
        <v>44255</v>
      </c>
      <c r="M26" s="292">
        <f t="shared" si="6"/>
        <v>44286</v>
      </c>
      <c r="N26" s="292">
        <f t="shared" si="6"/>
        <v>44316</v>
      </c>
      <c r="O26" s="292">
        <f t="shared" si="6"/>
        <v>44347</v>
      </c>
      <c r="P26" s="292">
        <f t="shared" si="6"/>
        <v>44377</v>
      </c>
      <c r="Q26" s="292">
        <f t="shared" si="6"/>
        <v>44408</v>
      </c>
      <c r="R26" s="292">
        <f t="shared" si="6"/>
        <v>44439</v>
      </c>
      <c r="S26" s="292">
        <f t="shared" si="6"/>
        <v>44469</v>
      </c>
      <c r="T26" s="292">
        <f t="shared" si="6"/>
        <v>44500</v>
      </c>
      <c r="U26" s="292">
        <f t="shared" si="6"/>
        <v>44530</v>
      </c>
      <c r="V26" s="292">
        <f t="shared" si="6"/>
        <v>44561</v>
      </c>
      <c r="W26" s="292">
        <f t="shared" si="6"/>
        <v>44592</v>
      </c>
      <c r="X26" s="292">
        <f t="shared" si="6"/>
        <v>44620</v>
      </c>
      <c r="Y26" s="292">
        <f t="shared" si="6"/>
        <v>44651</v>
      </c>
      <c r="Z26" s="292">
        <f t="shared" si="6"/>
        <v>44681</v>
      </c>
      <c r="AA26" s="292">
        <f t="shared" si="6"/>
        <v>44712</v>
      </c>
      <c r="AB26" s="292">
        <f t="shared" si="6"/>
        <v>44742</v>
      </c>
      <c r="AC26" s="292">
        <f t="shared" si="6"/>
        <v>44773</v>
      </c>
      <c r="AD26" s="292">
        <f t="shared" si="6"/>
        <v>44804</v>
      </c>
      <c r="AE26" s="292">
        <f t="shared" si="6"/>
        <v>44834</v>
      </c>
      <c r="AF26" s="292">
        <f t="shared" si="6"/>
        <v>44865</v>
      </c>
      <c r="AG26" s="292">
        <f t="shared" si="6"/>
        <v>44895</v>
      </c>
      <c r="AH26" s="292">
        <f t="shared" si="6"/>
        <v>44926</v>
      </c>
      <c r="AI26" s="292">
        <f t="shared" si="6"/>
        <v>44957</v>
      </c>
      <c r="AJ26" s="292">
        <f t="shared" si="6"/>
        <v>44985</v>
      </c>
      <c r="AK26" s="292">
        <f t="shared" si="6"/>
        <v>45016</v>
      </c>
      <c r="AL26" s="292">
        <f t="shared" si="6"/>
        <v>45046</v>
      </c>
      <c r="AM26" s="292">
        <f t="shared" si="6"/>
        <v>45077</v>
      </c>
      <c r="AN26" s="292">
        <f t="shared" si="6"/>
        <v>45107</v>
      </c>
      <c r="AO26" s="292">
        <f t="shared" si="6"/>
        <v>45138</v>
      </c>
      <c r="AP26" s="292">
        <f t="shared" si="6"/>
        <v>45169</v>
      </c>
      <c r="AQ26" s="292">
        <f t="shared" si="6"/>
        <v>45199</v>
      </c>
      <c r="AR26" s="292">
        <f t="shared" si="6"/>
        <v>45230</v>
      </c>
      <c r="AS26" s="292">
        <f t="shared" si="6"/>
        <v>45260</v>
      </c>
      <c r="AT26" s="292">
        <f t="shared" si="6"/>
        <v>45291</v>
      </c>
      <c r="AU26" s="292">
        <f t="shared" si="6"/>
        <v>45322</v>
      </c>
      <c r="AV26" s="292">
        <f t="shared" si="6"/>
        <v>45351</v>
      </c>
      <c r="AW26" s="292">
        <f t="shared" si="6"/>
        <v>45382</v>
      </c>
      <c r="AX26" s="292">
        <f t="shared" si="6"/>
        <v>45412</v>
      </c>
      <c r="AY26" s="292">
        <f t="shared" si="6"/>
        <v>45443</v>
      </c>
      <c r="AZ26" s="292">
        <f t="shared" si="6"/>
        <v>45473</v>
      </c>
      <c r="BA26" s="292">
        <f t="shared" si="6"/>
        <v>45504</v>
      </c>
      <c r="BB26" s="292">
        <f t="shared" si="6"/>
        <v>45535</v>
      </c>
      <c r="BC26" s="292">
        <f t="shared" si="6"/>
        <v>45565</v>
      </c>
      <c r="BD26" s="292">
        <f t="shared" si="6"/>
        <v>45596</v>
      </c>
      <c r="BE26" s="292">
        <f t="shared" si="6"/>
        <v>45626</v>
      </c>
      <c r="BF26" s="292">
        <f t="shared" si="6"/>
        <v>45657</v>
      </c>
      <c r="BG26" s="292">
        <f t="shared" si="6"/>
        <v>45688</v>
      </c>
      <c r="BH26" s="292">
        <f t="shared" si="6"/>
        <v>45716</v>
      </c>
      <c r="BI26" s="292">
        <f t="shared" si="6"/>
        <v>45747</v>
      </c>
      <c r="BJ26" s="292">
        <f t="shared" si="6"/>
        <v>45777</v>
      </c>
      <c r="BK26" s="292">
        <f t="shared" si="6"/>
        <v>45808</v>
      </c>
      <c r="BL26" s="292">
        <f t="shared" si="6"/>
        <v>45838</v>
      </c>
      <c r="BM26" s="292">
        <f t="shared" si="6"/>
        <v>45869</v>
      </c>
      <c r="BN26" s="292">
        <f t="shared" ref="BN26:CY26" si="7">BN2</f>
        <v>45900</v>
      </c>
      <c r="BO26" s="292">
        <f t="shared" si="7"/>
        <v>45930</v>
      </c>
      <c r="BP26" s="292">
        <f t="shared" si="7"/>
        <v>45961</v>
      </c>
      <c r="BQ26" s="292">
        <f t="shared" si="7"/>
        <v>45991</v>
      </c>
      <c r="BR26" s="292">
        <f t="shared" si="7"/>
        <v>46022</v>
      </c>
      <c r="BS26" s="292">
        <f t="shared" si="7"/>
        <v>46053</v>
      </c>
      <c r="BT26" s="292">
        <f t="shared" si="7"/>
        <v>46081</v>
      </c>
      <c r="BU26" s="292">
        <f t="shared" si="7"/>
        <v>46112</v>
      </c>
      <c r="BV26" s="292">
        <f t="shared" si="7"/>
        <v>46142</v>
      </c>
      <c r="BW26" s="292">
        <f t="shared" si="7"/>
        <v>46173</v>
      </c>
      <c r="BX26" s="292">
        <f t="shared" si="7"/>
        <v>46203</v>
      </c>
      <c r="BY26" s="292">
        <f t="shared" si="7"/>
        <v>46234</v>
      </c>
      <c r="BZ26" s="292">
        <f t="shared" si="7"/>
        <v>46265</v>
      </c>
      <c r="CA26" s="292">
        <f t="shared" si="7"/>
        <v>46295</v>
      </c>
      <c r="CB26" s="292">
        <f t="shared" si="7"/>
        <v>46326</v>
      </c>
      <c r="CC26" s="292">
        <f t="shared" si="7"/>
        <v>46356</v>
      </c>
      <c r="CD26" s="292">
        <f t="shared" si="7"/>
        <v>46387</v>
      </c>
      <c r="CE26" s="292">
        <f t="shared" si="7"/>
        <v>46418</v>
      </c>
      <c r="CF26" s="292">
        <f t="shared" si="7"/>
        <v>46446</v>
      </c>
      <c r="CG26" s="292">
        <f t="shared" si="7"/>
        <v>46477</v>
      </c>
      <c r="CH26" s="292">
        <f t="shared" si="7"/>
        <v>46507</v>
      </c>
      <c r="CI26" s="292">
        <f t="shared" si="7"/>
        <v>46538</v>
      </c>
      <c r="CJ26" s="292">
        <f t="shared" si="7"/>
        <v>46568</v>
      </c>
      <c r="CK26" s="292">
        <f t="shared" si="7"/>
        <v>46599</v>
      </c>
      <c r="CL26" s="292">
        <f t="shared" si="7"/>
        <v>46630</v>
      </c>
      <c r="CM26" s="292">
        <f t="shared" si="7"/>
        <v>46660</v>
      </c>
      <c r="CN26" s="292">
        <f t="shared" si="7"/>
        <v>46691</v>
      </c>
      <c r="CO26" s="292">
        <f t="shared" si="7"/>
        <v>46721</v>
      </c>
      <c r="CP26" s="292">
        <f t="shared" si="7"/>
        <v>46752</v>
      </c>
      <c r="CQ26" s="292">
        <f t="shared" si="7"/>
        <v>46783</v>
      </c>
      <c r="CR26" s="292">
        <f t="shared" si="7"/>
        <v>46812</v>
      </c>
      <c r="CS26" s="292">
        <f t="shared" si="7"/>
        <v>46843</v>
      </c>
      <c r="CT26" s="292">
        <f t="shared" si="7"/>
        <v>46873</v>
      </c>
      <c r="CU26" s="292">
        <f t="shared" si="7"/>
        <v>46904</v>
      </c>
      <c r="CV26" s="292">
        <f t="shared" si="7"/>
        <v>46934</v>
      </c>
      <c r="CW26" s="292">
        <f t="shared" si="7"/>
        <v>46965</v>
      </c>
      <c r="CX26" s="292">
        <f t="shared" si="7"/>
        <v>46996</v>
      </c>
      <c r="CY26" s="292">
        <f t="shared" si="7"/>
        <v>47026</v>
      </c>
    </row>
    <row r="27" spans="1:103" ht="12" customHeight="1">
      <c r="A27" s="293" t="s">
        <v>599</v>
      </c>
      <c r="B27" s="375">
        <v>85904</v>
      </c>
      <c r="C27" s="375">
        <v>85904</v>
      </c>
      <c r="D27" s="375">
        <v>85904</v>
      </c>
      <c r="E27" s="375">
        <v>85904</v>
      </c>
      <c r="F27" s="375">
        <v>85904</v>
      </c>
      <c r="G27" s="375">
        <v>85904</v>
      </c>
      <c r="H27" s="375">
        <v>85904</v>
      </c>
      <c r="I27" s="375">
        <v>85904</v>
      </c>
      <c r="J27" s="375">
        <v>85904</v>
      </c>
      <c r="K27" s="375">
        <v>85904</v>
      </c>
      <c r="L27" s="375">
        <v>85904</v>
      </c>
      <c r="M27" s="375">
        <v>85904</v>
      </c>
      <c r="N27" s="375">
        <v>89340.160000000003</v>
      </c>
      <c r="O27" s="375">
        <v>89340.160000000003</v>
      </c>
      <c r="P27" s="375">
        <v>89340.160000000003</v>
      </c>
      <c r="Q27" s="375">
        <v>89340.160000000003</v>
      </c>
      <c r="R27" s="375">
        <v>89340.160000000003</v>
      </c>
      <c r="S27" s="375">
        <v>89340.160000000003</v>
      </c>
      <c r="T27" s="375">
        <v>89340.160000000003</v>
      </c>
      <c r="U27" s="375">
        <v>89340.160000000003</v>
      </c>
      <c r="V27" s="375">
        <v>89340.160000000003</v>
      </c>
      <c r="W27" s="375">
        <v>89340.160000000003</v>
      </c>
      <c r="X27" s="375">
        <v>89340.160000000003</v>
      </c>
      <c r="Y27" s="375">
        <v>89340.160000000003</v>
      </c>
      <c r="Z27" s="375">
        <v>92913.766400000008</v>
      </c>
      <c r="AA27" s="375">
        <v>92913.766400000008</v>
      </c>
      <c r="AB27" s="375">
        <v>92913.766400000008</v>
      </c>
      <c r="AC27" s="375">
        <v>92913.766400000008</v>
      </c>
      <c r="AD27" s="375">
        <v>92913.766400000008</v>
      </c>
      <c r="AE27" s="375">
        <v>92913.766400000008</v>
      </c>
      <c r="AF27" s="375">
        <v>92913.766400000008</v>
      </c>
      <c r="AG27" s="375">
        <v>92913.766400000008</v>
      </c>
      <c r="AH27" s="375">
        <v>92913.766400000008</v>
      </c>
      <c r="AI27" s="375">
        <v>92913.766400000008</v>
      </c>
      <c r="AJ27" s="375">
        <v>92913.766400000008</v>
      </c>
      <c r="AK27" s="375">
        <v>92913.766400000008</v>
      </c>
      <c r="AL27" s="375">
        <v>96630.317056000014</v>
      </c>
      <c r="AM27" s="375">
        <v>96630.317056000014</v>
      </c>
      <c r="AN27" s="375">
        <v>96630.317056000014</v>
      </c>
      <c r="AO27" s="375">
        <v>96630.317056000014</v>
      </c>
      <c r="AP27" s="375">
        <v>96630.317056000014</v>
      </c>
      <c r="AQ27" s="375">
        <v>96630.317056000014</v>
      </c>
      <c r="AR27" s="375">
        <v>96630.317056000014</v>
      </c>
      <c r="AS27" s="375">
        <v>96630.317056000014</v>
      </c>
      <c r="AT27" s="375">
        <v>96630.317056000014</v>
      </c>
      <c r="AU27" s="375">
        <v>96630.317056000014</v>
      </c>
      <c r="AV27" s="375">
        <v>96630.317056000014</v>
      </c>
      <c r="AW27" s="375">
        <v>96630.317056000014</v>
      </c>
      <c r="AX27" s="375">
        <v>100495.52973824002</v>
      </c>
      <c r="AY27" s="375">
        <v>100495.52973824002</v>
      </c>
      <c r="AZ27" s="375">
        <v>100495.52973824002</v>
      </c>
      <c r="BA27" s="375">
        <v>100495.52973824002</v>
      </c>
      <c r="BB27" s="375">
        <v>100495.52973824002</v>
      </c>
      <c r="BC27" s="375">
        <v>100495.52973824002</v>
      </c>
      <c r="BD27" s="375">
        <v>100495.52973824002</v>
      </c>
      <c r="BE27" s="375">
        <v>100495.52973824002</v>
      </c>
      <c r="BF27" s="375">
        <v>100495.52973824002</v>
      </c>
      <c r="BG27" s="375">
        <v>100495.52973824002</v>
      </c>
      <c r="BH27" s="375">
        <v>100495.52973824002</v>
      </c>
      <c r="BI27" s="375">
        <v>100495.52973824002</v>
      </c>
      <c r="BJ27" s="375">
        <v>104515.35092776961</v>
      </c>
      <c r="BK27" s="375">
        <v>104515.35092776961</v>
      </c>
      <c r="BL27" s="375">
        <v>104515.35092776961</v>
      </c>
      <c r="BM27" s="375">
        <v>104515.35092776961</v>
      </c>
      <c r="BN27" s="375">
        <v>104515.35092776961</v>
      </c>
      <c r="BO27" s="375">
        <v>104515.35092776961</v>
      </c>
      <c r="BP27" s="375">
        <v>104515.35092776961</v>
      </c>
      <c r="BQ27" s="375">
        <v>104515.35092776961</v>
      </c>
      <c r="BR27" s="375">
        <v>104515.35092776961</v>
      </c>
      <c r="BS27" s="375">
        <v>104515.35092776961</v>
      </c>
      <c r="BT27" s="375">
        <v>104515.35092776961</v>
      </c>
      <c r="BU27" s="375">
        <v>104515.35092776961</v>
      </c>
      <c r="BV27" s="375">
        <v>108695.9649648804</v>
      </c>
      <c r="BW27" s="375">
        <v>108695.9649648804</v>
      </c>
      <c r="BX27" s="375">
        <v>108695.9649648804</v>
      </c>
      <c r="BY27" s="375">
        <v>108695.9649648804</v>
      </c>
      <c r="BZ27" s="375">
        <v>108695.9649648804</v>
      </c>
      <c r="CA27" s="375">
        <v>108695.9649648804</v>
      </c>
      <c r="CB27" s="375">
        <v>108695.9649648804</v>
      </c>
      <c r="CC27" s="375">
        <v>108695.9649648804</v>
      </c>
      <c r="CD27" s="375">
        <v>108695.9649648804</v>
      </c>
      <c r="CE27" s="375">
        <v>108695.9649648804</v>
      </c>
      <c r="CF27" s="375">
        <v>108695.9649648804</v>
      </c>
      <c r="CG27" s="375">
        <v>108695.9649648804</v>
      </c>
      <c r="CH27" s="375">
        <v>113043.80356347562</v>
      </c>
      <c r="CI27" s="375">
        <v>113043.80356347562</v>
      </c>
      <c r="CJ27" s="375">
        <v>113043.80356347562</v>
      </c>
      <c r="CK27" s="375">
        <v>113043.80356347562</v>
      </c>
      <c r="CL27" s="375">
        <v>113043.80356347562</v>
      </c>
      <c r="CM27" s="375">
        <v>113043.80356347562</v>
      </c>
      <c r="CN27" s="375">
        <v>113043.80356347562</v>
      </c>
      <c r="CO27" s="375">
        <v>113043.80356347562</v>
      </c>
      <c r="CP27" s="375">
        <v>113043.80356347562</v>
      </c>
      <c r="CQ27" s="375">
        <v>113043.80356347562</v>
      </c>
      <c r="CR27" s="375">
        <v>113043.80356347562</v>
      </c>
      <c r="CS27" s="375">
        <v>113043.80356347562</v>
      </c>
      <c r="CT27" s="375">
        <v>117565.55570601465</v>
      </c>
      <c r="CU27" s="375">
        <v>117565.55570601465</v>
      </c>
      <c r="CV27" s="375">
        <v>117565.55570601465</v>
      </c>
      <c r="CW27" s="375">
        <v>117565.55570601465</v>
      </c>
      <c r="CX27" s="375">
        <v>117565.55570601465</v>
      </c>
      <c r="CY27" s="375">
        <v>117565.55570601465</v>
      </c>
    </row>
    <row r="28" spans="1:103" ht="12" customHeight="1">
      <c r="A28" s="293" t="s">
        <v>600</v>
      </c>
      <c r="B28" s="375">
        <v>0</v>
      </c>
      <c r="C28" s="375">
        <v>0</v>
      </c>
      <c r="D28" s="375">
        <v>0</v>
      </c>
      <c r="E28" s="375">
        <v>0</v>
      </c>
      <c r="F28" s="375">
        <v>0</v>
      </c>
      <c r="G28" s="375">
        <v>0</v>
      </c>
      <c r="H28" s="375">
        <v>0</v>
      </c>
      <c r="I28" s="375">
        <v>0</v>
      </c>
      <c r="J28" s="375">
        <v>0</v>
      </c>
      <c r="K28" s="375">
        <v>0</v>
      </c>
      <c r="L28" s="375">
        <v>0</v>
      </c>
      <c r="M28" s="375">
        <v>0</v>
      </c>
      <c r="N28" s="375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5">
        <v>0</v>
      </c>
      <c r="V28" s="375">
        <v>0</v>
      </c>
      <c r="W28" s="375">
        <v>0</v>
      </c>
      <c r="X28" s="375">
        <v>0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5">
        <v>0</v>
      </c>
      <c r="AE28" s="375">
        <v>0</v>
      </c>
      <c r="AF28" s="375">
        <v>0</v>
      </c>
      <c r="AG28" s="375">
        <v>0</v>
      </c>
      <c r="AH28" s="375">
        <v>0</v>
      </c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75">
        <v>0</v>
      </c>
      <c r="AO28" s="375">
        <v>0</v>
      </c>
      <c r="AP28" s="375">
        <v>0</v>
      </c>
      <c r="AQ28" s="375">
        <v>0</v>
      </c>
      <c r="AR28" s="375">
        <v>0</v>
      </c>
      <c r="AS28" s="375">
        <v>0</v>
      </c>
      <c r="AT28" s="375">
        <v>0</v>
      </c>
      <c r="AU28" s="375">
        <v>0</v>
      </c>
      <c r="AV28" s="375">
        <v>0</v>
      </c>
      <c r="AW28" s="375">
        <v>0</v>
      </c>
      <c r="AX28" s="375">
        <v>0</v>
      </c>
      <c r="AY28" s="375">
        <v>0</v>
      </c>
      <c r="AZ28" s="375">
        <v>0</v>
      </c>
      <c r="BA28" s="375">
        <v>0</v>
      </c>
      <c r="BB28" s="375">
        <v>0</v>
      </c>
      <c r="BC28" s="375">
        <v>0</v>
      </c>
      <c r="BD28" s="375">
        <v>0</v>
      </c>
      <c r="BE28" s="375">
        <v>0</v>
      </c>
      <c r="BF28" s="375">
        <v>0</v>
      </c>
      <c r="BG28" s="375">
        <v>0</v>
      </c>
      <c r="BH28" s="375">
        <v>0</v>
      </c>
      <c r="BI28" s="375">
        <v>0</v>
      </c>
      <c r="BJ28" s="375">
        <v>0</v>
      </c>
      <c r="BK28" s="375">
        <v>0</v>
      </c>
      <c r="BL28" s="375">
        <v>0</v>
      </c>
      <c r="BM28" s="375">
        <v>0</v>
      </c>
      <c r="BN28" s="375">
        <v>0</v>
      </c>
      <c r="BO28" s="375">
        <v>0</v>
      </c>
      <c r="BP28" s="375">
        <v>0</v>
      </c>
      <c r="BQ28" s="375">
        <v>0</v>
      </c>
      <c r="BR28" s="375">
        <v>0</v>
      </c>
      <c r="BS28" s="375">
        <v>0</v>
      </c>
      <c r="BT28" s="375">
        <v>0</v>
      </c>
      <c r="BU28" s="375">
        <v>0</v>
      </c>
      <c r="BV28" s="375">
        <v>0</v>
      </c>
      <c r="BW28" s="375">
        <v>0</v>
      </c>
      <c r="BX28" s="375">
        <v>0</v>
      </c>
      <c r="BY28" s="375">
        <v>0</v>
      </c>
      <c r="BZ28" s="375">
        <v>0</v>
      </c>
      <c r="CA28" s="375">
        <v>0</v>
      </c>
      <c r="CB28" s="375">
        <v>0</v>
      </c>
      <c r="CC28" s="375">
        <v>0</v>
      </c>
      <c r="CD28" s="375">
        <v>0</v>
      </c>
      <c r="CE28" s="375">
        <v>0</v>
      </c>
      <c r="CF28" s="375">
        <v>0</v>
      </c>
      <c r="CG28" s="375">
        <v>0</v>
      </c>
      <c r="CH28" s="375">
        <v>0</v>
      </c>
      <c r="CI28" s="375">
        <v>0</v>
      </c>
      <c r="CJ28" s="375">
        <v>0</v>
      </c>
      <c r="CK28" s="375">
        <v>0</v>
      </c>
      <c r="CL28" s="375">
        <v>0</v>
      </c>
      <c r="CM28" s="375">
        <v>0</v>
      </c>
      <c r="CN28" s="375">
        <v>0</v>
      </c>
      <c r="CO28" s="375">
        <v>0</v>
      </c>
      <c r="CP28" s="375">
        <v>0</v>
      </c>
      <c r="CQ28" s="375">
        <v>0</v>
      </c>
      <c r="CR28" s="375">
        <v>0</v>
      </c>
      <c r="CS28" s="375">
        <v>0</v>
      </c>
      <c r="CT28" s="375">
        <v>0</v>
      </c>
      <c r="CU28" s="375">
        <v>0</v>
      </c>
      <c r="CV28" s="375">
        <v>0</v>
      </c>
      <c r="CW28" s="375">
        <v>0</v>
      </c>
      <c r="CX28" s="375">
        <v>0</v>
      </c>
      <c r="CY28" s="375">
        <v>0</v>
      </c>
    </row>
    <row r="29" spans="1:103" ht="12" customHeight="1">
      <c r="A29" s="293" t="s">
        <v>601</v>
      </c>
      <c r="B29" s="375">
        <v>0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5">
        <v>0</v>
      </c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5">
        <v>0</v>
      </c>
      <c r="AH29" s="375">
        <v>0</v>
      </c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75">
        <v>0</v>
      </c>
      <c r="AO29" s="375">
        <v>0</v>
      </c>
      <c r="AP29" s="375">
        <v>0</v>
      </c>
      <c r="AQ29" s="375">
        <v>0</v>
      </c>
      <c r="AR29" s="375">
        <v>0</v>
      </c>
      <c r="AS29" s="375">
        <v>0</v>
      </c>
      <c r="AT29" s="375">
        <v>0</v>
      </c>
      <c r="AU29" s="375">
        <v>0</v>
      </c>
      <c r="AV29" s="375">
        <v>0</v>
      </c>
      <c r="AW29" s="375">
        <v>0</v>
      </c>
      <c r="AX29" s="375">
        <v>0</v>
      </c>
      <c r="AY29" s="375">
        <v>0</v>
      </c>
      <c r="AZ29" s="375">
        <v>0</v>
      </c>
      <c r="BA29" s="375">
        <v>0</v>
      </c>
      <c r="BB29" s="375">
        <v>0</v>
      </c>
      <c r="BC29" s="375">
        <v>0</v>
      </c>
      <c r="BD29" s="375">
        <v>0</v>
      </c>
      <c r="BE29" s="375">
        <v>0</v>
      </c>
      <c r="BF29" s="375">
        <v>0</v>
      </c>
      <c r="BG29" s="375">
        <v>0</v>
      </c>
      <c r="BH29" s="375">
        <v>0</v>
      </c>
      <c r="BI29" s="375">
        <v>0</v>
      </c>
      <c r="BJ29" s="375">
        <v>0</v>
      </c>
      <c r="BK29" s="375">
        <v>0</v>
      </c>
      <c r="BL29" s="375">
        <v>0</v>
      </c>
      <c r="BM29" s="375">
        <v>0</v>
      </c>
      <c r="BN29" s="375">
        <v>0</v>
      </c>
      <c r="BO29" s="375">
        <v>0</v>
      </c>
      <c r="BP29" s="375">
        <v>0</v>
      </c>
      <c r="BQ29" s="375">
        <v>0</v>
      </c>
      <c r="BR29" s="375">
        <v>0</v>
      </c>
      <c r="BS29" s="375">
        <v>0</v>
      </c>
      <c r="BT29" s="375">
        <v>0</v>
      </c>
      <c r="BU29" s="375">
        <v>0</v>
      </c>
      <c r="BV29" s="375">
        <v>0</v>
      </c>
      <c r="BW29" s="375">
        <v>0</v>
      </c>
      <c r="BX29" s="375">
        <v>0</v>
      </c>
      <c r="BY29" s="375">
        <v>0</v>
      </c>
      <c r="BZ29" s="375">
        <v>0</v>
      </c>
      <c r="CA29" s="375">
        <v>0</v>
      </c>
      <c r="CB29" s="375">
        <v>0</v>
      </c>
      <c r="CC29" s="375">
        <v>0</v>
      </c>
      <c r="CD29" s="375">
        <v>0</v>
      </c>
      <c r="CE29" s="375">
        <v>0</v>
      </c>
      <c r="CF29" s="375">
        <v>0</v>
      </c>
      <c r="CG29" s="375">
        <v>0</v>
      </c>
      <c r="CH29" s="375">
        <v>0</v>
      </c>
      <c r="CI29" s="375">
        <v>0</v>
      </c>
      <c r="CJ29" s="375">
        <v>0</v>
      </c>
      <c r="CK29" s="375">
        <v>0</v>
      </c>
      <c r="CL29" s="375">
        <v>0</v>
      </c>
      <c r="CM29" s="375">
        <v>0</v>
      </c>
      <c r="CN29" s="375">
        <v>0</v>
      </c>
      <c r="CO29" s="375">
        <v>0</v>
      </c>
      <c r="CP29" s="375">
        <v>0</v>
      </c>
      <c r="CQ29" s="375">
        <v>0</v>
      </c>
      <c r="CR29" s="375">
        <v>0</v>
      </c>
      <c r="CS29" s="375">
        <v>0</v>
      </c>
      <c r="CT29" s="375">
        <v>0</v>
      </c>
      <c r="CU29" s="375">
        <v>0</v>
      </c>
      <c r="CV29" s="375">
        <v>0</v>
      </c>
      <c r="CW29" s="375">
        <v>0</v>
      </c>
      <c r="CX29" s="375">
        <v>0</v>
      </c>
      <c r="CY29" s="375">
        <v>0</v>
      </c>
    </row>
    <row r="30" spans="1:103" ht="12" customHeight="1">
      <c r="A30" s="293" t="s">
        <v>602</v>
      </c>
      <c r="B30" s="375">
        <v>5000000</v>
      </c>
      <c r="C30" s="375">
        <v>0</v>
      </c>
      <c r="D30" s="375">
        <v>0</v>
      </c>
      <c r="E30" s="375">
        <v>0</v>
      </c>
      <c r="F30" s="375">
        <v>0</v>
      </c>
      <c r="G30" s="375">
        <v>0</v>
      </c>
      <c r="H30" s="375">
        <v>0</v>
      </c>
      <c r="I30" s="375">
        <v>0</v>
      </c>
      <c r="J30" s="375">
        <v>0</v>
      </c>
      <c r="K30" s="375">
        <v>0</v>
      </c>
      <c r="L30" s="375">
        <v>0</v>
      </c>
      <c r="M30" s="375">
        <v>10000000</v>
      </c>
      <c r="N30" s="375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5">
        <v>0</v>
      </c>
      <c r="V30" s="375">
        <v>0</v>
      </c>
      <c r="W30" s="375">
        <v>0</v>
      </c>
      <c r="X30" s="375">
        <v>0</v>
      </c>
      <c r="Y30" s="375">
        <v>0</v>
      </c>
      <c r="Z30" s="375">
        <v>0</v>
      </c>
      <c r="AA30" s="375">
        <v>0</v>
      </c>
      <c r="AB30" s="375">
        <v>0</v>
      </c>
      <c r="AC30" s="375">
        <v>0</v>
      </c>
      <c r="AD30" s="375">
        <v>0</v>
      </c>
      <c r="AE30" s="375">
        <v>0</v>
      </c>
      <c r="AF30" s="375">
        <v>0</v>
      </c>
      <c r="AG30" s="375">
        <v>0</v>
      </c>
      <c r="AH30" s="375">
        <v>0</v>
      </c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75">
        <v>0</v>
      </c>
      <c r="AO30" s="375">
        <v>0</v>
      </c>
      <c r="AP30" s="375">
        <v>0</v>
      </c>
      <c r="AQ30" s="375">
        <v>0</v>
      </c>
      <c r="AR30" s="375">
        <v>0</v>
      </c>
      <c r="AS30" s="375">
        <v>0</v>
      </c>
      <c r="AT30" s="375">
        <v>0</v>
      </c>
      <c r="AU30" s="375">
        <v>0</v>
      </c>
      <c r="AV30" s="375">
        <v>0</v>
      </c>
      <c r="AW30" s="375">
        <v>0</v>
      </c>
      <c r="AX30" s="375">
        <v>0</v>
      </c>
      <c r="AY30" s="375">
        <v>0</v>
      </c>
      <c r="AZ30" s="375">
        <v>0</v>
      </c>
      <c r="BA30" s="375">
        <v>0</v>
      </c>
      <c r="BB30" s="375">
        <v>0</v>
      </c>
      <c r="BC30" s="375">
        <v>0</v>
      </c>
      <c r="BD30" s="375">
        <v>0</v>
      </c>
      <c r="BE30" s="375">
        <v>0</v>
      </c>
      <c r="BF30" s="375">
        <v>0</v>
      </c>
      <c r="BG30" s="375">
        <v>0</v>
      </c>
      <c r="BH30" s="375">
        <v>0</v>
      </c>
      <c r="BI30" s="375">
        <v>0</v>
      </c>
      <c r="BJ30" s="375">
        <v>0</v>
      </c>
      <c r="BK30" s="375">
        <v>0</v>
      </c>
      <c r="BL30" s="375">
        <v>0</v>
      </c>
      <c r="BM30" s="375">
        <v>0</v>
      </c>
      <c r="BN30" s="375">
        <v>0</v>
      </c>
      <c r="BO30" s="375">
        <v>0</v>
      </c>
      <c r="BP30" s="375">
        <v>0</v>
      </c>
      <c r="BQ30" s="375">
        <v>0</v>
      </c>
      <c r="BR30" s="375">
        <v>0</v>
      </c>
      <c r="BS30" s="375">
        <v>0</v>
      </c>
      <c r="BT30" s="375">
        <v>0</v>
      </c>
      <c r="BU30" s="375">
        <v>0</v>
      </c>
      <c r="BV30" s="375">
        <v>0</v>
      </c>
      <c r="BW30" s="375">
        <v>0</v>
      </c>
      <c r="BX30" s="375">
        <v>0</v>
      </c>
      <c r="BY30" s="375">
        <v>0</v>
      </c>
      <c r="BZ30" s="375">
        <v>0</v>
      </c>
      <c r="CA30" s="375">
        <v>0</v>
      </c>
      <c r="CB30" s="375">
        <v>0</v>
      </c>
      <c r="CC30" s="375">
        <v>0</v>
      </c>
      <c r="CD30" s="375">
        <v>0</v>
      </c>
      <c r="CE30" s="375">
        <v>0</v>
      </c>
      <c r="CF30" s="375">
        <v>0</v>
      </c>
      <c r="CG30" s="375">
        <v>0</v>
      </c>
      <c r="CH30" s="375">
        <v>0</v>
      </c>
      <c r="CI30" s="375">
        <v>0</v>
      </c>
      <c r="CJ30" s="375">
        <v>0</v>
      </c>
      <c r="CK30" s="375">
        <v>0</v>
      </c>
      <c r="CL30" s="375">
        <v>0</v>
      </c>
      <c r="CM30" s="375">
        <v>0</v>
      </c>
      <c r="CN30" s="375">
        <v>0</v>
      </c>
      <c r="CO30" s="375">
        <v>0</v>
      </c>
      <c r="CP30" s="375">
        <v>0</v>
      </c>
      <c r="CQ30" s="375">
        <v>0</v>
      </c>
      <c r="CR30" s="375">
        <v>0</v>
      </c>
      <c r="CS30" s="375">
        <v>0</v>
      </c>
      <c r="CT30" s="375">
        <v>0</v>
      </c>
      <c r="CU30" s="375">
        <v>0</v>
      </c>
      <c r="CV30" s="375">
        <v>0</v>
      </c>
      <c r="CW30" s="375">
        <v>0</v>
      </c>
      <c r="CX30" s="375">
        <v>0</v>
      </c>
      <c r="CY30" s="375">
        <v>0</v>
      </c>
    </row>
    <row r="31" spans="1:103" ht="12" customHeight="1">
      <c r="A31" s="293" t="s">
        <v>603</v>
      </c>
      <c r="B31" s="375">
        <v>7030178.7684094394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5">
        <v>0</v>
      </c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5">
        <v>0</v>
      </c>
      <c r="V31" s="375">
        <v>0</v>
      </c>
      <c r="W31" s="375">
        <v>0</v>
      </c>
      <c r="X31" s="375">
        <v>0</v>
      </c>
      <c r="Y31" s="375">
        <v>0</v>
      </c>
      <c r="Z31" s="375">
        <v>0</v>
      </c>
      <c r="AA31" s="375">
        <v>0</v>
      </c>
      <c r="AB31" s="375">
        <v>0</v>
      </c>
      <c r="AC31" s="375">
        <v>0</v>
      </c>
      <c r="AD31" s="375">
        <v>0</v>
      </c>
      <c r="AE31" s="375">
        <v>0</v>
      </c>
      <c r="AF31" s="375">
        <v>0</v>
      </c>
      <c r="AG31" s="375">
        <v>0</v>
      </c>
      <c r="AH31" s="375">
        <v>0</v>
      </c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N31" s="375">
        <v>0</v>
      </c>
      <c r="AO31" s="375">
        <v>0</v>
      </c>
      <c r="AP31" s="375">
        <v>0</v>
      </c>
      <c r="AQ31" s="375">
        <v>0</v>
      </c>
      <c r="AR31" s="375">
        <v>0</v>
      </c>
      <c r="AS31" s="375">
        <v>0</v>
      </c>
      <c r="AT31" s="375">
        <v>0</v>
      </c>
      <c r="AU31" s="375">
        <v>0</v>
      </c>
      <c r="AV31" s="375">
        <v>0</v>
      </c>
      <c r="AW31" s="375">
        <v>0</v>
      </c>
      <c r="AX31" s="375">
        <v>0</v>
      </c>
      <c r="AY31" s="375">
        <v>0</v>
      </c>
      <c r="AZ31" s="375">
        <v>0</v>
      </c>
      <c r="BA31" s="375">
        <v>0</v>
      </c>
      <c r="BB31" s="375">
        <v>0</v>
      </c>
      <c r="BC31" s="375">
        <v>0</v>
      </c>
      <c r="BD31" s="375">
        <v>0</v>
      </c>
      <c r="BE31" s="375">
        <v>0</v>
      </c>
      <c r="BF31" s="375">
        <v>0</v>
      </c>
      <c r="BG31" s="375">
        <v>0</v>
      </c>
      <c r="BH31" s="375">
        <v>0</v>
      </c>
      <c r="BI31" s="375">
        <v>0</v>
      </c>
      <c r="BJ31" s="375">
        <v>0</v>
      </c>
      <c r="BK31" s="375">
        <v>0</v>
      </c>
      <c r="BL31" s="375">
        <v>0</v>
      </c>
      <c r="BM31" s="375">
        <v>0</v>
      </c>
      <c r="BN31" s="375">
        <v>0</v>
      </c>
      <c r="BO31" s="375">
        <v>0</v>
      </c>
      <c r="BP31" s="375">
        <v>0</v>
      </c>
      <c r="BQ31" s="375">
        <v>0</v>
      </c>
      <c r="BR31" s="375">
        <v>0</v>
      </c>
      <c r="BS31" s="375">
        <v>0</v>
      </c>
      <c r="BT31" s="375">
        <v>0</v>
      </c>
      <c r="BU31" s="375">
        <v>0</v>
      </c>
      <c r="BV31" s="375">
        <v>0</v>
      </c>
      <c r="BW31" s="375">
        <v>0</v>
      </c>
      <c r="BX31" s="375">
        <v>0</v>
      </c>
      <c r="BY31" s="375">
        <v>0</v>
      </c>
      <c r="BZ31" s="375">
        <v>0</v>
      </c>
      <c r="CA31" s="375">
        <v>0</v>
      </c>
      <c r="CB31" s="375">
        <v>0</v>
      </c>
      <c r="CC31" s="375">
        <v>0</v>
      </c>
      <c r="CD31" s="375">
        <v>0</v>
      </c>
      <c r="CE31" s="375">
        <v>0</v>
      </c>
      <c r="CF31" s="375">
        <v>0</v>
      </c>
      <c r="CG31" s="375">
        <v>0</v>
      </c>
      <c r="CH31" s="375">
        <v>0</v>
      </c>
      <c r="CI31" s="375">
        <v>0</v>
      </c>
      <c r="CJ31" s="375">
        <v>0</v>
      </c>
      <c r="CK31" s="375">
        <v>0</v>
      </c>
      <c r="CL31" s="375">
        <v>0</v>
      </c>
      <c r="CM31" s="375">
        <v>0</v>
      </c>
      <c r="CN31" s="375">
        <v>0</v>
      </c>
      <c r="CO31" s="375">
        <v>0</v>
      </c>
      <c r="CP31" s="375">
        <v>0</v>
      </c>
      <c r="CQ31" s="375">
        <v>0</v>
      </c>
      <c r="CR31" s="375">
        <v>0</v>
      </c>
      <c r="CS31" s="375">
        <v>0</v>
      </c>
      <c r="CT31" s="375">
        <v>0</v>
      </c>
      <c r="CU31" s="375">
        <v>0</v>
      </c>
      <c r="CV31" s="375">
        <v>0</v>
      </c>
      <c r="CW31" s="375">
        <v>0</v>
      </c>
      <c r="CX31" s="375">
        <v>0</v>
      </c>
      <c r="CY31" s="375">
        <v>0</v>
      </c>
    </row>
    <row r="32" spans="1:103" ht="12" customHeight="1">
      <c r="A32" s="293" t="s">
        <v>604</v>
      </c>
      <c r="B32" s="375">
        <v>500000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75">
        <v>0</v>
      </c>
      <c r="L32" s="375">
        <v>0</v>
      </c>
      <c r="M32" s="375">
        <v>0</v>
      </c>
      <c r="N32" s="375">
        <v>500000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5">
        <v>0</v>
      </c>
      <c r="V32" s="375">
        <v>0</v>
      </c>
      <c r="W32" s="375">
        <v>0</v>
      </c>
      <c r="X32" s="375">
        <v>0</v>
      </c>
      <c r="Y32" s="375">
        <v>0</v>
      </c>
      <c r="Z32" s="375">
        <v>500000</v>
      </c>
      <c r="AA32" s="375">
        <v>0</v>
      </c>
      <c r="AB32" s="375">
        <v>0</v>
      </c>
      <c r="AC32" s="375">
        <v>0</v>
      </c>
      <c r="AD32" s="375">
        <v>0</v>
      </c>
      <c r="AE32" s="375">
        <v>0</v>
      </c>
      <c r="AF32" s="375">
        <v>0</v>
      </c>
      <c r="AG32" s="375">
        <v>0</v>
      </c>
      <c r="AH32" s="375">
        <v>0</v>
      </c>
      <c r="AI32" s="375">
        <v>0</v>
      </c>
      <c r="AJ32" s="375">
        <v>0</v>
      </c>
      <c r="AK32" s="375">
        <v>0</v>
      </c>
      <c r="AL32" s="375">
        <v>500000</v>
      </c>
      <c r="AM32" s="375">
        <v>0</v>
      </c>
      <c r="AN32" s="375">
        <v>0</v>
      </c>
      <c r="AO32" s="375">
        <v>0</v>
      </c>
      <c r="AP32" s="375">
        <v>0</v>
      </c>
      <c r="AQ32" s="375">
        <v>0</v>
      </c>
      <c r="AR32" s="375">
        <v>0</v>
      </c>
      <c r="AS32" s="375">
        <v>0</v>
      </c>
      <c r="AT32" s="375">
        <v>0</v>
      </c>
      <c r="AU32" s="375">
        <v>0</v>
      </c>
      <c r="AV32" s="375">
        <v>0</v>
      </c>
      <c r="AW32" s="375">
        <v>0</v>
      </c>
      <c r="AX32" s="375">
        <v>500000</v>
      </c>
      <c r="AY32" s="375">
        <v>0</v>
      </c>
      <c r="AZ32" s="375">
        <v>0</v>
      </c>
      <c r="BA32" s="375">
        <v>0</v>
      </c>
      <c r="BB32" s="375">
        <v>0</v>
      </c>
      <c r="BC32" s="375">
        <v>0</v>
      </c>
      <c r="BD32" s="375">
        <v>0</v>
      </c>
      <c r="BE32" s="375">
        <v>0</v>
      </c>
      <c r="BF32" s="375">
        <v>0</v>
      </c>
      <c r="BG32" s="375">
        <v>0</v>
      </c>
      <c r="BH32" s="375">
        <v>0</v>
      </c>
      <c r="BI32" s="375">
        <v>0</v>
      </c>
      <c r="BJ32" s="375">
        <v>500000</v>
      </c>
      <c r="BK32" s="375">
        <v>0</v>
      </c>
      <c r="BL32" s="375">
        <v>0</v>
      </c>
      <c r="BM32" s="375">
        <v>0</v>
      </c>
      <c r="BN32" s="375">
        <v>0</v>
      </c>
      <c r="BO32" s="375">
        <v>0</v>
      </c>
      <c r="BP32" s="375">
        <v>0</v>
      </c>
      <c r="BQ32" s="375">
        <v>0</v>
      </c>
      <c r="BR32" s="375">
        <v>0</v>
      </c>
      <c r="BS32" s="375">
        <v>0</v>
      </c>
      <c r="BT32" s="375">
        <v>0</v>
      </c>
      <c r="BU32" s="375">
        <v>0</v>
      </c>
      <c r="BV32" s="375">
        <v>500000</v>
      </c>
      <c r="BW32" s="375">
        <v>0</v>
      </c>
      <c r="BX32" s="375">
        <v>0</v>
      </c>
      <c r="BY32" s="375">
        <v>0</v>
      </c>
      <c r="BZ32" s="375">
        <v>0</v>
      </c>
      <c r="CA32" s="375">
        <v>0</v>
      </c>
      <c r="CB32" s="375">
        <v>0</v>
      </c>
      <c r="CC32" s="375">
        <v>0</v>
      </c>
      <c r="CD32" s="375">
        <v>0</v>
      </c>
      <c r="CE32" s="375">
        <v>0</v>
      </c>
      <c r="CF32" s="375">
        <v>0</v>
      </c>
      <c r="CG32" s="375">
        <v>0</v>
      </c>
      <c r="CH32" s="375">
        <v>500000</v>
      </c>
      <c r="CI32" s="375">
        <v>0</v>
      </c>
      <c r="CJ32" s="375">
        <v>0</v>
      </c>
      <c r="CK32" s="375">
        <v>0</v>
      </c>
      <c r="CL32" s="375">
        <v>0</v>
      </c>
      <c r="CM32" s="375">
        <v>0</v>
      </c>
      <c r="CN32" s="375">
        <v>0</v>
      </c>
      <c r="CO32" s="375">
        <v>0</v>
      </c>
      <c r="CP32" s="375">
        <v>0</v>
      </c>
      <c r="CQ32" s="375">
        <v>0</v>
      </c>
      <c r="CR32" s="375">
        <v>0</v>
      </c>
      <c r="CS32" s="375">
        <v>0</v>
      </c>
      <c r="CT32" s="375">
        <v>500000</v>
      </c>
      <c r="CU32" s="375">
        <v>0</v>
      </c>
      <c r="CV32" s="375">
        <v>0</v>
      </c>
      <c r="CW32" s="375">
        <v>0</v>
      </c>
      <c r="CX32" s="375">
        <v>0</v>
      </c>
      <c r="CY32" s="375">
        <v>0</v>
      </c>
    </row>
    <row r="33" spans="1:103" ht="12" customHeight="1" thickBot="1">
      <c r="A33" s="444" t="s">
        <v>104</v>
      </c>
      <c r="B33" s="379">
        <f t="shared" ref="B33:BM33" si="8">SUM(B27:B32)</f>
        <v>12616082.768409438</v>
      </c>
      <c r="C33" s="379">
        <f t="shared" si="8"/>
        <v>85904</v>
      </c>
      <c r="D33" s="379">
        <f t="shared" si="8"/>
        <v>85904</v>
      </c>
      <c r="E33" s="379">
        <f t="shared" si="8"/>
        <v>85904</v>
      </c>
      <c r="F33" s="379">
        <f t="shared" si="8"/>
        <v>85904</v>
      </c>
      <c r="G33" s="379">
        <f t="shared" si="8"/>
        <v>85904</v>
      </c>
      <c r="H33" s="379">
        <f t="shared" si="8"/>
        <v>85904</v>
      </c>
      <c r="I33" s="379">
        <f t="shared" si="8"/>
        <v>85904</v>
      </c>
      <c r="J33" s="379">
        <f t="shared" si="8"/>
        <v>85904</v>
      </c>
      <c r="K33" s="379">
        <f t="shared" si="8"/>
        <v>85904</v>
      </c>
      <c r="L33" s="379">
        <f t="shared" si="8"/>
        <v>85904</v>
      </c>
      <c r="M33" s="379">
        <f t="shared" si="8"/>
        <v>10085904</v>
      </c>
      <c r="N33" s="379">
        <f t="shared" si="8"/>
        <v>589340.16000000003</v>
      </c>
      <c r="O33" s="379">
        <f t="shared" si="8"/>
        <v>89340.160000000003</v>
      </c>
      <c r="P33" s="379">
        <f t="shared" si="8"/>
        <v>89340.160000000003</v>
      </c>
      <c r="Q33" s="379">
        <f t="shared" si="8"/>
        <v>89340.160000000003</v>
      </c>
      <c r="R33" s="379">
        <f t="shared" si="8"/>
        <v>89340.160000000003</v>
      </c>
      <c r="S33" s="379">
        <f t="shared" si="8"/>
        <v>89340.160000000003</v>
      </c>
      <c r="T33" s="379">
        <f t="shared" si="8"/>
        <v>89340.160000000003</v>
      </c>
      <c r="U33" s="379">
        <f t="shared" si="8"/>
        <v>89340.160000000003</v>
      </c>
      <c r="V33" s="379">
        <f t="shared" si="8"/>
        <v>89340.160000000003</v>
      </c>
      <c r="W33" s="379">
        <f t="shared" si="8"/>
        <v>89340.160000000003</v>
      </c>
      <c r="X33" s="379">
        <f t="shared" si="8"/>
        <v>89340.160000000003</v>
      </c>
      <c r="Y33" s="379">
        <f t="shared" si="8"/>
        <v>89340.160000000003</v>
      </c>
      <c r="Z33" s="379">
        <f t="shared" si="8"/>
        <v>592913.76639999996</v>
      </c>
      <c r="AA33" s="379">
        <f t="shared" si="8"/>
        <v>92913.766400000008</v>
      </c>
      <c r="AB33" s="379">
        <f t="shared" si="8"/>
        <v>92913.766400000008</v>
      </c>
      <c r="AC33" s="379">
        <f t="shared" si="8"/>
        <v>92913.766400000008</v>
      </c>
      <c r="AD33" s="379">
        <f t="shared" si="8"/>
        <v>92913.766400000008</v>
      </c>
      <c r="AE33" s="379">
        <f t="shared" si="8"/>
        <v>92913.766400000008</v>
      </c>
      <c r="AF33" s="379">
        <f t="shared" si="8"/>
        <v>92913.766400000008</v>
      </c>
      <c r="AG33" s="379">
        <f t="shared" si="8"/>
        <v>92913.766400000008</v>
      </c>
      <c r="AH33" s="379">
        <f t="shared" si="8"/>
        <v>92913.766400000008</v>
      </c>
      <c r="AI33" s="379">
        <f t="shared" si="8"/>
        <v>92913.766400000008</v>
      </c>
      <c r="AJ33" s="379">
        <f t="shared" si="8"/>
        <v>92913.766400000008</v>
      </c>
      <c r="AK33" s="379">
        <f t="shared" si="8"/>
        <v>92913.766400000008</v>
      </c>
      <c r="AL33" s="379">
        <f t="shared" si="8"/>
        <v>596630.317056</v>
      </c>
      <c r="AM33" s="379">
        <f t="shared" si="8"/>
        <v>96630.317056000014</v>
      </c>
      <c r="AN33" s="379">
        <f t="shared" si="8"/>
        <v>96630.317056000014</v>
      </c>
      <c r="AO33" s="379">
        <f t="shared" si="8"/>
        <v>96630.317056000014</v>
      </c>
      <c r="AP33" s="379">
        <f t="shared" si="8"/>
        <v>96630.317056000014</v>
      </c>
      <c r="AQ33" s="379">
        <f t="shared" si="8"/>
        <v>96630.317056000014</v>
      </c>
      <c r="AR33" s="379">
        <f t="shared" si="8"/>
        <v>96630.317056000014</v>
      </c>
      <c r="AS33" s="379">
        <f t="shared" si="8"/>
        <v>96630.317056000014</v>
      </c>
      <c r="AT33" s="379">
        <f t="shared" si="8"/>
        <v>96630.317056000014</v>
      </c>
      <c r="AU33" s="379">
        <f t="shared" si="8"/>
        <v>96630.317056000014</v>
      </c>
      <c r="AV33" s="379">
        <f t="shared" si="8"/>
        <v>96630.317056000014</v>
      </c>
      <c r="AW33" s="379">
        <f t="shared" si="8"/>
        <v>96630.317056000014</v>
      </c>
      <c r="AX33" s="379">
        <f t="shared" si="8"/>
        <v>600495.52973824006</v>
      </c>
      <c r="AY33" s="379">
        <f t="shared" si="8"/>
        <v>100495.52973824002</v>
      </c>
      <c r="AZ33" s="379">
        <f t="shared" si="8"/>
        <v>100495.52973824002</v>
      </c>
      <c r="BA33" s="379">
        <f t="shared" si="8"/>
        <v>100495.52973824002</v>
      </c>
      <c r="BB33" s="379">
        <f t="shared" si="8"/>
        <v>100495.52973824002</v>
      </c>
      <c r="BC33" s="379">
        <f t="shared" si="8"/>
        <v>100495.52973824002</v>
      </c>
      <c r="BD33" s="379">
        <f t="shared" si="8"/>
        <v>100495.52973824002</v>
      </c>
      <c r="BE33" s="379">
        <f t="shared" si="8"/>
        <v>100495.52973824002</v>
      </c>
      <c r="BF33" s="379">
        <f t="shared" si="8"/>
        <v>100495.52973824002</v>
      </c>
      <c r="BG33" s="379">
        <f t="shared" si="8"/>
        <v>100495.52973824002</v>
      </c>
      <c r="BH33" s="379">
        <f t="shared" si="8"/>
        <v>100495.52973824002</v>
      </c>
      <c r="BI33" s="379">
        <f t="shared" si="8"/>
        <v>100495.52973824002</v>
      </c>
      <c r="BJ33" s="379">
        <f t="shared" si="8"/>
        <v>604515.35092776967</v>
      </c>
      <c r="BK33" s="379">
        <f t="shared" si="8"/>
        <v>104515.35092776961</v>
      </c>
      <c r="BL33" s="379">
        <f t="shared" si="8"/>
        <v>104515.35092776961</v>
      </c>
      <c r="BM33" s="379">
        <f t="shared" si="8"/>
        <v>104515.35092776961</v>
      </c>
      <c r="BN33" s="379">
        <f t="shared" ref="BN33:CY33" si="9">SUM(BN27:BN32)</f>
        <v>104515.35092776961</v>
      </c>
      <c r="BO33" s="379">
        <f t="shared" si="9"/>
        <v>104515.35092776961</v>
      </c>
      <c r="BP33" s="379">
        <f t="shared" si="9"/>
        <v>104515.35092776961</v>
      </c>
      <c r="BQ33" s="379">
        <f t="shared" si="9"/>
        <v>104515.35092776961</v>
      </c>
      <c r="BR33" s="379">
        <f t="shared" si="9"/>
        <v>104515.35092776961</v>
      </c>
      <c r="BS33" s="379">
        <f t="shared" si="9"/>
        <v>104515.35092776961</v>
      </c>
      <c r="BT33" s="379">
        <f t="shared" si="9"/>
        <v>104515.35092776961</v>
      </c>
      <c r="BU33" s="379">
        <f t="shared" si="9"/>
        <v>104515.35092776961</v>
      </c>
      <c r="BV33" s="379">
        <f t="shared" si="9"/>
        <v>608695.96496488038</v>
      </c>
      <c r="BW33" s="379">
        <f t="shared" si="9"/>
        <v>108695.9649648804</v>
      </c>
      <c r="BX33" s="379">
        <f t="shared" si="9"/>
        <v>108695.9649648804</v>
      </c>
      <c r="BY33" s="379">
        <f t="shared" si="9"/>
        <v>108695.9649648804</v>
      </c>
      <c r="BZ33" s="379">
        <f t="shared" si="9"/>
        <v>108695.9649648804</v>
      </c>
      <c r="CA33" s="379">
        <f t="shared" si="9"/>
        <v>108695.9649648804</v>
      </c>
      <c r="CB33" s="379">
        <f t="shared" si="9"/>
        <v>108695.9649648804</v>
      </c>
      <c r="CC33" s="379">
        <f t="shared" si="9"/>
        <v>108695.9649648804</v>
      </c>
      <c r="CD33" s="379">
        <f t="shared" si="9"/>
        <v>108695.9649648804</v>
      </c>
      <c r="CE33" s="379">
        <f t="shared" si="9"/>
        <v>108695.9649648804</v>
      </c>
      <c r="CF33" s="379">
        <f t="shared" si="9"/>
        <v>108695.9649648804</v>
      </c>
      <c r="CG33" s="379">
        <f t="shared" si="9"/>
        <v>108695.9649648804</v>
      </c>
      <c r="CH33" s="379">
        <f t="shared" si="9"/>
        <v>613043.80356347561</v>
      </c>
      <c r="CI33" s="379">
        <f t="shared" si="9"/>
        <v>113043.80356347562</v>
      </c>
      <c r="CJ33" s="379">
        <f t="shared" si="9"/>
        <v>113043.80356347562</v>
      </c>
      <c r="CK33" s="379">
        <f t="shared" si="9"/>
        <v>113043.80356347562</v>
      </c>
      <c r="CL33" s="379">
        <f t="shared" si="9"/>
        <v>113043.80356347562</v>
      </c>
      <c r="CM33" s="379">
        <f t="shared" si="9"/>
        <v>113043.80356347562</v>
      </c>
      <c r="CN33" s="379">
        <f t="shared" si="9"/>
        <v>113043.80356347562</v>
      </c>
      <c r="CO33" s="379">
        <f t="shared" si="9"/>
        <v>113043.80356347562</v>
      </c>
      <c r="CP33" s="379">
        <f t="shared" si="9"/>
        <v>113043.80356347562</v>
      </c>
      <c r="CQ33" s="379">
        <f t="shared" si="9"/>
        <v>113043.80356347562</v>
      </c>
      <c r="CR33" s="379">
        <f t="shared" si="9"/>
        <v>113043.80356347562</v>
      </c>
      <c r="CS33" s="379">
        <f t="shared" si="9"/>
        <v>113043.80356347562</v>
      </c>
      <c r="CT33" s="379">
        <f t="shared" si="9"/>
        <v>617565.55570601462</v>
      </c>
      <c r="CU33" s="379">
        <f t="shared" si="9"/>
        <v>117565.55570601465</v>
      </c>
      <c r="CV33" s="379">
        <f t="shared" si="9"/>
        <v>117565.55570601465</v>
      </c>
      <c r="CW33" s="379">
        <f t="shared" si="9"/>
        <v>117565.55570601465</v>
      </c>
      <c r="CX33" s="379">
        <f t="shared" si="9"/>
        <v>117565.55570601465</v>
      </c>
      <c r="CY33" s="379">
        <f t="shared" si="9"/>
        <v>117565.55570601465</v>
      </c>
    </row>
    <row r="34" spans="1:103" ht="12" customHeight="1" thickTop="1">
      <c r="A34" s="444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</row>
    <row r="35" spans="1:103" ht="12" customHeight="1">
      <c r="A35" s="444" t="s">
        <v>605</v>
      </c>
      <c r="B35" s="292">
        <f t="shared" ref="B35:BM35" si="10">B26</f>
        <v>43951</v>
      </c>
      <c r="C35" s="292">
        <f t="shared" si="10"/>
        <v>43982</v>
      </c>
      <c r="D35" s="292">
        <f t="shared" si="10"/>
        <v>44012</v>
      </c>
      <c r="E35" s="292">
        <f t="shared" si="10"/>
        <v>44043</v>
      </c>
      <c r="F35" s="292">
        <f t="shared" si="10"/>
        <v>44074</v>
      </c>
      <c r="G35" s="292">
        <f t="shared" si="10"/>
        <v>44104</v>
      </c>
      <c r="H35" s="292">
        <f t="shared" si="10"/>
        <v>44135</v>
      </c>
      <c r="I35" s="292">
        <f t="shared" si="10"/>
        <v>44165</v>
      </c>
      <c r="J35" s="292">
        <f t="shared" si="10"/>
        <v>44196</v>
      </c>
      <c r="K35" s="292">
        <f t="shared" si="10"/>
        <v>44227</v>
      </c>
      <c r="L35" s="292">
        <f t="shared" si="10"/>
        <v>44255</v>
      </c>
      <c r="M35" s="292">
        <f t="shared" si="10"/>
        <v>44286</v>
      </c>
      <c r="N35" s="292">
        <f t="shared" si="10"/>
        <v>44316</v>
      </c>
      <c r="O35" s="292">
        <f t="shared" si="10"/>
        <v>44347</v>
      </c>
      <c r="P35" s="292">
        <f t="shared" si="10"/>
        <v>44377</v>
      </c>
      <c r="Q35" s="292">
        <f t="shared" si="10"/>
        <v>44408</v>
      </c>
      <c r="R35" s="292">
        <f t="shared" si="10"/>
        <v>44439</v>
      </c>
      <c r="S35" s="292">
        <f t="shared" si="10"/>
        <v>44469</v>
      </c>
      <c r="T35" s="292">
        <f t="shared" si="10"/>
        <v>44500</v>
      </c>
      <c r="U35" s="292">
        <f t="shared" si="10"/>
        <v>44530</v>
      </c>
      <c r="V35" s="292">
        <f t="shared" si="10"/>
        <v>44561</v>
      </c>
      <c r="W35" s="292">
        <f t="shared" si="10"/>
        <v>44592</v>
      </c>
      <c r="X35" s="292">
        <f t="shared" si="10"/>
        <v>44620</v>
      </c>
      <c r="Y35" s="292">
        <f t="shared" si="10"/>
        <v>44651</v>
      </c>
      <c r="Z35" s="292">
        <f t="shared" si="10"/>
        <v>44681</v>
      </c>
      <c r="AA35" s="292">
        <f t="shared" si="10"/>
        <v>44712</v>
      </c>
      <c r="AB35" s="292">
        <f t="shared" si="10"/>
        <v>44742</v>
      </c>
      <c r="AC35" s="292">
        <f t="shared" si="10"/>
        <v>44773</v>
      </c>
      <c r="AD35" s="292">
        <f t="shared" si="10"/>
        <v>44804</v>
      </c>
      <c r="AE35" s="292">
        <f t="shared" si="10"/>
        <v>44834</v>
      </c>
      <c r="AF35" s="292">
        <f t="shared" si="10"/>
        <v>44865</v>
      </c>
      <c r="AG35" s="292">
        <f t="shared" si="10"/>
        <v>44895</v>
      </c>
      <c r="AH35" s="292">
        <f t="shared" si="10"/>
        <v>44926</v>
      </c>
      <c r="AI35" s="292">
        <f t="shared" si="10"/>
        <v>44957</v>
      </c>
      <c r="AJ35" s="292">
        <f t="shared" si="10"/>
        <v>44985</v>
      </c>
      <c r="AK35" s="292">
        <f t="shared" si="10"/>
        <v>45016</v>
      </c>
      <c r="AL35" s="292">
        <f t="shared" si="10"/>
        <v>45046</v>
      </c>
      <c r="AM35" s="292">
        <f t="shared" si="10"/>
        <v>45077</v>
      </c>
      <c r="AN35" s="292">
        <f t="shared" si="10"/>
        <v>45107</v>
      </c>
      <c r="AO35" s="292">
        <f t="shared" si="10"/>
        <v>45138</v>
      </c>
      <c r="AP35" s="292">
        <f t="shared" si="10"/>
        <v>45169</v>
      </c>
      <c r="AQ35" s="292">
        <f t="shared" si="10"/>
        <v>45199</v>
      </c>
      <c r="AR35" s="292">
        <f t="shared" si="10"/>
        <v>45230</v>
      </c>
      <c r="AS35" s="292">
        <f t="shared" si="10"/>
        <v>45260</v>
      </c>
      <c r="AT35" s="292">
        <f t="shared" si="10"/>
        <v>45291</v>
      </c>
      <c r="AU35" s="292">
        <f t="shared" si="10"/>
        <v>45322</v>
      </c>
      <c r="AV35" s="292">
        <f t="shared" si="10"/>
        <v>45351</v>
      </c>
      <c r="AW35" s="292">
        <f t="shared" si="10"/>
        <v>45382</v>
      </c>
      <c r="AX35" s="292">
        <f t="shared" si="10"/>
        <v>45412</v>
      </c>
      <c r="AY35" s="292">
        <f t="shared" si="10"/>
        <v>45443</v>
      </c>
      <c r="AZ35" s="292">
        <f t="shared" si="10"/>
        <v>45473</v>
      </c>
      <c r="BA35" s="292">
        <f t="shared" si="10"/>
        <v>45504</v>
      </c>
      <c r="BB35" s="292">
        <f t="shared" si="10"/>
        <v>45535</v>
      </c>
      <c r="BC35" s="292">
        <f t="shared" si="10"/>
        <v>45565</v>
      </c>
      <c r="BD35" s="292">
        <f t="shared" si="10"/>
        <v>45596</v>
      </c>
      <c r="BE35" s="292">
        <f t="shared" si="10"/>
        <v>45626</v>
      </c>
      <c r="BF35" s="292">
        <f t="shared" si="10"/>
        <v>45657</v>
      </c>
      <c r="BG35" s="292">
        <f t="shared" si="10"/>
        <v>45688</v>
      </c>
      <c r="BH35" s="292">
        <f t="shared" si="10"/>
        <v>45716</v>
      </c>
      <c r="BI35" s="292">
        <f t="shared" si="10"/>
        <v>45747</v>
      </c>
      <c r="BJ35" s="292">
        <f t="shared" si="10"/>
        <v>45777</v>
      </c>
      <c r="BK35" s="292">
        <f t="shared" si="10"/>
        <v>45808</v>
      </c>
      <c r="BL35" s="292">
        <f t="shared" si="10"/>
        <v>45838</v>
      </c>
      <c r="BM35" s="292">
        <f t="shared" si="10"/>
        <v>45869</v>
      </c>
      <c r="BN35" s="292">
        <f t="shared" ref="BN35:CY35" si="11">BN26</f>
        <v>45900</v>
      </c>
      <c r="BO35" s="292">
        <f t="shared" si="11"/>
        <v>45930</v>
      </c>
      <c r="BP35" s="292">
        <f t="shared" si="11"/>
        <v>45961</v>
      </c>
      <c r="BQ35" s="292">
        <f t="shared" si="11"/>
        <v>45991</v>
      </c>
      <c r="BR35" s="292">
        <f t="shared" si="11"/>
        <v>46022</v>
      </c>
      <c r="BS35" s="292">
        <f t="shared" si="11"/>
        <v>46053</v>
      </c>
      <c r="BT35" s="292">
        <f t="shared" si="11"/>
        <v>46081</v>
      </c>
      <c r="BU35" s="292">
        <f t="shared" si="11"/>
        <v>46112</v>
      </c>
      <c r="BV35" s="292">
        <f t="shared" si="11"/>
        <v>46142</v>
      </c>
      <c r="BW35" s="292">
        <f t="shared" si="11"/>
        <v>46173</v>
      </c>
      <c r="BX35" s="292">
        <f t="shared" si="11"/>
        <v>46203</v>
      </c>
      <c r="BY35" s="292">
        <f t="shared" si="11"/>
        <v>46234</v>
      </c>
      <c r="BZ35" s="292">
        <f t="shared" si="11"/>
        <v>46265</v>
      </c>
      <c r="CA35" s="292">
        <f t="shared" si="11"/>
        <v>46295</v>
      </c>
      <c r="CB35" s="292">
        <f t="shared" si="11"/>
        <v>46326</v>
      </c>
      <c r="CC35" s="292">
        <f t="shared" si="11"/>
        <v>46356</v>
      </c>
      <c r="CD35" s="292">
        <f t="shared" si="11"/>
        <v>46387</v>
      </c>
      <c r="CE35" s="292">
        <f t="shared" si="11"/>
        <v>46418</v>
      </c>
      <c r="CF35" s="292">
        <f t="shared" si="11"/>
        <v>46446</v>
      </c>
      <c r="CG35" s="292">
        <f t="shared" si="11"/>
        <v>46477</v>
      </c>
      <c r="CH35" s="292">
        <f t="shared" si="11"/>
        <v>46507</v>
      </c>
      <c r="CI35" s="292">
        <f t="shared" si="11"/>
        <v>46538</v>
      </c>
      <c r="CJ35" s="292">
        <f t="shared" si="11"/>
        <v>46568</v>
      </c>
      <c r="CK35" s="292">
        <f t="shared" si="11"/>
        <v>46599</v>
      </c>
      <c r="CL35" s="292">
        <f t="shared" si="11"/>
        <v>46630</v>
      </c>
      <c r="CM35" s="292">
        <f t="shared" si="11"/>
        <v>46660</v>
      </c>
      <c r="CN35" s="292">
        <f t="shared" si="11"/>
        <v>46691</v>
      </c>
      <c r="CO35" s="292">
        <f t="shared" si="11"/>
        <v>46721</v>
      </c>
      <c r="CP35" s="292">
        <f t="shared" si="11"/>
        <v>46752</v>
      </c>
      <c r="CQ35" s="292">
        <f t="shared" si="11"/>
        <v>46783</v>
      </c>
      <c r="CR35" s="292">
        <f t="shared" si="11"/>
        <v>46812</v>
      </c>
      <c r="CS35" s="292">
        <f t="shared" si="11"/>
        <v>46843</v>
      </c>
      <c r="CT35" s="292">
        <f t="shared" si="11"/>
        <v>46873</v>
      </c>
      <c r="CU35" s="292">
        <f t="shared" si="11"/>
        <v>46904</v>
      </c>
      <c r="CV35" s="292">
        <f t="shared" si="11"/>
        <v>46934</v>
      </c>
      <c r="CW35" s="292">
        <f t="shared" si="11"/>
        <v>46965</v>
      </c>
      <c r="CX35" s="292">
        <f t="shared" si="11"/>
        <v>46996</v>
      </c>
      <c r="CY35" s="292">
        <f t="shared" si="11"/>
        <v>47026</v>
      </c>
    </row>
    <row r="36" spans="1:103" ht="12" customHeight="1">
      <c r="A36" s="293" t="s">
        <v>606</v>
      </c>
      <c r="B36" s="375">
        <v>0</v>
      </c>
      <c r="C36" s="375">
        <v>0</v>
      </c>
      <c r="D36" s="375">
        <v>12272</v>
      </c>
      <c r="E36" s="375">
        <v>0</v>
      </c>
      <c r="F36" s="375">
        <v>0</v>
      </c>
      <c r="G36" s="375">
        <v>12272</v>
      </c>
      <c r="H36" s="375">
        <v>0</v>
      </c>
      <c r="I36" s="375">
        <v>0</v>
      </c>
      <c r="J36" s="375">
        <v>12272</v>
      </c>
      <c r="K36" s="375">
        <v>0</v>
      </c>
      <c r="L36" s="375">
        <v>0</v>
      </c>
      <c r="M36" s="375">
        <v>12272</v>
      </c>
      <c r="N36" s="375">
        <v>0</v>
      </c>
      <c r="O36" s="375">
        <v>0</v>
      </c>
      <c r="P36" s="375">
        <v>12762.880000000001</v>
      </c>
      <c r="Q36" s="375">
        <v>0</v>
      </c>
      <c r="R36" s="375">
        <v>0</v>
      </c>
      <c r="S36" s="375">
        <v>12762.880000000001</v>
      </c>
      <c r="T36" s="375">
        <v>0</v>
      </c>
      <c r="U36" s="375">
        <v>0</v>
      </c>
      <c r="V36" s="375">
        <v>12762.880000000001</v>
      </c>
      <c r="W36" s="375">
        <v>0</v>
      </c>
      <c r="X36" s="375">
        <v>0</v>
      </c>
      <c r="Y36" s="375">
        <v>12762.880000000001</v>
      </c>
      <c r="Z36" s="375">
        <v>0</v>
      </c>
      <c r="AA36" s="375">
        <v>0</v>
      </c>
      <c r="AB36" s="375">
        <v>13273.395200000001</v>
      </c>
      <c r="AC36" s="375">
        <v>0</v>
      </c>
      <c r="AD36" s="375">
        <v>0</v>
      </c>
      <c r="AE36" s="375">
        <v>13273.395200000001</v>
      </c>
      <c r="AF36" s="375">
        <v>0</v>
      </c>
      <c r="AG36" s="375">
        <v>0</v>
      </c>
      <c r="AH36" s="375">
        <v>13273.395200000001</v>
      </c>
      <c r="AI36" s="375">
        <v>0</v>
      </c>
      <c r="AJ36" s="375">
        <v>0</v>
      </c>
      <c r="AK36" s="375">
        <v>13273.395200000001</v>
      </c>
      <c r="AL36" s="375">
        <v>0</v>
      </c>
      <c r="AM36" s="375">
        <v>0</v>
      </c>
      <c r="AN36" s="375">
        <v>13804.331008000001</v>
      </c>
      <c r="AO36" s="375">
        <v>0</v>
      </c>
      <c r="AP36" s="375">
        <v>0</v>
      </c>
      <c r="AQ36" s="375">
        <v>13804.331008000001</v>
      </c>
      <c r="AR36" s="375">
        <v>0</v>
      </c>
      <c r="AS36" s="375">
        <v>0</v>
      </c>
      <c r="AT36" s="375">
        <v>13804.331008000001</v>
      </c>
      <c r="AU36" s="375">
        <v>0</v>
      </c>
      <c r="AV36" s="375">
        <v>0</v>
      </c>
      <c r="AW36" s="375">
        <v>13804.331008000001</v>
      </c>
      <c r="AX36" s="375">
        <v>0</v>
      </c>
      <c r="AY36" s="375">
        <v>0</v>
      </c>
      <c r="AZ36" s="375">
        <v>14356.504248320001</v>
      </c>
      <c r="BA36" s="375">
        <v>0</v>
      </c>
      <c r="BB36" s="375">
        <v>0</v>
      </c>
      <c r="BC36" s="375">
        <v>14356.504248320001</v>
      </c>
      <c r="BD36" s="375">
        <v>0</v>
      </c>
      <c r="BE36" s="375">
        <v>0</v>
      </c>
      <c r="BF36" s="375">
        <v>14356.504248320001</v>
      </c>
      <c r="BG36" s="375">
        <v>0</v>
      </c>
      <c r="BH36" s="375">
        <v>0</v>
      </c>
      <c r="BI36" s="375">
        <v>14356.504248320001</v>
      </c>
      <c r="BJ36" s="375">
        <v>0</v>
      </c>
      <c r="BK36" s="375">
        <v>0</v>
      </c>
      <c r="BL36" s="375">
        <v>14930.764418252802</v>
      </c>
      <c r="BM36" s="375">
        <v>0</v>
      </c>
      <c r="BN36" s="375">
        <v>0</v>
      </c>
      <c r="BO36" s="375">
        <v>14930.764418252802</v>
      </c>
      <c r="BP36" s="375">
        <v>0</v>
      </c>
      <c r="BQ36" s="375">
        <v>0</v>
      </c>
      <c r="BR36" s="375">
        <v>14930.764418252802</v>
      </c>
      <c r="BS36" s="375">
        <v>0</v>
      </c>
      <c r="BT36" s="375">
        <v>0</v>
      </c>
      <c r="BU36" s="375">
        <v>14930.764418252802</v>
      </c>
      <c r="BV36" s="375">
        <v>0</v>
      </c>
      <c r="BW36" s="375">
        <v>0</v>
      </c>
      <c r="BX36" s="375">
        <v>15527.994994982915</v>
      </c>
      <c r="BY36" s="375">
        <v>0</v>
      </c>
      <c r="BZ36" s="375">
        <v>0</v>
      </c>
      <c r="CA36" s="375">
        <v>15527.994994982915</v>
      </c>
      <c r="CB36" s="375">
        <v>0</v>
      </c>
      <c r="CC36" s="375">
        <v>0</v>
      </c>
      <c r="CD36" s="375">
        <v>15527.994994982915</v>
      </c>
      <c r="CE36" s="375">
        <v>0</v>
      </c>
      <c r="CF36" s="375">
        <v>0</v>
      </c>
      <c r="CG36" s="375">
        <v>0</v>
      </c>
      <c r="CH36" s="375">
        <v>0</v>
      </c>
      <c r="CI36" s="375">
        <v>0</v>
      </c>
      <c r="CJ36" s="375">
        <v>0</v>
      </c>
      <c r="CK36" s="375">
        <v>0</v>
      </c>
      <c r="CL36" s="375">
        <v>0</v>
      </c>
      <c r="CM36" s="375">
        <v>0</v>
      </c>
      <c r="CN36" s="375">
        <v>0</v>
      </c>
      <c r="CO36" s="375">
        <v>0</v>
      </c>
      <c r="CP36" s="375">
        <v>0</v>
      </c>
      <c r="CQ36" s="375">
        <v>0</v>
      </c>
      <c r="CR36" s="375">
        <v>0</v>
      </c>
      <c r="CS36" s="375">
        <v>0</v>
      </c>
      <c r="CT36" s="375">
        <v>0</v>
      </c>
      <c r="CU36" s="375">
        <v>0</v>
      </c>
      <c r="CV36" s="375">
        <v>0</v>
      </c>
      <c r="CW36" s="375">
        <v>0</v>
      </c>
      <c r="CX36" s="375">
        <v>0</v>
      </c>
      <c r="CY36" s="375">
        <v>0</v>
      </c>
    </row>
    <row r="37" spans="1:103" ht="12" customHeight="1">
      <c r="A37" s="293" t="s">
        <v>607</v>
      </c>
      <c r="B37" s="375">
        <v>0</v>
      </c>
      <c r="C37" s="375">
        <v>0</v>
      </c>
      <c r="D37" s="375">
        <v>885000</v>
      </c>
      <c r="E37" s="375">
        <v>0</v>
      </c>
      <c r="F37" s="375">
        <v>0</v>
      </c>
      <c r="G37" s="375">
        <v>0</v>
      </c>
      <c r="H37" s="375">
        <v>0</v>
      </c>
      <c r="I37" s="375">
        <v>0</v>
      </c>
      <c r="J37" s="375">
        <v>0</v>
      </c>
      <c r="K37" s="375">
        <v>0</v>
      </c>
      <c r="L37" s="375">
        <v>0</v>
      </c>
      <c r="M37" s="375">
        <v>0</v>
      </c>
      <c r="N37" s="375">
        <v>0</v>
      </c>
      <c r="O37" s="375">
        <v>0</v>
      </c>
      <c r="P37" s="375">
        <v>885000</v>
      </c>
      <c r="Q37" s="375">
        <v>0</v>
      </c>
      <c r="R37" s="375">
        <v>0</v>
      </c>
      <c r="S37" s="375">
        <v>0</v>
      </c>
      <c r="T37" s="375">
        <v>0</v>
      </c>
      <c r="U37" s="375">
        <v>0</v>
      </c>
      <c r="V37" s="375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885000</v>
      </c>
      <c r="AC37" s="375">
        <v>0</v>
      </c>
      <c r="AD37" s="375">
        <v>0</v>
      </c>
      <c r="AE37" s="375">
        <v>0</v>
      </c>
      <c r="AF37" s="375">
        <v>0</v>
      </c>
      <c r="AG37" s="375">
        <v>0</v>
      </c>
      <c r="AH37" s="375">
        <v>0</v>
      </c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75">
        <v>885000</v>
      </c>
      <c r="AO37" s="375">
        <v>0</v>
      </c>
      <c r="AP37" s="375">
        <v>0</v>
      </c>
      <c r="AQ37" s="375">
        <v>0</v>
      </c>
      <c r="AR37" s="375">
        <v>0</v>
      </c>
      <c r="AS37" s="375">
        <v>0</v>
      </c>
      <c r="AT37" s="375">
        <v>0</v>
      </c>
      <c r="AU37" s="375">
        <v>0</v>
      </c>
      <c r="AV37" s="375">
        <v>0</v>
      </c>
      <c r="AW37" s="375">
        <v>0</v>
      </c>
      <c r="AX37" s="375">
        <v>0</v>
      </c>
      <c r="AY37" s="375">
        <v>0</v>
      </c>
      <c r="AZ37" s="375">
        <v>885000</v>
      </c>
      <c r="BA37" s="375">
        <v>0</v>
      </c>
      <c r="BB37" s="375">
        <v>0</v>
      </c>
      <c r="BC37" s="375">
        <v>0</v>
      </c>
      <c r="BD37" s="375">
        <v>0</v>
      </c>
      <c r="BE37" s="375">
        <v>0</v>
      </c>
      <c r="BF37" s="375">
        <v>0</v>
      </c>
      <c r="BG37" s="375">
        <v>0</v>
      </c>
      <c r="BH37" s="375">
        <v>0</v>
      </c>
      <c r="BI37" s="375">
        <v>0</v>
      </c>
      <c r="BJ37" s="375">
        <v>0</v>
      </c>
      <c r="BK37" s="375">
        <v>0</v>
      </c>
      <c r="BL37" s="375">
        <v>885000</v>
      </c>
      <c r="BM37" s="375">
        <v>0</v>
      </c>
      <c r="BN37" s="375">
        <v>0</v>
      </c>
      <c r="BO37" s="375">
        <v>0</v>
      </c>
      <c r="BP37" s="375">
        <v>0</v>
      </c>
      <c r="BQ37" s="375">
        <v>0</v>
      </c>
      <c r="BR37" s="375">
        <v>0</v>
      </c>
      <c r="BS37" s="375">
        <v>0</v>
      </c>
      <c r="BT37" s="375">
        <v>0</v>
      </c>
      <c r="BU37" s="375">
        <v>0</v>
      </c>
      <c r="BV37" s="375">
        <v>0</v>
      </c>
      <c r="BW37" s="375">
        <v>0</v>
      </c>
      <c r="BX37" s="375">
        <v>885000</v>
      </c>
      <c r="BY37" s="375">
        <v>0</v>
      </c>
      <c r="BZ37" s="375">
        <v>0</v>
      </c>
      <c r="CA37" s="375">
        <v>0</v>
      </c>
      <c r="CB37" s="375">
        <v>0</v>
      </c>
      <c r="CC37" s="375">
        <v>0</v>
      </c>
      <c r="CD37" s="375">
        <v>0</v>
      </c>
      <c r="CE37" s="375">
        <v>0</v>
      </c>
      <c r="CF37" s="375">
        <v>0</v>
      </c>
      <c r="CG37" s="375">
        <v>0</v>
      </c>
      <c r="CH37" s="375">
        <v>0</v>
      </c>
      <c r="CI37" s="375">
        <v>0</v>
      </c>
      <c r="CJ37" s="375">
        <v>885000</v>
      </c>
      <c r="CK37" s="375">
        <v>0</v>
      </c>
      <c r="CL37" s="375">
        <v>0</v>
      </c>
      <c r="CM37" s="375">
        <v>0</v>
      </c>
      <c r="CN37" s="375">
        <v>0</v>
      </c>
      <c r="CO37" s="375">
        <v>0</v>
      </c>
      <c r="CP37" s="375">
        <v>0</v>
      </c>
      <c r="CQ37" s="375">
        <v>0</v>
      </c>
      <c r="CR37" s="375">
        <v>0</v>
      </c>
      <c r="CS37" s="375">
        <v>0</v>
      </c>
      <c r="CT37" s="375">
        <v>0</v>
      </c>
      <c r="CU37" s="375">
        <v>0</v>
      </c>
      <c r="CV37" s="375">
        <v>0</v>
      </c>
      <c r="CW37" s="375">
        <v>0</v>
      </c>
      <c r="CX37" s="375">
        <v>0</v>
      </c>
      <c r="CY37" s="375">
        <v>0</v>
      </c>
    </row>
    <row r="38" spans="1:103" ht="12" customHeight="1">
      <c r="A38" s="293" t="s">
        <v>608</v>
      </c>
      <c r="B38" s="375">
        <v>10000000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5">
        <v>0</v>
      </c>
      <c r="AE38" s="375">
        <v>0</v>
      </c>
      <c r="AF38" s="375">
        <v>0</v>
      </c>
      <c r="AG38" s="375">
        <v>0</v>
      </c>
      <c r="AH38" s="375">
        <v>0</v>
      </c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N38" s="375">
        <v>0</v>
      </c>
      <c r="AO38" s="375">
        <v>0</v>
      </c>
      <c r="AP38" s="375">
        <v>0</v>
      </c>
      <c r="AQ38" s="375">
        <v>0</v>
      </c>
      <c r="AR38" s="375">
        <v>0</v>
      </c>
      <c r="AS38" s="375">
        <v>0</v>
      </c>
      <c r="AT38" s="375">
        <v>0</v>
      </c>
      <c r="AU38" s="375">
        <v>0</v>
      </c>
      <c r="AV38" s="375">
        <v>0</v>
      </c>
      <c r="AW38" s="375">
        <v>0</v>
      </c>
      <c r="AX38" s="375">
        <v>0</v>
      </c>
      <c r="AY38" s="375">
        <v>0</v>
      </c>
      <c r="AZ38" s="375">
        <v>0</v>
      </c>
      <c r="BA38" s="375">
        <v>0</v>
      </c>
      <c r="BB38" s="375">
        <v>0</v>
      </c>
      <c r="BC38" s="375">
        <v>0</v>
      </c>
      <c r="BD38" s="375">
        <v>0</v>
      </c>
      <c r="BE38" s="375">
        <v>0</v>
      </c>
      <c r="BF38" s="375">
        <v>0</v>
      </c>
      <c r="BG38" s="375">
        <v>0</v>
      </c>
      <c r="BH38" s="375">
        <v>0</v>
      </c>
      <c r="BI38" s="375">
        <v>0</v>
      </c>
      <c r="BJ38" s="375">
        <v>0</v>
      </c>
      <c r="BK38" s="375">
        <v>0</v>
      </c>
      <c r="BL38" s="375">
        <v>0</v>
      </c>
      <c r="BM38" s="375">
        <v>0</v>
      </c>
      <c r="BN38" s="375">
        <v>0</v>
      </c>
      <c r="BO38" s="375">
        <v>0</v>
      </c>
      <c r="BP38" s="375">
        <v>0</v>
      </c>
      <c r="BQ38" s="375">
        <v>0</v>
      </c>
      <c r="BR38" s="375">
        <v>0</v>
      </c>
      <c r="BS38" s="375">
        <v>0</v>
      </c>
      <c r="BT38" s="375">
        <v>0</v>
      </c>
      <c r="BU38" s="375">
        <v>0</v>
      </c>
      <c r="BV38" s="375">
        <v>0</v>
      </c>
      <c r="BW38" s="375">
        <v>0</v>
      </c>
      <c r="BX38" s="375">
        <v>0</v>
      </c>
      <c r="BY38" s="375">
        <v>0</v>
      </c>
      <c r="BZ38" s="375">
        <v>0</v>
      </c>
      <c r="CA38" s="375">
        <v>0</v>
      </c>
      <c r="CB38" s="375">
        <v>0</v>
      </c>
      <c r="CC38" s="375">
        <v>0</v>
      </c>
      <c r="CD38" s="375">
        <v>0</v>
      </c>
      <c r="CE38" s="375">
        <v>0</v>
      </c>
      <c r="CF38" s="375">
        <v>0</v>
      </c>
      <c r="CG38" s="375">
        <v>0</v>
      </c>
      <c r="CH38" s="375">
        <v>0</v>
      </c>
      <c r="CI38" s="375">
        <v>0</v>
      </c>
      <c r="CJ38" s="375">
        <v>0</v>
      </c>
      <c r="CK38" s="375">
        <v>0</v>
      </c>
      <c r="CL38" s="375">
        <v>0</v>
      </c>
      <c r="CM38" s="375">
        <v>0</v>
      </c>
      <c r="CN38" s="375">
        <v>0</v>
      </c>
      <c r="CO38" s="375">
        <v>0</v>
      </c>
      <c r="CP38" s="375">
        <v>0</v>
      </c>
      <c r="CQ38" s="375">
        <v>0</v>
      </c>
      <c r="CR38" s="375">
        <v>0</v>
      </c>
      <c r="CS38" s="375">
        <v>0</v>
      </c>
      <c r="CT38" s="375">
        <v>0</v>
      </c>
      <c r="CU38" s="375">
        <v>0</v>
      </c>
      <c r="CV38" s="375">
        <v>0</v>
      </c>
      <c r="CW38" s="375">
        <v>0</v>
      </c>
      <c r="CX38" s="375">
        <v>0</v>
      </c>
      <c r="CY38" s="375">
        <v>0</v>
      </c>
    </row>
    <row r="39" spans="1:103" ht="12" customHeight="1">
      <c r="A39" s="293" t="s">
        <v>609</v>
      </c>
      <c r="B39" s="375">
        <v>0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f>120000000*2%*118%</f>
        <v>2832000</v>
      </c>
      <c r="Q39" s="375">
        <v>0</v>
      </c>
      <c r="R39" s="375">
        <v>0</v>
      </c>
      <c r="S39" s="375">
        <v>0</v>
      </c>
      <c r="T39" s="375">
        <v>0</v>
      </c>
      <c r="U39" s="375">
        <v>0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f>P39</f>
        <v>2832000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  <c r="AH39" s="375">
        <v>0</v>
      </c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N39" s="375">
        <f>AB39</f>
        <v>2832000</v>
      </c>
      <c r="AO39" s="375">
        <v>0</v>
      </c>
      <c r="AP39" s="375">
        <v>0</v>
      </c>
      <c r="AQ39" s="375">
        <v>0</v>
      </c>
      <c r="AR39" s="375">
        <v>0</v>
      </c>
      <c r="AS39" s="375">
        <v>0</v>
      </c>
      <c r="AT39" s="375">
        <v>0</v>
      </c>
      <c r="AU39" s="375">
        <v>0</v>
      </c>
      <c r="AV39" s="375">
        <v>0</v>
      </c>
      <c r="AW39" s="375">
        <v>0</v>
      </c>
      <c r="AX39" s="375">
        <v>0</v>
      </c>
      <c r="AY39" s="375">
        <v>0</v>
      </c>
      <c r="AZ39" s="375">
        <f>AN39*115%</f>
        <v>3256799.9999999995</v>
      </c>
      <c r="BA39" s="375">
        <v>0</v>
      </c>
      <c r="BB39" s="375">
        <v>0</v>
      </c>
      <c r="BC39" s="375">
        <v>0</v>
      </c>
      <c r="BD39" s="375">
        <v>0</v>
      </c>
      <c r="BE39" s="375">
        <v>0</v>
      </c>
      <c r="BF39" s="375">
        <v>0</v>
      </c>
      <c r="BG39" s="375">
        <v>0</v>
      </c>
      <c r="BH39" s="375">
        <v>0</v>
      </c>
      <c r="BI39" s="375">
        <v>0</v>
      </c>
      <c r="BJ39" s="375">
        <v>0</v>
      </c>
      <c r="BK39" s="375">
        <v>0</v>
      </c>
      <c r="BL39" s="375">
        <f>AZ39</f>
        <v>3256799.9999999995</v>
      </c>
      <c r="BM39" s="375">
        <v>0</v>
      </c>
      <c r="BN39" s="375">
        <v>0</v>
      </c>
      <c r="BO39" s="375">
        <v>0</v>
      </c>
      <c r="BP39" s="375">
        <v>0</v>
      </c>
      <c r="BQ39" s="375">
        <v>0</v>
      </c>
      <c r="BR39" s="375">
        <v>0</v>
      </c>
      <c r="BS39" s="375">
        <v>0</v>
      </c>
      <c r="BT39" s="375">
        <v>0</v>
      </c>
      <c r="BU39" s="375">
        <v>0</v>
      </c>
      <c r="BV39" s="375">
        <v>0</v>
      </c>
      <c r="BW39" s="375">
        <v>0</v>
      </c>
      <c r="BX39" s="375">
        <f>BL39</f>
        <v>3256799.9999999995</v>
      </c>
      <c r="BY39" s="375">
        <v>0</v>
      </c>
      <c r="BZ39" s="375">
        <v>0</v>
      </c>
      <c r="CA39" s="375">
        <v>0</v>
      </c>
      <c r="CB39" s="375">
        <v>0</v>
      </c>
      <c r="CC39" s="375">
        <v>0</v>
      </c>
      <c r="CD39" s="375">
        <v>0</v>
      </c>
      <c r="CE39" s="375">
        <v>0</v>
      </c>
      <c r="CF39" s="375">
        <v>0</v>
      </c>
      <c r="CG39" s="375">
        <v>0</v>
      </c>
      <c r="CH39" s="375">
        <v>0</v>
      </c>
      <c r="CI39" s="375">
        <v>0</v>
      </c>
      <c r="CJ39" s="375">
        <f>BX39*115%</f>
        <v>3745319.9999999991</v>
      </c>
      <c r="CK39" s="375">
        <v>0</v>
      </c>
      <c r="CL39" s="375">
        <v>0</v>
      </c>
      <c r="CM39" s="375">
        <v>0</v>
      </c>
      <c r="CN39" s="375">
        <v>0</v>
      </c>
      <c r="CO39" s="375">
        <v>0</v>
      </c>
      <c r="CP39" s="375">
        <v>0</v>
      </c>
      <c r="CQ39" s="375">
        <v>0</v>
      </c>
      <c r="CR39" s="375">
        <v>0</v>
      </c>
      <c r="CS39" s="375">
        <v>0</v>
      </c>
      <c r="CT39" s="375">
        <v>0</v>
      </c>
      <c r="CU39" s="375">
        <v>0</v>
      </c>
      <c r="CV39" s="375">
        <f>CJ39/4</f>
        <v>936329.99999999977</v>
      </c>
      <c r="CW39" s="375">
        <v>0</v>
      </c>
      <c r="CX39" s="375">
        <v>0</v>
      </c>
      <c r="CY39" s="375">
        <v>0</v>
      </c>
    </row>
    <row r="40" spans="1:103" ht="12" customHeight="1">
      <c r="A40" s="293" t="s">
        <v>610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5">
        <v>0</v>
      </c>
      <c r="AE40" s="375">
        <v>0</v>
      </c>
      <c r="AF40" s="375">
        <v>0</v>
      </c>
      <c r="AG40" s="375">
        <v>0</v>
      </c>
      <c r="AH40" s="375">
        <v>0</v>
      </c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N40" s="375">
        <v>0</v>
      </c>
      <c r="AO40" s="375">
        <v>0</v>
      </c>
      <c r="AP40" s="375">
        <v>0</v>
      </c>
      <c r="AQ40" s="375">
        <v>0</v>
      </c>
      <c r="AR40" s="375">
        <v>0</v>
      </c>
      <c r="AS40" s="375">
        <v>0</v>
      </c>
      <c r="AT40" s="375">
        <v>0</v>
      </c>
      <c r="AU40" s="375">
        <v>0</v>
      </c>
      <c r="AV40" s="375">
        <v>0</v>
      </c>
      <c r="AW40" s="375">
        <v>0</v>
      </c>
      <c r="AX40" s="375">
        <v>0</v>
      </c>
      <c r="AY40" s="375">
        <v>0</v>
      </c>
      <c r="AZ40" s="375">
        <v>0</v>
      </c>
      <c r="BA40" s="375">
        <v>0</v>
      </c>
      <c r="BB40" s="375">
        <v>0</v>
      </c>
      <c r="BC40" s="375">
        <v>0</v>
      </c>
      <c r="BD40" s="375">
        <v>0</v>
      </c>
      <c r="BE40" s="375">
        <v>0</v>
      </c>
      <c r="BF40" s="375">
        <v>0</v>
      </c>
      <c r="BG40" s="375">
        <v>0</v>
      </c>
      <c r="BH40" s="375">
        <v>0</v>
      </c>
      <c r="BI40" s="375">
        <v>0</v>
      </c>
      <c r="BJ40" s="375">
        <v>0</v>
      </c>
      <c r="BK40" s="375">
        <v>0</v>
      </c>
      <c r="BL40" s="375">
        <v>0</v>
      </c>
      <c r="BM40" s="375">
        <v>0</v>
      </c>
      <c r="BN40" s="375">
        <v>0</v>
      </c>
      <c r="BO40" s="375">
        <v>0</v>
      </c>
      <c r="BP40" s="375">
        <v>0</v>
      </c>
      <c r="BQ40" s="375">
        <v>0</v>
      </c>
      <c r="BR40" s="375">
        <v>0</v>
      </c>
      <c r="BS40" s="375">
        <v>0</v>
      </c>
      <c r="BT40" s="375">
        <v>0</v>
      </c>
      <c r="BU40" s="375">
        <v>0</v>
      </c>
      <c r="BV40" s="375">
        <v>0</v>
      </c>
      <c r="BW40" s="375">
        <v>0</v>
      </c>
      <c r="BX40" s="375">
        <v>0</v>
      </c>
      <c r="BY40" s="375">
        <v>0</v>
      </c>
      <c r="BZ40" s="375">
        <v>0</v>
      </c>
      <c r="CA40" s="375">
        <v>0</v>
      </c>
      <c r="CB40" s="375">
        <v>0</v>
      </c>
      <c r="CC40" s="375">
        <v>0</v>
      </c>
      <c r="CD40" s="375">
        <v>0</v>
      </c>
      <c r="CE40" s="375">
        <v>0</v>
      </c>
      <c r="CF40" s="375">
        <v>0</v>
      </c>
      <c r="CG40" s="375">
        <v>0</v>
      </c>
      <c r="CH40" s="375">
        <v>0</v>
      </c>
      <c r="CI40" s="375">
        <v>0</v>
      </c>
      <c r="CJ40" s="375">
        <v>0</v>
      </c>
      <c r="CK40" s="375">
        <v>0</v>
      </c>
      <c r="CL40" s="375">
        <v>0</v>
      </c>
      <c r="CM40" s="375">
        <v>0</v>
      </c>
      <c r="CN40" s="375">
        <v>0</v>
      </c>
      <c r="CO40" s="375">
        <v>0</v>
      </c>
      <c r="CP40" s="375">
        <v>0</v>
      </c>
      <c r="CQ40" s="375">
        <v>0</v>
      </c>
      <c r="CR40" s="375">
        <v>0</v>
      </c>
      <c r="CS40" s="375">
        <v>0</v>
      </c>
      <c r="CT40" s="375">
        <v>0</v>
      </c>
      <c r="CU40" s="375">
        <v>0</v>
      </c>
      <c r="CV40" s="375">
        <v>0</v>
      </c>
      <c r="CW40" s="375">
        <v>0</v>
      </c>
      <c r="CX40" s="375">
        <v>0</v>
      </c>
      <c r="CY40" s="375">
        <v>0</v>
      </c>
    </row>
    <row r="41" spans="1:103" ht="12" customHeight="1" thickBot="1">
      <c r="A41" s="444" t="s">
        <v>104</v>
      </c>
      <c r="B41" s="379">
        <f t="shared" ref="B41:AG41" si="12">SUM(B36:B40)</f>
        <v>10000000</v>
      </c>
      <c r="C41" s="379">
        <f t="shared" si="12"/>
        <v>0</v>
      </c>
      <c r="D41" s="379">
        <f t="shared" si="12"/>
        <v>897272</v>
      </c>
      <c r="E41" s="379">
        <f t="shared" si="12"/>
        <v>0</v>
      </c>
      <c r="F41" s="379">
        <f t="shared" si="12"/>
        <v>0</v>
      </c>
      <c r="G41" s="379">
        <f t="shared" si="12"/>
        <v>12272</v>
      </c>
      <c r="H41" s="379">
        <f t="shared" si="12"/>
        <v>0</v>
      </c>
      <c r="I41" s="379">
        <f t="shared" si="12"/>
        <v>0</v>
      </c>
      <c r="J41" s="379">
        <f t="shared" si="12"/>
        <v>12272</v>
      </c>
      <c r="K41" s="379">
        <f t="shared" si="12"/>
        <v>0</v>
      </c>
      <c r="L41" s="379">
        <f t="shared" si="12"/>
        <v>0</v>
      </c>
      <c r="M41" s="379">
        <f t="shared" si="12"/>
        <v>12272</v>
      </c>
      <c r="N41" s="379">
        <f t="shared" si="12"/>
        <v>0</v>
      </c>
      <c r="O41" s="379">
        <f t="shared" si="12"/>
        <v>0</v>
      </c>
      <c r="P41" s="379">
        <f t="shared" si="12"/>
        <v>3729762.88</v>
      </c>
      <c r="Q41" s="379">
        <f t="shared" si="12"/>
        <v>0</v>
      </c>
      <c r="R41" s="379">
        <f t="shared" si="12"/>
        <v>0</v>
      </c>
      <c r="S41" s="379">
        <f t="shared" si="12"/>
        <v>12762.880000000001</v>
      </c>
      <c r="T41" s="379">
        <f t="shared" si="12"/>
        <v>0</v>
      </c>
      <c r="U41" s="379">
        <f t="shared" si="12"/>
        <v>0</v>
      </c>
      <c r="V41" s="379">
        <f t="shared" si="12"/>
        <v>12762.880000000001</v>
      </c>
      <c r="W41" s="379">
        <f t="shared" si="12"/>
        <v>0</v>
      </c>
      <c r="X41" s="379">
        <f t="shared" si="12"/>
        <v>0</v>
      </c>
      <c r="Y41" s="379">
        <f t="shared" si="12"/>
        <v>12762.880000000001</v>
      </c>
      <c r="Z41" s="379">
        <f t="shared" si="12"/>
        <v>0</v>
      </c>
      <c r="AA41" s="379">
        <f t="shared" si="12"/>
        <v>0</v>
      </c>
      <c r="AB41" s="379">
        <f t="shared" si="12"/>
        <v>3730273.3952000001</v>
      </c>
      <c r="AC41" s="379">
        <f t="shared" si="12"/>
        <v>0</v>
      </c>
      <c r="AD41" s="379">
        <f t="shared" si="12"/>
        <v>0</v>
      </c>
      <c r="AE41" s="379">
        <f t="shared" si="12"/>
        <v>13273.395200000001</v>
      </c>
      <c r="AF41" s="379">
        <f t="shared" si="12"/>
        <v>0</v>
      </c>
      <c r="AG41" s="379">
        <f t="shared" si="12"/>
        <v>0</v>
      </c>
      <c r="AH41" s="379">
        <f t="shared" ref="AH41:CS41" si="13">SUM(AH36:AH40)</f>
        <v>13273.395200000001</v>
      </c>
      <c r="AI41" s="379">
        <f t="shared" si="13"/>
        <v>0</v>
      </c>
      <c r="AJ41" s="379">
        <f t="shared" si="13"/>
        <v>0</v>
      </c>
      <c r="AK41" s="379">
        <f t="shared" si="13"/>
        <v>13273.395200000001</v>
      </c>
      <c r="AL41" s="379">
        <f t="shared" si="13"/>
        <v>0</v>
      </c>
      <c r="AM41" s="379">
        <f t="shared" si="13"/>
        <v>0</v>
      </c>
      <c r="AN41" s="379">
        <f t="shared" si="13"/>
        <v>3730804.3310079998</v>
      </c>
      <c r="AO41" s="379">
        <f t="shared" si="13"/>
        <v>0</v>
      </c>
      <c r="AP41" s="379">
        <f t="shared" si="13"/>
        <v>0</v>
      </c>
      <c r="AQ41" s="379">
        <f t="shared" si="13"/>
        <v>13804.331008000001</v>
      </c>
      <c r="AR41" s="379">
        <f t="shared" si="13"/>
        <v>0</v>
      </c>
      <c r="AS41" s="379">
        <f t="shared" si="13"/>
        <v>0</v>
      </c>
      <c r="AT41" s="379">
        <f t="shared" si="13"/>
        <v>13804.331008000001</v>
      </c>
      <c r="AU41" s="379">
        <f t="shared" si="13"/>
        <v>0</v>
      </c>
      <c r="AV41" s="379">
        <f t="shared" si="13"/>
        <v>0</v>
      </c>
      <c r="AW41" s="379">
        <f t="shared" si="13"/>
        <v>13804.331008000001</v>
      </c>
      <c r="AX41" s="379">
        <f t="shared" si="13"/>
        <v>0</v>
      </c>
      <c r="AY41" s="379">
        <f t="shared" si="13"/>
        <v>0</v>
      </c>
      <c r="AZ41" s="379">
        <f t="shared" si="13"/>
        <v>4156156.5042483197</v>
      </c>
      <c r="BA41" s="379">
        <f t="shared" si="13"/>
        <v>0</v>
      </c>
      <c r="BB41" s="379">
        <f t="shared" si="13"/>
        <v>0</v>
      </c>
      <c r="BC41" s="379">
        <f t="shared" si="13"/>
        <v>14356.504248320001</v>
      </c>
      <c r="BD41" s="379">
        <f t="shared" si="13"/>
        <v>0</v>
      </c>
      <c r="BE41" s="379">
        <f t="shared" si="13"/>
        <v>0</v>
      </c>
      <c r="BF41" s="379">
        <f t="shared" si="13"/>
        <v>14356.504248320001</v>
      </c>
      <c r="BG41" s="379">
        <f t="shared" si="13"/>
        <v>0</v>
      </c>
      <c r="BH41" s="379">
        <f t="shared" si="13"/>
        <v>0</v>
      </c>
      <c r="BI41" s="379">
        <f t="shared" si="13"/>
        <v>14356.504248320001</v>
      </c>
      <c r="BJ41" s="379">
        <f t="shared" si="13"/>
        <v>0</v>
      </c>
      <c r="BK41" s="379">
        <f t="shared" si="13"/>
        <v>0</v>
      </c>
      <c r="BL41" s="379">
        <f t="shared" si="13"/>
        <v>4156730.7644182523</v>
      </c>
      <c r="BM41" s="379">
        <f t="shared" si="13"/>
        <v>0</v>
      </c>
      <c r="BN41" s="379">
        <f t="shared" si="13"/>
        <v>0</v>
      </c>
      <c r="BO41" s="379">
        <f t="shared" si="13"/>
        <v>14930.764418252802</v>
      </c>
      <c r="BP41" s="379">
        <f t="shared" si="13"/>
        <v>0</v>
      </c>
      <c r="BQ41" s="379">
        <f t="shared" si="13"/>
        <v>0</v>
      </c>
      <c r="BR41" s="379">
        <f t="shared" si="13"/>
        <v>14930.764418252802</v>
      </c>
      <c r="BS41" s="379">
        <f t="shared" si="13"/>
        <v>0</v>
      </c>
      <c r="BT41" s="379">
        <f t="shared" si="13"/>
        <v>0</v>
      </c>
      <c r="BU41" s="379">
        <f t="shared" si="13"/>
        <v>14930.764418252802</v>
      </c>
      <c r="BV41" s="379">
        <f t="shared" si="13"/>
        <v>0</v>
      </c>
      <c r="BW41" s="379">
        <f t="shared" si="13"/>
        <v>0</v>
      </c>
      <c r="BX41" s="379">
        <f t="shared" si="13"/>
        <v>4157327.9949949826</v>
      </c>
      <c r="BY41" s="379">
        <f t="shared" si="13"/>
        <v>0</v>
      </c>
      <c r="BZ41" s="379">
        <f t="shared" si="13"/>
        <v>0</v>
      </c>
      <c r="CA41" s="379">
        <f t="shared" si="13"/>
        <v>15527.994994982915</v>
      </c>
      <c r="CB41" s="379">
        <f t="shared" si="13"/>
        <v>0</v>
      </c>
      <c r="CC41" s="379">
        <f t="shared" si="13"/>
        <v>0</v>
      </c>
      <c r="CD41" s="379">
        <f t="shared" si="13"/>
        <v>15527.994994982915</v>
      </c>
      <c r="CE41" s="379">
        <f t="shared" si="13"/>
        <v>0</v>
      </c>
      <c r="CF41" s="379">
        <f t="shared" si="13"/>
        <v>0</v>
      </c>
      <c r="CG41" s="379">
        <f t="shared" si="13"/>
        <v>0</v>
      </c>
      <c r="CH41" s="379">
        <f t="shared" si="13"/>
        <v>0</v>
      </c>
      <c r="CI41" s="379">
        <f t="shared" si="13"/>
        <v>0</v>
      </c>
      <c r="CJ41" s="379">
        <f t="shared" si="13"/>
        <v>4630319.9999999991</v>
      </c>
      <c r="CK41" s="379">
        <f t="shared" si="13"/>
        <v>0</v>
      </c>
      <c r="CL41" s="379">
        <f t="shared" si="13"/>
        <v>0</v>
      </c>
      <c r="CM41" s="379">
        <f t="shared" si="13"/>
        <v>0</v>
      </c>
      <c r="CN41" s="379">
        <f t="shared" si="13"/>
        <v>0</v>
      </c>
      <c r="CO41" s="379">
        <f t="shared" si="13"/>
        <v>0</v>
      </c>
      <c r="CP41" s="379">
        <f t="shared" si="13"/>
        <v>0</v>
      </c>
      <c r="CQ41" s="379">
        <f t="shared" si="13"/>
        <v>0</v>
      </c>
      <c r="CR41" s="379">
        <f t="shared" si="13"/>
        <v>0</v>
      </c>
      <c r="CS41" s="379">
        <f t="shared" si="13"/>
        <v>0</v>
      </c>
      <c r="CT41" s="379">
        <f t="shared" ref="CT41:CY41" si="14">SUM(CT36:CT40)</f>
        <v>0</v>
      </c>
      <c r="CU41" s="379">
        <f t="shared" si="14"/>
        <v>0</v>
      </c>
      <c r="CV41" s="379">
        <f t="shared" si="14"/>
        <v>936329.99999999977</v>
      </c>
      <c r="CW41" s="379">
        <f t="shared" si="14"/>
        <v>0</v>
      </c>
      <c r="CX41" s="379">
        <f t="shared" si="14"/>
        <v>0</v>
      </c>
      <c r="CY41" s="379">
        <f t="shared" si="14"/>
        <v>0</v>
      </c>
    </row>
    <row r="42" spans="1:103" ht="12" customHeight="1" thickTop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3"/>
    </row>
    <row r="43" spans="1:103" ht="12" hidden="1" customHeight="1">
      <c r="A43" s="444" t="s">
        <v>611</v>
      </c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P43" s="293"/>
      <c r="CQ43" s="293"/>
      <c r="CR43" s="293"/>
      <c r="CS43" s="293"/>
      <c r="CT43" s="293"/>
      <c r="CU43" s="293"/>
      <c r="CV43" s="293"/>
      <c r="CW43" s="293"/>
      <c r="CX43" s="293"/>
      <c r="CY43" s="293"/>
    </row>
    <row r="44" spans="1:103" ht="12" hidden="1" customHeight="1">
      <c r="A44" s="293" t="s">
        <v>612</v>
      </c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P44" s="293"/>
      <c r="CQ44" s="293"/>
      <c r="CR44" s="293"/>
      <c r="CS44" s="293"/>
      <c r="CT44" s="293"/>
      <c r="CU44" s="293"/>
      <c r="CV44" s="293"/>
      <c r="CW44" s="293"/>
      <c r="CX44" s="293"/>
      <c r="CY44" s="293"/>
    </row>
    <row r="45" spans="1:103" ht="12" hidden="1" customHeight="1">
      <c r="A45" s="293" t="s">
        <v>613</v>
      </c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</row>
    <row r="46" spans="1:103" ht="12" hidden="1" customHeight="1">
      <c r="A46" s="293" t="s">
        <v>614</v>
      </c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</row>
    <row r="47" spans="1:103" ht="12" hidden="1" customHeight="1" thickBot="1">
      <c r="A47" s="444" t="s">
        <v>104</v>
      </c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P47" s="293"/>
      <c r="CQ47" s="293"/>
      <c r="CR47" s="293"/>
      <c r="CS47" s="293"/>
      <c r="CT47" s="293"/>
      <c r="CU47" s="293"/>
      <c r="CV47" s="293"/>
      <c r="CW47" s="293"/>
      <c r="CX47" s="293"/>
      <c r="CY47" s="293"/>
    </row>
    <row r="48" spans="1:103" ht="12" hidden="1" customHeight="1" thickTop="1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P48" s="293"/>
      <c r="CQ48" s="293"/>
      <c r="CR48" s="293"/>
      <c r="CS48" s="293"/>
      <c r="CT48" s="293"/>
      <c r="CU48" s="293"/>
      <c r="CV48" s="293"/>
      <c r="CW48" s="293"/>
      <c r="CX48" s="293"/>
      <c r="CY48" s="293"/>
    </row>
    <row r="49" spans="1:1" ht="12" hidden="1" customHeight="1">
      <c r="A49" s="444" t="s">
        <v>615</v>
      </c>
    </row>
    <row r="50" spans="1:1" ht="12" hidden="1" customHeight="1">
      <c r="A50" s="293" t="s">
        <v>616</v>
      </c>
    </row>
    <row r="51" spans="1:1" ht="12" hidden="1" customHeight="1">
      <c r="A51" s="293" t="s">
        <v>613</v>
      </c>
    </row>
    <row r="52" spans="1:1" ht="12" hidden="1" customHeight="1">
      <c r="A52" s="293" t="s">
        <v>614</v>
      </c>
    </row>
    <row r="53" spans="1:1" ht="12" hidden="1" customHeight="1" thickBot="1">
      <c r="A53" s="444" t="s">
        <v>104</v>
      </c>
    </row>
    <row r="54" spans="1:1" ht="12" hidden="1" customHeight="1" thickTop="1" thickBot="1">
      <c r="A54" s="444"/>
    </row>
    <row r="55" spans="1:1" ht="12" hidden="1" customHeight="1" thickTop="1" thickBot="1">
      <c r="A55" s="444" t="s">
        <v>617</v>
      </c>
    </row>
    <row r="56" spans="1:1" ht="12" hidden="1" customHeight="1" thickTop="1">
      <c r="A56" s="293"/>
    </row>
    <row r="57" spans="1:1" ht="12" hidden="1" customHeight="1">
      <c r="A57" s="444" t="s">
        <v>618</v>
      </c>
    </row>
    <row r="58" spans="1:1" ht="12" hidden="1" customHeight="1">
      <c r="A58" s="293" t="s">
        <v>480</v>
      </c>
    </row>
    <row r="59" spans="1:1" ht="12" hidden="1" customHeight="1" thickBot="1">
      <c r="A59" s="444" t="s">
        <v>104</v>
      </c>
    </row>
    <row r="60" spans="1:1" ht="12" hidden="1" customHeight="1" thickTop="1">
      <c r="A60" s="293"/>
    </row>
    <row r="61" spans="1:1" ht="12" hidden="1" customHeight="1">
      <c r="A61" s="293" t="s">
        <v>619</v>
      </c>
    </row>
    <row r="62" spans="1:1" ht="12" hidden="1" customHeight="1">
      <c r="A62" s="293"/>
    </row>
    <row r="63" spans="1:1" ht="12" customHeight="1">
      <c r="A63" s="293"/>
    </row>
  </sheetData>
  <autoFilter ref="A2:CY6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57"/>
  <sheetViews>
    <sheetView showGridLines="0" topLeftCell="A16" workbookViewId="0">
      <selection activeCell="C27" sqref="C27"/>
    </sheetView>
  </sheetViews>
  <sheetFormatPr defaultColWidth="8.7109375" defaultRowHeight="12.75"/>
  <cols>
    <col min="1" max="1" width="8.7109375" style="1"/>
    <col min="2" max="2" width="30.140625" style="1" bestFit="1" customWidth="1"/>
    <col min="3" max="3" width="20" style="1" bestFit="1" customWidth="1"/>
    <col min="4" max="9" width="12.7109375" style="1" bestFit="1" customWidth="1"/>
    <col min="10" max="16384" width="8.7109375" style="1"/>
  </cols>
  <sheetData>
    <row r="2" spans="2:9" ht="18.75">
      <c r="B2" s="14" t="s">
        <v>841</v>
      </c>
    </row>
    <row r="3" spans="2:9">
      <c r="B3" s="11" t="s">
        <v>55</v>
      </c>
    </row>
    <row r="4" spans="2:9">
      <c r="B4" s="8" t="s">
        <v>126</v>
      </c>
      <c r="C4" s="12" t="s">
        <v>842</v>
      </c>
    </row>
    <row r="5" spans="2:9">
      <c r="B5" s="8" t="s">
        <v>0</v>
      </c>
      <c r="C5" s="12" t="s">
        <v>107</v>
      </c>
    </row>
    <row r="7" spans="2:9">
      <c r="B7" s="174" t="str">
        <f>[247]Production!B8</f>
        <v>Particulars</v>
      </c>
      <c r="C7" s="175"/>
      <c r="D7" s="176">
        <f>DATE(2024,3,31)</f>
        <v>45382</v>
      </c>
      <c r="E7" s="177">
        <f>EDATE(D7,12)</f>
        <v>45747</v>
      </c>
      <c r="F7" s="177">
        <f t="shared" ref="F7:I7" si="0">EDATE(E7,12)</f>
        <v>46112</v>
      </c>
      <c r="G7" s="177">
        <f t="shared" si="0"/>
        <v>46477</v>
      </c>
      <c r="H7" s="177">
        <f t="shared" si="0"/>
        <v>46843</v>
      </c>
      <c r="I7" s="177">
        <f t="shared" si="0"/>
        <v>47208</v>
      </c>
    </row>
    <row r="8" spans="2:9">
      <c r="B8" s="178" t="s">
        <v>159</v>
      </c>
      <c r="D8" s="1">
        <v>3</v>
      </c>
      <c r="E8" s="179">
        <v>12</v>
      </c>
      <c r="F8" s="179">
        <f>E8</f>
        <v>12</v>
      </c>
      <c r="G8" s="179">
        <f t="shared" ref="G8:H8" si="1">F8</f>
        <v>12</v>
      </c>
      <c r="H8" s="179">
        <f t="shared" si="1"/>
        <v>12</v>
      </c>
      <c r="I8" s="179">
        <v>6</v>
      </c>
    </row>
    <row r="9" spans="2:9">
      <c r="B9" s="178" t="s">
        <v>160</v>
      </c>
      <c r="D9" s="5">
        <f>PL!L10</f>
        <v>23.629977919006201</v>
      </c>
      <c r="E9" s="180">
        <f>PL!M10</f>
        <v>86.908843635560416</v>
      </c>
      <c r="F9" s="180">
        <f>PL!N10</f>
        <v>103.27532752367021</v>
      </c>
      <c r="G9" s="180">
        <f>PL!O10</f>
        <v>117.00044797449458</v>
      </c>
      <c r="H9" s="180">
        <f>PL!P10</f>
        <v>126.41903469439586</v>
      </c>
      <c r="I9" s="180">
        <f>PL!Q10</f>
        <v>67.21770243803644</v>
      </c>
    </row>
    <row r="10" spans="2:9">
      <c r="B10" s="181" t="s">
        <v>161</v>
      </c>
      <c r="E10" s="182"/>
      <c r="F10" s="182">
        <f>F9/E9-1</f>
        <v>0.18831781903278189</v>
      </c>
      <c r="G10" s="182">
        <f t="shared" ref="G10:I10" si="2">G9/F9-1</f>
        <v>0.13289834832698677</v>
      </c>
      <c r="H10" s="182">
        <f t="shared" si="2"/>
        <v>8.0500432972312019E-2</v>
      </c>
      <c r="I10" s="182">
        <f t="shared" si="2"/>
        <v>-0.46829444948280252</v>
      </c>
    </row>
    <row r="11" spans="2:9">
      <c r="B11" s="178" t="s">
        <v>7</v>
      </c>
      <c r="D11" s="6">
        <f>PL!L20</f>
        <v>7.3440112053788233</v>
      </c>
      <c r="E11" s="267">
        <f>PL!M20</f>
        <v>24.787409783386664</v>
      </c>
      <c r="F11" s="267">
        <f>PL!N20</f>
        <v>39.530016667071685</v>
      </c>
      <c r="G11" s="267">
        <f>PL!O20</f>
        <v>38.856474731544694</v>
      </c>
      <c r="H11" s="267">
        <f>PL!P20</f>
        <v>53.808019708513612</v>
      </c>
      <c r="I11" s="267">
        <f>PL!Q20</f>
        <v>31.843106006487389</v>
      </c>
    </row>
    <row r="12" spans="2:9">
      <c r="B12" s="181" t="s">
        <v>162</v>
      </c>
      <c r="D12" s="270">
        <f>D11/D9</f>
        <v>0.31079213152678598</v>
      </c>
      <c r="E12" s="183">
        <f t="shared" ref="E12:I12" si="3">E11/E9</f>
        <v>0.28521159350973602</v>
      </c>
      <c r="F12" s="183">
        <f t="shared" si="3"/>
        <v>0.38276341130955593</v>
      </c>
      <c r="G12" s="183">
        <f t="shared" si="3"/>
        <v>0.33210535005827652</v>
      </c>
      <c r="H12" s="183">
        <f t="shared" si="3"/>
        <v>0.4256322620924024</v>
      </c>
      <c r="I12" s="183">
        <f t="shared" si="3"/>
        <v>0.4737309496087202</v>
      </c>
    </row>
    <row r="13" spans="2:9">
      <c r="B13" s="178" t="s">
        <v>241</v>
      </c>
      <c r="D13" s="269">
        <v>0</v>
      </c>
      <c r="E13" s="266">
        <f>D13</f>
        <v>0</v>
      </c>
      <c r="F13" s="266">
        <f t="shared" ref="F13:I13" si="4">E13</f>
        <v>0</v>
      </c>
      <c r="G13" s="266">
        <f t="shared" si="4"/>
        <v>0</v>
      </c>
      <c r="H13" s="266">
        <f t="shared" si="4"/>
        <v>0</v>
      </c>
      <c r="I13" s="267">
        <f t="shared" si="4"/>
        <v>0</v>
      </c>
    </row>
    <row r="14" spans="2:9">
      <c r="B14" s="184" t="s">
        <v>163</v>
      </c>
      <c r="C14" s="185"/>
      <c r="D14" s="146">
        <f>D11-D13</f>
        <v>7.3440112053788233</v>
      </c>
      <c r="E14" s="186">
        <f t="shared" ref="E14:I14" si="5">E11-E13</f>
        <v>24.787409783386664</v>
      </c>
      <c r="F14" s="186">
        <f t="shared" si="5"/>
        <v>39.530016667071685</v>
      </c>
      <c r="G14" s="186">
        <f t="shared" si="5"/>
        <v>38.856474731544694</v>
      </c>
      <c r="H14" s="186">
        <f t="shared" si="5"/>
        <v>53.808019708513612</v>
      </c>
      <c r="I14" s="186">
        <f t="shared" si="5"/>
        <v>31.843106006487389</v>
      </c>
    </row>
    <row r="15" spans="2:9">
      <c r="B15" s="178" t="s">
        <v>164</v>
      </c>
      <c r="D15" s="269">
        <v>0</v>
      </c>
      <c r="E15" s="267">
        <f>D15</f>
        <v>0</v>
      </c>
      <c r="F15" s="267">
        <f t="shared" ref="F15:I15" si="6">E15</f>
        <v>0</v>
      </c>
      <c r="G15" s="267">
        <f t="shared" si="6"/>
        <v>0</v>
      </c>
      <c r="H15" s="267">
        <f t="shared" si="6"/>
        <v>0</v>
      </c>
      <c r="I15" s="267">
        <f t="shared" si="6"/>
        <v>0</v>
      </c>
    </row>
    <row r="16" spans="2:9">
      <c r="B16" s="178" t="s">
        <v>858</v>
      </c>
      <c r="D16" s="266">
        <f>-SUM('Capex Plan'!B32:D32)</f>
        <v>-6.8501662439879123</v>
      </c>
      <c r="E16" s="267">
        <f>-SUM('Capex Plan'!E32:P32)</f>
        <v>-85.632176355104193</v>
      </c>
      <c r="F16" s="267">
        <v>0</v>
      </c>
      <c r="G16" s="267">
        <f t="shared" ref="G16:I16" si="7">F16</f>
        <v>0</v>
      </c>
      <c r="H16" s="267">
        <f t="shared" si="7"/>
        <v>0</v>
      </c>
      <c r="I16" s="267">
        <f t="shared" si="7"/>
        <v>0</v>
      </c>
    </row>
    <row r="17" spans="2:9">
      <c r="B17" s="184" t="s">
        <v>165</v>
      </c>
      <c r="C17" s="185"/>
      <c r="D17" s="146">
        <f>D14+D15+D16</f>
        <v>0.49384496139091105</v>
      </c>
      <c r="E17" s="186">
        <f t="shared" ref="E17:I17" si="8">E14+E15+E16</f>
        <v>-60.844766571717528</v>
      </c>
      <c r="F17" s="186">
        <f t="shared" si="8"/>
        <v>39.530016667071685</v>
      </c>
      <c r="G17" s="186">
        <f t="shared" si="8"/>
        <v>38.856474731544694</v>
      </c>
      <c r="H17" s="186">
        <f t="shared" si="8"/>
        <v>53.808019708513612</v>
      </c>
      <c r="I17" s="186">
        <f t="shared" si="8"/>
        <v>31.843106006487389</v>
      </c>
    </row>
    <row r="18" spans="2:9">
      <c r="B18" s="178" t="s">
        <v>166</v>
      </c>
      <c r="C18" s="263">
        <f>E57</f>
        <v>0.13852576835723462</v>
      </c>
      <c r="D18" s="5"/>
      <c r="E18" s="180"/>
      <c r="F18" s="180"/>
      <c r="G18" s="180"/>
      <c r="H18" s="180"/>
      <c r="I18" s="180"/>
    </row>
    <row r="19" spans="2:9">
      <c r="B19" s="178" t="s">
        <v>161</v>
      </c>
      <c r="C19" s="264">
        <v>0.02</v>
      </c>
      <c r="E19" s="187"/>
      <c r="F19" s="187"/>
      <c r="G19" s="187"/>
      <c r="H19" s="187"/>
      <c r="I19" s="187"/>
    </row>
    <row r="20" spans="2:9">
      <c r="B20" s="178" t="s">
        <v>167</v>
      </c>
      <c r="D20" s="5">
        <f>D8/12</f>
        <v>0.25</v>
      </c>
      <c r="E20" s="180">
        <f t="shared" ref="E20:I20" si="9">D20+E8/12</f>
        <v>1.25</v>
      </c>
      <c r="F20" s="180">
        <f t="shared" si="9"/>
        <v>2.25</v>
      </c>
      <c r="G20" s="180">
        <f t="shared" si="9"/>
        <v>3.25</v>
      </c>
      <c r="H20" s="180">
        <f t="shared" si="9"/>
        <v>4.25</v>
      </c>
      <c r="I20" s="180">
        <f t="shared" si="9"/>
        <v>4.75</v>
      </c>
    </row>
    <row r="21" spans="2:9">
      <c r="B21" s="178" t="s">
        <v>168</v>
      </c>
      <c r="D21" s="5">
        <f>1/(1+$C$18)^D20</f>
        <v>0.96808676741125232</v>
      </c>
      <c r="E21" s="180">
        <f t="shared" ref="E21:I21" si="10">1/(1+$C$18)^E20</f>
        <v>0.85029851261785061</v>
      </c>
      <c r="F21" s="180">
        <f t="shared" si="10"/>
        <v>0.74684169322292648</v>
      </c>
      <c r="G21" s="180">
        <f t="shared" si="10"/>
        <v>0.65597258663766178</v>
      </c>
      <c r="H21" s="180">
        <f t="shared" si="10"/>
        <v>0.57615963105003487</v>
      </c>
      <c r="I21" s="180">
        <f t="shared" si="10"/>
        <v>0.53997219074170444</v>
      </c>
    </row>
    <row r="22" spans="2:9">
      <c r="B22" s="178" t="s">
        <v>169</v>
      </c>
      <c r="D22" s="5">
        <f>D17*D21</f>
        <v>0.4780847722752618</v>
      </c>
      <c r="E22" s="180">
        <f t="shared" ref="E22:I22" si="11">E17*E21</f>
        <v>-51.73621451651173</v>
      </c>
      <c r="F22" s="180">
        <f t="shared" si="11"/>
        <v>29.522664580766321</v>
      </c>
      <c r="G22" s="180">
        <f t="shared" si="11"/>
        <v>25.488782237272318</v>
      </c>
      <c r="H22" s="180">
        <f t="shared" si="11"/>
        <v>31.002008782790206</v>
      </c>
      <c r="I22" s="180">
        <f t="shared" si="11"/>
        <v>17.194391710343321</v>
      </c>
    </row>
    <row r="23" spans="2:9">
      <c r="B23" s="178" t="s">
        <v>170</v>
      </c>
      <c r="C23" s="6">
        <f>SUM(D22:I22)</f>
        <v>51.949717566935703</v>
      </c>
      <c r="D23" s="6"/>
      <c r="E23" s="187"/>
      <c r="F23" s="187"/>
      <c r="G23" s="187"/>
      <c r="H23" s="187"/>
      <c r="I23" s="187"/>
    </row>
    <row r="24" spans="2:9">
      <c r="B24" s="178" t="s">
        <v>171</v>
      </c>
      <c r="C24" s="285">
        <v>0</v>
      </c>
      <c r="E24" s="187"/>
      <c r="F24" s="187"/>
      <c r="G24" s="187"/>
      <c r="H24" s="187"/>
      <c r="I24" s="187"/>
    </row>
    <row r="25" spans="2:9">
      <c r="B25" s="178" t="s">
        <v>172</v>
      </c>
      <c r="C25" s="6">
        <f>SUM(C23:C24)</f>
        <v>51.949717566935703</v>
      </c>
      <c r="E25" s="187"/>
      <c r="F25" s="187"/>
      <c r="G25" s="187"/>
      <c r="H25" s="187"/>
      <c r="I25" s="187"/>
    </row>
    <row r="26" spans="2:9" ht="13.5" thickBot="1">
      <c r="B26" s="188" t="s">
        <v>253</v>
      </c>
      <c r="C26" s="189">
        <f>C25</f>
        <v>51.949717566935703</v>
      </c>
      <c r="D26" s="190"/>
      <c r="E26" s="191"/>
      <c r="F26" s="191"/>
      <c r="G26" s="191"/>
      <c r="H26" s="191"/>
      <c r="I26" s="191"/>
    </row>
    <row r="27" spans="2:9">
      <c r="B27" s="275" t="s">
        <v>252</v>
      </c>
      <c r="C27" s="274">
        <f>Valuation_NAV!G23</f>
        <v>17.032299999999999</v>
      </c>
      <c r="D27" s="175"/>
      <c r="E27" s="175"/>
      <c r="F27" s="175"/>
      <c r="G27" s="175"/>
      <c r="H27" s="175"/>
      <c r="I27" s="175"/>
    </row>
    <row r="28" spans="2:9">
      <c r="B28" s="275" t="s">
        <v>257</v>
      </c>
      <c r="C28" s="274">
        <f>Valuation_NAV!C15</f>
        <v>3.5154999999999998</v>
      </c>
      <c r="D28" s="175"/>
      <c r="E28" s="175"/>
      <c r="F28" s="175"/>
      <c r="G28" s="175"/>
      <c r="H28" s="175"/>
      <c r="I28" s="175"/>
    </row>
    <row r="29" spans="2:9">
      <c r="B29" s="175" t="s">
        <v>38</v>
      </c>
      <c r="C29" s="274">
        <f>C26+C27+C28</f>
        <v>72.497517566935699</v>
      </c>
      <c r="D29" s="175"/>
      <c r="E29" s="175"/>
      <c r="F29" s="175"/>
      <c r="G29" s="175"/>
      <c r="H29" s="175"/>
      <c r="I29" s="175"/>
    </row>
    <row r="31" spans="2:9">
      <c r="B31" s="192" t="s">
        <v>173</v>
      </c>
    </row>
    <row r="32" spans="2:9">
      <c r="B32" s="174" t="s">
        <v>174</v>
      </c>
      <c r="C32" s="193"/>
    </row>
    <row r="33" spans="2:4">
      <c r="B33" s="194" t="s">
        <v>175</v>
      </c>
      <c r="C33" s="195">
        <v>7.1760000000000004E-2</v>
      </c>
      <c r="D33" s="8" t="s">
        <v>240</v>
      </c>
    </row>
    <row r="34" spans="2:4">
      <c r="B34" s="196" t="s">
        <v>176</v>
      </c>
      <c r="C34" s="265">
        <v>1.5</v>
      </c>
    </row>
    <row r="35" spans="2:4">
      <c r="B35" s="196" t="s">
        <v>177</v>
      </c>
      <c r="C35" s="197">
        <f>C44-C33</f>
        <v>5.8989607460521384E-2</v>
      </c>
    </row>
    <row r="36" spans="2:4">
      <c r="B36" s="198" t="s">
        <v>178</v>
      </c>
      <c r="C36" s="199">
        <v>0</v>
      </c>
    </row>
    <row r="37" spans="2:4">
      <c r="B37" s="174" t="s">
        <v>174</v>
      </c>
      <c r="C37" s="200">
        <f>C33+C34*C35</f>
        <v>0.16024441119078209</v>
      </c>
    </row>
    <row r="39" spans="2:4">
      <c r="B39" s="174" t="s">
        <v>179</v>
      </c>
      <c r="C39" s="201"/>
    </row>
    <row r="40" spans="2:4">
      <c r="B40" s="202" t="s">
        <v>180</v>
      </c>
      <c r="C40" s="203"/>
    </row>
    <row r="41" spans="2:4">
      <c r="B41" s="196" t="s">
        <v>851</v>
      </c>
      <c r="C41" s="204">
        <v>72240.259999999995</v>
      </c>
    </row>
    <row r="42" spans="2:4">
      <c r="B42" s="196" t="s">
        <v>852</v>
      </c>
      <c r="C42" s="205">
        <v>21140.48</v>
      </c>
    </row>
    <row r="43" spans="2:4">
      <c r="B43" s="198" t="s">
        <v>181</v>
      </c>
      <c r="C43" s="206">
        <v>10</v>
      </c>
    </row>
    <row r="44" spans="2:4">
      <c r="B44" s="174" t="s">
        <v>182</v>
      </c>
      <c r="C44" s="207">
        <f>+RATE(C43,0,-C42,C41,0)</f>
        <v>0.13074960746052139</v>
      </c>
    </row>
    <row r="46" spans="2:4">
      <c r="B46" s="174" t="s">
        <v>183</v>
      </c>
      <c r="C46" s="201"/>
    </row>
    <row r="47" spans="2:4">
      <c r="B47" s="194" t="s">
        <v>184</v>
      </c>
      <c r="C47" s="195">
        <v>0.13450000000000001</v>
      </c>
      <c r="D47" s="8"/>
    </row>
    <row r="48" spans="2:4">
      <c r="B48" s="178" t="s">
        <v>185</v>
      </c>
      <c r="C48" s="268">
        <v>0.25169999999999998</v>
      </c>
    </row>
    <row r="49" spans="2:5">
      <c r="B49" s="174" t="s">
        <v>186</v>
      </c>
      <c r="C49" s="207">
        <f>C47*(1-C48)</f>
        <v>0.10064635</v>
      </c>
    </row>
    <row r="51" spans="2:5">
      <c r="B51" s="11" t="s">
        <v>187</v>
      </c>
    </row>
    <row r="52" spans="2:5">
      <c r="B52" s="174" t="s">
        <v>2</v>
      </c>
      <c r="C52" s="208" t="s">
        <v>188</v>
      </c>
      <c r="D52" s="208" t="s">
        <v>33</v>
      </c>
      <c r="E52" s="209" t="s">
        <v>102</v>
      </c>
    </row>
    <row r="53" spans="2:5">
      <c r="B53" s="178" t="s">
        <v>183</v>
      </c>
      <c r="C53" s="210">
        <f>C49</f>
        <v>0.10064635</v>
      </c>
      <c r="D53" s="211">
        <v>0.7</v>
      </c>
      <c r="E53" s="260">
        <f>C53*D53</f>
        <v>7.0452444999999989E-2</v>
      </c>
    </row>
    <row r="54" spans="2:5">
      <c r="B54" s="178" t="s">
        <v>174</v>
      </c>
      <c r="C54" s="210">
        <f>C37</f>
        <v>0.16024441119078209</v>
      </c>
      <c r="D54" s="211">
        <f>1-D53</f>
        <v>0.30000000000000004</v>
      </c>
      <c r="E54" s="260">
        <f>C54*D54</f>
        <v>4.8073323357234632E-2</v>
      </c>
    </row>
    <row r="55" spans="2:5">
      <c r="B55" s="178" t="s">
        <v>189</v>
      </c>
      <c r="C55" s="173"/>
      <c r="D55" s="173"/>
      <c r="E55" s="261">
        <f>SUM(E53:E54)</f>
        <v>0.11852576835723462</v>
      </c>
    </row>
    <row r="56" spans="2:5">
      <c r="B56" s="178" t="s">
        <v>190</v>
      </c>
      <c r="C56" s="173"/>
      <c r="D56" s="173"/>
      <c r="E56" s="272">
        <v>0.02</v>
      </c>
    </row>
    <row r="57" spans="2:5">
      <c r="B57" s="174" t="s">
        <v>191</v>
      </c>
      <c r="C57" s="208"/>
      <c r="D57" s="208"/>
      <c r="E57" s="262">
        <f>E55+E56</f>
        <v>0.13852576835723462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Y44"/>
  <sheetViews>
    <sheetView workbookViewId="0">
      <pane xSplit="1" ySplit="1" topLeftCell="B28" activePane="bottomRight" state="frozen"/>
      <selection activeCell="U8" sqref="U8"/>
      <selection pane="topRight" activeCell="U8" sqref="U8"/>
      <selection pane="bottomLeft" activeCell="U8" sqref="U8"/>
      <selection pane="bottomRight" activeCell="AB41" sqref="AB41"/>
    </sheetView>
  </sheetViews>
  <sheetFormatPr defaultColWidth="8" defaultRowHeight="12" customHeight="1"/>
  <cols>
    <col min="1" max="1" width="43.140625" style="310" customWidth="1"/>
    <col min="2" max="6" width="8.85546875" style="310" hidden="1" customWidth="1"/>
    <col min="7" max="7" width="10.28515625" style="310" hidden="1" customWidth="1"/>
    <col min="8" max="18" width="8.85546875" style="310" hidden="1" customWidth="1"/>
    <col min="19" max="19" width="10.28515625" style="310" hidden="1" customWidth="1"/>
    <col min="20" max="25" width="8.85546875" style="310" hidden="1" customWidth="1"/>
    <col min="26" max="30" width="8.85546875" style="310" customWidth="1"/>
    <col min="31" max="31" width="10.28515625" style="310" customWidth="1"/>
    <col min="32" max="42" width="8.85546875" style="310" customWidth="1"/>
    <col min="43" max="43" width="10.28515625" style="310" customWidth="1"/>
    <col min="44" max="54" width="8.85546875" style="310" customWidth="1"/>
    <col min="55" max="55" width="10.28515625" style="310" customWidth="1"/>
    <col min="56" max="66" width="8.85546875" style="310" customWidth="1"/>
    <col min="67" max="67" width="10.28515625" style="310" customWidth="1"/>
    <col min="68" max="78" width="8.85546875" style="310" customWidth="1"/>
    <col min="79" max="79" width="10.28515625" style="310" customWidth="1"/>
    <col min="80" max="90" width="8.85546875" style="310" customWidth="1"/>
    <col min="91" max="91" width="10.28515625" style="310" customWidth="1"/>
    <col min="92" max="103" width="8.85546875" style="310" customWidth="1"/>
    <col min="104" max="16384" width="8" style="310"/>
  </cols>
  <sheetData>
    <row r="1" spans="1:103" s="372" customFormat="1" ht="12" customHeight="1">
      <c r="A1" s="456" t="s">
        <v>620</v>
      </c>
      <c r="B1" s="374">
        <v>43951</v>
      </c>
      <c r="C1" s="374">
        <v>43982</v>
      </c>
      <c r="D1" s="374">
        <v>44012</v>
      </c>
      <c r="E1" s="374">
        <v>44043</v>
      </c>
      <c r="F1" s="374">
        <v>44074</v>
      </c>
      <c r="G1" s="374">
        <v>44104</v>
      </c>
      <c r="H1" s="374">
        <v>44135</v>
      </c>
      <c r="I1" s="374">
        <v>44165</v>
      </c>
      <c r="J1" s="374">
        <v>44196</v>
      </c>
      <c r="K1" s="374">
        <v>44227</v>
      </c>
      <c r="L1" s="374">
        <v>44255</v>
      </c>
      <c r="M1" s="374">
        <v>44286</v>
      </c>
      <c r="N1" s="374">
        <v>44316</v>
      </c>
      <c r="O1" s="374">
        <v>44347</v>
      </c>
      <c r="P1" s="374">
        <v>44377</v>
      </c>
      <c r="Q1" s="374">
        <v>44408</v>
      </c>
      <c r="R1" s="374">
        <v>44439</v>
      </c>
      <c r="S1" s="374">
        <v>44469</v>
      </c>
      <c r="T1" s="374">
        <v>44500</v>
      </c>
      <c r="U1" s="374">
        <v>44530</v>
      </c>
      <c r="V1" s="374">
        <v>44561</v>
      </c>
      <c r="W1" s="374">
        <v>44592</v>
      </c>
      <c r="X1" s="374">
        <v>44620</v>
      </c>
      <c r="Y1" s="374">
        <v>44651</v>
      </c>
      <c r="Z1" s="374">
        <v>44681</v>
      </c>
      <c r="AA1" s="374">
        <v>44712</v>
      </c>
      <c r="AB1" s="374">
        <v>44742</v>
      </c>
      <c r="AC1" s="374">
        <v>44773</v>
      </c>
      <c r="AD1" s="374">
        <v>44804</v>
      </c>
      <c r="AE1" s="374">
        <v>44834</v>
      </c>
      <c r="AF1" s="374">
        <v>44865</v>
      </c>
      <c r="AG1" s="374">
        <v>44895</v>
      </c>
      <c r="AH1" s="374">
        <v>44926</v>
      </c>
      <c r="AI1" s="374">
        <v>44957</v>
      </c>
      <c r="AJ1" s="374">
        <v>44985</v>
      </c>
      <c r="AK1" s="374">
        <v>45016</v>
      </c>
      <c r="AL1" s="374">
        <v>45046</v>
      </c>
      <c r="AM1" s="374">
        <v>45077</v>
      </c>
      <c r="AN1" s="374">
        <v>45107</v>
      </c>
      <c r="AO1" s="374">
        <v>45138</v>
      </c>
      <c r="AP1" s="374">
        <v>45169</v>
      </c>
      <c r="AQ1" s="374">
        <v>45199</v>
      </c>
      <c r="AR1" s="374">
        <v>45230</v>
      </c>
      <c r="AS1" s="374">
        <v>45260</v>
      </c>
      <c r="AT1" s="374">
        <v>45291</v>
      </c>
      <c r="AU1" s="374">
        <v>45322</v>
      </c>
      <c r="AV1" s="374">
        <v>45351</v>
      </c>
      <c r="AW1" s="374">
        <v>45382</v>
      </c>
      <c r="AX1" s="374">
        <v>45412</v>
      </c>
      <c r="AY1" s="374">
        <v>45443</v>
      </c>
      <c r="AZ1" s="374">
        <v>45473</v>
      </c>
      <c r="BA1" s="374">
        <v>45504</v>
      </c>
      <c r="BB1" s="374">
        <v>45535</v>
      </c>
      <c r="BC1" s="374">
        <v>45565</v>
      </c>
      <c r="BD1" s="374">
        <v>45596</v>
      </c>
      <c r="BE1" s="374">
        <v>45626</v>
      </c>
      <c r="BF1" s="374">
        <v>45657</v>
      </c>
      <c r="BG1" s="374">
        <v>45688</v>
      </c>
      <c r="BH1" s="374">
        <v>45716</v>
      </c>
      <c r="BI1" s="374">
        <v>45747</v>
      </c>
      <c r="BJ1" s="374">
        <v>45777</v>
      </c>
      <c r="BK1" s="374">
        <v>45808</v>
      </c>
      <c r="BL1" s="374">
        <v>45838</v>
      </c>
      <c r="BM1" s="374">
        <v>45869</v>
      </c>
      <c r="BN1" s="374">
        <v>45900</v>
      </c>
      <c r="BO1" s="374">
        <v>45930</v>
      </c>
      <c r="BP1" s="374">
        <v>45961</v>
      </c>
      <c r="BQ1" s="374">
        <v>45991</v>
      </c>
      <c r="BR1" s="374">
        <v>46022</v>
      </c>
      <c r="BS1" s="374">
        <v>46053</v>
      </c>
      <c r="BT1" s="374">
        <v>46081</v>
      </c>
      <c r="BU1" s="374">
        <v>46112</v>
      </c>
      <c r="BV1" s="374">
        <v>46142</v>
      </c>
      <c r="BW1" s="374">
        <v>46173</v>
      </c>
      <c r="BX1" s="374">
        <v>46203</v>
      </c>
      <c r="BY1" s="374">
        <v>46234</v>
      </c>
      <c r="BZ1" s="374">
        <v>46265</v>
      </c>
      <c r="CA1" s="374">
        <v>46295</v>
      </c>
      <c r="CB1" s="374">
        <v>46326</v>
      </c>
      <c r="CC1" s="374">
        <v>46356</v>
      </c>
      <c r="CD1" s="374">
        <v>46387</v>
      </c>
      <c r="CE1" s="374">
        <v>46418</v>
      </c>
      <c r="CF1" s="374">
        <v>46446</v>
      </c>
      <c r="CG1" s="374">
        <v>46477</v>
      </c>
      <c r="CH1" s="374">
        <v>46507</v>
      </c>
      <c r="CI1" s="374">
        <v>46538</v>
      </c>
      <c r="CJ1" s="374">
        <v>46568</v>
      </c>
      <c r="CK1" s="374">
        <v>46599</v>
      </c>
      <c r="CL1" s="374">
        <v>46630</v>
      </c>
      <c r="CM1" s="374">
        <v>46660</v>
      </c>
      <c r="CN1" s="374">
        <v>46691</v>
      </c>
      <c r="CO1" s="374">
        <v>46721</v>
      </c>
      <c r="CP1" s="374">
        <v>46752</v>
      </c>
      <c r="CQ1" s="374">
        <v>46783</v>
      </c>
      <c r="CR1" s="374">
        <v>46812</v>
      </c>
      <c r="CS1" s="374">
        <v>46843</v>
      </c>
      <c r="CT1" s="374">
        <v>46873</v>
      </c>
      <c r="CU1" s="374">
        <v>46904</v>
      </c>
      <c r="CV1" s="374">
        <v>46934</v>
      </c>
      <c r="CW1" s="374">
        <v>46965</v>
      </c>
      <c r="CX1" s="374">
        <v>46996</v>
      </c>
      <c r="CY1" s="374">
        <v>47026</v>
      </c>
    </row>
    <row r="2" spans="1:103" ht="12" customHeight="1">
      <c r="A2" s="310" t="s">
        <v>621</v>
      </c>
      <c r="B2" s="457">
        <v>73840</v>
      </c>
      <c r="C2" s="457">
        <v>73840</v>
      </c>
      <c r="D2" s="457">
        <v>73840</v>
      </c>
      <c r="E2" s="457">
        <v>73840</v>
      </c>
      <c r="F2" s="457">
        <v>73840</v>
      </c>
      <c r="G2" s="457">
        <v>73840</v>
      </c>
      <c r="H2" s="457">
        <v>73840</v>
      </c>
      <c r="I2" s="457">
        <v>73840</v>
      </c>
      <c r="J2" s="457">
        <v>73840</v>
      </c>
      <c r="K2" s="457">
        <v>73840</v>
      </c>
      <c r="L2" s="457">
        <v>73840</v>
      </c>
      <c r="M2" s="457">
        <v>73840</v>
      </c>
      <c r="N2" s="457">
        <v>76793.600000000006</v>
      </c>
      <c r="O2" s="457">
        <v>76793.600000000006</v>
      </c>
      <c r="P2" s="457">
        <v>76793.600000000006</v>
      </c>
      <c r="Q2" s="457">
        <v>76793.600000000006</v>
      </c>
      <c r="R2" s="457">
        <v>76793.600000000006</v>
      </c>
      <c r="S2" s="457">
        <v>76793.600000000006</v>
      </c>
      <c r="T2" s="457">
        <v>76793.600000000006</v>
      </c>
      <c r="U2" s="457">
        <v>76793.600000000006</v>
      </c>
      <c r="V2" s="457">
        <v>76793.600000000006</v>
      </c>
      <c r="W2" s="457">
        <v>76793.600000000006</v>
      </c>
      <c r="X2" s="457">
        <v>76793.600000000006</v>
      </c>
      <c r="Y2" s="457">
        <v>76793.600000000006</v>
      </c>
      <c r="Z2" s="457">
        <v>79865.344000000012</v>
      </c>
      <c r="AA2" s="457">
        <v>79865.344000000012</v>
      </c>
      <c r="AB2" s="457">
        <v>79865.344000000012</v>
      </c>
      <c r="AC2" s="457">
        <v>79865.344000000012</v>
      </c>
      <c r="AD2" s="457">
        <v>79865.344000000012</v>
      </c>
      <c r="AE2" s="457">
        <v>79865.344000000012</v>
      </c>
      <c r="AF2" s="457">
        <v>79865.344000000012</v>
      </c>
      <c r="AG2" s="457">
        <v>79865.344000000012</v>
      </c>
      <c r="AH2" s="457">
        <v>79865.344000000012</v>
      </c>
      <c r="AI2" s="457">
        <v>79865.344000000012</v>
      </c>
      <c r="AJ2" s="457">
        <v>79865.344000000012</v>
      </c>
      <c r="AK2" s="457">
        <v>79865.344000000012</v>
      </c>
      <c r="AL2" s="457">
        <v>83059.957760000019</v>
      </c>
      <c r="AM2" s="457">
        <v>83059.957760000019</v>
      </c>
      <c r="AN2" s="457">
        <v>83059.957760000019</v>
      </c>
      <c r="AO2" s="457">
        <v>83059.957760000019</v>
      </c>
      <c r="AP2" s="457">
        <v>83059.957760000019</v>
      </c>
      <c r="AQ2" s="457">
        <v>83059.957760000019</v>
      </c>
      <c r="AR2" s="457">
        <v>83059.957760000019</v>
      </c>
      <c r="AS2" s="457">
        <v>83059.957760000019</v>
      </c>
      <c r="AT2" s="457">
        <v>83059.957760000019</v>
      </c>
      <c r="AU2" s="457">
        <v>83059.957760000019</v>
      </c>
      <c r="AV2" s="457">
        <v>83059.957760000019</v>
      </c>
      <c r="AW2" s="457">
        <v>83059.957760000019</v>
      </c>
      <c r="AX2" s="457">
        <v>86382.356070400012</v>
      </c>
      <c r="AY2" s="457">
        <v>86382.356070400012</v>
      </c>
      <c r="AZ2" s="457">
        <v>86382.356070400012</v>
      </c>
      <c r="BA2" s="457">
        <v>86382.356070400012</v>
      </c>
      <c r="BB2" s="457">
        <v>86382.356070400012</v>
      </c>
      <c r="BC2" s="457">
        <v>86382.356070400012</v>
      </c>
      <c r="BD2" s="457">
        <v>86382.356070400012</v>
      </c>
      <c r="BE2" s="457">
        <v>86382.356070400012</v>
      </c>
      <c r="BF2" s="457">
        <v>86382.356070400012</v>
      </c>
      <c r="BG2" s="457">
        <v>86382.356070400012</v>
      </c>
      <c r="BH2" s="457">
        <v>86382.356070400012</v>
      </c>
      <c r="BI2" s="457">
        <v>86382.356070400012</v>
      </c>
      <c r="BJ2" s="457">
        <v>89837.650313216029</v>
      </c>
      <c r="BK2" s="457">
        <v>89837.650313216029</v>
      </c>
      <c r="BL2" s="457">
        <v>89837.650313216029</v>
      </c>
      <c r="BM2" s="457">
        <v>89837.650313216029</v>
      </c>
      <c r="BN2" s="457">
        <v>89837.650313216029</v>
      </c>
      <c r="BO2" s="457">
        <v>89837.650313216029</v>
      </c>
      <c r="BP2" s="457">
        <v>89837.650313216029</v>
      </c>
      <c r="BQ2" s="457">
        <v>89837.650313216029</v>
      </c>
      <c r="BR2" s="457">
        <v>89837.650313216029</v>
      </c>
      <c r="BS2" s="457">
        <v>89837.650313216029</v>
      </c>
      <c r="BT2" s="457">
        <v>89837.650313216029</v>
      </c>
      <c r="BU2" s="457">
        <v>89837.650313216029</v>
      </c>
      <c r="BV2" s="457">
        <v>93431.156325744669</v>
      </c>
      <c r="BW2" s="457">
        <v>93431.156325744669</v>
      </c>
      <c r="BX2" s="457">
        <v>93431.156325744669</v>
      </c>
      <c r="BY2" s="457">
        <v>93431.156325744669</v>
      </c>
      <c r="BZ2" s="457">
        <v>93431.156325744669</v>
      </c>
      <c r="CA2" s="457">
        <v>93431.156325744669</v>
      </c>
      <c r="CB2" s="457">
        <v>93431.156325744669</v>
      </c>
      <c r="CC2" s="457">
        <v>93431.156325744669</v>
      </c>
      <c r="CD2" s="457">
        <v>93431.156325744669</v>
      </c>
      <c r="CE2" s="457">
        <v>93431.156325744669</v>
      </c>
      <c r="CF2" s="457">
        <v>93431.156325744669</v>
      </c>
      <c r="CG2" s="457">
        <v>93431.156325744669</v>
      </c>
      <c r="CH2" s="457">
        <v>97168.402578774461</v>
      </c>
      <c r="CI2" s="457">
        <v>97168.402578774461</v>
      </c>
      <c r="CJ2" s="457">
        <v>97168.402578774461</v>
      </c>
      <c r="CK2" s="457">
        <v>97168.402578774461</v>
      </c>
      <c r="CL2" s="457">
        <v>97168.402578774461</v>
      </c>
      <c r="CM2" s="457">
        <v>97168.402578774461</v>
      </c>
      <c r="CN2" s="457">
        <v>97168.402578774461</v>
      </c>
      <c r="CO2" s="457">
        <v>97168.402578774461</v>
      </c>
      <c r="CP2" s="457">
        <v>97168.402578774461</v>
      </c>
      <c r="CQ2" s="457">
        <v>97168.402578774461</v>
      </c>
      <c r="CR2" s="457">
        <v>97168.402578774461</v>
      </c>
      <c r="CS2" s="457">
        <v>97168.402578774461</v>
      </c>
      <c r="CT2" s="457">
        <v>101055.13868192544</v>
      </c>
      <c r="CU2" s="457">
        <v>101055.13868192544</v>
      </c>
      <c r="CV2" s="457">
        <v>101055.13868192544</v>
      </c>
      <c r="CW2" s="457">
        <v>101055.13868192544</v>
      </c>
      <c r="CX2" s="457">
        <v>101055.13868192544</v>
      </c>
      <c r="CY2" s="457">
        <v>101055.13868192544</v>
      </c>
    </row>
    <row r="3" spans="1:103" ht="12" customHeight="1">
      <c r="A3" s="310" t="s">
        <v>622</v>
      </c>
      <c r="B3" s="439">
        <v>1170000</v>
      </c>
      <c r="C3" s="439">
        <v>1170000</v>
      </c>
      <c r="D3" s="439">
        <v>1170000</v>
      </c>
      <c r="E3" s="439">
        <v>1170000</v>
      </c>
      <c r="F3" s="439">
        <v>1170000</v>
      </c>
      <c r="G3" s="439">
        <v>1170000</v>
      </c>
      <c r="H3" s="439">
        <v>1170000</v>
      </c>
      <c r="I3" s="439">
        <v>1170000</v>
      </c>
      <c r="J3" s="439">
        <v>1170000</v>
      </c>
      <c r="K3" s="439">
        <v>1170000</v>
      </c>
      <c r="L3" s="439">
        <v>1170000</v>
      </c>
      <c r="M3" s="439">
        <v>1170000</v>
      </c>
      <c r="N3" s="439">
        <v>535392</v>
      </c>
      <c r="O3" s="439">
        <v>535392</v>
      </c>
      <c r="P3" s="439">
        <v>535392</v>
      </c>
      <c r="Q3" s="439">
        <v>535392</v>
      </c>
      <c r="R3" s="439">
        <v>535392</v>
      </c>
      <c r="S3" s="439">
        <v>535392</v>
      </c>
      <c r="T3" s="439">
        <v>486720</v>
      </c>
      <c r="U3" s="439">
        <v>486720</v>
      </c>
      <c r="V3" s="439">
        <v>486720</v>
      </c>
      <c r="W3" s="439">
        <v>486720</v>
      </c>
      <c r="X3" s="439">
        <v>486720</v>
      </c>
      <c r="Y3" s="439">
        <v>486720</v>
      </c>
      <c r="Z3" s="439">
        <v>506188.80000000005</v>
      </c>
      <c r="AA3" s="439">
        <v>506188.80000000005</v>
      </c>
      <c r="AB3" s="439">
        <v>506188.80000000005</v>
      </c>
      <c r="AC3" s="439">
        <v>506188.80000000005</v>
      </c>
      <c r="AD3" s="439">
        <v>506188.80000000005</v>
      </c>
      <c r="AE3" s="439">
        <v>506188.80000000005</v>
      </c>
      <c r="AF3" s="439">
        <v>506188.80000000005</v>
      </c>
      <c r="AG3" s="439">
        <v>506188.80000000005</v>
      </c>
      <c r="AH3" s="439">
        <v>506188.80000000005</v>
      </c>
      <c r="AI3" s="439">
        <v>506188.80000000005</v>
      </c>
      <c r="AJ3" s="439">
        <v>506188.80000000005</v>
      </c>
      <c r="AK3" s="439">
        <v>506188.80000000005</v>
      </c>
      <c r="AL3" s="439">
        <v>526436.35200000007</v>
      </c>
      <c r="AM3" s="439">
        <v>526436.35200000007</v>
      </c>
      <c r="AN3" s="439">
        <v>526436.35200000007</v>
      </c>
      <c r="AO3" s="439">
        <v>526436.35200000007</v>
      </c>
      <c r="AP3" s="439">
        <v>526436.35200000007</v>
      </c>
      <c r="AQ3" s="439">
        <v>526436.35200000007</v>
      </c>
      <c r="AR3" s="439">
        <v>526436.35200000007</v>
      </c>
      <c r="AS3" s="439">
        <v>526436.35200000007</v>
      </c>
      <c r="AT3" s="439">
        <v>526436.35200000007</v>
      </c>
      <c r="AU3" s="439">
        <v>526436.35200000007</v>
      </c>
      <c r="AV3" s="439">
        <v>526436.35200000007</v>
      </c>
      <c r="AW3" s="439">
        <v>526436.35200000007</v>
      </c>
      <c r="AX3" s="439">
        <v>547493.80608000001</v>
      </c>
      <c r="AY3" s="439">
        <v>547493.80608000001</v>
      </c>
      <c r="AZ3" s="439">
        <v>547493.80608000001</v>
      </c>
      <c r="BA3" s="439">
        <v>547493.80608000001</v>
      </c>
      <c r="BB3" s="439">
        <v>547493.80608000001</v>
      </c>
      <c r="BC3" s="439">
        <v>547493.80608000001</v>
      </c>
      <c r="BD3" s="439">
        <v>547493.80608000001</v>
      </c>
      <c r="BE3" s="439">
        <v>547493.80608000001</v>
      </c>
      <c r="BF3" s="439">
        <v>547493.80608000001</v>
      </c>
      <c r="BG3" s="439">
        <v>547493.80608000001</v>
      </c>
      <c r="BH3" s="439">
        <v>547493.80608000001</v>
      </c>
      <c r="BI3" s="439">
        <v>547493.80608000001</v>
      </c>
      <c r="BJ3" s="439">
        <v>569393.55832320009</v>
      </c>
      <c r="BK3" s="439">
        <v>569393.55832320009</v>
      </c>
      <c r="BL3" s="439">
        <v>569393.55832320009</v>
      </c>
      <c r="BM3" s="439">
        <v>569393.55832320009</v>
      </c>
      <c r="BN3" s="439">
        <v>569393.55832320009</v>
      </c>
      <c r="BO3" s="439">
        <v>569393.55832320009</v>
      </c>
      <c r="BP3" s="439">
        <v>569393.55832320009</v>
      </c>
      <c r="BQ3" s="439">
        <v>569393.55832320009</v>
      </c>
      <c r="BR3" s="439">
        <v>569393.55832320009</v>
      </c>
      <c r="BS3" s="439">
        <v>569393.55832320009</v>
      </c>
      <c r="BT3" s="439">
        <v>569393.55832320009</v>
      </c>
      <c r="BU3" s="439">
        <v>569393.55832320009</v>
      </c>
      <c r="BV3" s="439">
        <v>592169.30065612821</v>
      </c>
      <c r="BW3" s="439">
        <v>592169.30065612821</v>
      </c>
      <c r="BX3" s="439">
        <v>592169.30065612821</v>
      </c>
      <c r="BY3" s="439">
        <v>592169.30065612821</v>
      </c>
      <c r="BZ3" s="439">
        <v>592169.30065612821</v>
      </c>
      <c r="CA3" s="439">
        <v>592169.30065612821</v>
      </c>
      <c r="CB3" s="439">
        <v>592169.30065612821</v>
      </c>
      <c r="CC3" s="439">
        <v>592169.30065612821</v>
      </c>
      <c r="CD3" s="439">
        <v>592169.30065612821</v>
      </c>
      <c r="CE3" s="439">
        <v>592169.30065612821</v>
      </c>
      <c r="CF3" s="439">
        <v>592169.30065612821</v>
      </c>
      <c r="CG3" s="439">
        <v>592169.30065612821</v>
      </c>
      <c r="CH3" s="439">
        <v>615856.07268237334</v>
      </c>
      <c r="CI3" s="439">
        <v>615856.07268237334</v>
      </c>
      <c r="CJ3" s="439">
        <v>615856.07268237334</v>
      </c>
      <c r="CK3" s="439">
        <v>615856.07268237334</v>
      </c>
      <c r="CL3" s="439">
        <v>615856.07268237334</v>
      </c>
      <c r="CM3" s="439">
        <v>615856.07268237334</v>
      </c>
      <c r="CN3" s="439">
        <v>615856.07268237334</v>
      </c>
      <c r="CO3" s="439">
        <v>615856.07268237334</v>
      </c>
      <c r="CP3" s="439">
        <v>615856.07268237334</v>
      </c>
      <c r="CQ3" s="439">
        <v>615856.07268237334</v>
      </c>
      <c r="CR3" s="439">
        <v>615856.07268237334</v>
      </c>
      <c r="CS3" s="439">
        <v>615856.07268237334</v>
      </c>
      <c r="CT3" s="439">
        <v>640490.31558966835</v>
      </c>
      <c r="CU3" s="439">
        <v>640490.31558966835</v>
      </c>
      <c r="CV3" s="439">
        <v>640490.31558966835</v>
      </c>
      <c r="CW3" s="439">
        <v>640490.31558966835</v>
      </c>
      <c r="CX3" s="439">
        <v>640490.31558966835</v>
      </c>
      <c r="CY3" s="439">
        <v>640490.31558966835</v>
      </c>
    </row>
    <row r="4" spans="1:103" ht="12" customHeight="1">
      <c r="A4" s="310" t="s">
        <v>623</v>
      </c>
      <c r="B4" s="439">
        <v>104000</v>
      </c>
      <c r="C4" s="439">
        <v>104000</v>
      </c>
      <c r="D4" s="439">
        <v>104000</v>
      </c>
      <c r="E4" s="439">
        <v>104000</v>
      </c>
      <c r="F4" s="439">
        <v>104000</v>
      </c>
      <c r="G4" s="439">
        <v>104000</v>
      </c>
      <c r="H4" s="439">
        <v>104000</v>
      </c>
      <c r="I4" s="439">
        <v>104000</v>
      </c>
      <c r="J4" s="439">
        <v>104000</v>
      </c>
      <c r="K4" s="439">
        <v>104000</v>
      </c>
      <c r="L4" s="439">
        <v>104000</v>
      </c>
      <c r="M4" s="439">
        <v>104000</v>
      </c>
      <c r="N4" s="439">
        <v>108160</v>
      </c>
      <c r="O4" s="439">
        <v>108160</v>
      </c>
      <c r="P4" s="439">
        <v>108160</v>
      </c>
      <c r="Q4" s="439">
        <v>108160</v>
      </c>
      <c r="R4" s="439">
        <v>108160</v>
      </c>
      <c r="S4" s="439">
        <v>108160</v>
      </c>
      <c r="T4" s="439">
        <v>108160</v>
      </c>
      <c r="U4" s="439">
        <v>108160</v>
      </c>
      <c r="V4" s="439">
        <v>108160</v>
      </c>
      <c r="W4" s="439">
        <v>108160</v>
      </c>
      <c r="X4" s="439">
        <v>108160</v>
      </c>
      <c r="Y4" s="439">
        <v>108160</v>
      </c>
      <c r="Z4" s="439">
        <v>112486.40000000001</v>
      </c>
      <c r="AA4" s="439">
        <v>112486.40000000001</v>
      </c>
      <c r="AB4" s="439">
        <v>112486.40000000001</v>
      </c>
      <c r="AC4" s="439">
        <v>112486.40000000001</v>
      </c>
      <c r="AD4" s="439">
        <v>112486.40000000001</v>
      </c>
      <c r="AE4" s="439">
        <v>112486.40000000001</v>
      </c>
      <c r="AF4" s="439">
        <v>112486.40000000001</v>
      </c>
      <c r="AG4" s="439">
        <v>112486.40000000001</v>
      </c>
      <c r="AH4" s="439">
        <v>112486.40000000001</v>
      </c>
      <c r="AI4" s="439">
        <v>112486.40000000001</v>
      </c>
      <c r="AJ4" s="439">
        <v>112486.40000000001</v>
      </c>
      <c r="AK4" s="439">
        <v>112486.40000000001</v>
      </c>
      <c r="AL4" s="439">
        <v>116985.85600000001</v>
      </c>
      <c r="AM4" s="439">
        <v>116985.85600000001</v>
      </c>
      <c r="AN4" s="439">
        <v>116985.85600000001</v>
      </c>
      <c r="AO4" s="439">
        <v>116985.85600000001</v>
      </c>
      <c r="AP4" s="439">
        <v>116985.85600000001</v>
      </c>
      <c r="AQ4" s="439">
        <v>116985.85600000001</v>
      </c>
      <c r="AR4" s="439">
        <v>116985.85600000001</v>
      </c>
      <c r="AS4" s="439">
        <v>116985.85600000001</v>
      </c>
      <c r="AT4" s="439">
        <v>116985.85600000001</v>
      </c>
      <c r="AU4" s="439">
        <v>116985.85600000001</v>
      </c>
      <c r="AV4" s="439">
        <v>116985.85600000001</v>
      </c>
      <c r="AW4" s="439">
        <v>116985.85600000001</v>
      </c>
      <c r="AX4" s="439">
        <v>121665.29024000002</v>
      </c>
      <c r="AY4" s="439">
        <v>121665.29024000002</v>
      </c>
      <c r="AZ4" s="439">
        <v>121665.29024000002</v>
      </c>
      <c r="BA4" s="439">
        <v>121665.29024000002</v>
      </c>
      <c r="BB4" s="439">
        <v>121665.29024000002</v>
      </c>
      <c r="BC4" s="439">
        <v>121665.29024000002</v>
      </c>
      <c r="BD4" s="439">
        <v>121665.29024000002</v>
      </c>
      <c r="BE4" s="439">
        <v>121665.29024000002</v>
      </c>
      <c r="BF4" s="439">
        <v>121665.29024000002</v>
      </c>
      <c r="BG4" s="439">
        <v>121665.29024000002</v>
      </c>
      <c r="BH4" s="439">
        <v>121665.29024000002</v>
      </c>
      <c r="BI4" s="439">
        <v>121665.29024000002</v>
      </c>
      <c r="BJ4" s="439">
        <v>126531.90184960002</v>
      </c>
      <c r="BK4" s="439">
        <v>126531.90184960002</v>
      </c>
      <c r="BL4" s="439">
        <v>126531.90184960002</v>
      </c>
      <c r="BM4" s="439">
        <v>126531.90184960002</v>
      </c>
      <c r="BN4" s="439">
        <v>126531.90184960002</v>
      </c>
      <c r="BO4" s="439">
        <v>126531.90184960002</v>
      </c>
      <c r="BP4" s="439">
        <v>126531.90184960002</v>
      </c>
      <c r="BQ4" s="439">
        <v>126531.90184960002</v>
      </c>
      <c r="BR4" s="439">
        <v>126531.90184960002</v>
      </c>
      <c r="BS4" s="439">
        <v>126531.90184960002</v>
      </c>
      <c r="BT4" s="439">
        <v>126531.90184960002</v>
      </c>
      <c r="BU4" s="439">
        <v>126531.90184960002</v>
      </c>
      <c r="BV4" s="439">
        <v>131593.17792358404</v>
      </c>
      <c r="BW4" s="439">
        <v>131593.17792358404</v>
      </c>
      <c r="BX4" s="439">
        <v>131593.17792358404</v>
      </c>
      <c r="BY4" s="439">
        <v>131593.17792358404</v>
      </c>
      <c r="BZ4" s="439">
        <v>131593.17792358404</v>
      </c>
      <c r="CA4" s="439">
        <v>131593.17792358404</v>
      </c>
      <c r="CB4" s="439">
        <v>131593.17792358404</v>
      </c>
      <c r="CC4" s="439">
        <v>131593.17792358404</v>
      </c>
      <c r="CD4" s="439">
        <v>131593.17792358404</v>
      </c>
      <c r="CE4" s="439">
        <v>131593.17792358404</v>
      </c>
      <c r="CF4" s="439">
        <v>131593.17792358404</v>
      </c>
      <c r="CG4" s="439">
        <v>131593.17792358404</v>
      </c>
      <c r="CH4" s="439">
        <v>136856.9050405274</v>
      </c>
      <c r="CI4" s="439">
        <v>136856.9050405274</v>
      </c>
      <c r="CJ4" s="439">
        <v>136856.9050405274</v>
      </c>
      <c r="CK4" s="439">
        <v>136856.9050405274</v>
      </c>
      <c r="CL4" s="439">
        <v>136856.9050405274</v>
      </c>
      <c r="CM4" s="439">
        <v>136856.9050405274</v>
      </c>
      <c r="CN4" s="439">
        <v>136856.9050405274</v>
      </c>
      <c r="CO4" s="439">
        <v>136856.9050405274</v>
      </c>
      <c r="CP4" s="439">
        <v>136856.9050405274</v>
      </c>
      <c r="CQ4" s="439">
        <v>136856.9050405274</v>
      </c>
      <c r="CR4" s="439">
        <v>136856.9050405274</v>
      </c>
      <c r="CS4" s="439">
        <v>136856.9050405274</v>
      </c>
      <c r="CT4" s="439">
        <v>142331.18124214851</v>
      </c>
      <c r="CU4" s="439">
        <v>142331.18124214851</v>
      </c>
      <c r="CV4" s="439">
        <v>142331.18124214851</v>
      </c>
      <c r="CW4" s="439">
        <v>142331.18124214851</v>
      </c>
      <c r="CX4" s="439">
        <v>142331.18124214851</v>
      </c>
      <c r="CY4" s="439">
        <v>142331.18124214851</v>
      </c>
    </row>
    <row r="5" spans="1:103" ht="12" customHeight="1">
      <c r="A5" s="310" t="s">
        <v>624</v>
      </c>
      <c r="B5" s="439">
        <v>312000</v>
      </c>
      <c r="C5" s="439">
        <v>312000</v>
      </c>
      <c r="D5" s="439">
        <v>312000</v>
      </c>
      <c r="E5" s="439">
        <v>312000</v>
      </c>
      <c r="F5" s="439">
        <v>312000</v>
      </c>
      <c r="G5" s="439">
        <v>312000</v>
      </c>
      <c r="H5" s="439">
        <v>312000</v>
      </c>
      <c r="I5" s="439">
        <v>312000</v>
      </c>
      <c r="J5" s="439">
        <v>312000</v>
      </c>
      <c r="K5" s="439">
        <v>312000</v>
      </c>
      <c r="L5" s="439">
        <v>312000</v>
      </c>
      <c r="M5" s="439">
        <v>312000</v>
      </c>
      <c r="N5" s="439">
        <v>324480</v>
      </c>
      <c r="O5" s="439">
        <v>324480</v>
      </c>
      <c r="P5" s="439">
        <v>324480</v>
      </c>
      <c r="Q5" s="439">
        <v>324480</v>
      </c>
      <c r="R5" s="439">
        <v>324480</v>
      </c>
      <c r="S5" s="439">
        <v>324480</v>
      </c>
      <c r="T5" s="439">
        <v>324480</v>
      </c>
      <c r="U5" s="439">
        <v>324480</v>
      </c>
      <c r="V5" s="439">
        <v>324480</v>
      </c>
      <c r="W5" s="439">
        <v>324480</v>
      </c>
      <c r="X5" s="439">
        <v>324480</v>
      </c>
      <c r="Y5" s="439">
        <v>324480</v>
      </c>
      <c r="Z5" s="439">
        <v>337459.20000000001</v>
      </c>
      <c r="AA5" s="439">
        <v>337459.20000000001</v>
      </c>
      <c r="AB5" s="439">
        <v>337459.20000000001</v>
      </c>
      <c r="AC5" s="439">
        <v>337459.20000000001</v>
      </c>
      <c r="AD5" s="439">
        <v>337459.20000000001</v>
      </c>
      <c r="AE5" s="439">
        <v>337459.20000000001</v>
      </c>
      <c r="AF5" s="439">
        <v>337459.20000000001</v>
      </c>
      <c r="AG5" s="439">
        <v>337459.20000000001</v>
      </c>
      <c r="AH5" s="439">
        <v>337459.20000000001</v>
      </c>
      <c r="AI5" s="439">
        <v>337459.20000000001</v>
      </c>
      <c r="AJ5" s="439">
        <v>337459.20000000001</v>
      </c>
      <c r="AK5" s="439">
        <v>337459.20000000001</v>
      </c>
      <c r="AL5" s="439">
        <v>350957.56800000003</v>
      </c>
      <c r="AM5" s="439">
        <v>350957.56800000003</v>
      </c>
      <c r="AN5" s="439">
        <v>350957.56800000003</v>
      </c>
      <c r="AO5" s="439">
        <v>350957.56800000003</v>
      </c>
      <c r="AP5" s="439">
        <v>350957.56800000003</v>
      </c>
      <c r="AQ5" s="439">
        <v>350957.56800000003</v>
      </c>
      <c r="AR5" s="439">
        <v>350957.56800000003</v>
      </c>
      <c r="AS5" s="439">
        <v>350957.56800000003</v>
      </c>
      <c r="AT5" s="439">
        <v>350957.56800000003</v>
      </c>
      <c r="AU5" s="439">
        <v>350957.56800000003</v>
      </c>
      <c r="AV5" s="439">
        <v>350957.56800000003</v>
      </c>
      <c r="AW5" s="439">
        <v>350957.56800000003</v>
      </c>
      <c r="AX5" s="439">
        <v>364995.87072000006</v>
      </c>
      <c r="AY5" s="439">
        <v>364995.87072000006</v>
      </c>
      <c r="AZ5" s="439">
        <v>364995.87072000006</v>
      </c>
      <c r="BA5" s="439">
        <v>364995.87072000006</v>
      </c>
      <c r="BB5" s="439">
        <v>364995.87072000006</v>
      </c>
      <c r="BC5" s="439">
        <v>364995.87072000006</v>
      </c>
      <c r="BD5" s="439">
        <v>364995.87072000006</v>
      </c>
      <c r="BE5" s="439">
        <v>364995.87072000006</v>
      </c>
      <c r="BF5" s="439">
        <v>364995.87072000006</v>
      </c>
      <c r="BG5" s="439">
        <v>364995.87072000006</v>
      </c>
      <c r="BH5" s="439">
        <v>364995.87072000006</v>
      </c>
      <c r="BI5" s="439">
        <v>364995.87072000006</v>
      </c>
      <c r="BJ5" s="439">
        <v>379595.70554880006</v>
      </c>
      <c r="BK5" s="439">
        <v>379595.70554880006</v>
      </c>
      <c r="BL5" s="439">
        <v>379595.70554880006</v>
      </c>
      <c r="BM5" s="439">
        <v>379595.70554880006</v>
      </c>
      <c r="BN5" s="439">
        <v>379595.70554880006</v>
      </c>
      <c r="BO5" s="439">
        <v>379595.70554880006</v>
      </c>
      <c r="BP5" s="439">
        <v>379595.70554880006</v>
      </c>
      <c r="BQ5" s="439">
        <v>379595.70554880006</v>
      </c>
      <c r="BR5" s="439">
        <v>379595.70554880006</v>
      </c>
      <c r="BS5" s="439">
        <v>379595.70554880006</v>
      </c>
      <c r="BT5" s="439">
        <v>379595.70554880006</v>
      </c>
      <c r="BU5" s="439">
        <v>379595.70554880006</v>
      </c>
      <c r="BV5" s="439">
        <v>394779.53377075208</v>
      </c>
      <c r="BW5" s="439">
        <v>394779.53377075208</v>
      </c>
      <c r="BX5" s="439">
        <v>394779.53377075208</v>
      </c>
      <c r="BY5" s="439">
        <v>394779.53377075208</v>
      </c>
      <c r="BZ5" s="439">
        <v>394779.53377075208</v>
      </c>
      <c r="CA5" s="439">
        <v>394779.53377075208</v>
      </c>
      <c r="CB5" s="439">
        <v>394779.53377075208</v>
      </c>
      <c r="CC5" s="439">
        <v>394779.53377075208</v>
      </c>
      <c r="CD5" s="439">
        <v>394779.53377075208</v>
      </c>
      <c r="CE5" s="439">
        <v>394779.53377075208</v>
      </c>
      <c r="CF5" s="439">
        <v>394779.53377075208</v>
      </c>
      <c r="CG5" s="439">
        <v>394779.53377075208</v>
      </c>
      <c r="CH5" s="439">
        <v>410570.71512158215</v>
      </c>
      <c r="CI5" s="439">
        <v>410570.71512158215</v>
      </c>
      <c r="CJ5" s="439">
        <v>410570.71512158215</v>
      </c>
      <c r="CK5" s="439">
        <v>410570.71512158215</v>
      </c>
      <c r="CL5" s="439">
        <v>410570.71512158215</v>
      </c>
      <c r="CM5" s="439">
        <v>410570.71512158215</v>
      </c>
      <c r="CN5" s="439">
        <v>410570.71512158215</v>
      </c>
      <c r="CO5" s="439">
        <v>410570.71512158215</v>
      </c>
      <c r="CP5" s="439">
        <v>410570.71512158215</v>
      </c>
      <c r="CQ5" s="439">
        <v>410570.71512158215</v>
      </c>
      <c r="CR5" s="439">
        <v>410570.71512158215</v>
      </c>
      <c r="CS5" s="439">
        <v>410570.71512158215</v>
      </c>
      <c r="CT5" s="439">
        <v>426993.54372644547</v>
      </c>
      <c r="CU5" s="439">
        <v>426993.54372644547</v>
      </c>
      <c r="CV5" s="439">
        <v>426993.54372644547</v>
      </c>
      <c r="CW5" s="439">
        <v>426993.54372644547</v>
      </c>
      <c r="CX5" s="439">
        <v>426993.54372644547</v>
      </c>
      <c r="CY5" s="439">
        <v>426993.54372644547</v>
      </c>
    </row>
    <row r="6" spans="1:103" ht="12" customHeight="1">
      <c r="A6" s="458" t="s">
        <v>625</v>
      </c>
      <c r="B6" s="439">
        <v>15600</v>
      </c>
      <c r="C6" s="439">
        <v>15600</v>
      </c>
      <c r="D6" s="439">
        <v>15600</v>
      </c>
      <c r="E6" s="439">
        <v>15600</v>
      </c>
      <c r="F6" s="439">
        <v>15600</v>
      </c>
      <c r="G6" s="439">
        <v>15600</v>
      </c>
      <c r="H6" s="439">
        <v>15600</v>
      </c>
      <c r="I6" s="439">
        <v>15600</v>
      </c>
      <c r="J6" s="439">
        <v>15600</v>
      </c>
      <c r="K6" s="439">
        <v>15600</v>
      </c>
      <c r="L6" s="439">
        <v>15600</v>
      </c>
      <c r="M6" s="439">
        <v>15600</v>
      </c>
      <c r="N6" s="439">
        <v>16224</v>
      </c>
      <c r="O6" s="439">
        <v>16224</v>
      </c>
      <c r="P6" s="439">
        <v>16224</v>
      </c>
      <c r="Q6" s="439">
        <v>16224</v>
      </c>
      <c r="R6" s="439">
        <v>16224</v>
      </c>
      <c r="S6" s="439">
        <v>16224</v>
      </c>
      <c r="T6" s="439">
        <v>16224</v>
      </c>
      <c r="U6" s="439">
        <v>16224</v>
      </c>
      <c r="V6" s="439">
        <v>16224</v>
      </c>
      <c r="W6" s="439">
        <v>16224</v>
      </c>
      <c r="X6" s="439">
        <v>16224</v>
      </c>
      <c r="Y6" s="439">
        <v>16224</v>
      </c>
      <c r="Z6" s="439">
        <v>16872.96</v>
      </c>
      <c r="AA6" s="439">
        <v>16872.96</v>
      </c>
      <c r="AB6" s="439">
        <v>16872.96</v>
      </c>
      <c r="AC6" s="439">
        <v>16872.96</v>
      </c>
      <c r="AD6" s="439">
        <v>16872.96</v>
      </c>
      <c r="AE6" s="439">
        <v>16872.96</v>
      </c>
      <c r="AF6" s="439">
        <v>16872.96</v>
      </c>
      <c r="AG6" s="439">
        <v>16872.96</v>
      </c>
      <c r="AH6" s="439">
        <v>16872.96</v>
      </c>
      <c r="AI6" s="439">
        <v>16872.96</v>
      </c>
      <c r="AJ6" s="439">
        <v>16872.96</v>
      </c>
      <c r="AK6" s="439">
        <v>16872.96</v>
      </c>
      <c r="AL6" s="439">
        <v>17547.878400000001</v>
      </c>
      <c r="AM6" s="439">
        <v>17547.878400000001</v>
      </c>
      <c r="AN6" s="439">
        <v>17547.878400000001</v>
      </c>
      <c r="AO6" s="439">
        <v>17547.878400000001</v>
      </c>
      <c r="AP6" s="439">
        <v>17547.878400000001</v>
      </c>
      <c r="AQ6" s="439">
        <v>17547.878400000001</v>
      </c>
      <c r="AR6" s="439">
        <v>17547.878400000001</v>
      </c>
      <c r="AS6" s="439">
        <v>17547.878400000001</v>
      </c>
      <c r="AT6" s="439">
        <v>17547.878400000001</v>
      </c>
      <c r="AU6" s="439">
        <v>17547.878400000001</v>
      </c>
      <c r="AV6" s="439">
        <v>17547.878400000001</v>
      </c>
      <c r="AW6" s="439">
        <v>17547.878400000001</v>
      </c>
      <c r="AX6" s="439">
        <v>18249.793536000001</v>
      </c>
      <c r="AY6" s="439">
        <v>18249.793536000001</v>
      </c>
      <c r="AZ6" s="439">
        <v>18249.793536000001</v>
      </c>
      <c r="BA6" s="439">
        <v>18249.793536000001</v>
      </c>
      <c r="BB6" s="439">
        <v>18249.793536000001</v>
      </c>
      <c r="BC6" s="439">
        <v>18249.793536000001</v>
      </c>
      <c r="BD6" s="439">
        <v>18249.793536000001</v>
      </c>
      <c r="BE6" s="439">
        <v>18249.793536000001</v>
      </c>
      <c r="BF6" s="439">
        <v>18249.793536000001</v>
      </c>
      <c r="BG6" s="439">
        <v>18249.793536000001</v>
      </c>
      <c r="BH6" s="439">
        <v>18249.793536000001</v>
      </c>
      <c r="BI6" s="439">
        <v>18249.793536000001</v>
      </c>
      <c r="BJ6" s="439">
        <v>18979.785277440002</v>
      </c>
      <c r="BK6" s="439">
        <v>18979.785277440002</v>
      </c>
      <c r="BL6" s="439">
        <v>18979.785277440002</v>
      </c>
      <c r="BM6" s="439">
        <v>18979.785277440002</v>
      </c>
      <c r="BN6" s="439">
        <v>18979.785277440002</v>
      </c>
      <c r="BO6" s="439">
        <v>18979.785277440002</v>
      </c>
      <c r="BP6" s="439">
        <v>18979.785277440002</v>
      </c>
      <c r="BQ6" s="439">
        <v>18979.785277440002</v>
      </c>
      <c r="BR6" s="439">
        <v>18979.785277440002</v>
      </c>
      <c r="BS6" s="439">
        <v>18979.785277440002</v>
      </c>
      <c r="BT6" s="439">
        <v>18979.785277440002</v>
      </c>
      <c r="BU6" s="439">
        <v>18979.785277440002</v>
      </c>
      <c r="BV6" s="439">
        <v>19738.976688537601</v>
      </c>
      <c r="BW6" s="439">
        <v>19738.976688537601</v>
      </c>
      <c r="BX6" s="439">
        <v>19738.976688537601</v>
      </c>
      <c r="BY6" s="439">
        <v>19738.976688537601</v>
      </c>
      <c r="BZ6" s="439">
        <v>19738.976688537601</v>
      </c>
      <c r="CA6" s="439">
        <v>19738.976688537601</v>
      </c>
      <c r="CB6" s="439">
        <v>19738.976688537601</v>
      </c>
      <c r="CC6" s="439">
        <v>19738.976688537601</v>
      </c>
      <c r="CD6" s="439">
        <v>19738.976688537601</v>
      </c>
      <c r="CE6" s="439">
        <v>19738.976688537601</v>
      </c>
      <c r="CF6" s="439">
        <v>19738.976688537601</v>
      </c>
      <c r="CG6" s="439">
        <v>19738.976688537601</v>
      </c>
      <c r="CH6" s="439">
        <v>20528.535756079105</v>
      </c>
      <c r="CI6" s="439">
        <v>20528.535756079105</v>
      </c>
      <c r="CJ6" s="439">
        <v>20528.535756079105</v>
      </c>
      <c r="CK6" s="439">
        <v>20528.535756079105</v>
      </c>
      <c r="CL6" s="439">
        <v>20528.535756079105</v>
      </c>
      <c r="CM6" s="439">
        <v>20528.535756079105</v>
      </c>
      <c r="CN6" s="439">
        <v>20528.535756079105</v>
      </c>
      <c r="CO6" s="439">
        <v>20528.535756079105</v>
      </c>
      <c r="CP6" s="439">
        <v>20528.535756079105</v>
      </c>
      <c r="CQ6" s="439">
        <v>20528.535756079105</v>
      </c>
      <c r="CR6" s="439">
        <v>20528.535756079105</v>
      </c>
      <c r="CS6" s="439">
        <v>20528.535756079105</v>
      </c>
      <c r="CT6" s="439">
        <v>21349.677186322271</v>
      </c>
      <c r="CU6" s="439">
        <v>21349.677186322271</v>
      </c>
      <c r="CV6" s="439">
        <v>21349.677186322271</v>
      </c>
      <c r="CW6" s="439">
        <v>21349.677186322271</v>
      </c>
      <c r="CX6" s="439">
        <v>21349.677186322271</v>
      </c>
      <c r="CY6" s="439">
        <v>21349.677186322271</v>
      </c>
    </row>
    <row r="7" spans="1:103" ht="12" customHeight="1">
      <c r="A7" s="458" t="s">
        <v>626</v>
      </c>
      <c r="B7" s="439">
        <v>10400</v>
      </c>
      <c r="C7" s="439">
        <v>10400</v>
      </c>
      <c r="D7" s="439">
        <v>10400</v>
      </c>
      <c r="E7" s="439">
        <v>10400</v>
      </c>
      <c r="F7" s="439">
        <v>10400</v>
      </c>
      <c r="G7" s="439">
        <v>10400</v>
      </c>
      <c r="H7" s="439">
        <v>10400</v>
      </c>
      <c r="I7" s="439">
        <v>10400</v>
      </c>
      <c r="J7" s="439">
        <v>10400</v>
      </c>
      <c r="K7" s="439">
        <v>10400</v>
      </c>
      <c r="L7" s="439">
        <v>10400</v>
      </c>
      <c r="M7" s="439">
        <v>10400</v>
      </c>
      <c r="N7" s="439">
        <v>10816</v>
      </c>
      <c r="O7" s="439">
        <v>10816</v>
      </c>
      <c r="P7" s="439">
        <v>10816</v>
      </c>
      <c r="Q7" s="439">
        <v>10816</v>
      </c>
      <c r="R7" s="439">
        <v>10816</v>
      </c>
      <c r="S7" s="439">
        <v>10816</v>
      </c>
      <c r="T7" s="439">
        <v>10816</v>
      </c>
      <c r="U7" s="439">
        <v>10816</v>
      </c>
      <c r="V7" s="439">
        <v>10816</v>
      </c>
      <c r="W7" s="439">
        <v>10816</v>
      </c>
      <c r="X7" s="439">
        <v>10816</v>
      </c>
      <c r="Y7" s="439">
        <v>10816</v>
      </c>
      <c r="Z7" s="439">
        <v>11248.640000000001</v>
      </c>
      <c r="AA7" s="439">
        <v>11248.640000000001</v>
      </c>
      <c r="AB7" s="439">
        <v>11248.640000000001</v>
      </c>
      <c r="AC7" s="439">
        <v>11248.640000000001</v>
      </c>
      <c r="AD7" s="439">
        <v>11248.640000000001</v>
      </c>
      <c r="AE7" s="439">
        <v>11248.640000000001</v>
      </c>
      <c r="AF7" s="439">
        <v>11248.640000000001</v>
      </c>
      <c r="AG7" s="439">
        <v>11248.640000000001</v>
      </c>
      <c r="AH7" s="439">
        <v>11248.640000000001</v>
      </c>
      <c r="AI7" s="439">
        <v>11248.640000000001</v>
      </c>
      <c r="AJ7" s="439">
        <v>11248.640000000001</v>
      </c>
      <c r="AK7" s="439">
        <v>11248.640000000001</v>
      </c>
      <c r="AL7" s="439">
        <v>11698.585600000002</v>
      </c>
      <c r="AM7" s="439">
        <v>11698.585600000002</v>
      </c>
      <c r="AN7" s="439">
        <v>11698.585600000002</v>
      </c>
      <c r="AO7" s="439">
        <v>11698.585600000002</v>
      </c>
      <c r="AP7" s="439">
        <v>11698.585600000002</v>
      </c>
      <c r="AQ7" s="439">
        <v>11698.585600000002</v>
      </c>
      <c r="AR7" s="439">
        <v>11698.585600000002</v>
      </c>
      <c r="AS7" s="439">
        <v>11698.585600000002</v>
      </c>
      <c r="AT7" s="439">
        <v>11698.585600000002</v>
      </c>
      <c r="AU7" s="439">
        <v>11698.585600000002</v>
      </c>
      <c r="AV7" s="439">
        <v>11698.585600000002</v>
      </c>
      <c r="AW7" s="439">
        <v>11698.585600000002</v>
      </c>
      <c r="AX7" s="439">
        <v>12166.529024000003</v>
      </c>
      <c r="AY7" s="439">
        <v>12166.529024000003</v>
      </c>
      <c r="AZ7" s="439">
        <v>12166.529024000003</v>
      </c>
      <c r="BA7" s="439">
        <v>12166.529024000003</v>
      </c>
      <c r="BB7" s="439">
        <v>12166.529024000003</v>
      </c>
      <c r="BC7" s="439">
        <v>12166.529024000003</v>
      </c>
      <c r="BD7" s="439">
        <v>12166.529024000003</v>
      </c>
      <c r="BE7" s="439">
        <v>12166.529024000003</v>
      </c>
      <c r="BF7" s="439">
        <v>12166.529024000003</v>
      </c>
      <c r="BG7" s="439">
        <v>12166.529024000003</v>
      </c>
      <c r="BH7" s="439">
        <v>12166.529024000003</v>
      </c>
      <c r="BI7" s="439">
        <v>12166.529024000003</v>
      </c>
      <c r="BJ7" s="439">
        <v>12653.190184960004</v>
      </c>
      <c r="BK7" s="439">
        <v>12653.190184960004</v>
      </c>
      <c r="BL7" s="439">
        <v>12653.190184960004</v>
      </c>
      <c r="BM7" s="439">
        <v>12653.190184960004</v>
      </c>
      <c r="BN7" s="439">
        <v>12653.190184960004</v>
      </c>
      <c r="BO7" s="439">
        <v>12653.190184960004</v>
      </c>
      <c r="BP7" s="439">
        <v>12653.190184960004</v>
      </c>
      <c r="BQ7" s="439">
        <v>12653.190184960004</v>
      </c>
      <c r="BR7" s="439">
        <v>12653.190184960004</v>
      </c>
      <c r="BS7" s="439">
        <v>12653.190184960004</v>
      </c>
      <c r="BT7" s="439">
        <v>12653.190184960004</v>
      </c>
      <c r="BU7" s="439">
        <v>12653.190184960004</v>
      </c>
      <c r="BV7" s="439">
        <v>13159.317792358404</v>
      </c>
      <c r="BW7" s="439">
        <v>13159.317792358404</v>
      </c>
      <c r="BX7" s="439">
        <v>13159.317792358404</v>
      </c>
      <c r="BY7" s="439">
        <v>13159.317792358404</v>
      </c>
      <c r="BZ7" s="439">
        <v>13159.317792358404</v>
      </c>
      <c r="CA7" s="439">
        <v>13159.317792358404</v>
      </c>
      <c r="CB7" s="439">
        <v>13159.317792358404</v>
      </c>
      <c r="CC7" s="439">
        <v>13159.317792358404</v>
      </c>
      <c r="CD7" s="439">
        <v>13159.317792358404</v>
      </c>
      <c r="CE7" s="439">
        <v>13159.317792358404</v>
      </c>
      <c r="CF7" s="439">
        <v>13159.317792358404</v>
      </c>
      <c r="CG7" s="439">
        <v>13159.317792358404</v>
      </c>
      <c r="CH7" s="439">
        <v>13685.690504052742</v>
      </c>
      <c r="CI7" s="439">
        <v>13685.690504052742</v>
      </c>
      <c r="CJ7" s="439">
        <v>13685.690504052742</v>
      </c>
      <c r="CK7" s="439">
        <v>13685.690504052742</v>
      </c>
      <c r="CL7" s="439">
        <v>13685.690504052742</v>
      </c>
      <c r="CM7" s="439">
        <v>13685.690504052742</v>
      </c>
      <c r="CN7" s="439">
        <v>13685.690504052742</v>
      </c>
      <c r="CO7" s="439">
        <v>13685.690504052742</v>
      </c>
      <c r="CP7" s="439">
        <v>13685.690504052742</v>
      </c>
      <c r="CQ7" s="439">
        <v>13685.690504052742</v>
      </c>
      <c r="CR7" s="439">
        <v>13685.690504052742</v>
      </c>
      <c r="CS7" s="439">
        <v>13685.690504052742</v>
      </c>
      <c r="CT7" s="439">
        <v>14233.118124214852</v>
      </c>
      <c r="CU7" s="439">
        <v>14233.118124214852</v>
      </c>
      <c r="CV7" s="439">
        <v>14233.118124214852</v>
      </c>
      <c r="CW7" s="439">
        <v>14233.118124214852</v>
      </c>
      <c r="CX7" s="439">
        <v>14233.118124214852</v>
      </c>
      <c r="CY7" s="439">
        <v>14233.118124214852</v>
      </c>
    </row>
    <row r="8" spans="1:103" ht="12" customHeight="1">
      <c r="A8" s="310" t="s">
        <v>627</v>
      </c>
      <c r="B8" s="439">
        <v>72800</v>
      </c>
      <c r="C8" s="439">
        <v>72800</v>
      </c>
      <c r="D8" s="439">
        <v>72800</v>
      </c>
      <c r="E8" s="439">
        <v>72800</v>
      </c>
      <c r="F8" s="439">
        <v>72800</v>
      </c>
      <c r="G8" s="439">
        <v>72800</v>
      </c>
      <c r="H8" s="439">
        <v>72800</v>
      </c>
      <c r="I8" s="439">
        <v>72800</v>
      </c>
      <c r="J8" s="439">
        <v>72800</v>
      </c>
      <c r="K8" s="439">
        <v>72800</v>
      </c>
      <c r="L8" s="439">
        <v>72800</v>
      </c>
      <c r="M8" s="439">
        <v>72800</v>
      </c>
      <c r="N8" s="439">
        <v>75712</v>
      </c>
      <c r="O8" s="439">
        <v>75712</v>
      </c>
      <c r="P8" s="439">
        <v>75712</v>
      </c>
      <c r="Q8" s="439">
        <v>75712</v>
      </c>
      <c r="R8" s="439">
        <v>75712</v>
      </c>
      <c r="S8" s="439">
        <v>75712</v>
      </c>
      <c r="T8" s="439">
        <v>75712</v>
      </c>
      <c r="U8" s="439">
        <v>75712</v>
      </c>
      <c r="V8" s="439">
        <v>75712</v>
      </c>
      <c r="W8" s="439">
        <v>75712</v>
      </c>
      <c r="X8" s="439">
        <v>75712</v>
      </c>
      <c r="Y8" s="439">
        <v>75712</v>
      </c>
      <c r="Z8" s="439">
        <v>78740.479999999996</v>
      </c>
      <c r="AA8" s="439">
        <v>78740.479999999996</v>
      </c>
      <c r="AB8" s="439">
        <v>78740.479999999996</v>
      </c>
      <c r="AC8" s="439">
        <v>78740.479999999996</v>
      </c>
      <c r="AD8" s="439">
        <v>78740.479999999996</v>
      </c>
      <c r="AE8" s="439">
        <v>78740.479999999996</v>
      </c>
      <c r="AF8" s="439">
        <v>78740.479999999996</v>
      </c>
      <c r="AG8" s="439">
        <v>78740.479999999996</v>
      </c>
      <c r="AH8" s="439">
        <v>78740.479999999996</v>
      </c>
      <c r="AI8" s="439">
        <v>78740.479999999996</v>
      </c>
      <c r="AJ8" s="439">
        <v>78740.479999999996</v>
      </c>
      <c r="AK8" s="439">
        <v>78740.479999999996</v>
      </c>
      <c r="AL8" s="439">
        <v>81890.099199999997</v>
      </c>
      <c r="AM8" s="439">
        <v>81890.099199999997</v>
      </c>
      <c r="AN8" s="439">
        <v>81890.099199999997</v>
      </c>
      <c r="AO8" s="439">
        <v>81890.099199999997</v>
      </c>
      <c r="AP8" s="439">
        <v>81890.099199999997</v>
      </c>
      <c r="AQ8" s="439">
        <v>81890.099199999997</v>
      </c>
      <c r="AR8" s="439">
        <v>81890.099199999997</v>
      </c>
      <c r="AS8" s="439">
        <v>81890.099199999997</v>
      </c>
      <c r="AT8" s="439">
        <v>81890.099199999997</v>
      </c>
      <c r="AU8" s="439">
        <v>81890.099199999997</v>
      </c>
      <c r="AV8" s="439">
        <v>81890.099199999997</v>
      </c>
      <c r="AW8" s="439">
        <v>81890.099199999997</v>
      </c>
      <c r="AX8" s="439">
        <v>85165.703167999993</v>
      </c>
      <c r="AY8" s="439">
        <v>85165.703167999993</v>
      </c>
      <c r="AZ8" s="439">
        <v>85165.703167999993</v>
      </c>
      <c r="BA8" s="439">
        <v>85165.703167999993</v>
      </c>
      <c r="BB8" s="439">
        <v>85165.703167999993</v>
      </c>
      <c r="BC8" s="439">
        <v>85165.703167999993</v>
      </c>
      <c r="BD8" s="439">
        <v>85165.703167999993</v>
      </c>
      <c r="BE8" s="439">
        <v>85165.703167999993</v>
      </c>
      <c r="BF8" s="439">
        <v>85165.703167999993</v>
      </c>
      <c r="BG8" s="439">
        <v>85165.703167999993</v>
      </c>
      <c r="BH8" s="439">
        <v>85165.703167999993</v>
      </c>
      <c r="BI8" s="439">
        <v>85165.703167999993</v>
      </c>
      <c r="BJ8" s="439">
        <v>88572.331294719988</v>
      </c>
      <c r="BK8" s="439">
        <v>88572.331294719988</v>
      </c>
      <c r="BL8" s="439">
        <v>88572.331294719988</v>
      </c>
      <c r="BM8" s="439">
        <v>88572.331294719988</v>
      </c>
      <c r="BN8" s="439">
        <v>88572.331294719988</v>
      </c>
      <c r="BO8" s="439">
        <v>88572.331294719988</v>
      </c>
      <c r="BP8" s="439">
        <v>88572.331294719988</v>
      </c>
      <c r="BQ8" s="439">
        <v>88572.331294719988</v>
      </c>
      <c r="BR8" s="439">
        <v>88572.331294719988</v>
      </c>
      <c r="BS8" s="439">
        <v>88572.331294719988</v>
      </c>
      <c r="BT8" s="439">
        <v>88572.331294719988</v>
      </c>
      <c r="BU8" s="439">
        <v>88572.331294719988</v>
      </c>
      <c r="BV8" s="439">
        <v>92115.224546508791</v>
      </c>
      <c r="BW8" s="439">
        <v>92115.224546508791</v>
      </c>
      <c r="BX8" s="439">
        <v>92115.224546508791</v>
      </c>
      <c r="BY8" s="439">
        <v>92115.224546508791</v>
      </c>
      <c r="BZ8" s="439">
        <v>92115.224546508791</v>
      </c>
      <c r="CA8" s="439">
        <v>92115.224546508791</v>
      </c>
      <c r="CB8" s="439">
        <v>92115.224546508791</v>
      </c>
      <c r="CC8" s="439">
        <v>92115.224546508791</v>
      </c>
      <c r="CD8" s="439">
        <v>92115.224546508791</v>
      </c>
      <c r="CE8" s="439">
        <v>92115.224546508791</v>
      </c>
      <c r="CF8" s="439">
        <v>92115.224546508791</v>
      </c>
      <c r="CG8" s="439">
        <v>92115.224546508791</v>
      </c>
      <c r="CH8" s="439">
        <v>95799.833528369141</v>
      </c>
      <c r="CI8" s="439">
        <v>95799.833528369141</v>
      </c>
      <c r="CJ8" s="439">
        <v>95799.833528369141</v>
      </c>
      <c r="CK8" s="439">
        <v>95799.833528369141</v>
      </c>
      <c r="CL8" s="439">
        <v>95799.833528369141</v>
      </c>
      <c r="CM8" s="439">
        <v>95799.833528369141</v>
      </c>
      <c r="CN8" s="439">
        <v>95799.833528369141</v>
      </c>
      <c r="CO8" s="439">
        <v>95799.833528369141</v>
      </c>
      <c r="CP8" s="439">
        <v>95799.833528369141</v>
      </c>
      <c r="CQ8" s="439">
        <v>95799.833528369141</v>
      </c>
      <c r="CR8" s="439">
        <v>95799.833528369141</v>
      </c>
      <c r="CS8" s="439">
        <v>95799.833528369141</v>
      </c>
      <c r="CT8" s="439">
        <v>99631.826869503915</v>
      </c>
      <c r="CU8" s="439">
        <v>99631.826869503915</v>
      </c>
      <c r="CV8" s="439">
        <v>99631.826869503915</v>
      </c>
      <c r="CW8" s="439">
        <v>99631.826869503915</v>
      </c>
      <c r="CX8" s="439">
        <v>99631.826869503915</v>
      </c>
      <c r="CY8" s="439">
        <v>99631.826869503915</v>
      </c>
    </row>
    <row r="9" spans="1:103" ht="12" customHeight="1">
      <c r="A9" s="310" t="s">
        <v>628</v>
      </c>
      <c r="B9" s="439">
        <v>62400</v>
      </c>
      <c r="C9" s="439">
        <v>62400</v>
      </c>
      <c r="D9" s="439">
        <v>62400</v>
      </c>
      <c r="E9" s="439">
        <v>62400</v>
      </c>
      <c r="F9" s="439">
        <v>62400</v>
      </c>
      <c r="G9" s="439">
        <v>62400</v>
      </c>
      <c r="H9" s="439">
        <v>62400</v>
      </c>
      <c r="I9" s="439">
        <v>62400</v>
      </c>
      <c r="J9" s="439">
        <v>62400</v>
      </c>
      <c r="K9" s="439">
        <v>62400</v>
      </c>
      <c r="L9" s="439">
        <v>62400</v>
      </c>
      <c r="M9" s="439">
        <v>62400</v>
      </c>
      <c r="N9" s="439">
        <v>64896</v>
      </c>
      <c r="O9" s="439">
        <v>64896</v>
      </c>
      <c r="P9" s="439">
        <v>64896</v>
      </c>
      <c r="Q9" s="439">
        <v>64896</v>
      </c>
      <c r="R9" s="439">
        <v>64896</v>
      </c>
      <c r="S9" s="439">
        <v>64896</v>
      </c>
      <c r="T9" s="439">
        <v>64896</v>
      </c>
      <c r="U9" s="439">
        <v>64896</v>
      </c>
      <c r="V9" s="439">
        <v>64896</v>
      </c>
      <c r="W9" s="439">
        <v>64896</v>
      </c>
      <c r="X9" s="439">
        <v>64896</v>
      </c>
      <c r="Y9" s="439">
        <v>64896</v>
      </c>
      <c r="Z9" s="439">
        <v>67491.839999999997</v>
      </c>
      <c r="AA9" s="439">
        <v>67491.839999999997</v>
      </c>
      <c r="AB9" s="439">
        <v>67491.839999999997</v>
      </c>
      <c r="AC9" s="439">
        <v>67491.839999999997</v>
      </c>
      <c r="AD9" s="439">
        <v>67491.839999999997</v>
      </c>
      <c r="AE9" s="439">
        <v>67491.839999999997</v>
      </c>
      <c r="AF9" s="439">
        <v>67491.839999999997</v>
      </c>
      <c r="AG9" s="439">
        <v>67491.839999999997</v>
      </c>
      <c r="AH9" s="439">
        <v>67491.839999999997</v>
      </c>
      <c r="AI9" s="439">
        <v>67491.839999999997</v>
      </c>
      <c r="AJ9" s="439">
        <v>67491.839999999997</v>
      </c>
      <c r="AK9" s="439">
        <v>67491.839999999997</v>
      </c>
      <c r="AL9" s="439">
        <v>70191.513600000006</v>
      </c>
      <c r="AM9" s="439">
        <v>70191.513600000006</v>
      </c>
      <c r="AN9" s="439">
        <v>70191.513600000006</v>
      </c>
      <c r="AO9" s="439">
        <v>70191.513600000006</v>
      </c>
      <c r="AP9" s="439">
        <v>70191.513600000006</v>
      </c>
      <c r="AQ9" s="439">
        <v>70191.513600000006</v>
      </c>
      <c r="AR9" s="439">
        <v>70191.513600000006</v>
      </c>
      <c r="AS9" s="439">
        <v>70191.513600000006</v>
      </c>
      <c r="AT9" s="439">
        <v>70191.513600000006</v>
      </c>
      <c r="AU9" s="439">
        <v>70191.513600000006</v>
      </c>
      <c r="AV9" s="439">
        <v>70191.513600000006</v>
      </c>
      <c r="AW9" s="439">
        <v>70191.513600000006</v>
      </c>
      <c r="AX9" s="439">
        <v>72999.174144000004</v>
      </c>
      <c r="AY9" s="439">
        <v>72999.174144000004</v>
      </c>
      <c r="AZ9" s="439">
        <v>72999.174144000004</v>
      </c>
      <c r="BA9" s="439">
        <v>72999.174144000004</v>
      </c>
      <c r="BB9" s="439">
        <v>72999.174144000004</v>
      </c>
      <c r="BC9" s="439">
        <v>72999.174144000004</v>
      </c>
      <c r="BD9" s="439">
        <v>72999.174144000004</v>
      </c>
      <c r="BE9" s="439">
        <v>72999.174144000004</v>
      </c>
      <c r="BF9" s="439">
        <v>72999.174144000004</v>
      </c>
      <c r="BG9" s="439">
        <v>72999.174144000004</v>
      </c>
      <c r="BH9" s="439">
        <v>72999.174144000004</v>
      </c>
      <c r="BI9" s="439">
        <v>72999.174144000004</v>
      </c>
      <c r="BJ9" s="439">
        <v>75919.141109760007</v>
      </c>
      <c r="BK9" s="439">
        <v>75919.141109760007</v>
      </c>
      <c r="BL9" s="439">
        <v>75919.141109760007</v>
      </c>
      <c r="BM9" s="439">
        <v>75919.141109760007</v>
      </c>
      <c r="BN9" s="439">
        <v>75919.141109760007</v>
      </c>
      <c r="BO9" s="439">
        <v>75919.141109760007</v>
      </c>
      <c r="BP9" s="439">
        <v>75919.141109760007</v>
      </c>
      <c r="BQ9" s="439">
        <v>75919.141109760007</v>
      </c>
      <c r="BR9" s="439">
        <v>75919.141109760007</v>
      </c>
      <c r="BS9" s="439">
        <v>75919.141109760007</v>
      </c>
      <c r="BT9" s="439">
        <v>75919.141109760007</v>
      </c>
      <c r="BU9" s="439">
        <v>75919.141109760007</v>
      </c>
      <c r="BV9" s="439">
        <v>78955.906754150405</v>
      </c>
      <c r="BW9" s="439">
        <v>78955.906754150405</v>
      </c>
      <c r="BX9" s="439">
        <v>78955.906754150405</v>
      </c>
      <c r="BY9" s="439">
        <v>78955.906754150405</v>
      </c>
      <c r="BZ9" s="439">
        <v>78955.906754150405</v>
      </c>
      <c r="CA9" s="439">
        <v>78955.906754150405</v>
      </c>
      <c r="CB9" s="439">
        <v>78955.906754150405</v>
      </c>
      <c r="CC9" s="439">
        <v>78955.906754150405</v>
      </c>
      <c r="CD9" s="439">
        <v>78955.906754150405</v>
      </c>
      <c r="CE9" s="439">
        <v>78955.906754150405</v>
      </c>
      <c r="CF9" s="439">
        <v>78955.906754150405</v>
      </c>
      <c r="CG9" s="439">
        <v>78955.906754150405</v>
      </c>
      <c r="CH9" s="439">
        <v>82114.143024316421</v>
      </c>
      <c r="CI9" s="439">
        <v>82114.143024316421</v>
      </c>
      <c r="CJ9" s="439">
        <v>82114.143024316421</v>
      </c>
      <c r="CK9" s="439">
        <v>82114.143024316421</v>
      </c>
      <c r="CL9" s="439">
        <v>82114.143024316421</v>
      </c>
      <c r="CM9" s="439">
        <v>82114.143024316421</v>
      </c>
      <c r="CN9" s="439">
        <v>82114.143024316421</v>
      </c>
      <c r="CO9" s="439">
        <v>82114.143024316421</v>
      </c>
      <c r="CP9" s="439">
        <v>82114.143024316421</v>
      </c>
      <c r="CQ9" s="439">
        <v>82114.143024316421</v>
      </c>
      <c r="CR9" s="439">
        <v>82114.143024316421</v>
      </c>
      <c r="CS9" s="439">
        <v>82114.143024316421</v>
      </c>
      <c r="CT9" s="439">
        <v>85398.708745289085</v>
      </c>
      <c r="CU9" s="439">
        <v>85398.708745289085</v>
      </c>
      <c r="CV9" s="439">
        <v>85398.708745289085</v>
      </c>
      <c r="CW9" s="439">
        <v>85398.708745289085</v>
      </c>
      <c r="CX9" s="439">
        <v>85398.708745289085</v>
      </c>
      <c r="CY9" s="439">
        <v>85398.708745289085</v>
      </c>
    </row>
    <row r="10" spans="1:103" ht="12" customHeight="1">
      <c r="A10" s="310" t="s">
        <v>629</v>
      </c>
      <c r="B10" s="439">
        <v>327600</v>
      </c>
      <c r="C10" s="439">
        <v>327600</v>
      </c>
      <c r="D10" s="439">
        <v>327600</v>
      </c>
      <c r="E10" s="439">
        <v>327600</v>
      </c>
      <c r="F10" s="439">
        <v>327600</v>
      </c>
      <c r="G10" s="439">
        <v>327600</v>
      </c>
      <c r="H10" s="439">
        <v>327600</v>
      </c>
      <c r="I10" s="439">
        <v>327600</v>
      </c>
      <c r="J10" s="439">
        <v>327600</v>
      </c>
      <c r="K10" s="439">
        <v>262080</v>
      </c>
      <c r="L10" s="439">
        <v>262080</v>
      </c>
      <c r="M10" s="439">
        <v>262080</v>
      </c>
      <c r="N10" s="439">
        <v>272563.20000000001</v>
      </c>
      <c r="O10" s="439">
        <v>272563.20000000001</v>
      </c>
      <c r="P10" s="439">
        <v>272563.20000000001</v>
      </c>
      <c r="Q10" s="439">
        <v>272563.20000000001</v>
      </c>
      <c r="R10" s="439">
        <v>272563.20000000001</v>
      </c>
      <c r="S10" s="439">
        <v>272563.20000000001</v>
      </c>
      <c r="T10" s="439">
        <v>272563.20000000001</v>
      </c>
      <c r="U10" s="439">
        <v>272563.20000000001</v>
      </c>
      <c r="V10" s="439">
        <v>272563.20000000001</v>
      </c>
      <c r="W10" s="439">
        <v>272563.20000000001</v>
      </c>
      <c r="X10" s="439">
        <v>272563.20000000001</v>
      </c>
      <c r="Y10" s="439">
        <v>272563.20000000001</v>
      </c>
      <c r="Z10" s="439">
        <v>283465.728</v>
      </c>
      <c r="AA10" s="439">
        <v>283465.728</v>
      </c>
      <c r="AB10" s="439">
        <v>283465.728</v>
      </c>
      <c r="AC10" s="439">
        <v>283465.728</v>
      </c>
      <c r="AD10" s="439">
        <v>283465.728</v>
      </c>
      <c r="AE10" s="439">
        <v>283465.728</v>
      </c>
      <c r="AF10" s="439">
        <v>283465.728</v>
      </c>
      <c r="AG10" s="439">
        <v>283465.728</v>
      </c>
      <c r="AH10" s="439">
        <v>283465.728</v>
      </c>
      <c r="AI10" s="439">
        <v>283465.728</v>
      </c>
      <c r="AJ10" s="439">
        <v>283465.728</v>
      </c>
      <c r="AK10" s="439">
        <v>283465.728</v>
      </c>
      <c r="AL10" s="439">
        <v>294804.35712</v>
      </c>
      <c r="AM10" s="439">
        <v>294804.35712</v>
      </c>
      <c r="AN10" s="439">
        <v>294804.35712</v>
      </c>
      <c r="AO10" s="439">
        <v>294804.35712</v>
      </c>
      <c r="AP10" s="439">
        <v>294804.35712</v>
      </c>
      <c r="AQ10" s="439">
        <v>294804.35712</v>
      </c>
      <c r="AR10" s="439">
        <v>294804.35712</v>
      </c>
      <c r="AS10" s="439">
        <v>294804.35712</v>
      </c>
      <c r="AT10" s="439">
        <v>294804.35712</v>
      </c>
      <c r="AU10" s="439">
        <v>294804.35712</v>
      </c>
      <c r="AV10" s="439">
        <v>294804.35712</v>
      </c>
      <c r="AW10" s="439">
        <v>294804.35712</v>
      </c>
      <c r="AX10" s="439">
        <v>306596.53140480001</v>
      </c>
      <c r="AY10" s="439">
        <v>306596.53140480001</v>
      </c>
      <c r="AZ10" s="439">
        <v>306596.53140480001</v>
      </c>
      <c r="BA10" s="439">
        <v>306596.53140480001</v>
      </c>
      <c r="BB10" s="439">
        <v>306596.53140480001</v>
      </c>
      <c r="BC10" s="439">
        <v>306596.53140480001</v>
      </c>
      <c r="BD10" s="439">
        <v>306596.53140480001</v>
      </c>
      <c r="BE10" s="439">
        <v>306596.53140480001</v>
      </c>
      <c r="BF10" s="439">
        <v>306596.53140480001</v>
      </c>
      <c r="BG10" s="439">
        <v>306596.53140480001</v>
      </c>
      <c r="BH10" s="439">
        <v>306596.53140480001</v>
      </c>
      <c r="BI10" s="439">
        <v>306596.53140480001</v>
      </c>
      <c r="BJ10" s="439">
        <v>318860.39266099205</v>
      </c>
      <c r="BK10" s="439">
        <v>318860.39266099205</v>
      </c>
      <c r="BL10" s="439">
        <v>318860.39266099205</v>
      </c>
      <c r="BM10" s="439">
        <v>318860.39266099205</v>
      </c>
      <c r="BN10" s="439">
        <v>318860.39266099205</v>
      </c>
      <c r="BO10" s="439">
        <v>318860.39266099205</v>
      </c>
      <c r="BP10" s="439">
        <v>318860.39266099205</v>
      </c>
      <c r="BQ10" s="439">
        <v>318860.39266099205</v>
      </c>
      <c r="BR10" s="439">
        <v>318860.39266099205</v>
      </c>
      <c r="BS10" s="439">
        <v>318860.39266099205</v>
      </c>
      <c r="BT10" s="439">
        <v>318860.39266099205</v>
      </c>
      <c r="BU10" s="439">
        <v>318860.39266099205</v>
      </c>
      <c r="BV10" s="439">
        <v>331614.80836743175</v>
      </c>
      <c r="BW10" s="439">
        <v>331614.80836743175</v>
      </c>
      <c r="BX10" s="439">
        <v>331614.80836743175</v>
      </c>
      <c r="BY10" s="439">
        <v>331614.80836743175</v>
      </c>
      <c r="BZ10" s="439">
        <v>331614.80836743175</v>
      </c>
      <c r="CA10" s="439">
        <v>331614.80836743175</v>
      </c>
      <c r="CB10" s="439">
        <v>331614.80836743175</v>
      </c>
      <c r="CC10" s="439">
        <v>331614.80836743175</v>
      </c>
      <c r="CD10" s="439">
        <v>331614.80836743175</v>
      </c>
      <c r="CE10" s="439">
        <v>331614.80836743175</v>
      </c>
      <c r="CF10" s="439">
        <v>331614.80836743175</v>
      </c>
      <c r="CG10" s="439">
        <v>331614.80836743175</v>
      </c>
      <c r="CH10" s="439">
        <v>344879.400702129</v>
      </c>
      <c r="CI10" s="439">
        <v>344879.400702129</v>
      </c>
      <c r="CJ10" s="439">
        <v>344879.400702129</v>
      </c>
      <c r="CK10" s="439">
        <v>344879.400702129</v>
      </c>
      <c r="CL10" s="439">
        <v>344879.400702129</v>
      </c>
      <c r="CM10" s="439">
        <v>344879.400702129</v>
      </c>
      <c r="CN10" s="439">
        <v>344879.400702129</v>
      </c>
      <c r="CO10" s="439">
        <v>344879.400702129</v>
      </c>
      <c r="CP10" s="439">
        <v>344879.400702129</v>
      </c>
      <c r="CQ10" s="439">
        <v>344879.400702129</v>
      </c>
      <c r="CR10" s="439">
        <v>344879.400702129</v>
      </c>
      <c r="CS10" s="439">
        <v>344879.400702129</v>
      </c>
      <c r="CT10" s="439">
        <v>358674.57673021418</v>
      </c>
      <c r="CU10" s="439">
        <v>358674.57673021418</v>
      </c>
      <c r="CV10" s="439">
        <v>358674.57673021418</v>
      </c>
      <c r="CW10" s="439">
        <v>358674.57673021418</v>
      </c>
      <c r="CX10" s="439">
        <v>358674.57673021418</v>
      </c>
      <c r="CY10" s="439">
        <v>358674.57673021418</v>
      </c>
    </row>
    <row r="11" spans="1:103" ht="12" customHeight="1">
      <c r="A11" s="310" t="s">
        <v>630</v>
      </c>
      <c r="B11" s="439">
        <v>104000</v>
      </c>
      <c r="C11" s="439">
        <v>104000</v>
      </c>
      <c r="D11" s="439">
        <v>104000</v>
      </c>
      <c r="E11" s="439">
        <v>104000</v>
      </c>
      <c r="F11" s="439">
        <v>104000</v>
      </c>
      <c r="G11" s="439">
        <v>104000</v>
      </c>
      <c r="H11" s="439">
        <v>104000</v>
      </c>
      <c r="I11" s="439">
        <v>104000</v>
      </c>
      <c r="J11" s="439">
        <v>104000</v>
      </c>
      <c r="K11" s="439">
        <v>62400</v>
      </c>
      <c r="L11" s="439">
        <v>62400</v>
      </c>
      <c r="M11" s="439">
        <v>62400</v>
      </c>
      <c r="N11" s="439">
        <v>64896</v>
      </c>
      <c r="O11" s="439">
        <v>64896</v>
      </c>
      <c r="P11" s="439">
        <v>64896</v>
      </c>
      <c r="Q11" s="439">
        <v>64896</v>
      </c>
      <c r="R11" s="439">
        <v>64896</v>
      </c>
      <c r="S11" s="439">
        <v>64896</v>
      </c>
      <c r="T11" s="439">
        <v>64896</v>
      </c>
      <c r="U11" s="439">
        <v>64896</v>
      </c>
      <c r="V11" s="439">
        <v>64896</v>
      </c>
      <c r="W11" s="439">
        <v>64896</v>
      </c>
      <c r="X11" s="439">
        <v>64896</v>
      </c>
      <c r="Y11" s="439">
        <v>64896</v>
      </c>
      <c r="Z11" s="439">
        <v>67491.839999999997</v>
      </c>
      <c r="AA11" s="439">
        <v>67491.839999999997</v>
      </c>
      <c r="AB11" s="439">
        <v>67491.839999999997</v>
      </c>
      <c r="AC11" s="439">
        <v>67491.839999999997</v>
      </c>
      <c r="AD11" s="439">
        <v>67491.839999999997</v>
      </c>
      <c r="AE11" s="439">
        <v>67491.839999999997</v>
      </c>
      <c r="AF11" s="439">
        <v>67491.839999999997</v>
      </c>
      <c r="AG11" s="439">
        <v>67491.839999999997</v>
      </c>
      <c r="AH11" s="439">
        <v>67491.839999999997</v>
      </c>
      <c r="AI11" s="439">
        <v>67491.839999999997</v>
      </c>
      <c r="AJ11" s="439">
        <v>67491.839999999997</v>
      </c>
      <c r="AK11" s="439">
        <v>67491.839999999997</v>
      </c>
      <c r="AL11" s="439">
        <v>70191.513600000006</v>
      </c>
      <c r="AM11" s="439">
        <v>70191.513600000006</v>
      </c>
      <c r="AN11" s="439">
        <v>70191.513600000006</v>
      </c>
      <c r="AO11" s="439">
        <v>70191.513600000006</v>
      </c>
      <c r="AP11" s="439">
        <v>70191.513600000006</v>
      </c>
      <c r="AQ11" s="439">
        <v>70191.513600000006</v>
      </c>
      <c r="AR11" s="439">
        <v>70191.513600000006</v>
      </c>
      <c r="AS11" s="439">
        <v>70191.513600000006</v>
      </c>
      <c r="AT11" s="439">
        <v>70191.513600000006</v>
      </c>
      <c r="AU11" s="439">
        <v>70191.513600000006</v>
      </c>
      <c r="AV11" s="439">
        <v>70191.513600000006</v>
      </c>
      <c r="AW11" s="439">
        <v>70191.513600000006</v>
      </c>
      <c r="AX11" s="439">
        <v>72999.174144000004</v>
      </c>
      <c r="AY11" s="439">
        <v>72999.174144000004</v>
      </c>
      <c r="AZ11" s="439">
        <v>72999.174144000004</v>
      </c>
      <c r="BA11" s="439">
        <v>72999.174144000004</v>
      </c>
      <c r="BB11" s="439">
        <v>72999.174144000004</v>
      </c>
      <c r="BC11" s="439">
        <v>72999.174144000004</v>
      </c>
      <c r="BD11" s="439">
        <v>72999.174144000004</v>
      </c>
      <c r="BE11" s="439">
        <v>72999.174144000004</v>
      </c>
      <c r="BF11" s="439">
        <v>72999.174144000004</v>
      </c>
      <c r="BG11" s="439">
        <v>72999.174144000004</v>
      </c>
      <c r="BH11" s="439">
        <v>72999.174144000004</v>
      </c>
      <c r="BI11" s="439">
        <v>72999.174144000004</v>
      </c>
      <c r="BJ11" s="439">
        <v>75919.141109760007</v>
      </c>
      <c r="BK11" s="439">
        <v>75919.141109760007</v>
      </c>
      <c r="BL11" s="439">
        <v>75919.141109760007</v>
      </c>
      <c r="BM11" s="439">
        <v>75919.141109760007</v>
      </c>
      <c r="BN11" s="439">
        <v>75919.141109760007</v>
      </c>
      <c r="BO11" s="439">
        <v>75919.141109760007</v>
      </c>
      <c r="BP11" s="439">
        <v>75919.141109760007</v>
      </c>
      <c r="BQ11" s="439">
        <v>75919.141109760007</v>
      </c>
      <c r="BR11" s="439">
        <v>75919.141109760007</v>
      </c>
      <c r="BS11" s="439">
        <v>75919.141109760007</v>
      </c>
      <c r="BT11" s="439">
        <v>75919.141109760007</v>
      </c>
      <c r="BU11" s="439">
        <v>75919.141109760007</v>
      </c>
      <c r="BV11" s="439">
        <v>78955.906754150405</v>
      </c>
      <c r="BW11" s="439">
        <v>78955.906754150405</v>
      </c>
      <c r="BX11" s="439">
        <v>78955.906754150405</v>
      </c>
      <c r="BY11" s="439">
        <v>78955.906754150405</v>
      </c>
      <c r="BZ11" s="439">
        <v>78955.906754150405</v>
      </c>
      <c r="CA11" s="439">
        <v>78955.906754150405</v>
      </c>
      <c r="CB11" s="439">
        <v>78955.906754150405</v>
      </c>
      <c r="CC11" s="439">
        <v>78955.906754150405</v>
      </c>
      <c r="CD11" s="439">
        <v>78955.906754150405</v>
      </c>
      <c r="CE11" s="439">
        <v>78955.906754150405</v>
      </c>
      <c r="CF11" s="439">
        <v>78955.906754150405</v>
      </c>
      <c r="CG11" s="439">
        <v>78955.906754150405</v>
      </c>
      <c r="CH11" s="439">
        <v>82114.143024316421</v>
      </c>
      <c r="CI11" s="439">
        <v>82114.143024316421</v>
      </c>
      <c r="CJ11" s="439">
        <v>82114.143024316421</v>
      </c>
      <c r="CK11" s="439">
        <v>82114.143024316421</v>
      </c>
      <c r="CL11" s="439">
        <v>82114.143024316421</v>
      </c>
      <c r="CM11" s="439">
        <v>82114.143024316421</v>
      </c>
      <c r="CN11" s="439">
        <v>82114.143024316421</v>
      </c>
      <c r="CO11" s="439">
        <v>82114.143024316421</v>
      </c>
      <c r="CP11" s="439">
        <v>82114.143024316421</v>
      </c>
      <c r="CQ11" s="439">
        <v>82114.143024316421</v>
      </c>
      <c r="CR11" s="439">
        <v>82114.143024316421</v>
      </c>
      <c r="CS11" s="439">
        <v>82114.143024316421</v>
      </c>
      <c r="CT11" s="439">
        <v>85398.708745289085</v>
      </c>
      <c r="CU11" s="439">
        <v>85398.708745289085</v>
      </c>
      <c r="CV11" s="439">
        <v>85398.708745289085</v>
      </c>
      <c r="CW11" s="439">
        <v>85398.708745289085</v>
      </c>
      <c r="CX11" s="439">
        <v>85398.708745289085</v>
      </c>
      <c r="CY11" s="439">
        <v>85398.708745289085</v>
      </c>
    </row>
    <row r="12" spans="1:103" ht="12" customHeight="1">
      <c r="A12" s="310" t="s">
        <v>631</v>
      </c>
      <c r="B12" s="439">
        <v>62400</v>
      </c>
      <c r="C12" s="439">
        <v>62400</v>
      </c>
      <c r="D12" s="439">
        <v>62400</v>
      </c>
      <c r="E12" s="439">
        <v>62400</v>
      </c>
      <c r="F12" s="439">
        <v>62400</v>
      </c>
      <c r="G12" s="439">
        <v>62400</v>
      </c>
      <c r="H12" s="439">
        <v>62400</v>
      </c>
      <c r="I12" s="439">
        <v>62400</v>
      </c>
      <c r="J12" s="439">
        <v>62400</v>
      </c>
      <c r="K12" s="439">
        <v>62400</v>
      </c>
      <c r="L12" s="439">
        <v>62400</v>
      </c>
      <c r="M12" s="439">
        <v>62400</v>
      </c>
      <c r="N12" s="439">
        <v>64896</v>
      </c>
      <c r="O12" s="439">
        <v>64896</v>
      </c>
      <c r="P12" s="439">
        <v>64896</v>
      </c>
      <c r="Q12" s="439">
        <v>64896</v>
      </c>
      <c r="R12" s="439">
        <v>64896</v>
      </c>
      <c r="S12" s="439">
        <v>64896</v>
      </c>
      <c r="T12" s="439">
        <v>64896</v>
      </c>
      <c r="U12" s="439">
        <v>64896</v>
      </c>
      <c r="V12" s="439">
        <v>64896</v>
      </c>
      <c r="W12" s="439">
        <v>64896</v>
      </c>
      <c r="X12" s="439">
        <v>64896</v>
      </c>
      <c r="Y12" s="439">
        <v>64896</v>
      </c>
      <c r="Z12" s="439">
        <v>67491.839999999997</v>
      </c>
      <c r="AA12" s="439">
        <v>67491.839999999997</v>
      </c>
      <c r="AB12" s="439">
        <v>67491.839999999997</v>
      </c>
      <c r="AC12" s="439">
        <v>67491.839999999997</v>
      </c>
      <c r="AD12" s="439">
        <v>67491.839999999997</v>
      </c>
      <c r="AE12" s="439">
        <v>67491.839999999997</v>
      </c>
      <c r="AF12" s="439">
        <v>67491.839999999997</v>
      </c>
      <c r="AG12" s="439">
        <v>67491.839999999997</v>
      </c>
      <c r="AH12" s="439">
        <v>67491.839999999997</v>
      </c>
      <c r="AI12" s="439">
        <v>67491.839999999997</v>
      </c>
      <c r="AJ12" s="439">
        <v>67491.839999999997</v>
      </c>
      <c r="AK12" s="439">
        <v>67491.839999999997</v>
      </c>
      <c r="AL12" s="439">
        <v>70191.513600000006</v>
      </c>
      <c r="AM12" s="439">
        <v>70191.513600000006</v>
      </c>
      <c r="AN12" s="439">
        <v>70191.513600000006</v>
      </c>
      <c r="AO12" s="439">
        <v>70191.513600000006</v>
      </c>
      <c r="AP12" s="439">
        <v>70191.513600000006</v>
      </c>
      <c r="AQ12" s="439">
        <v>70191.513600000006</v>
      </c>
      <c r="AR12" s="439">
        <v>70191.513600000006</v>
      </c>
      <c r="AS12" s="439">
        <v>70191.513600000006</v>
      </c>
      <c r="AT12" s="439">
        <v>70191.513600000006</v>
      </c>
      <c r="AU12" s="439">
        <v>70191.513600000006</v>
      </c>
      <c r="AV12" s="439">
        <v>70191.513600000006</v>
      </c>
      <c r="AW12" s="439">
        <v>70191.513600000006</v>
      </c>
      <c r="AX12" s="439">
        <v>72999.174144000004</v>
      </c>
      <c r="AY12" s="439">
        <v>72999.174144000004</v>
      </c>
      <c r="AZ12" s="439">
        <v>72999.174144000004</v>
      </c>
      <c r="BA12" s="439">
        <v>72999.174144000004</v>
      </c>
      <c r="BB12" s="439">
        <v>72999.174144000004</v>
      </c>
      <c r="BC12" s="439">
        <v>72999.174144000004</v>
      </c>
      <c r="BD12" s="439">
        <v>72999.174144000004</v>
      </c>
      <c r="BE12" s="439">
        <v>72999.174144000004</v>
      </c>
      <c r="BF12" s="439">
        <v>72999.174144000004</v>
      </c>
      <c r="BG12" s="439">
        <v>72999.174144000004</v>
      </c>
      <c r="BH12" s="439">
        <v>72999.174144000004</v>
      </c>
      <c r="BI12" s="439">
        <v>72999.174144000004</v>
      </c>
      <c r="BJ12" s="439">
        <v>75919.141109760007</v>
      </c>
      <c r="BK12" s="439">
        <v>75919.141109760007</v>
      </c>
      <c r="BL12" s="439">
        <v>75919.141109760007</v>
      </c>
      <c r="BM12" s="439">
        <v>75919.141109760007</v>
      </c>
      <c r="BN12" s="439">
        <v>75919.141109760007</v>
      </c>
      <c r="BO12" s="439">
        <v>75919.141109760007</v>
      </c>
      <c r="BP12" s="439">
        <v>75919.141109760007</v>
      </c>
      <c r="BQ12" s="439">
        <v>75919.141109760007</v>
      </c>
      <c r="BR12" s="439">
        <v>75919.141109760007</v>
      </c>
      <c r="BS12" s="439">
        <v>75919.141109760007</v>
      </c>
      <c r="BT12" s="439">
        <v>75919.141109760007</v>
      </c>
      <c r="BU12" s="439">
        <v>75919.141109760007</v>
      </c>
      <c r="BV12" s="439">
        <v>78955.906754150405</v>
      </c>
      <c r="BW12" s="439">
        <v>78955.906754150405</v>
      </c>
      <c r="BX12" s="439">
        <v>78955.906754150405</v>
      </c>
      <c r="BY12" s="439">
        <v>78955.906754150405</v>
      </c>
      <c r="BZ12" s="439">
        <v>78955.906754150405</v>
      </c>
      <c r="CA12" s="439">
        <v>78955.906754150405</v>
      </c>
      <c r="CB12" s="439">
        <v>78955.906754150405</v>
      </c>
      <c r="CC12" s="439">
        <v>78955.906754150405</v>
      </c>
      <c r="CD12" s="439">
        <v>78955.906754150405</v>
      </c>
      <c r="CE12" s="439">
        <v>78955.906754150405</v>
      </c>
      <c r="CF12" s="439">
        <v>78955.906754150405</v>
      </c>
      <c r="CG12" s="439">
        <v>78955.906754150405</v>
      </c>
      <c r="CH12" s="439">
        <v>82114.143024316421</v>
      </c>
      <c r="CI12" s="439">
        <v>82114.143024316421</v>
      </c>
      <c r="CJ12" s="439">
        <v>82114.143024316421</v>
      </c>
      <c r="CK12" s="439">
        <v>82114.143024316421</v>
      </c>
      <c r="CL12" s="439">
        <v>82114.143024316421</v>
      </c>
      <c r="CM12" s="439">
        <v>82114.143024316421</v>
      </c>
      <c r="CN12" s="439">
        <v>82114.143024316421</v>
      </c>
      <c r="CO12" s="439">
        <v>82114.143024316421</v>
      </c>
      <c r="CP12" s="439">
        <v>82114.143024316421</v>
      </c>
      <c r="CQ12" s="439">
        <v>82114.143024316421</v>
      </c>
      <c r="CR12" s="439">
        <v>82114.143024316421</v>
      </c>
      <c r="CS12" s="439">
        <v>82114.143024316421</v>
      </c>
      <c r="CT12" s="439">
        <v>85398.708745289085</v>
      </c>
      <c r="CU12" s="439">
        <v>85398.708745289085</v>
      </c>
      <c r="CV12" s="439">
        <v>85398.708745289085</v>
      </c>
      <c r="CW12" s="439">
        <v>85398.708745289085</v>
      </c>
      <c r="CX12" s="439">
        <v>85398.708745289085</v>
      </c>
      <c r="CY12" s="439">
        <v>85398.708745289085</v>
      </c>
    </row>
    <row r="13" spans="1:103" ht="12" customHeight="1">
      <c r="A13" s="310" t="s">
        <v>632</v>
      </c>
      <c r="B13" s="439">
        <v>72800</v>
      </c>
      <c r="C13" s="439">
        <v>72800</v>
      </c>
      <c r="D13" s="439">
        <v>72800</v>
      </c>
      <c r="E13" s="439">
        <v>72800</v>
      </c>
      <c r="F13" s="439">
        <v>72800</v>
      </c>
      <c r="G13" s="439">
        <v>72800</v>
      </c>
      <c r="H13" s="439">
        <v>72800</v>
      </c>
      <c r="I13" s="439">
        <v>72800</v>
      </c>
      <c r="J13" s="439">
        <v>72800</v>
      </c>
      <c r="K13" s="439">
        <v>72800</v>
      </c>
      <c r="L13" s="439">
        <v>72800</v>
      </c>
      <c r="M13" s="439">
        <v>72800</v>
      </c>
      <c r="N13" s="439">
        <v>75712</v>
      </c>
      <c r="O13" s="439">
        <v>75712</v>
      </c>
      <c r="P13" s="439">
        <v>75712</v>
      </c>
      <c r="Q13" s="439">
        <v>75712</v>
      </c>
      <c r="R13" s="439">
        <v>75712</v>
      </c>
      <c r="S13" s="439">
        <v>75712</v>
      </c>
      <c r="T13" s="439">
        <v>75712</v>
      </c>
      <c r="U13" s="439">
        <v>75712</v>
      </c>
      <c r="V13" s="439">
        <v>75712</v>
      </c>
      <c r="W13" s="439">
        <v>75712</v>
      </c>
      <c r="X13" s="439">
        <v>75712</v>
      </c>
      <c r="Y13" s="439">
        <v>75712</v>
      </c>
      <c r="Z13" s="439">
        <v>78740.479999999996</v>
      </c>
      <c r="AA13" s="439">
        <v>78740.479999999996</v>
      </c>
      <c r="AB13" s="439">
        <v>78740.479999999996</v>
      </c>
      <c r="AC13" s="439">
        <v>78740.479999999996</v>
      </c>
      <c r="AD13" s="439">
        <v>78740.479999999996</v>
      </c>
      <c r="AE13" s="439">
        <v>78740.479999999996</v>
      </c>
      <c r="AF13" s="439">
        <v>78740.479999999996</v>
      </c>
      <c r="AG13" s="439">
        <v>78740.479999999996</v>
      </c>
      <c r="AH13" s="439">
        <v>78740.479999999996</v>
      </c>
      <c r="AI13" s="439">
        <v>78740.479999999996</v>
      </c>
      <c r="AJ13" s="439">
        <v>78740.479999999996</v>
      </c>
      <c r="AK13" s="439">
        <v>78740.479999999996</v>
      </c>
      <c r="AL13" s="439">
        <v>81890.099199999997</v>
      </c>
      <c r="AM13" s="439">
        <v>81890.099199999997</v>
      </c>
      <c r="AN13" s="439">
        <v>81890.099199999997</v>
      </c>
      <c r="AO13" s="439">
        <v>81890.099199999997</v>
      </c>
      <c r="AP13" s="439">
        <v>81890.099199999997</v>
      </c>
      <c r="AQ13" s="439">
        <v>81890.099199999997</v>
      </c>
      <c r="AR13" s="439">
        <v>81890.099199999997</v>
      </c>
      <c r="AS13" s="439">
        <v>81890.099199999997</v>
      </c>
      <c r="AT13" s="439">
        <v>81890.099199999997</v>
      </c>
      <c r="AU13" s="439">
        <v>81890.099199999997</v>
      </c>
      <c r="AV13" s="439">
        <v>81890.099199999997</v>
      </c>
      <c r="AW13" s="439">
        <v>81890.099199999997</v>
      </c>
      <c r="AX13" s="439">
        <v>85165.703167999993</v>
      </c>
      <c r="AY13" s="439">
        <v>85165.703167999993</v>
      </c>
      <c r="AZ13" s="439">
        <v>85165.703167999993</v>
      </c>
      <c r="BA13" s="439">
        <v>85165.703167999993</v>
      </c>
      <c r="BB13" s="439">
        <v>85165.703167999993</v>
      </c>
      <c r="BC13" s="439">
        <v>85165.703167999993</v>
      </c>
      <c r="BD13" s="439">
        <v>85165.703167999993</v>
      </c>
      <c r="BE13" s="439">
        <v>85165.703167999993</v>
      </c>
      <c r="BF13" s="439">
        <v>85165.703167999993</v>
      </c>
      <c r="BG13" s="439">
        <v>85165.703167999993</v>
      </c>
      <c r="BH13" s="439">
        <v>85165.703167999993</v>
      </c>
      <c r="BI13" s="439">
        <v>85165.703167999993</v>
      </c>
      <c r="BJ13" s="439">
        <v>88572.331294719988</v>
      </c>
      <c r="BK13" s="439">
        <v>88572.331294719988</v>
      </c>
      <c r="BL13" s="439">
        <v>88572.331294719988</v>
      </c>
      <c r="BM13" s="439">
        <v>88572.331294719988</v>
      </c>
      <c r="BN13" s="439">
        <v>88572.331294719988</v>
      </c>
      <c r="BO13" s="439">
        <v>88572.331294719988</v>
      </c>
      <c r="BP13" s="439">
        <v>88572.331294719988</v>
      </c>
      <c r="BQ13" s="439">
        <v>88572.331294719988</v>
      </c>
      <c r="BR13" s="439">
        <v>88572.331294719988</v>
      </c>
      <c r="BS13" s="439">
        <v>88572.331294719988</v>
      </c>
      <c r="BT13" s="439">
        <v>88572.331294719988</v>
      </c>
      <c r="BU13" s="439">
        <v>88572.331294719988</v>
      </c>
      <c r="BV13" s="439">
        <v>92115.224546508791</v>
      </c>
      <c r="BW13" s="439">
        <v>92115.224546508791</v>
      </c>
      <c r="BX13" s="439">
        <v>92115.224546508791</v>
      </c>
      <c r="BY13" s="439">
        <v>92115.224546508791</v>
      </c>
      <c r="BZ13" s="439">
        <v>92115.224546508791</v>
      </c>
      <c r="CA13" s="439">
        <v>92115.224546508791</v>
      </c>
      <c r="CB13" s="439">
        <v>92115.224546508791</v>
      </c>
      <c r="CC13" s="439">
        <v>92115.224546508791</v>
      </c>
      <c r="CD13" s="439">
        <v>92115.224546508791</v>
      </c>
      <c r="CE13" s="439">
        <v>92115.224546508791</v>
      </c>
      <c r="CF13" s="439">
        <v>92115.224546508791</v>
      </c>
      <c r="CG13" s="439">
        <v>92115.224546508791</v>
      </c>
      <c r="CH13" s="439">
        <v>95799.833528369141</v>
      </c>
      <c r="CI13" s="439">
        <v>95799.833528369141</v>
      </c>
      <c r="CJ13" s="439">
        <v>95799.833528369141</v>
      </c>
      <c r="CK13" s="439">
        <v>95799.833528369141</v>
      </c>
      <c r="CL13" s="439">
        <v>95799.833528369141</v>
      </c>
      <c r="CM13" s="439">
        <v>95799.833528369141</v>
      </c>
      <c r="CN13" s="439">
        <v>95799.833528369141</v>
      </c>
      <c r="CO13" s="439">
        <v>95799.833528369141</v>
      </c>
      <c r="CP13" s="439">
        <v>95799.833528369141</v>
      </c>
      <c r="CQ13" s="439">
        <v>95799.833528369141</v>
      </c>
      <c r="CR13" s="439">
        <v>95799.833528369141</v>
      </c>
      <c r="CS13" s="439">
        <v>95799.833528369141</v>
      </c>
      <c r="CT13" s="439">
        <v>99631.826869503915</v>
      </c>
      <c r="CU13" s="439">
        <v>99631.826869503915</v>
      </c>
      <c r="CV13" s="439">
        <v>99631.826869503915</v>
      </c>
      <c r="CW13" s="439">
        <v>99631.826869503915</v>
      </c>
      <c r="CX13" s="439">
        <v>99631.826869503915</v>
      </c>
      <c r="CY13" s="439">
        <v>99631.826869503915</v>
      </c>
    </row>
    <row r="14" spans="1:103" ht="12" customHeight="1">
      <c r="A14" s="310" t="s">
        <v>633</v>
      </c>
      <c r="B14" s="439">
        <v>62400</v>
      </c>
      <c r="C14" s="439">
        <v>62400</v>
      </c>
      <c r="D14" s="439">
        <v>62400</v>
      </c>
      <c r="E14" s="439">
        <v>62400</v>
      </c>
      <c r="F14" s="439">
        <v>62400</v>
      </c>
      <c r="G14" s="439">
        <v>62400</v>
      </c>
      <c r="H14" s="439">
        <v>62400</v>
      </c>
      <c r="I14" s="439">
        <v>62400</v>
      </c>
      <c r="J14" s="439">
        <v>62400</v>
      </c>
      <c r="K14" s="439">
        <v>62400</v>
      </c>
      <c r="L14" s="439">
        <v>62400</v>
      </c>
      <c r="M14" s="439">
        <v>62400</v>
      </c>
      <c r="N14" s="439">
        <v>64896</v>
      </c>
      <c r="O14" s="439">
        <v>64896</v>
      </c>
      <c r="P14" s="439">
        <v>64896</v>
      </c>
      <c r="Q14" s="439">
        <v>64896</v>
      </c>
      <c r="R14" s="439">
        <v>64896</v>
      </c>
      <c r="S14" s="439">
        <v>64896</v>
      </c>
      <c r="T14" s="439">
        <v>64896</v>
      </c>
      <c r="U14" s="439">
        <v>64896</v>
      </c>
      <c r="V14" s="439">
        <v>64896</v>
      </c>
      <c r="W14" s="439">
        <v>64896</v>
      </c>
      <c r="X14" s="439">
        <v>64896</v>
      </c>
      <c r="Y14" s="439">
        <v>64896</v>
      </c>
      <c r="Z14" s="439">
        <v>67491.839999999997</v>
      </c>
      <c r="AA14" s="439">
        <v>67491.839999999997</v>
      </c>
      <c r="AB14" s="439">
        <v>67491.839999999997</v>
      </c>
      <c r="AC14" s="439">
        <v>67491.839999999997</v>
      </c>
      <c r="AD14" s="439">
        <v>67491.839999999997</v>
      </c>
      <c r="AE14" s="439">
        <v>67491.839999999997</v>
      </c>
      <c r="AF14" s="439">
        <v>67491.839999999997</v>
      </c>
      <c r="AG14" s="439">
        <v>67491.839999999997</v>
      </c>
      <c r="AH14" s="439">
        <v>67491.839999999997</v>
      </c>
      <c r="AI14" s="439">
        <v>67491.839999999997</v>
      </c>
      <c r="AJ14" s="439">
        <v>67491.839999999997</v>
      </c>
      <c r="AK14" s="439">
        <v>67491.839999999997</v>
      </c>
      <c r="AL14" s="439">
        <v>70191.513600000006</v>
      </c>
      <c r="AM14" s="439">
        <v>70191.513600000006</v>
      </c>
      <c r="AN14" s="439">
        <v>70191.513600000006</v>
      </c>
      <c r="AO14" s="439">
        <v>70191.513600000006</v>
      </c>
      <c r="AP14" s="439">
        <v>70191.513600000006</v>
      </c>
      <c r="AQ14" s="439">
        <v>70191.513600000006</v>
      </c>
      <c r="AR14" s="439">
        <v>70191.513600000006</v>
      </c>
      <c r="AS14" s="439">
        <v>70191.513600000006</v>
      </c>
      <c r="AT14" s="439">
        <v>70191.513600000006</v>
      </c>
      <c r="AU14" s="439">
        <v>70191.513600000006</v>
      </c>
      <c r="AV14" s="439">
        <v>70191.513600000006</v>
      </c>
      <c r="AW14" s="439">
        <v>70191.513600000006</v>
      </c>
      <c r="AX14" s="439">
        <v>72999.174144000004</v>
      </c>
      <c r="AY14" s="439">
        <v>72999.174144000004</v>
      </c>
      <c r="AZ14" s="439">
        <v>72999.174144000004</v>
      </c>
      <c r="BA14" s="439">
        <v>72999.174144000004</v>
      </c>
      <c r="BB14" s="439">
        <v>72999.174144000004</v>
      </c>
      <c r="BC14" s="439">
        <v>72999.174144000004</v>
      </c>
      <c r="BD14" s="439">
        <v>72999.174144000004</v>
      </c>
      <c r="BE14" s="439">
        <v>72999.174144000004</v>
      </c>
      <c r="BF14" s="439">
        <v>72999.174144000004</v>
      </c>
      <c r="BG14" s="439">
        <v>72999.174144000004</v>
      </c>
      <c r="BH14" s="439">
        <v>72999.174144000004</v>
      </c>
      <c r="BI14" s="439">
        <v>72999.174144000004</v>
      </c>
      <c r="BJ14" s="439">
        <v>75919.141109760007</v>
      </c>
      <c r="BK14" s="439">
        <v>75919.141109760007</v>
      </c>
      <c r="BL14" s="439">
        <v>75919.141109760007</v>
      </c>
      <c r="BM14" s="439">
        <v>75919.141109760007</v>
      </c>
      <c r="BN14" s="439">
        <v>75919.141109760007</v>
      </c>
      <c r="BO14" s="439">
        <v>75919.141109760007</v>
      </c>
      <c r="BP14" s="439">
        <v>75919.141109760007</v>
      </c>
      <c r="BQ14" s="439">
        <v>75919.141109760007</v>
      </c>
      <c r="BR14" s="439">
        <v>75919.141109760007</v>
      </c>
      <c r="BS14" s="439">
        <v>75919.141109760007</v>
      </c>
      <c r="BT14" s="439">
        <v>75919.141109760007</v>
      </c>
      <c r="BU14" s="439">
        <v>75919.141109760007</v>
      </c>
      <c r="BV14" s="439">
        <v>78955.906754150405</v>
      </c>
      <c r="BW14" s="439">
        <v>78955.906754150405</v>
      </c>
      <c r="BX14" s="439">
        <v>78955.906754150405</v>
      </c>
      <c r="BY14" s="439">
        <v>78955.906754150405</v>
      </c>
      <c r="BZ14" s="439">
        <v>78955.906754150405</v>
      </c>
      <c r="CA14" s="439">
        <v>78955.906754150405</v>
      </c>
      <c r="CB14" s="439">
        <v>78955.906754150405</v>
      </c>
      <c r="CC14" s="439">
        <v>78955.906754150405</v>
      </c>
      <c r="CD14" s="439">
        <v>78955.906754150405</v>
      </c>
      <c r="CE14" s="439">
        <v>78955.906754150405</v>
      </c>
      <c r="CF14" s="439">
        <v>78955.906754150405</v>
      </c>
      <c r="CG14" s="439">
        <v>78955.906754150405</v>
      </c>
      <c r="CH14" s="439">
        <v>82114.143024316421</v>
      </c>
      <c r="CI14" s="439">
        <v>82114.143024316421</v>
      </c>
      <c r="CJ14" s="439">
        <v>82114.143024316421</v>
      </c>
      <c r="CK14" s="439">
        <v>82114.143024316421</v>
      </c>
      <c r="CL14" s="439">
        <v>82114.143024316421</v>
      </c>
      <c r="CM14" s="439">
        <v>82114.143024316421</v>
      </c>
      <c r="CN14" s="439">
        <v>82114.143024316421</v>
      </c>
      <c r="CO14" s="439">
        <v>82114.143024316421</v>
      </c>
      <c r="CP14" s="439">
        <v>82114.143024316421</v>
      </c>
      <c r="CQ14" s="439">
        <v>82114.143024316421</v>
      </c>
      <c r="CR14" s="439">
        <v>82114.143024316421</v>
      </c>
      <c r="CS14" s="439">
        <v>82114.143024316421</v>
      </c>
      <c r="CT14" s="439">
        <v>85398.708745289085</v>
      </c>
      <c r="CU14" s="439">
        <v>85398.708745289085</v>
      </c>
      <c r="CV14" s="439">
        <v>85398.708745289085</v>
      </c>
      <c r="CW14" s="439">
        <v>85398.708745289085</v>
      </c>
      <c r="CX14" s="439">
        <v>85398.708745289085</v>
      </c>
      <c r="CY14" s="439">
        <v>85398.708745289085</v>
      </c>
    </row>
    <row r="15" spans="1:103" ht="12" customHeight="1">
      <c r="A15" s="310" t="s">
        <v>634</v>
      </c>
      <c r="B15" s="439">
        <v>72800</v>
      </c>
      <c r="C15" s="439">
        <v>72800</v>
      </c>
      <c r="D15" s="439">
        <v>72800</v>
      </c>
      <c r="E15" s="439">
        <v>72800</v>
      </c>
      <c r="F15" s="439">
        <v>72800</v>
      </c>
      <c r="G15" s="439">
        <v>72800</v>
      </c>
      <c r="H15" s="439">
        <v>72800</v>
      </c>
      <c r="I15" s="439">
        <v>72800</v>
      </c>
      <c r="J15" s="439">
        <v>72800</v>
      </c>
      <c r="K15" s="439">
        <v>72800</v>
      </c>
      <c r="L15" s="439">
        <v>72800</v>
      </c>
      <c r="M15" s="439">
        <v>72800</v>
      </c>
      <c r="N15" s="439">
        <v>75712</v>
      </c>
      <c r="O15" s="439">
        <v>75712</v>
      </c>
      <c r="P15" s="439">
        <v>75712</v>
      </c>
      <c r="Q15" s="439">
        <v>75712</v>
      </c>
      <c r="R15" s="439">
        <v>75712</v>
      </c>
      <c r="S15" s="439">
        <v>75712</v>
      </c>
      <c r="T15" s="439">
        <v>75712</v>
      </c>
      <c r="U15" s="439">
        <v>75712</v>
      </c>
      <c r="V15" s="439">
        <v>75712</v>
      </c>
      <c r="W15" s="439">
        <v>75712</v>
      </c>
      <c r="X15" s="439">
        <v>75712</v>
      </c>
      <c r="Y15" s="439">
        <v>75712</v>
      </c>
      <c r="Z15" s="439">
        <v>78740.479999999996</v>
      </c>
      <c r="AA15" s="439">
        <v>78740.479999999996</v>
      </c>
      <c r="AB15" s="439">
        <v>78740.479999999996</v>
      </c>
      <c r="AC15" s="439">
        <v>78740.479999999996</v>
      </c>
      <c r="AD15" s="439">
        <v>78740.479999999996</v>
      </c>
      <c r="AE15" s="439">
        <v>78740.479999999996</v>
      </c>
      <c r="AF15" s="439">
        <v>78740.479999999996</v>
      </c>
      <c r="AG15" s="439">
        <v>78740.479999999996</v>
      </c>
      <c r="AH15" s="439">
        <v>78740.479999999996</v>
      </c>
      <c r="AI15" s="439">
        <v>78740.479999999996</v>
      </c>
      <c r="AJ15" s="439">
        <v>78740.479999999996</v>
      </c>
      <c r="AK15" s="439">
        <v>78740.479999999996</v>
      </c>
      <c r="AL15" s="439">
        <v>81890.099199999997</v>
      </c>
      <c r="AM15" s="439">
        <v>81890.099199999997</v>
      </c>
      <c r="AN15" s="439">
        <v>81890.099199999997</v>
      </c>
      <c r="AO15" s="439">
        <v>81890.099199999997</v>
      </c>
      <c r="AP15" s="439">
        <v>81890.099199999997</v>
      </c>
      <c r="AQ15" s="439">
        <v>81890.099199999997</v>
      </c>
      <c r="AR15" s="439">
        <v>81890.099199999997</v>
      </c>
      <c r="AS15" s="439">
        <v>81890.099199999997</v>
      </c>
      <c r="AT15" s="439">
        <v>81890.099199999997</v>
      </c>
      <c r="AU15" s="439">
        <v>81890.099199999997</v>
      </c>
      <c r="AV15" s="439">
        <v>81890.099199999997</v>
      </c>
      <c r="AW15" s="439">
        <v>81890.099199999997</v>
      </c>
      <c r="AX15" s="439">
        <v>85165.703167999993</v>
      </c>
      <c r="AY15" s="439">
        <v>85165.703167999993</v>
      </c>
      <c r="AZ15" s="439">
        <v>85165.703167999993</v>
      </c>
      <c r="BA15" s="439">
        <v>85165.703167999993</v>
      </c>
      <c r="BB15" s="439">
        <v>85165.703167999993</v>
      </c>
      <c r="BC15" s="439">
        <v>85165.703167999993</v>
      </c>
      <c r="BD15" s="439">
        <v>85165.703167999993</v>
      </c>
      <c r="BE15" s="439">
        <v>85165.703167999993</v>
      </c>
      <c r="BF15" s="439">
        <v>85165.703167999993</v>
      </c>
      <c r="BG15" s="439">
        <v>85165.703167999993</v>
      </c>
      <c r="BH15" s="439">
        <v>85165.703167999993</v>
      </c>
      <c r="BI15" s="439">
        <v>85165.703167999993</v>
      </c>
      <c r="BJ15" s="439">
        <v>88572.331294719988</v>
      </c>
      <c r="BK15" s="439">
        <v>88572.331294719988</v>
      </c>
      <c r="BL15" s="439">
        <v>88572.331294719988</v>
      </c>
      <c r="BM15" s="439">
        <v>88572.331294719988</v>
      </c>
      <c r="BN15" s="439">
        <v>88572.331294719988</v>
      </c>
      <c r="BO15" s="439">
        <v>88572.331294719988</v>
      </c>
      <c r="BP15" s="439">
        <v>88572.331294719988</v>
      </c>
      <c r="BQ15" s="439">
        <v>88572.331294719988</v>
      </c>
      <c r="BR15" s="439">
        <v>88572.331294719988</v>
      </c>
      <c r="BS15" s="439">
        <v>88572.331294719988</v>
      </c>
      <c r="BT15" s="439">
        <v>88572.331294719988</v>
      </c>
      <c r="BU15" s="439">
        <v>88572.331294719988</v>
      </c>
      <c r="BV15" s="439">
        <v>92115.224546508791</v>
      </c>
      <c r="BW15" s="439">
        <v>92115.224546508791</v>
      </c>
      <c r="BX15" s="439">
        <v>92115.224546508791</v>
      </c>
      <c r="BY15" s="439">
        <v>92115.224546508791</v>
      </c>
      <c r="BZ15" s="439">
        <v>92115.224546508791</v>
      </c>
      <c r="CA15" s="439">
        <v>92115.224546508791</v>
      </c>
      <c r="CB15" s="439">
        <v>92115.224546508791</v>
      </c>
      <c r="CC15" s="439">
        <v>92115.224546508791</v>
      </c>
      <c r="CD15" s="439">
        <v>92115.224546508791</v>
      </c>
      <c r="CE15" s="439">
        <v>92115.224546508791</v>
      </c>
      <c r="CF15" s="439">
        <v>92115.224546508791</v>
      </c>
      <c r="CG15" s="439">
        <v>92115.224546508791</v>
      </c>
      <c r="CH15" s="439">
        <v>95799.833528369141</v>
      </c>
      <c r="CI15" s="439">
        <v>95799.833528369141</v>
      </c>
      <c r="CJ15" s="439">
        <v>95799.833528369141</v>
      </c>
      <c r="CK15" s="439">
        <v>95799.833528369141</v>
      </c>
      <c r="CL15" s="439">
        <v>95799.833528369141</v>
      </c>
      <c r="CM15" s="439">
        <v>95799.833528369141</v>
      </c>
      <c r="CN15" s="439">
        <v>95799.833528369141</v>
      </c>
      <c r="CO15" s="439">
        <v>95799.833528369141</v>
      </c>
      <c r="CP15" s="439">
        <v>95799.833528369141</v>
      </c>
      <c r="CQ15" s="439">
        <v>95799.833528369141</v>
      </c>
      <c r="CR15" s="439">
        <v>95799.833528369141</v>
      </c>
      <c r="CS15" s="439">
        <v>95799.833528369141</v>
      </c>
      <c r="CT15" s="439">
        <v>99631.826869503915</v>
      </c>
      <c r="CU15" s="439">
        <v>99631.826869503915</v>
      </c>
      <c r="CV15" s="439">
        <v>99631.826869503915</v>
      </c>
      <c r="CW15" s="439">
        <v>99631.826869503915</v>
      </c>
      <c r="CX15" s="439">
        <v>99631.826869503915</v>
      </c>
      <c r="CY15" s="439">
        <v>99631.826869503915</v>
      </c>
    </row>
    <row r="16" spans="1:103" ht="12" customHeight="1">
      <c r="A16" s="310" t="s">
        <v>635</v>
      </c>
      <c r="B16" s="439">
        <v>210000</v>
      </c>
      <c r="C16" s="439">
        <v>210000</v>
      </c>
      <c r="D16" s="439">
        <v>210000</v>
      </c>
      <c r="E16" s="439">
        <v>210000</v>
      </c>
      <c r="F16" s="439">
        <v>210000</v>
      </c>
      <c r="G16" s="439">
        <v>210000</v>
      </c>
      <c r="H16" s="439">
        <v>210000</v>
      </c>
      <c r="I16" s="439">
        <v>210000</v>
      </c>
      <c r="J16" s="439">
        <v>210000</v>
      </c>
      <c r="K16" s="439">
        <v>210000</v>
      </c>
      <c r="L16" s="439">
        <v>210000</v>
      </c>
      <c r="M16" s="439">
        <v>210000</v>
      </c>
      <c r="N16" s="439">
        <v>218400</v>
      </c>
      <c r="O16" s="439">
        <v>218400</v>
      </c>
      <c r="P16" s="439">
        <v>218400</v>
      </c>
      <c r="Q16" s="439">
        <v>218400</v>
      </c>
      <c r="R16" s="439">
        <v>218400</v>
      </c>
      <c r="S16" s="439">
        <v>218400</v>
      </c>
      <c r="T16" s="439">
        <v>218400</v>
      </c>
      <c r="U16" s="439">
        <v>218400</v>
      </c>
      <c r="V16" s="439">
        <v>218400</v>
      </c>
      <c r="W16" s="439">
        <v>218400</v>
      </c>
      <c r="X16" s="439">
        <v>218400</v>
      </c>
      <c r="Y16" s="439">
        <v>218400</v>
      </c>
      <c r="Z16" s="439">
        <v>227136</v>
      </c>
      <c r="AA16" s="439">
        <v>227136</v>
      </c>
      <c r="AB16" s="439">
        <v>227136</v>
      </c>
      <c r="AC16" s="439">
        <v>227136</v>
      </c>
      <c r="AD16" s="439">
        <v>227136</v>
      </c>
      <c r="AE16" s="439">
        <v>227136</v>
      </c>
      <c r="AF16" s="439">
        <v>227136</v>
      </c>
      <c r="AG16" s="439">
        <v>227136</v>
      </c>
      <c r="AH16" s="439">
        <v>227136</v>
      </c>
      <c r="AI16" s="439">
        <v>227136</v>
      </c>
      <c r="AJ16" s="439">
        <v>227136</v>
      </c>
      <c r="AK16" s="439">
        <v>227136</v>
      </c>
      <c r="AL16" s="439">
        <v>236221.44</v>
      </c>
      <c r="AM16" s="439">
        <v>236221.44</v>
      </c>
      <c r="AN16" s="439">
        <v>236221.44</v>
      </c>
      <c r="AO16" s="439">
        <v>236221.44</v>
      </c>
      <c r="AP16" s="439">
        <v>236221.44</v>
      </c>
      <c r="AQ16" s="439">
        <v>236221.44</v>
      </c>
      <c r="AR16" s="439">
        <v>236221.44</v>
      </c>
      <c r="AS16" s="439">
        <v>236221.44</v>
      </c>
      <c r="AT16" s="439">
        <v>236221.44</v>
      </c>
      <c r="AU16" s="439">
        <v>236221.44</v>
      </c>
      <c r="AV16" s="439">
        <v>236221.44</v>
      </c>
      <c r="AW16" s="439">
        <v>236221.44</v>
      </c>
      <c r="AX16" s="439">
        <v>245670.29760000002</v>
      </c>
      <c r="AY16" s="439">
        <v>245670.29760000002</v>
      </c>
      <c r="AZ16" s="439">
        <v>245670.29760000002</v>
      </c>
      <c r="BA16" s="439">
        <v>245670.29760000002</v>
      </c>
      <c r="BB16" s="439">
        <v>245670.29760000002</v>
      </c>
      <c r="BC16" s="439">
        <v>245670.29760000002</v>
      </c>
      <c r="BD16" s="439">
        <v>245670.29760000002</v>
      </c>
      <c r="BE16" s="439">
        <v>245670.29760000002</v>
      </c>
      <c r="BF16" s="439">
        <v>245670.29760000002</v>
      </c>
      <c r="BG16" s="439">
        <v>245670.29760000002</v>
      </c>
      <c r="BH16" s="439">
        <v>245670.29760000002</v>
      </c>
      <c r="BI16" s="439">
        <v>245670.29760000002</v>
      </c>
      <c r="BJ16" s="439">
        <v>255497.10950400002</v>
      </c>
      <c r="BK16" s="439">
        <v>255497.10950400002</v>
      </c>
      <c r="BL16" s="439">
        <v>255497.10950400002</v>
      </c>
      <c r="BM16" s="439">
        <v>255497.10950400002</v>
      </c>
      <c r="BN16" s="439">
        <v>255497.10950400002</v>
      </c>
      <c r="BO16" s="439">
        <v>255497.10950400002</v>
      </c>
      <c r="BP16" s="439">
        <v>255497.10950400002</v>
      </c>
      <c r="BQ16" s="439">
        <v>255497.10950400002</v>
      </c>
      <c r="BR16" s="439">
        <v>255497.10950400002</v>
      </c>
      <c r="BS16" s="439">
        <v>255497.10950400002</v>
      </c>
      <c r="BT16" s="439">
        <v>255497.10950400002</v>
      </c>
      <c r="BU16" s="439">
        <v>255497.10950400002</v>
      </c>
      <c r="BV16" s="439">
        <v>265716.99388416001</v>
      </c>
      <c r="BW16" s="439">
        <v>265716.99388416001</v>
      </c>
      <c r="BX16" s="439">
        <v>265716.99388416001</v>
      </c>
      <c r="BY16" s="439">
        <v>265716.99388416001</v>
      </c>
      <c r="BZ16" s="439">
        <v>265716.99388416001</v>
      </c>
      <c r="CA16" s="439">
        <v>265716.99388416001</v>
      </c>
      <c r="CB16" s="439">
        <v>265716.99388416001</v>
      </c>
      <c r="CC16" s="439">
        <v>265716.99388416001</v>
      </c>
      <c r="CD16" s="439">
        <v>265716.99388416001</v>
      </c>
      <c r="CE16" s="439">
        <v>265716.99388416001</v>
      </c>
      <c r="CF16" s="439">
        <v>265716.99388416001</v>
      </c>
      <c r="CG16" s="439">
        <v>265716.99388416001</v>
      </c>
      <c r="CH16" s="439">
        <v>276345.67363952642</v>
      </c>
      <c r="CI16" s="439">
        <v>276345.67363952642</v>
      </c>
      <c r="CJ16" s="439">
        <v>276345.67363952642</v>
      </c>
      <c r="CK16" s="439">
        <v>276345.67363952642</v>
      </c>
      <c r="CL16" s="439">
        <v>276345.67363952642</v>
      </c>
      <c r="CM16" s="439">
        <v>276345.67363952642</v>
      </c>
      <c r="CN16" s="439">
        <v>276345.67363952642</v>
      </c>
      <c r="CO16" s="439">
        <v>276345.67363952642</v>
      </c>
      <c r="CP16" s="439">
        <v>276345.67363952642</v>
      </c>
      <c r="CQ16" s="439">
        <v>276345.67363952642</v>
      </c>
      <c r="CR16" s="439">
        <v>276345.67363952642</v>
      </c>
      <c r="CS16" s="439">
        <v>276345.67363952642</v>
      </c>
      <c r="CT16" s="439">
        <v>287399.50058510748</v>
      </c>
      <c r="CU16" s="439">
        <v>287399.50058510748</v>
      </c>
      <c r="CV16" s="439">
        <v>287399.50058510748</v>
      </c>
      <c r="CW16" s="439">
        <v>287399.50058510748</v>
      </c>
      <c r="CX16" s="439">
        <v>287399.50058510748</v>
      </c>
      <c r="CY16" s="439">
        <v>287399.50058510748</v>
      </c>
    </row>
    <row r="17" spans="1:103" ht="12" customHeight="1">
      <c r="A17" s="310" t="s">
        <v>636</v>
      </c>
      <c r="B17" s="439">
        <v>150000</v>
      </c>
      <c r="C17" s="439">
        <v>150000</v>
      </c>
      <c r="D17" s="439">
        <v>150000</v>
      </c>
      <c r="E17" s="439">
        <v>150000</v>
      </c>
      <c r="F17" s="439">
        <v>150000</v>
      </c>
      <c r="G17" s="439">
        <v>150000</v>
      </c>
      <c r="H17" s="439">
        <v>150000</v>
      </c>
      <c r="I17" s="439">
        <v>150000</v>
      </c>
      <c r="J17" s="439">
        <v>150000</v>
      </c>
      <c r="K17" s="439">
        <v>150000</v>
      </c>
      <c r="L17" s="439">
        <v>150000</v>
      </c>
      <c r="M17" s="439">
        <v>150000</v>
      </c>
      <c r="N17" s="439">
        <v>156000</v>
      </c>
      <c r="O17" s="439">
        <v>156000</v>
      </c>
      <c r="P17" s="439">
        <v>156000</v>
      </c>
      <c r="Q17" s="439">
        <v>156000</v>
      </c>
      <c r="R17" s="439">
        <v>156000</v>
      </c>
      <c r="S17" s="439">
        <v>156000</v>
      </c>
      <c r="T17" s="439">
        <v>156000</v>
      </c>
      <c r="U17" s="439">
        <v>156000</v>
      </c>
      <c r="V17" s="439">
        <v>156000</v>
      </c>
      <c r="W17" s="439">
        <v>156000</v>
      </c>
      <c r="X17" s="439">
        <v>156000</v>
      </c>
      <c r="Y17" s="439">
        <v>156000</v>
      </c>
      <c r="Z17" s="439">
        <v>162240</v>
      </c>
      <c r="AA17" s="439">
        <v>162240</v>
      </c>
      <c r="AB17" s="439">
        <v>162240</v>
      </c>
      <c r="AC17" s="439">
        <v>162240</v>
      </c>
      <c r="AD17" s="439">
        <v>162240</v>
      </c>
      <c r="AE17" s="439">
        <v>162240</v>
      </c>
      <c r="AF17" s="439">
        <v>162240</v>
      </c>
      <c r="AG17" s="439">
        <v>162240</v>
      </c>
      <c r="AH17" s="439">
        <v>162240</v>
      </c>
      <c r="AI17" s="439">
        <v>162240</v>
      </c>
      <c r="AJ17" s="439">
        <v>162240</v>
      </c>
      <c r="AK17" s="439">
        <v>162240</v>
      </c>
      <c r="AL17" s="439">
        <v>168729.60000000001</v>
      </c>
      <c r="AM17" s="439">
        <v>168729.60000000001</v>
      </c>
      <c r="AN17" s="439">
        <v>168729.60000000001</v>
      </c>
      <c r="AO17" s="439">
        <v>168729.60000000001</v>
      </c>
      <c r="AP17" s="439">
        <v>168729.60000000001</v>
      </c>
      <c r="AQ17" s="439">
        <v>168729.60000000001</v>
      </c>
      <c r="AR17" s="439">
        <v>168729.60000000001</v>
      </c>
      <c r="AS17" s="439">
        <v>168729.60000000001</v>
      </c>
      <c r="AT17" s="439">
        <v>168729.60000000001</v>
      </c>
      <c r="AU17" s="439">
        <v>168729.60000000001</v>
      </c>
      <c r="AV17" s="439">
        <v>168729.60000000001</v>
      </c>
      <c r="AW17" s="439">
        <v>168729.60000000001</v>
      </c>
      <c r="AX17" s="439">
        <v>175478.78400000001</v>
      </c>
      <c r="AY17" s="439">
        <v>175478.78400000001</v>
      </c>
      <c r="AZ17" s="439">
        <v>175478.78400000001</v>
      </c>
      <c r="BA17" s="439">
        <v>175478.78400000001</v>
      </c>
      <c r="BB17" s="439">
        <v>175478.78400000001</v>
      </c>
      <c r="BC17" s="439">
        <v>175478.78400000001</v>
      </c>
      <c r="BD17" s="439">
        <v>175478.78400000001</v>
      </c>
      <c r="BE17" s="439">
        <v>175478.78400000001</v>
      </c>
      <c r="BF17" s="439">
        <v>175478.78400000001</v>
      </c>
      <c r="BG17" s="439">
        <v>175478.78400000001</v>
      </c>
      <c r="BH17" s="439">
        <v>175478.78400000001</v>
      </c>
      <c r="BI17" s="439">
        <v>175478.78400000001</v>
      </c>
      <c r="BJ17" s="439">
        <v>182497.93536000003</v>
      </c>
      <c r="BK17" s="439">
        <v>182497.93536000003</v>
      </c>
      <c r="BL17" s="439">
        <v>182497.93536000003</v>
      </c>
      <c r="BM17" s="439">
        <v>182497.93536000003</v>
      </c>
      <c r="BN17" s="439">
        <v>182497.93536000003</v>
      </c>
      <c r="BO17" s="439">
        <v>182497.93536000003</v>
      </c>
      <c r="BP17" s="439">
        <v>182497.93536000003</v>
      </c>
      <c r="BQ17" s="439">
        <v>182497.93536000003</v>
      </c>
      <c r="BR17" s="439">
        <v>182497.93536000003</v>
      </c>
      <c r="BS17" s="439">
        <v>182497.93536000003</v>
      </c>
      <c r="BT17" s="439">
        <v>182497.93536000003</v>
      </c>
      <c r="BU17" s="439">
        <v>182497.93536000003</v>
      </c>
      <c r="BV17" s="439">
        <v>189797.85277440003</v>
      </c>
      <c r="BW17" s="439">
        <v>189797.85277440003</v>
      </c>
      <c r="BX17" s="439">
        <v>189797.85277440003</v>
      </c>
      <c r="BY17" s="439">
        <v>189797.85277440003</v>
      </c>
      <c r="BZ17" s="439">
        <v>189797.85277440003</v>
      </c>
      <c r="CA17" s="439">
        <v>189797.85277440003</v>
      </c>
      <c r="CB17" s="439">
        <v>189797.85277440003</v>
      </c>
      <c r="CC17" s="439">
        <v>189797.85277440003</v>
      </c>
      <c r="CD17" s="439">
        <v>189797.85277440003</v>
      </c>
      <c r="CE17" s="439">
        <v>189797.85277440003</v>
      </c>
      <c r="CF17" s="439">
        <v>189797.85277440003</v>
      </c>
      <c r="CG17" s="439">
        <v>189797.85277440003</v>
      </c>
      <c r="CH17" s="439">
        <v>197389.76688537604</v>
      </c>
      <c r="CI17" s="439">
        <v>197389.76688537604</v>
      </c>
      <c r="CJ17" s="439">
        <v>197389.76688537604</v>
      </c>
      <c r="CK17" s="439">
        <v>197389.76688537604</v>
      </c>
      <c r="CL17" s="439">
        <v>197389.76688537604</v>
      </c>
      <c r="CM17" s="439">
        <v>197389.76688537604</v>
      </c>
      <c r="CN17" s="439">
        <v>197389.76688537604</v>
      </c>
      <c r="CO17" s="439">
        <v>197389.76688537604</v>
      </c>
      <c r="CP17" s="439">
        <v>197389.76688537604</v>
      </c>
      <c r="CQ17" s="439">
        <v>197389.76688537604</v>
      </c>
      <c r="CR17" s="439">
        <v>197389.76688537604</v>
      </c>
      <c r="CS17" s="439">
        <v>197389.76688537604</v>
      </c>
      <c r="CT17" s="439">
        <v>205285.35756079108</v>
      </c>
      <c r="CU17" s="439">
        <v>205285.35756079108</v>
      </c>
      <c r="CV17" s="439">
        <v>205285.35756079108</v>
      </c>
      <c r="CW17" s="439">
        <v>205285.35756079108</v>
      </c>
      <c r="CX17" s="439">
        <v>205285.35756079108</v>
      </c>
      <c r="CY17" s="439">
        <v>205285.35756079108</v>
      </c>
    </row>
    <row r="18" spans="1:103" ht="12" customHeight="1">
      <c r="A18" s="310" t="s">
        <v>637</v>
      </c>
      <c r="B18" s="439">
        <v>231000.00000000003</v>
      </c>
      <c r="C18" s="439">
        <v>231000.00000000003</v>
      </c>
      <c r="D18" s="439">
        <v>231000.00000000003</v>
      </c>
      <c r="E18" s="439">
        <v>231000.00000000003</v>
      </c>
      <c r="F18" s="439">
        <v>231000.00000000003</v>
      </c>
      <c r="G18" s="439">
        <v>254100.00000000006</v>
      </c>
      <c r="H18" s="439">
        <v>254100.00000000006</v>
      </c>
      <c r="I18" s="439">
        <v>254100.00000000006</v>
      </c>
      <c r="J18" s="439">
        <v>254100.00000000006</v>
      </c>
      <c r="K18" s="439">
        <v>254100.00000000006</v>
      </c>
      <c r="L18" s="439">
        <v>254100.00000000006</v>
      </c>
      <c r="M18" s="439">
        <v>254100.00000000006</v>
      </c>
      <c r="N18" s="439">
        <v>254100.00000000006</v>
      </c>
      <c r="O18" s="439">
        <v>254100.00000000006</v>
      </c>
      <c r="P18" s="439">
        <v>254100.00000000006</v>
      </c>
      <c r="Q18" s="439">
        <v>254100.00000000006</v>
      </c>
      <c r="R18" s="439">
        <v>254100.00000000006</v>
      </c>
      <c r="S18" s="439">
        <v>279510.00000000006</v>
      </c>
      <c r="T18" s="439">
        <v>279510.00000000006</v>
      </c>
      <c r="U18" s="439">
        <v>279510.00000000006</v>
      </c>
      <c r="V18" s="439">
        <v>279510.00000000006</v>
      </c>
      <c r="W18" s="439">
        <v>279510.00000000006</v>
      </c>
      <c r="X18" s="439">
        <v>279510.00000000006</v>
      </c>
      <c r="Y18" s="439">
        <v>279510.00000000006</v>
      </c>
      <c r="Z18" s="439">
        <v>279510.00000000006</v>
      </c>
      <c r="AA18" s="439">
        <v>279510.00000000006</v>
      </c>
      <c r="AB18" s="439">
        <v>279510.00000000006</v>
      </c>
      <c r="AC18" s="439">
        <v>279510.00000000006</v>
      </c>
      <c r="AD18" s="439">
        <v>279510.00000000006</v>
      </c>
      <c r="AE18" s="439">
        <v>307461.00000000012</v>
      </c>
      <c r="AF18" s="439">
        <v>307461.00000000012</v>
      </c>
      <c r="AG18" s="439">
        <v>307461.00000000012</v>
      </c>
      <c r="AH18" s="439">
        <v>307461.00000000012</v>
      </c>
      <c r="AI18" s="439">
        <v>307461.00000000012</v>
      </c>
      <c r="AJ18" s="439">
        <v>307461.00000000012</v>
      </c>
      <c r="AK18" s="439">
        <v>307461.00000000012</v>
      </c>
      <c r="AL18" s="439">
        <v>307461.00000000012</v>
      </c>
      <c r="AM18" s="439">
        <v>307461.00000000012</v>
      </c>
      <c r="AN18" s="439">
        <v>307461.00000000012</v>
      </c>
      <c r="AO18" s="439">
        <v>307461.00000000012</v>
      </c>
      <c r="AP18" s="439">
        <v>307461.00000000012</v>
      </c>
      <c r="AQ18" s="439">
        <v>338207.10000000015</v>
      </c>
      <c r="AR18" s="439">
        <v>338207.10000000015</v>
      </c>
      <c r="AS18" s="439">
        <v>338207.10000000015</v>
      </c>
      <c r="AT18" s="439">
        <v>338207.10000000015</v>
      </c>
      <c r="AU18" s="439">
        <v>338207.10000000015</v>
      </c>
      <c r="AV18" s="439">
        <v>338207.10000000015</v>
      </c>
      <c r="AW18" s="439">
        <v>338207.10000000015</v>
      </c>
      <c r="AX18" s="439">
        <v>338207.10000000015</v>
      </c>
      <c r="AY18" s="439">
        <v>338207.10000000015</v>
      </c>
      <c r="AZ18" s="439">
        <v>338207.10000000015</v>
      </c>
      <c r="BA18" s="439">
        <v>338207.10000000015</v>
      </c>
      <c r="BB18" s="439">
        <v>338207.10000000015</v>
      </c>
      <c r="BC18" s="439">
        <v>372027.81000000017</v>
      </c>
      <c r="BD18" s="439">
        <v>372027.81000000017</v>
      </c>
      <c r="BE18" s="439">
        <v>372027.81000000017</v>
      </c>
      <c r="BF18" s="439">
        <v>372027.81000000017</v>
      </c>
      <c r="BG18" s="439">
        <v>372027.81000000017</v>
      </c>
      <c r="BH18" s="439">
        <v>372027.81000000017</v>
      </c>
      <c r="BI18" s="439">
        <v>372027.81000000017</v>
      </c>
      <c r="BJ18" s="439">
        <v>372027.81000000017</v>
      </c>
      <c r="BK18" s="439">
        <v>372027.81000000017</v>
      </c>
      <c r="BL18" s="439">
        <v>372027.81000000017</v>
      </c>
      <c r="BM18" s="439">
        <v>372027.81000000017</v>
      </c>
      <c r="BN18" s="439">
        <v>372027.81000000017</v>
      </c>
      <c r="BO18" s="439">
        <v>409230.59100000025</v>
      </c>
      <c r="BP18" s="439">
        <v>409230.59100000025</v>
      </c>
      <c r="BQ18" s="439">
        <v>409230.59100000025</v>
      </c>
      <c r="BR18" s="439">
        <v>409230.59100000025</v>
      </c>
      <c r="BS18" s="439">
        <v>409230.59100000025</v>
      </c>
      <c r="BT18" s="439">
        <v>409230.59100000025</v>
      </c>
      <c r="BU18" s="439">
        <v>409230.59100000025</v>
      </c>
      <c r="BV18" s="439">
        <v>409230.59100000025</v>
      </c>
      <c r="BW18" s="439">
        <v>409230.59100000025</v>
      </c>
      <c r="BX18" s="439">
        <v>409230.59100000025</v>
      </c>
      <c r="BY18" s="439">
        <v>409230.59100000025</v>
      </c>
      <c r="BZ18" s="439">
        <v>409230.59100000025</v>
      </c>
      <c r="CA18" s="439">
        <v>450153.65010000032</v>
      </c>
      <c r="CB18" s="439">
        <v>450153.65010000032</v>
      </c>
      <c r="CC18" s="439">
        <v>450153.65010000032</v>
      </c>
      <c r="CD18" s="439">
        <v>450153.65010000032</v>
      </c>
      <c r="CE18" s="439">
        <v>450153.65010000032</v>
      </c>
      <c r="CF18" s="439">
        <v>450153.65010000032</v>
      </c>
      <c r="CG18" s="439">
        <v>450153.65010000032</v>
      </c>
      <c r="CH18" s="439">
        <v>450153.65010000032</v>
      </c>
      <c r="CI18" s="439">
        <v>450153.65010000032</v>
      </c>
      <c r="CJ18" s="439">
        <v>450153.65010000032</v>
      </c>
      <c r="CK18" s="439">
        <v>450153.65010000032</v>
      </c>
      <c r="CL18" s="439">
        <v>450153.65010000032</v>
      </c>
      <c r="CM18" s="439">
        <v>495169.01511000039</v>
      </c>
      <c r="CN18" s="439">
        <v>495169.01511000039</v>
      </c>
      <c r="CO18" s="439">
        <v>495169.01511000039</v>
      </c>
      <c r="CP18" s="439">
        <v>495169.01511000039</v>
      </c>
      <c r="CQ18" s="439">
        <v>495169.01511000039</v>
      </c>
      <c r="CR18" s="439">
        <v>495169.01511000039</v>
      </c>
      <c r="CS18" s="439">
        <v>495169.01511000039</v>
      </c>
      <c r="CT18" s="439">
        <v>495169.01511000039</v>
      </c>
      <c r="CU18" s="439">
        <v>495169.01511000039</v>
      </c>
      <c r="CV18" s="439">
        <v>495169.01511000039</v>
      </c>
      <c r="CW18" s="439">
        <v>495169.01511000039</v>
      </c>
      <c r="CX18" s="439">
        <v>495169.01511000039</v>
      </c>
      <c r="CY18" s="439">
        <v>544685.91662100051</v>
      </c>
    </row>
    <row r="19" spans="1:103" ht="12" customHeight="1">
      <c r="A19" s="310" t="s">
        <v>638</v>
      </c>
      <c r="B19" s="439">
        <v>238831.99999999997</v>
      </c>
      <c r="C19" s="439">
        <v>238831.99999999997</v>
      </c>
      <c r="D19" s="439">
        <v>238831.99999999997</v>
      </c>
      <c r="E19" s="439">
        <v>238831.99999999997</v>
      </c>
      <c r="F19" s="439">
        <v>238831.99999999997</v>
      </c>
      <c r="G19" s="439">
        <v>238831.99999999997</v>
      </c>
      <c r="H19" s="439">
        <v>238831.99999999997</v>
      </c>
      <c r="I19" s="439">
        <v>238831.99999999997</v>
      </c>
      <c r="J19" s="439">
        <v>238831.99999999997</v>
      </c>
      <c r="K19" s="439">
        <v>238831.99999999997</v>
      </c>
      <c r="L19" s="439">
        <v>238831.99999999997</v>
      </c>
      <c r="M19" s="439">
        <v>238831.99999999997</v>
      </c>
      <c r="N19" s="439">
        <v>262715.2</v>
      </c>
      <c r="O19" s="439">
        <v>262715.2</v>
      </c>
      <c r="P19" s="439">
        <v>262715.2</v>
      </c>
      <c r="Q19" s="439">
        <v>262715.2</v>
      </c>
      <c r="R19" s="439">
        <v>262715.2</v>
      </c>
      <c r="S19" s="439">
        <v>262715.2</v>
      </c>
      <c r="T19" s="439">
        <v>262715.2</v>
      </c>
      <c r="U19" s="439">
        <v>262715.2</v>
      </c>
      <c r="V19" s="439">
        <v>262715.2</v>
      </c>
      <c r="W19" s="439">
        <v>262715.2</v>
      </c>
      <c r="X19" s="439">
        <v>262715.2</v>
      </c>
      <c r="Y19" s="439">
        <v>262715.2</v>
      </c>
      <c r="Z19" s="439">
        <v>288986.72000000003</v>
      </c>
      <c r="AA19" s="439">
        <v>288986.72000000003</v>
      </c>
      <c r="AB19" s="439">
        <v>288986.72000000003</v>
      </c>
      <c r="AC19" s="439">
        <v>288986.72000000003</v>
      </c>
      <c r="AD19" s="439">
        <v>288986.72000000003</v>
      </c>
      <c r="AE19" s="439">
        <v>288986.72000000003</v>
      </c>
      <c r="AF19" s="439">
        <v>288986.72000000003</v>
      </c>
      <c r="AG19" s="439">
        <v>288986.72000000003</v>
      </c>
      <c r="AH19" s="439">
        <v>288986.72000000003</v>
      </c>
      <c r="AI19" s="439">
        <v>288986.72000000003</v>
      </c>
      <c r="AJ19" s="439">
        <v>288986.72000000003</v>
      </c>
      <c r="AK19" s="439">
        <v>288986.72000000003</v>
      </c>
      <c r="AL19" s="439">
        <v>317885.39200000005</v>
      </c>
      <c r="AM19" s="439">
        <v>317885.39200000005</v>
      </c>
      <c r="AN19" s="439">
        <v>317885.39200000005</v>
      </c>
      <c r="AO19" s="439">
        <v>317885.39200000005</v>
      </c>
      <c r="AP19" s="439">
        <v>317885.39200000005</v>
      </c>
      <c r="AQ19" s="439">
        <v>317885.39200000005</v>
      </c>
      <c r="AR19" s="439">
        <v>317885.39200000005</v>
      </c>
      <c r="AS19" s="439">
        <v>317885.39200000005</v>
      </c>
      <c r="AT19" s="439">
        <v>317885.39200000005</v>
      </c>
      <c r="AU19" s="439">
        <v>317885.39200000005</v>
      </c>
      <c r="AV19" s="439">
        <v>317885.39200000005</v>
      </c>
      <c r="AW19" s="439">
        <v>317885.39200000005</v>
      </c>
      <c r="AX19" s="439">
        <v>349673.93120000011</v>
      </c>
      <c r="AY19" s="439">
        <v>349673.93120000011</v>
      </c>
      <c r="AZ19" s="439">
        <v>349673.93120000011</v>
      </c>
      <c r="BA19" s="439">
        <v>349673.93120000011</v>
      </c>
      <c r="BB19" s="439">
        <v>349673.93120000011</v>
      </c>
      <c r="BC19" s="439">
        <v>349673.93120000011</v>
      </c>
      <c r="BD19" s="439">
        <v>349673.93120000011</v>
      </c>
      <c r="BE19" s="439">
        <v>349673.93120000011</v>
      </c>
      <c r="BF19" s="439">
        <v>349673.93120000011</v>
      </c>
      <c r="BG19" s="439">
        <v>349673.93120000011</v>
      </c>
      <c r="BH19" s="439">
        <v>349673.93120000011</v>
      </c>
      <c r="BI19" s="439">
        <v>349673.93120000011</v>
      </c>
      <c r="BJ19" s="439">
        <v>384641.32432000013</v>
      </c>
      <c r="BK19" s="439">
        <v>384641.32432000013</v>
      </c>
      <c r="BL19" s="439">
        <v>384641.32432000013</v>
      </c>
      <c r="BM19" s="439">
        <v>384641.32432000013</v>
      </c>
      <c r="BN19" s="439">
        <v>384641.32432000013</v>
      </c>
      <c r="BO19" s="439">
        <v>384641.32432000013</v>
      </c>
      <c r="BP19" s="439">
        <v>384641.32432000013</v>
      </c>
      <c r="BQ19" s="439">
        <v>384641.32432000013</v>
      </c>
      <c r="BR19" s="439">
        <v>384641.32432000013</v>
      </c>
      <c r="BS19" s="439">
        <v>384641.32432000013</v>
      </c>
      <c r="BT19" s="439">
        <v>384641.32432000013</v>
      </c>
      <c r="BU19" s="439">
        <v>384641.32432000013</v>
      </c>
      <c r="BV19" s="439">
        <v>423105.4567520002</v>
      </c>
      <c r="BW19" s="439">
        <v>423105.4567520002</v>
      </c>
      <c r="BX19" s="439">
        <v>423105.4567520002</v>
      </c>
      <c r="BY19" s="439">
        <v>423105.4567520002</v>
      </c>
      <c r="BZ19" s="439">
        <v>423105.4567520002</v>
      </c>
      <c r="CA19" s="439">
        <v>423105.4567520002</v>
      </c>
      <c r="CB19" s="439">
        <v>423105.4567520002</v>
      </c>
      <c r="CC19" s="439">
        <v>423105.4567520002</v>
      </c>
      <c r="CD19" s="439">
        <v>423105.4567520002</v>
      </c>
      <c r="CE19" s="439">
        <v>423105.4567520002</v>
      </c>
      <c r="CF19" s="439">
        <v>423105.4567520002</v>
      </c>
      <c r="CG19" s="439">
        <v>423105.4567520002</v>
      </c>
      <c r="CH19" s="439">
        <v>465416.00242720026</v>
      </c>
      <c r="CI19" s="439">
        <v>465416.00242720026</v>
      </c>
      <c r="CJ19" s="439">
        <v>465416.00242720026</v>
      </c>
      <c r="CK19" s="439">
        <v>465416.00242720026</v>
      </c>
      <c r="CL19" s="439">
        <v>465416.00242720026</v>
      </c>
      <c r="CM19" s="439">
        <v>465416.00242720026</v>
      </c>
      <c r="CN19" s="439">
        <v>465416.00242720026</v>
      </c>
      <c r="CO19" s="439">
        <v>465416.00242720026</v>
      </c>
      <c r="CP19" s="439">
        <v>465416.00242720026</v>
      </c>
      <c r="CQ19" s="439">
        <v>465416.00242720026</v>
      </c>
      <c r="CR19" s="439">
        <v>465416.00242720026</v>
      </c>
      <c r="CS19" s="439">
        <v>465416.00242720026</v>
      </c>
      <c r="CT19" s="439">
        <v>511957.60266992031</v>
      </c>
      <c r="CU19" s="439">
        <v>511957.60266992031</v>
      </c>
      <c r="CV19" s="439">
        <v>511957.60266992031</v>
      </c>
      <c r="CW19" s="439">
        <v>511957.60266992031</v>
      </c>
      <c r="CX19" s="439">
        <v>511957.60266992031</v>
      </c>
      <c r="CY19" s="439">
        <v>511957.60266992031</v>
      </c>
    </row>
    <row r="20" spans="1:103" ht="12" customHeight="1">
      <c r="A20" s="310" t="s">
        <v>639</v>
      </c>
      <c r="B20" s="439">
        <v>118800.00000000001</v>
      </c>
      <c r="C20" s="439">
        <v>118800.00000000001</v>
      </c>
      <c r="D20" s="439">
        <v>118800.00000000001</v>
      </c>
      <c r="E20" s="439">
        <v>118800.00000000001</v>
      </c>
      <c r="F20" s="439">
        <v>118800.00000000001</v>
      </c>
      <c r="G20" s="439">
        <v>118800.00000000001</v>
      </c>
      <c r="H20" s="439">
        <v>118800.00000000001</v>
      </c>
      <c r="I20" s="439">
        <v>118800.00000000001</v>
      </c>
      <c r="J20" s="439">
        <v>118800.00000000001</v>
      </c>
      <c r="K20" s="439">
        <v>118800.00000000001</v>
      </c>
      <c r="L20" s="439">
        <v>118800.00000000001</v>
      </c>
      <c r="M20" s="439">
        <v>118800.00000000001</v>
      </c>
      <c r="N20" s="439">
        <v>130680.00000000003</v>
      </c>
      <c r="O20" s="439">
        <v>130680.00000000003</v>
      </c>
      <c r="P20" s="439">
        <v>130680.00000000003</v>
      </c>
      <c r="Q20" s="439">
        <v>130680.00000000003</v>
      </c>
      <c r="R20" s="439">
        <v>130680.00000000003</v>
      </c>
      <c r="S20" s="439">
        <v>130680.00000000003</v>
      </c>
      <c r="T20" s="439">
        <v>130680.00000000003</v>
      </c>
      <c r="U20" s="439">
        <v>130680.00000000003</v>
      </c>
      <c r="V20" s="439">
        <v>130680.00000000003</v>
      </c>
      <c r="W20" s="439">
        <v>130680.00000000003</v>
      </c>
      <c r="X20" s="439">
        <v>130680.00000000003</v>
      </c>
      <c r="Y20" s="439">
        <v>130680.00000000003</v>
      </c>
      <c r="Z20" s="439">
        <v>143748.00000000003</v>
      </c>
      <c r="AA20" s="439">
        <v>143748.00000000003</v>
      </c>
      <c r="AB20" s="439">
        <v>143748.00000000003</v>
      </c>
      <c r="AC20" s="439">
        <v>143748.00000000003</v>
      </c>
      <c r="AD20" s="439">
        <v>143748.00000000003</v>
      </c>
      <c r="AE20" s="439">
        <v>143748.00000000003</v>
      </c>
      <c r="AF20" s="439">
        <v>143748.00000000003</v>
      </c>
      <c r="AG20" s="439">
        <v>143748.00000000003</v>
      </c>
      <c r="AH20" s="439">
        <v>143748.00000000003</v>
      </c>
      <c r="AI20" s="439">
        <v>143748.00000000003</v>
      </c>
      <c r="AJ20" s="439">
        <v>143748.00000000003</v>
      </c>
      <c r="AK20" s="439">
        <v>143748.00000000003</v>
      </c>
      <c r="AL20" s="439">
        <v>158122.80000000005</v>
      </c>
      <c r="AM20" s="439">
        <v>158122.80000000005</v>
      </c>
      <c r="AN20" s="439">
        <v>158122.80000000005</v>
      </c>
      <c r="AO20" s="439">
        <v>158122.80000000005</v>
      </c>
      <c r="AP20" s="439">
        <v>158122.80000000005</v>
      </c>
      <c r="AQ20" s="439">
        <v>158122.80000000005</v>
      </c>
      <c r="AR20" s="439">
        <v>158122.80000000005</v>
      </c>
      <c r="AS20" s="439">
        <v>158122.80000000005</v>
      </c>
      <c r="AT20" s="439">
        <v>158122.80000000005</v>
      </c>
      <c r="AU20" s="439">
        <v>158122.80000000005</v>
      </c>
      <c r="AV20" s="439">
        <v>158122.80000000005</v>
      </c>
      <c r="AW20" s="439">
        <v>158122.80000000005</v>
      </c>
      <c r="AX20" s="439">
        <v>173935.08000000007</v>
      </c>
      <c r="AY20" s="439">
        <v>173935.08000000007</v>
      </c>
      <c r="AZ20" s="439">
        <v>173935.08000000007</v>
      </c>
      <c r="BA20" s="439">
        <v>173935.08000000007</v>
      </c>
      <c r="BB20" s="439">
        <v>173935.08000000007</v>
      </c>
      <c r="BC20" s="439">
        <v>173935.08000000007</v>
      </c>
      <c r="BD20" s="439">
        <v>173935.08000000007</v>
      </c>
      <c r="BE20" s="439">
        <v>173935.08000000007</v>
      </c>
      <c r="BF20" s="439">
        <v>173935.08000000007</v>
      </c>
      <c r="BG20" s="439">
        <v>173935.08000000007</v>
      </c>
      <c r="BH20" s="439">
        <v>173935.08000000007</v>
      </c>
      <c r="BI20" s="439">
        <v>173935.08000000007</v>
      </c>
      <c r="BJ20" s="439">
        <v>191328.58800000011</v>
      </c>
      <c r="BK20" s="439">
        <v>191328.58800000011</v>
      </c>
      <c r="BL20" s="439">
        <v>191328.58800000011</v>
      </c>
      <c r="BM20" s="439">
        <v>191328.58800000011</v>
      </c>
      <c r="BN20" s="439">
        <v>191328.58800000011</v>
      </c>
      <c r="BO20" s="439">
        <v>191328.58800000011</v>
      </c>
      <c r="BP20" s="439">
        <v>191328.58800000011</v>
      </c>
      <c r="BQ20" s="439">
        <v>191328.58800000011</v>
      </c>
      <c r="BR20" s="439">
        <v>191328.58800000011</v>
      </c>
      <c r="BS20" s="439">
        <v>191328.58800000011</v>
      </c>
      <c r="BT20" s="439">
        <v>191328.58800000011</v>
      </c>
      <c r="BU20" s="439">
        <v>191328.58800000011</v>
      </c>
      <c r="BV20" s="439">
        <v>210461.44680000012</v>
      </c>
      <c r="BW20" s="439">
        <v>210461.44680000012</v>
      </c>
      <c r="BX20" s="439">
        <v>210461.44680000012</v>
      </c>
      <c r="BY20" s="439">
        <v>210461.44680000012</v>
      </c>
      <c r="BZ20" s="439">
        <v>210461.44680000012</v>
      </c>
      <c r="CA20" s="439">
        <v>210461.44680000012</v>
      </c>
      <c r="CB20" s="439">
        <v>210461.44680000012</v>
      </c>
      <c r="CC20" s="439">
        <v>210461.44680000012</v>
      </c>
      <c r="CD20" s="439">
        <v>210461.44680000012</v>
      </c>
      <c r="CE20" s="439">
        <v>210461.44680000012</v>
      </c>
      <c r="CF20" s="439">
        <v>210461.44680000012</v>
      </c>
      <c r="CG20" s="439">
        <v>210461.44680000012</v>
      </c>
      <c r="CH20" s="439">
        <v>231507.59148000015</v>
      </c>
      <c r="CI20" s="439">
        <v>231507.59148000015</v>
      </c>
      <c r="CJ20" s="439">
        <v>231507.59148000015</v>
      </c>
      <c r="CK20" s="439">
        <v>231507.59148000015</v>
      </c>
      <c r="CL20" s="439">
        <v>231507.59148000015</v>
      </c>
      <c r="CM20" s="439">
        <v>231507.59148000015</v>
      </c>
      <c r="CN20" s="439">
        <v>231507.59148000015</v>
      </c>
      <c r="CO20" s="439">
        <v>231507.59148000015</v>
      </c>
      <c r="CP20" s="439">
        <v>231507.59148000015</v>
      </c>
      <c r="CQ20" s="439">
        <v>231507.59148000015</v>
      </c>
      <c r="CR20" s="439">
        <v>231507.59148000015</v>
      </c>
      <c r="CS20" s="439">
        <v>231507.59148000015</v>
      </c>
      <c r="CT20" s="439">
        <v>254658.35062800019</v>
      </c>
      <c r="CU20" s="439">
        <v>254658.35062800019</v>
      </c>
      <c r="CV20" s="439">
        <v>254658.35062800019</v>
      </c>
      <c r="CW20" s="439">
        <v>254658.35062800019</v>
      </c>
      <c r="CX20" s="439">
        <v>254658.35062800019</v>
      </c>
      <c r="CY20" s="439">
        <v>254658.35062800019</v>
      </c>
    </row>
    <row r="21" spans="1:103" ht="12" customHeight="1">
      <c r="A21" s="310" t="s">
        <v>640</v>
      </c>
      <c r="B21" s="439">
        <v>26620.000000000004</v>
      </c>
      <c r="C21" s="439">
        <v>26620.000000000004</v>
      </c>
      <c r="D21" s="439">
        <v>26620.000000000004</v>
      </c>
      <c r="E21" s="439">
        <v>26620.000000000004</v>
      </c>
      <c r="F21" s="439">
        <v>26620.000000000004</v>
      </c>
      <c r="G21" s="439">
        <v>26620.000000000004</v>
      </c>
      <c r="H21" s="439">
        <v>26620.000000000004</v>
      </c>
      <c r="I21" s="439">
        <v>26620.000000000004</v>
      </c>
      <c r="J21" s="439">
        <v>26620.000000000004</v>
      </c>
      <c r="K21" s="439">
        <v>26620.000000000004</v>
      </c>
      <c r="L21" s="439">
        <v>26620.000000000004</v>
      </c>
      <c r="M21" s="439">
        <v>26620.000000000004</v>
      </c>
      <c r="N21" s="439">
        <v>0</v>
      </c>
      <c r="O21" s="439">
        <v>0</v>
      </c>
      <c r="P21" s="439">
        <v>0</v>
      </c>
      <c r="Q21" s="439">
        <v>0</v>
      </c>
      <c r="R21" s="439">
        <v>0</v>
      </c>
      <c r="S21" s="439">
        <v>0</v>
      </c>
      <c r="T21" s="439">
        <v>0</v>
      </c>
      <c r="U21" s="439">
        <v>0</v>
      </c>
      <c r="V21" s="439">
        <v>0</v>
      </c>
      <c r="W21" s="439">
        <v>0</v>
      </c>
      <c r="X21" s="439">
        <v>0</v>
      </c>
      <c r="Y21" s="439">
        <v>0</v>
      </c>
      <c r="Z21" s="439">
        <v>0</v>
      </c>
      <c r="AA21" s="439">
        <v>0</v>
      </c>
      <c r="AB21" s="439">
        <v>0</v>
      </c>
      <c r="AC21" s="439">
        <v>0</v>
      </c>
      <c r="AD21" s="439">
        <v>0</v>
      </c>
      <c r="AE21" s="439">
        <v>0</v>
      </c>
      <c r="AF21" s="439">
        <v>0</v>
      </c>
      <c r="AG21" s="439">
        <v>0</v>
      </c>
      <c r="AH21" s="439">
        <v>0</v>
      </c>
      <c r="AI21" s="439">
        <v>0</v>
      </c>
      <c r="AJ21" s="439">
        <v>0</v>
      </c>
      <c r="AK21" s="439">
        <v>0</v>
      </c>
      <c r="AL21" s="439">
        <v>0</v>
      </c>
      <c r="AM21" s="439">
        <v>0</v>
      </c>
      <c r="AN21" s="439">
        <v>0</v>
      </c>
      <c r="AO21" s="439">
        <v>0</v>
      </c>
      <c r="AP21" s="439">
        <v>0</v>
      </c>
      <c r="AQ21" s="439">
        <v>0</v>
      </c>
      <c r="AR21" s="439">
        <v>0</v>
      </c>
      <c r="AS21" s="439">
        <v>0</v>
      </c>
      <c r="AT21" s="439">
        <v>0</v>
      </c>
      <c r="AU21" s="439">
        <v>0</v>
      </c>
      <c r="AV21" s="439">
        <v>0</v>
      </c>
      <c r="AW21" s="439">
        <v>0</v>
      </c>
      <c r="AX21" s="439">
        <v>0</v>
      </c>
      <c r="AY21" s="439">
        <v>0</v>
      </c>
      <c r="AZ21" s="439">
        <v>0</v>
      </c>
      <c r="BA21" s="439">
        <v>0</v>
      </c>
      <c r="BB21" s="439">
        <v>0</v>
      </c>
      <c r="BC21" s="439">
        <v>0</v>
      </c>
      <c r="BD21" s="439">
        <v>0</v>
      </c>
      <c r="BE21" s="439">
        <v>0</v>
      </c>
      <c r="BF21" s="439">
        <v>0</v>
      </c>
      <c r="BG21" s="439">
        <v>0</v>
      </c>
      <c r="BH21" s="439">
        <v>0</v>
      </c>
      <c r="BI21" s="439">
        <v>0</v>
      </c>
      <c r="BJ21" s="439">
        <v>0</v>
      </c>
      <c r="BK21" s="439">
        <v>0</v>
      </c>
      <c r="BL21" s="439">
        <v>0</v>
      </c>
      <c r="BM21" s="439">
        <v>0</v>
      </c>
      <c r="BN21" s="439">
        <v>0</v>
      </c>
      <c r="BO21" s="439">
        <v>0</v>
      </c>
      <c r="BP21" s="439">
        <v>0</v>
      </c>
      <c r="BQ21" s="439">
        <v>0</v>
      </c>
      <c r="BR21" s="439">
        <v>0</v>
      </c>
      <c r="BS21" s="439">
        <v>0</v>
      </c>
      <c r="BT21" s="439">
        <v>0</v>
      </c>
      <c r="BU21" s="439">
        <v>0</v>
      </c>
      <c r="BV21" s="439">
        <v>0</v>
      </c>
      <c r="BW21" s="439">
        <v>0</v>
      </c>
      <c r="BX21" s="439">
        <v>0</v>
      </c>
      <c r="BY21" s="439">
        <v>0</v>
      </c>
      <c r="BZ21" s="439">
        <v>0</v>
      </c>
      <c r="CA21" s="439">
        <v>0</v>
      </c>
      <c r="CB21" s="439">
        <v>0</v>
      </c>
      <c r="CC21" s="439">
        <v>0</v>
      </c>
      <c r="CD21" s="439">
        <v>0</v>
      </c>
      <c r="CE21" s="439">
        <v>0</v>
      </c>
      <c r="CF21" s="439">
        <v>0</v>
      </c>
      <c r="CG21" s="439">
        <v>0</v>
      </c>
      <c r="CH21" s="439">
        <v>0</v>
      </c>
      <c r="CI21" s="439">
        <v>0</v>
      </c>
      <c r="CJ21" s="439">
        <v>0</v>
      </c>
      <c r="CK21" s="439">
        <v>0</v>
      </c>
      <c r="CL21" s="439">
        <v>0</v>
      </c>
      <c r="CM21" s="439">
        <v>0</v>
      </c>
      <c r="CN21" s="439">
        <v>0</v>
      </c>
      <c r="CO21" s="439">
        <v>0</v>
      </c>
      <c r="CP21" s="439">
        <v>0</v>
      </c>
      <c r="CQ21" s="439">
        <v>0</v>
      </c>
      <c r="CR21" s="439">
        <v>0</v>
      </c>
      <c r="CS21" s="439">
        <v>0</v>
      </c>
      <c r="CT21" s="439">
        <v>0</v>
      </c>
      <c r="CU21" s="439">
        <v>0</v>
      </c>
      <c r="CV21" s="439">
        <v>0</v>
      </c>
      <c r="CW21" s="439">
        <v>0</v>
      </c>
      <c r="CX21" s="439">
        <v>0</v>
      </c>
      <c r="CY21" s="439">
        <v>0</v>
      </c>
    </row>
    <row r="22" spans="1:103" ht="12" customHeight="1">
      <c r="A22" s="310" t="s">
        <v>641</v>
      </c>
      <c r="B22" s="439">
        <v>38500</v>
      </c>
      <c r="C22" s="439">
        <v>38500</v>
      </c>
      <c r="D22" s="439">
        <v>38500</v>
      </c>
      <c r="E22" s="439">
        <v>0</v>
      </c>
      <c r="F22" s="439">
        <v>0</v>
      </c>
      <c r="G22" s="439">
        <v>0</v>
      </c>
      <c r="H22" s="439">
        <v>0</v>
      </c>
      <c r="I22" s="439">
        <v>0</v>
      </c>
      <c r="J22" s="439">
        <v>0</v>
      </c>
      <c r="K22" s="439">
        <v>0</v>
      </c>
      <c r="L22" s="439">
        <v>0</v>
      </c>
      <c r="M22" s="439">
        <v>0</v>
      </c>
      <c r="N22" s="439">
        <v>0</v>
      </c>
      <c r="O22" s="439">
        <v>0</v>
      </c>
      <c r="P22" s="439">
        <v>0</v>
      </c>
      <c r="Q22" s="439">
        <v>0</v>
      </c>
      <c r="R22" s="439">
        <v>0</v>
      </c>
      <c r="S22" s="439">
        <v>0</v>
      </c>
      <c r="T22" s="439">
        <v>0</v>
      </c>
      <c r="U22" s="439">
        <v>0</v>
      </c>
      <c r="V22" s="439">
        <v>0</v>
      </c>
      <c r="W22" s="439">
        <v>0</v>
      </c>
      <c r="X22" s="439">
        <v>0</v>
      </c>
      <c r="Y22" s="439">
        <v>0</v>
      </c>
      <c r="Z22" s="439">
        <v>0</v>
      </c>
      <c r="AA22" s="439">
        <v>0</v>
      </c>
      <c r="AB22" s="439">
        <v>0</v>
      </c>
      <c r="AC22" s="439">
        <v>0</v>
      </c>
      <c r="AD22" s="439">
        <v>0</v>
      </c>
      <c r="AE22" s="439">
        <v>0</v>
      </c>
      <c r="AF22" s="439">
        <v>0</v>
      </c>
      <c r="AG22" s="439">
        <v>0</v>
      </c>
      <c r="AH22" s="439">
        <v>0</v>
      </c>
      <c r="AI22" s="439">
        <v>0</v>
      </c>
      <c r="AJ22" s="439">
        <v>0</v>
      </c>
      <c r="AK22" s="439">
        <v>0</v>
      </c>
      <c r="AL22" s="439">
        <v>0</v>
      </c>
      <c r="AM22" s="439">
        <v>0</v>
      </c>
      <c r="AN22" s="439">
        <v>0</v>
      </c>
      <c r="AO22" s="439">
        <v>0</v>
      </c>
      <c r="AP22" s="439">
        <v>0</v>
      </c>
      <c r="AQ22" s="439">
        <v>0</v>
      </c>
      <c r="AR22" s="439">
        <v>0</v>
      </c>
      <c r="AS22" s="439">
        <v>0</v>
      </c>
      <c r="AT22" s="439">
        <v>0</v>
      </c>
      <c r="AU22" s="439">
        <v>0</v>
      </c>
      <c r="AV22" s="439">
        <v>0</v>
      </c>
      <c r="AW22" s="439">
        <v>0</v>
      </c>
      <c r="AX22" s="439">
        <v>0</v>
      </c>
      <c r="AY22" s="439">
        <v>0</v>
      </c>
      <c r="AZ22" s="439">
        <v>0</v>
      </c>
      <c r="BA22" s="439">
        <v>0</v>
      </c>
      <c r="BB22" s="439">
        <v>0</v>
      </c>
      <c r="BC22" s="439">
        <v>0</v>
      </c>
      <c r="BD22" s="439">
        <v>0</v>
      </c>
      <c r="BE22" s="439">
        <v>0</v>
      </c>
      <c r="BF22" s="439">
        <v>0</v>
      </c>
      <c r="BG22" s="439">
        <v>0</v>
      </c>
      <c r="BH22" s="439">
        <v>0</v>
      </c>
      <c r="BI22" s="439">
        <v>0</v>
      </c>
      <c r="BJ22" s="439">
        <v>0</v>
      </c>
      <c r="BK22" s="439">
        <v>0</v>
      </c>
      <c r="BL22" s="439">
        <v>0</v>
      </c>
      <c r="BM22" s="439">
        <v>0</v>
      </c>
      <c r="BN22" s="439">
        <v>0</v>
      </c>
      <c r="BO22" s="439">
        <v>0</v>
      </c>
      <c r="BP22" s="439">
        <v>0</v>
      </c>
      <c r="BQ22" s="439">
        <v>0</v>
      </c>
      <c r="BR22" s="439">
        <v>0</v>
      </c>
      <c r="BS22" s="439">
        <v>0</v>
      </c>
      <c r="BT22" s="439">
        <v>0</v>
      </c>
      <c r="BU22" s="439">
        <v>0</v>
      </c>
      <c r="BV22" s="439">
        <v>0</v>
      </c>
      <c r="BW22" s="439">
        <v>0</v>
      </c>
      <c r="BX22" s="439">
        <v>0</v>
      </c>
      <c r="BY22" s="439">
        <v>0</v>
      </c>
      <c r="BZ22" s="439">
        <v>0</v>
      </c>
      <c r="CA22" s="439">
        <v>0</v>
      </c>
      <c r="CB22" s="439">
        <v>0</v>
      </c>
      <c r="CC22" s="439">
        <v>0</v>
      </c>
      <c r="CD22" s="439">
        <v>0</v>
      </c>
      <c r="CE22" s="439">
        <v>0</v>
      </c>
      <c r="CF22" s="439">
        <v>0</v>
      </c>
      <c r="CG22" s="439">
        <v>0</v>
      </c>
      <c r="CH22" s="439">
        <v>0</v>
      </c>
      <c r="CI22" s="439">
        <v>0</v>
      </c>
      <c r="CJ22" s="439">
        <v>0</v>
      </c>
      <c r="CK22" s="439">
        <v>0</v>
      </c>
      <c r="CL22" s="439">
        <v>0</v>
      </c>
      <c r="CM22" s="439">
        <v>0</v>
      </c>
      <c r="CN22" s="439">
        <v>0</v>
      </c>
      <c r="CO22" s="439">
        <v>0</v>
      </c>
      <c r="CP22" s="439">
        <v>0</v>
      </c>
      <c r="CQ22" s="439">
        <v>0</v>
      </c>
      <c r="CR22" s="439">
        <v>0</v>
      </c>
      <c r="CS22" s="439">
        <v>0</v>
      </c>
      <c r="CT22" s="439">
        <v>0</v>
      </c>
      <c r="CU22" s="439">
        <v>0</v>
      </c>
      <c r="CV22" s="439">
        <v>0</v>
      </c>
      <c r="CW22" s="439">
        <v>0</v>
      </c>
      <c r="CX22" s="439">
        <v>0</v>
      </c>
      <c r="CY22" s="439">
        <v>0</v>
      </c>
    </row>
    <row r="23" spans="1:103" ht="12" customHeight="1">
      <c r="A23" s="310" t="s">
        <v>642</v>
      </c>
      <c r="B23" s="439">
        <v>182000</v>
      </c>
      <c r="C23" s="439">
        <v>182000</v>
      </c>
      <c r="D23" s="439">
        <v>182000</v>
      </c>
      <c r="E23" s="439">
        <v>182000</v>
      </c>
      <c r="F23" s="439">
        <v>182000</v>
      </c>
      <c r="G23" s="439">
        <v>182000</v>
      </c>
      <c r="H23" s="439">
        <v>182000</v>
      </c>
      <c r="I23" s="439">
        <v>182000</v>
      </c>
      <c r="J23" s="439">
        <v>182000</v>
      </c>
      <c r="K23" s="439">
        <v>182000</v>
      </c>
      <c r="L23" s="439">
        <v>182000</v>
      </c>
      <c r="M23" s="439">
        <v>182000</v>
      </c>
      <c r="N23" s="439">
        <v>189280</v>
      </c>
      <c r="O23" s="439">
        <v>189280</v>
      </c>
      <c r="P23" s="439">
        <v>189280</v>
      </c>
      <c r="Q23" s="439">
        <v>189280</v>
      </c>
      <c r="R23" s="439">
        <v>189280</v>
      </c>
      <c r="S23" s="439">
        <v>189280</v>
      </c>
      <c r="T23" s="439">
        <v>189280</v>
      </c>
      <c r="U23" s="439">
        <v>189280</v>
      </c>
      <c r="V23" s="439">
        <v>189280</v>
      </c>
      <c r="W23" s="439">
        <v>189280</v>
      </c>
      <c r="X23" s="439">
        <v>189280</v>
      </c>
      <c r="Y23" s="439">
        <v>189280</v>
      </c>
      <c r="Z23" s="439">
        <v>196851.20000000001</v>
      </c>
      <c r="AA23" s="439">
        <v>196851.20000000001</v>
      </c>
      <c r="AB23" s="439">
        <v>196851.20000000001</v>
      </c>
      <c r="AC23" s="439">
        <v>196851.20000000001</v>
      </c>
      <c r="AD23" s="439">
        <v>196851.20000000001</v>
      </c>
      <c r="AE23" s="439">
        <v>196851.20000000001</v>
      </c>
      <c r="AF23" s="439">
        <v>196851.20000000001</v>
      </c>
      <c r="AG23" s="439">
        <v>196851.20000000001</v>
      </c>
      <c r="AH23" s="439">
        <v>196851.20000000001</v>
      </c>
      <c r="AI23" s="439">
        <v>196851.20000000001</v>
      </c>
      <c r="AJ23" s="439">
        <v>196851.20000000001</v>
      </c>
      <c r="AK23" s="439">
        <v>196851.20000000001</v>
      </c>
      <c r="AL23" s="439">
        <v>204725.24800000002</v>
      </c>
      <c r="AM23" s="439">
        <v>204725.24800000002</v>
      </c>
      <c r="AN23" s="439">
        <v>204725.24800000002</v>
      </c>
      <c r="AO23" s="439">
        <v>204725.24800000002</v>
      </c>
      <c r="AP23" s="439">
        <v>204725.24800000002</v>
      </c>
      <c r="AQ23" s="439">
        <v>204725.24800000002</v>
      </c>
      <c r="AR23" s="439">
        <v>204725.24800000002</v>
      </c>
      <c r="AS23" s="439">
        <v>204725.24800000002</v>
      </c>
      <c r="AT23" s="439">
        <v>204725.24800000002</v>
      </c>
      <c r="AU23" s="439">
        <v>204725.24800000002</v>
      </c>
      <c r="AV23" s="439">
        <v>204725.24800000002</v>
      </c>
      <c r="AW23" s="439">
        <v>204725.24800000002</v>
      </c>
      <c r="AX23" s="439">
        <v>212914.25792000003</v>
      </c>
      <c r="AY23" s="439">
        <v>212914.25792000003</v>
      </c>
      <c r="AZ23" s="439">
        <v>212914.25792000003</v>
      </c>
      <c r="BA23" s="439">
        <v>212914.25792000003</v>
      </c>
      <c r="BB23" s="439">
        <v>212914.25792000003</v>
      </c>
      <c r="BC23" s="439">
        <v>212914.25792000003</v>
      </c>
      <c r="BD23" s="439">
        <v>212914.25792000003</v>
      </c>
      <c r="BE23" s="439">
        <v>212914.25792000003</v>
      </c>
      <c r="BF23" s="439">
        <v>212914.25792000003</v>
      </c>
      <c r="BG23" s="439">
        <v>212914.25792000003</v>
      </c>
      <c r="BH23" s="439">
        <v>212914.25792000003</v>
      </c>
      <c r="BI23" s="439">
        <v>212914.25792000003</v>
      </c>
      <c r="BJ23" s="439">
        <v>221430.82823680004</v>
      </c>
      <c r="BK23" s="439">
        <v>221430.82823680004</v>
      </c>
      <c r="BL23" s="439">
        <v>221430.82823680004</v>
      </c>
      <c r="BM23" s="439">
        <v>221430.82823680004</v>
      </c>
      <c r="BN23" s="439">
        <v>221430.82823680004</v>
      </c>
      <c r="BO23" s="439">
        <v>221430.82823680004</v>
      </c>
      <c r="BP23" s="439">
        <v>221430.82823680004</v>
      </c>
      <c r="BQ23" s="439">
        <v>221430.82823680004</v>
      </c>
      <c r="BR23" s="439">
        <v>221430.82823680004</v>
      </c>
      <c r="BS23" s="439">
        <v>221430.82823680004</v>
      </c>
      <c r="BT23" s="439">
        <v>221430.82823680004</v>
      </c>
      <c r="BU23" s="439">
        <v>221430.82823680004</v>
      </c>
      <c r="BV23" s="439">
        <v>230288.06136627204</v>
      </c>
      <c r="BW23" s="439">
        <v>230288.06136627204</v>
      </c>
      <c r="BX23" s="439">
        <v>230288.06136627204</v>
      </c>
      <c r="BY23" s="439">
        <v>230288.06136627204</v>
      </c>
      <c r="BZ23" s="439">
        <v>230288.06136627204</v>
      </c>
      <c r="CA23" s="439">
        <v>230288.06136627204</v>
      </c>
      <c r="CB23" s="439">
        <v>230288.06136627204</v>
      </c>
      <c r="CC23" s="439">
        <v>230288.06136627204</v>
      </c>
      <c r="CD23" s="439">
        <v>230288.06136627204</v>
      </c>
      <c r="CE23" s="439">
        <v>230288.06136627204</v>
      </c>
      <c r="CF23" s="439">
        <v>230288.06136627204</v>
      </c>
      <c r="CG23" s="439">
        <v>230288.06136627204</v>
      </c>
      <c r="CH23" s="439">
        <v>239499.58382092294</v>
      </c>
      <c r="CI23" s="439">
        <v>239499.58382092294</v>
      </c>
      <c r="CJ23" s="439">
        <v>239499.58382092294</v>
      </c>
      <c r="CK23" s="439">
        <v>239499.58382092294</v>
      </c>
      <c r="CL23" s="439">
        <v>239499.58382092294</v>
      </c>
      <c r="CM23" s="439">
        <v>239499.58382092294</v>
      </c>
      <c r="CN23" s="439">
        <v>239499.58382092294</v>
      </c>
      <c r="CO23" s="439">
        <v>239499.58382092294</v>
      </c>
      <c r="CP23" s="439">
        <v>239499.58382092294</v>
      </c>
      <c r="CQ23" s="439">
        <v>239499.58382092294</v>
      </c>
      <c r="CR23" s="439">
        <v>239499.58382092294</v>
      </c>
      <c r="CS23" s="439">
        <v>239499.58382092294</v>
      </c>
      <c r="CT23" s="439">
        <v>249079.56717375986</v>
      </c>
      <c r="CU23" s="439">
        <v>249079.56717375986</v>
      </c>
      <c r="CV23" s="439">
        <v>249079.56717375986</v>
      </c>
      <c r="CW23" s="439">
        <v>249079.56717375986</v>
      </c>
      <c r="CX23" s="439">
        <v>249079.56717375986</v>
      </c>
      <c r="CY23" s="439">
        <v>249079.56717375986</v>
      </c>
    </row>
    <row r="24" spans="1:103" ht="12" customHeight="1">
      <c r="A24" s="310" t="s">
        <v>643</v>
      </c>
      <c r="B24" s="439">
        <v>15600</v>
      </c>
      <c r="C24" s="439">
        <v>15600</v>
      </c>
      <c r="D24" s="439">
        <v>15600</v>
      </c>
      <c r="E24" s="439">
        <v>15600</v>
      </c>
      <c r="F24" s="439">
        <v>15600</v>
      </c>
      <c r="G24" s="439">
        <v>15600</v>
      </c>
      <c r="H24" s="439">
        <v>15600</v>
      </c>
      <c r="I24" s="439">
        <v>15600</v>
      </c>
      <c r="J24" s="439">
        <v>15600</v>
      </c>
      <c r="K24" s="439">
        <v>15600</v>
      </c>
      <c r="L24" s="439">
        <v>15600</v>
      </c>
      <c r="M24" s="439">
        <v>15600</v>
      </c>
      <c r="N24" s="439">
        <v>16224</v>
      </c>
      <c r="O24" s="439">
        <v>16224</v>
      </c>
      <c r="P24" s="439">
        <v>16224</v>
      </c>
      <c r="Q24" s="439">
        <v>16224</v>
      </c>
      <c r="R24" s="439">
        <v>16224</v>
      </c>
      <c r="S24" s="439">
        <v>16224</v>
      </c>
      <c r="T24" s="439">
        <v>16224</v>
      </c>
      <c r="U24" s="439">
        <v>16224</v>
      </c>
      <c r="V24" s="439">
        <v>16224</v>
      </c>
      <c r="W24" s="439">
        <v>16224</v>
      </c>
      <c r="X24" s="439">
        <v>16224</v>
      </c>
      <c r="Y24" s="439">
        <v>16224</v>
      </c>
      <c r="Z24" s="439">
        <v>16872.96</v>
      </c>
      <c r="AA24" s="439">
        <v>16872.96</v>
      </c>
      <c r="AB24" s="439">
        <v>16872.96</v>
      </c>
      <c r="AC24" s="439">
        <v>16872.96</v>
      </c>
      <c r="AD24" s="439">
        <v>16872.96</v>
      </c>
      <c r="AE24" s="439">
        <v>16872.96</v>
      </c>
      <c r="AF24" s="439">
        <v>16872.96</v>
      </c>
      <c r="AG24" s="439">
        <v>16872.96</v>
      </c>
      <c r="AH24" s="439">
        <v>16872.96</v>
      </c>
      <c r="AI24" s="439">
        <v>16872.96</v>
      </c>
      <c r="AJ24" s="439">
        <v>16872.96</v>
      </c>
      <c r="AK24" s="439">
        <v>16872.96</v>
      </c>
      <c r="AL24" s="439">
        <v>17547.878400000001</v>
      </c>
      <c r="AM24" s="439">
        <v>17547.878400000001</v>
      </c>
      <c r="AN24" s="439">
        <v>17547.878400000001</v>
      </c>
      <c r="AO24" s="439">
        <v>17547.878400000001</v>
      </c>
      <c r="AP24" s="439">
        <v>17547.878400000001</v>
      </c>
      <c r="AQ24" s="439">
        <v>17547.878400000001</v>
      </c>
      <c r="AR24" s="439">
        <v>17547.878400000001</v>
      </c>
      <c r="AS24" s="439">
        <v>17547.878400000001</v>
      </c>
      <c r="AT24" s="439">
        <v>17547.878400000001</v>
      </c>
      <c r="AU24" s="439">
        <v>17547.878400000001</v>
      </c>
      <c r="AV24" s="439">
        <v>17547.878400000001</v>
      </c>
      <c r="AW24" s="439">
        <v>17547.878400000001</v>
      </c>
      <c r="AX24" s="439">
        <v>18249.793536000001</v>
      </c>
      <c r="AY24" s="439">
        <v>18249.793536000001</v>
      </c>
      <c r="AZ24" s="439">
        <v>18249.793536000001</v>
      </c>
      <c r="BA24" s="439">
        <v>18249.793536000001</v>
      </c>
      <c r="BB24" s="439">
        <v>18249.793536000001</v>
      </c>
      <c r="BC24" s="439">
        <v>18249.793536000001</v>
      </c>
      <c r="BD24" s="439">
        <v>18249.793536000001</v>
      </c>
      <c r="BE24" s="439">
        <v>18249.793536000001</v>
      </c>
      <c r="BF24" s="439">
        <v>18249.793536000001</v>
      </c>
      <c r="BG24" s="439">
        <v>18249.793536000001</v>
      </c>
      <c r="BH24" s="439">
        <v>18249.793536000001</v>
      </c>
      <c r="BI24" s="439">
        <v>18249.793536000001</v>
      </c>
      <c r="BJ24" s="439">
        <v>18979.785277440002</v>
      </c>
      <c r="BK24" s="439">
        <v>18979.785277440002</v>
      </c>
      <c r="BL24" s="439">
        <v>18979.785277440002</v>
      </c>
      <c r="BM24" s="439">
        <v>18979.785277440002</v>
      </c>
      <c r="BN24" s="439">
        <v>18979.785277440002</v>
      </c>
      <c r="BO24" s="439">
        <v>18979.785277440002</v>
      </c>
      <c r="BP24" s="439">
        <v>18979.785277440002</v>
      </c>
      <c r="BQ24" s="439">
        <v>18979.785277440002</v>
      </c>
      <c r="BR24" s="439">
        <v>18979.785277440002</v>
      </c>
      <c r="BS24" s="439">
        <v>18979.785277440002</v>
      </c>
      <c r="BT24" s="439">
        <v>18979.785277440002</v>
      </c>
      <c r="BU24" s="439">
        <v>18979.785277440002</v>
      </c>
      <c r="BV24" s="439">
        <v>19738.976688537601</v>
      </c>
      <c r="BW24" s="439">
        <v>19738.976688537601</v>
      </c>
      <c r="BX24" s="439">
        <v>19738.976688537601</v>
      </c>
      <c r="BY24" s="439">
        <v>19738.976688537601</v>
      </c>
      <c r="BZ24" s="439">
        <v>19738.976688537601</v>
      </c>
      <c r="CA24" s="439">
        <v>19738.976688537601</v>
      </c>
      <c r="CB24" s="439">
        <v>19738.976688537601</v>
      </c>
      <c r="CC24" s="439">
        <v>19738.976688537601</v>
      </c>
      <c r="CD24" s="439">
        <v>19738.976688537601</v>
      </c>
      <c r="CE24" s="439">
        <v>19738.976688537601</v>
      </c>
      <c r="CF24" s="439">
        <v>19738.976688537601</v>
      </c>
      <c r="CG24" s="439">
        <v>19738.976688537601</v>
      </c>
      <c r="CH24" s="439">
        <v>20528.535756079105</v>
      </c>
      <c r="CI24" s="439">
        <v>20528.535756079105</v>
      </c>
      <c r="CJ24" s="439">
        <v>20528.535756079105</v>
      </c>
      <c r="CK24" s="439">
        <v>20528.535756079105</v>
      </c>
      <c r="CL24" s="439">
        <v>20528.535756079105</v>
      </c>
      <c r="CM24" s="439">
        <v>20528.535756079105</v>
      </c>
      <c r="CN24" s="439">
        <v>20528.535756079105</v>
      </c>
      <c r="CO24" s="439">
        <v>20528.535756079105</v>
      </c>
      <c r="CP24" s="439">
        <v>20528.535756079105</v>
      </c>
      <c r="CQ24" s="439">
        <v>20528.535756079105</v>
      </c>
      <c r="CR24" s="439">
        <v>20528.535756079105</v>
      </c>
      <c r="CS24" s="439">
        <v>20528.535756079105</v>
      </c>
      <c r="CT24" s="439">
        <v>21349.677186322271</v>
      </c>
      <c r="CU24" s="439">
        <v>21349.677186322271</v>
      </c>
      <c r="CV24" s="439">
        <v>21349.677186322271</v>
      </c>
      <c r="CW24" s="439">
        <v>21349.677186322271</v>
      </c>
      <c r="CX24" s="439">
        <v>21349.677186322271</v>
      </c>
      <c r="CY24" s="439">
        <v>21349.677186322271</v>
      </c>
    </row>
    <row r="25" spans="1:103" ht="12" customHeight="1">
      <c r="A25" s="310" t="s">
        <v>644</v>
      </c>
      <c r="B25" s="439">
        <v>15600</v>
      </c>
      <c r="C25" s="439">
        <v>15600</v>
      </c>
      <c r="D25" s="439">
        <v>15600</v>
      </c>
      <c r="E25" s="439">
        <v>15600</v>
      </c>
      <c r="F25" s="439">
        <v>15600</v>
      </c>
      <c r="G25" s="439">
        <v>15600</v>
      </c>
      <c r="H25" s="439">
        <v>15600</v>
      </c>
      <c r="I25" s="439">
        <v>15600</v>
      </c>
      <c r="J25" s="439">
        <v>15600</v>
      </c>
      <c r="K25" s="439">
        <v>15600</v>
      </c>
      <c r="L25" s="439">
        <v>15600</v>
      </c>
      <c r="M25" s="439">
        <v>15600</v>
      </c>
      <c r="N25" s="439">
        <v>16224</v>
      </c>
      <c r="O25" s="439">
        <v>16224</v>
      </c>
      <c r="P25" s="439">
        <v>16224</v>
      </c>
      <c r="Q25" s="439">
        <v>16224</v>
      </c>
      <c r="R25" s="439">
        <v>16224</v>
      </c>
      <c r="S25" s="439">
        <v>16224</v>
      </c>
      <c r="T25" s="439">
        <v>16224</v>
      </c>
      <c r="U25" s="439">
        <v>16224</v>
      </c>
      <c r="V25" s="439">
        <v>16224</v>
      </c>
      <c r="W25" s="439">
        <v>16224</v>
      </c>
      <c r="X25" s="439">
        <v>16224</v>
      </c>
      <c r="Y25" s="439">
        <v>16224</v>
      </c>
      <c r="Z25" s="439">
        <v>16872.96</v>
      </c>
      <c r="AA25" s="439">
        <v>16872.96</v>
      </c>
      <c r="AB25" s="439">
        <v>16872.96</v>
      </c>
      <c r="AC25" s="439">
        <v>16872.96</v>
      </c>
      <c r="AD25" s="439">
        <v>16872.96</v>
      </c>
      <c r="AE25" s="439">
        <v>16872.96</v>
      </c>
      <c r="AF25" s="439">
        <v>16872.96</v>
      </c>
      <c r="AG25" s="439">
        <v>16872.96</v>
      </c>
      <c r="AH25" s="439">
        <v>16872.96</v>
      </c>
      <c r="AI25" s="439">
        <v>16872.96</v>
      </c>
      <c r="AJ25" s="439">
        <v>16872.96</v>
      </c>
      <c r="AK25" s="439">
        <v>16872.96</v>
      </c>
      <c r="AL25" s="439">
        <v>17547.878400000001</v>
      </c>
      <c r="AM25" s="439">
        <v>17547.878400000001</v>
      </c>
      <c r="AN25" s="439">
        <v>17547.878400000001</v>
      </c>
      <c r="AO25" s="439">
        <v>17547.878400000001</v>
      </c>
      <c r="AP25" s="439">
        <v>17547.878400000001</v>
      </c>
      <c r="AQ25" s="439">
        <v>17547.878400000001</v>
      </c>
      <c r="AR25" s="439">
        <v>17547.878400000001</v>
      </c>
      <c r="AS25" s="439">
        <v>17547.878400000001</v>
      </c>
      <c r="AT25" s="439">
        <v>17547.878400000001</v>
      </c>
      <c r="AU25" s="439">
        <v>17547.878400000001</v>
      </c>
      <c r="AV25" s="439">
        <v>17547.878400000001</v>
      </c>
      <c r="AW25" s="439">
        <v>17547.878400000001</v>
      </c>
      <c r="AX25" s="439">
        <v>18249.793536000001</v>
      </c>
      <c r="AY25" s="439">
        <v>18249.793536000001</v>
      </c>
      <c r="AZ25" s="439">
        <v>18249.793536000001</v>
      </c>
      <c r="BA25" s="439">
        <v>18249.793536000001</v>
      </c>
      <c r="BB25" s="439">
        <v>18249.793536000001</v>
      </c>
      <c r="BC25" s="439">
        <v>18249.793536000001</v>
      </c>
      <c r="BD25" s="439">
        <v>18249.793536000001</v>
      </c>
      <c r="BE25" s="439">
        <v>18249.793536000001</v>
      </c>
      <c r="BF25" s="439">
        <v>18249.793536000001</v>
      </c>
      <c r="BG25" s="439">
        <v>18249.793536000001</v>
      </c>
      <c r="BH25" s="439">
        <v>18249.793536000001</v>
      </c>
      <c r="BI25" s="439">
        <v>18249.793536000001</v>
      </c>
      <c r="BJ25" s="439">
        <v>18979.785277440002</v>
      </c>
      <c r="BK25" s="439">
        <v>18979.785277440002</v>
      </c>
      <c r="BL25" s="439">
        <v>18979.785277440002</v>
      </c>
      <c r="BM25" s="439">
        <v>18979.785277440002</v>
      </c>
      <c r="BN25" s="439">
        <v>18979.785277440002</v>
      </c>
      <c r="BO25" s="439">
        <v>18979.785277440002</v>
      </c>
      <c r="BP25" s="439">
        <v>18979.785277440002</v>
      </c>
      <c r="BQ25" s="439">
        <v>18979.785277440002</v>
      </c>
      <c r="BR25" s="439">
        <v>18979.785277440002</v>
      </c>
      <c r="BS25" s="439">
        <v>18979.785277440002</v>
      </c>
      <c r="BT25" s="439">
        <v>18979.785277440002</v>
      </c>
      <c r="BU25" s="439">
        <v>18979.785277440002</v>
      </c>
      <c r="BV25" s="439">
        <v>19738.976688537601</v>
      </c>
      <c r="BW25" s="439">
        <v>19738.976688537601</v>
      </c>
      <c r="BX25" s="439">
        <v>19738.976688537601</v>
      </c>
      <c r="BY25" s="439">
        <v>19738.976688537601</v>
      </c>
      <c r="BZ25" s="439">
        <v>19738.976688537601</v>
      </c>
      <c r="CA25" s="439">
        <v>19738.976688537601</v>
      </c>
      <c r="CB25" s="439">
        <v>19738.976688537601</v>
      </c>
      <c r="CC25" s="439">
        <v>19738.976688537601</v>
      </c>
      <c r="CD25" s="439">
        <v>19738.976688537601</v>
      </c>
      <c r="CE25" s="439">
        <v>19738.976688537601</v>
      </c>
      <c r="CF25" s="439">
        <v>19738.976688537601</v>
      </c>
      <c r="CG25" s="439">
        <v>19738.976688537601</v>
      </c>
      <c r="CH25" s="439">
        <v>20528.535756079105</v>
      </c>
      <c r="CI25" s="439">
        <v>20528.535756079105</v>
      </c>
      <c r="CJ25" s="439">
        <v>20528.535756079105</v>
      </c>
      <c r="CK25" s="439">
        <v>20528.535756079105</v>
      </c>
      <c r="CL25" s="439">
        <v>20528.535756079105</v>
      </c>
      <c r="CM25" s="439">
        <v>20528.535756079105</v>
      </c>
      <c r="CN25" s="439">
        <v>20528.535756079105</v>
      </c>
      <c r="CO25" s="439">
        <v>20528.535756079105</v>
      </c>
      <c r="CP25" s="439">
        <v>20528.535756079105</v>
      </c>
      <c r="CQ25" s="439">
        <v>20528.535756079105</v>
      </c>
      <c r="CR25" s="439">
        <v>20528.535756079105</v>
      </c>
      <c r="CS25" s="439">
        <v>20528.535756079105</v>
      </c>
      <c r="CT25" s="439">
        <v>21349.677186322271</v>
      </c>
      <c r="CU25" s="439">
        <v>21349.677186322271</v>
      </c>
      <c r="CV25" s="439">
        <v>21349.677186322271</v>
      </c>
      <c r="CW25" s="439">
        <v>21349.677186322271</v>
      </c>
      <c r="CX25" s="439">
        <v>21349.677186322271</v>
      </c>
      <c r="CY25" s="439">
        <v>21349.677186322271</v>
      </c>
    </row>
    <row r="26" spans="1:103" ht="12" customHeight="1">
      <c r="A26" s="310" t="s">
        <v>645</v>
      </c>
      <c r="B26" s="439">
        <v>10400</v>
      </c>
      <c r="C26" s="439">
        <v>10400</v>
      </c>
      <c r="D26" s="439">
        <v>10400</v>
      </c>
      <c r="E26" s="439">
        <v>10400</v>
      </c>
      <c r="F26" s="439">
        <v>10400</v>
      </c>
      <c r="G26" s="439">
        <v>10400</v>
      </c>
      <c r="H26" s="439">
        <v>10400</v>
      </c>
      <c r="I26" s="439">
        <v>10400</v>
      </c>
      <c r="J26" s="439">
        <v>10400</v>
      </c>
      <c r="K26" s="439">
        <v>10400</v>
      </c>
      <c r="L26" s="439">
        <v>10400</v>
      </c>
      <c r="M26" s="439">
        <v>10400</v>
      </c>
      <c r="N26" s="439">
        <v>10816</v>
      </c>
      <c r="O26" s="439">
        <v>10816</v>
      </c>
      <c r="P26" s="439">
        <v>10816</v>
      </c>
      <c r="Q26" s="439">
        <v>10816</v>
      </c>
      <c r="R26" s="439">
        <v>10816</v>
      </c>
      <c r="S26" s="439">
        <v>10816</v>
      </c>
      <c r="T26" s="439">
        <v>10816</v>
      </c>
      <c r="U26" s="439">
        <v>10816</v>
      </c>
      <c r="V26" s="439">
        <v>10816</v>
      </c>
      <c r="W26" s="439">
        <v>10816</v>
      </c>
      <c r="X26" s="439">
        <v>10816</v>
      </c>
      <c r="Y26" s="439">
        <v>10816</v>
      </c>
      <c r="Z26" s="439">
        <v>11248.640000000001</v>
      </c>
      <c r="AA26" s="439">
        <v>11248.640000000001</v>
      </c>
      <c r="AB26" s="439">
        <v>11248.640000000001</v>
      </c>
      <c r="AC26" s="439">
        <v>11248.640000000001</v>
      </c>
      <c r="AD26" s="439">
        <v>11248.640000000001</v>
      </c>
      <c r="AE26" s="439">
        <v>11248.640000000001</v>
      </c>
      <c r="AF26" s="439">
        <v>11248.640000000001</v>
      </c>
      <c r="AG26" s="439">
        <v>11248.640000000001</v>
      </c>
      <c r="AH26" s="439">
        <v>11248.640000000001</v>
      </c>
      <c r="AI26" s="439">
        <v>11248.640000000001</v>
      </c>
      <c r="AJ26" s="439">
        <v>11248.640000000001</v>
      </c>
      <c r="AK26" s="439">
        <v>11248.640000000001</v>
      </c>
      <c r="AL26" s="439">
        <v>11698.585600000002</v>
      </c>
      <c r="AM26" s="439">
        <v>11698.585600000002</v>
      </c>
      <c r="AN26" s="439">
        <v>11698.585600000002</v>
      </c>
      <c r="AO26" s="439">
        <v>11698.585600000002</v>
      </c>
      <c r="AP26" s="439">
        <v>11698.585600000002</v>
      </c>
      <c r="AQ26" s="439">
        <v>11698.585600000002</v>
      </c>
      <c r="AR26" s="439">
        <v>11698.585600000002</v>
      </c>
      <c r="AS26" s="439">
        <v>11698.585600000002</v>
      </c>
      <c r="AT26" s="439">
        <v>11698.585600000002</v>
      </c>
      <c r="AU26" s="439">
        <v>11698.585600000002</v>
      </c>
      <c r="AV26" s="439">
        <v>11698.585600000002</v>
      </c>
      <c r="AW26" s="439">
        <v>11698.585600000002</v>
      </c>
      <c r="AX26" s="439">
        <v>12166.529024000003</v>
      </c>
      <c r="AY26" s="439">
        <v>12166.529024000003</v>
      </c>
      <c r="AZ26" s="439">
        <v>12166.529024000003</v>
      </c>
      <c r="BA26" s="439">
        <v>12166.529024000003</v>
      </c>
      <c r="BB26" s="439">
        <v>12166.529024000003</v>
      </c>
      <c r="BC26" s="439">
        <v>12166.529024000003</v>
      </c>
      <c r="BD26" s="439">
        <v>12166.529024000003</v>
      </c>
      <c r="BE26" s="439">
        <v>12166.529024000003</v>
      </c>
      <c r="BF26" s="439">
        <v>12166.529024000003</v>
      </c>
      <c r="BG26" s="439">
        <v>12166.529024000003</v>
      </c>
      <c r="BH26" s="439">
        <v>12166.529024000003</v>
      </c>
      <c r="BI26" s="439">
        <v>12166.529024000003</v>
      </c>
      <c r="BJ26" s="439">
        <v>12653.190184960004</v>
      </c>
      <c r="BK26" s="439">
        <v>12653.190184960004</v>
      </c>
      <c r="BL26" s="439">
        <v>12653.190184960004</v>
      </c>
      <c r="BM26" s="439">
        <v>12653.190184960004</v>
      </c>
      <c r="BN26" s="439">
        <v>12653.190184960004</v>
      </c>
      <c r="BO26" s="439">
        <v>12653.190184960004</v>
      </c>
      <c r="BP26" s="439">
        <v>12653.190184960004</v>
      </c>
      <c r="BQ26" s="439">
        <v>12653.190184960004</v>
      </c>
      <c r="BR26" s="439">
        <v>12653.190184960004</v>
      </c>
      <c r="BS26" s="439">
        <v>12653.190184960004</v>
      </c>
      <c r="BT26" s="439">
        <v>12653.190184960004</v>
      </c>
      <c r="BU26" s="439">
        <v>12653.190184960004</v>
      </c>
      <c r="BV26" s="439">
        <v>13159.317792358404</v>
      </c>
      <c r="BW26" s="439">
        <v>13159.317792358404</v>
      </c>
      <c r="BX26" s="439">
        <v>13159.317792358404</v>
      </c>
      <c r="BY26" s="439">
        <v>13159.317792358404</v>
      </c>
      <c r="BZ26" s="439">
        <v>13159.317792358404</v>
      </c>
      <c r="CA26" s="439">
        <v>13159.317792358404</v>
      </c>
      <c r="CB26" s="439">
        <v>13159.317792358404</v>
      </c>
      <c r="CC26" s="439">
        <v>13159.317792358404</v>
      </c>
      <c r="CD26" s="439">
        <v>13159.317792358404</v>
      </c>
      <c r="CE26" s="439">
        <v>13159.317792358404</v>
      </c>
      <c r="CF26" s="439">
        <v>13159.317792358404</v>
      </c>
      <c r="CG26" s="439">
        <v>13159.317792358404</v>
      </c>
      <c r="CH26" s="439">
        <v>13685.690504052742</v>
      </c>
      <c r="CI26" s="439">
        <v>13685.690504052742</v>
      </c>
      <c r="CJ26" s="439">
        <v>13685.690504052742</v>
      </c>
      <c r="CK26" s="439">
        <v>13685.690504052742</v>
      </c>
      <c r="CL26" s="439">
        <v>13685.690504052742</v>
      </c>
      <c r="CM26" s="439">
        <v>13685.690504052742</v>
      </c>
      <c r="CN26" s="439">
        <v>13685.690504052742</v>
      </c>
      <c r="CO26" s="439">
        <v>13685.690504052742</v>
      </c>
      <c r="CP26" s="439">
        <v>13685.690504052742</v>
      </c>
      <c r="CQ26" s="439">
        <v>13685.690504052742</v>
      </c>
      <c r="CR26" s="439">
        <v>13685.690504052742</v>
      </c>
      <c r="CS26" s="439">
        <v>13685.690504052742</v>
      </c>
      <c r="CT26" s="439">
        <v>14233.118124214852</v>
      </c>
      <c r="CU26" s="439">
        <v>14233.118124214852</v>
      </c>
      <c r="CV26" s="439">
        <v>14233.118124214852</v>
      </c>
      <c r="CW26" s="439">
        <v>14233.118124214852</v>
      </c>
      <c r="CX26" s="439">
        <v>14233.118124214852</v>
      </c>
      <c r="CY26" s="439">
        <v>14233.118124214852</v>
      </c>
    </row>
    <row r="27" spans="1:103" ht="12" customHeight="1">
      <c r="A27" s="310" t="s">
        <v>646</v>
      </c>
      <c r="B27" s="439">
        <v>15600</v>
      </c>
      <c r="C27" s="439">
        <v>15600</v>
      </c>
      <c r="D27" s="439">
        <v>15600</v>
      </c>
      <c r="E27" s="439">
        <v>15600</v>
      </c>
      <c r="F27" s="439">
        <v>15600</v>
      </c>
      <c r="G27" s="439">
        <v>15600</v>
      </c>
      <c r="H27" s="439">
        <v>15600</v>
      </c>
      <c r="I27" s="439">
        <v>15600</v>
      </c>
      <c r="J27" s="439">
        <v>15600</v>
      </c>
      <c r="K27" s="439">
        <v>15600</v>
      </c>
      <c r="L27" s="439">
        <v>15600</v>
      </c>
      <c r="M27" s="439">
        <v>15600</v>
      </c>
      <c r="N27" s="439">
        <v>16224</v>
      </c>
      <c r="O27" s="439">
        <v>16224</v>
      </c>
      <c r="P27" s="439">
        <v>16224</v>
      </c>
      <c r="Q27" s="439">
        <v>16224</v>
      </c>
      <c r="R27" s="439">
        <v>16224</v>
      </c>
      <c r="S27" s="439">
        <v>16224</v>
      </c>
      <c r="T27" s="439">
        <v>16224</v>
      </c>
      <c r="U27" s="439">
        <v>16224</v>
      </c>
      <c r="V27" s="439">
        <v>16224</v>
      </c>
      <c r="W27" s="439">
        <v>16224</v>
      </c>
      <c r="X27" s="439">
        <v>16224</v>
      </c>
      <c r="Y27" s="439">
        <v>16224</v>
      </c>
      <c r="Z27" s="439">
        <v>16872.96</v>
      </c>
      <c r="AA27" s="439">
        <v>16872.96</v>
      </c>
      <c r="AB27" s="439">
        <v>16872.96</v>
      </c>
      <c r="AC27" s="439">
        <v>16872.96</v>
      </c>
      <c r="AD27" s="439">
        <v>16872.96</v>
      </c>
      <c r="AE27" s="439">
        <v>16872.96</v>
      </c>
      <c r="AF27" s="439">
        <v>16872.96</v>
      </c>
      <c r="AG27" s="439">
        <v>16872.96</v>
      </c>
      <c r="AH27" s="439">
        <v>16872.96</v>
      </c>
      <c r="AI27" s="439">
        <v>16872.96</v>
      </c>
      <c r="AJ27" s="439">
        <v>16872.96</v>
      </c>
      <c r="AK27" s="439">
        <v>16872.96</v>
      </c>
      <c r="AL27" s="439">
        <v>17547.878400000001</v>
      </c>
      <c r="AM27" s="439">
        <v>17547.878400000001</v>
      </c>
      <c r="AN27" s="439">
        <v>17547.878400000001</v>
      </c>
      <c r="AO27" s="439">
        <v>17547.878400000001</v>
      </c>
      <c r="AP27" s="439">
        <v>17547.878400000001</v>
      </c>
      <c r="AQ27" s="439">
        <v>17547.878400000001</v>
      </c>
      <c r="AR27" s="439">
        <v>17547.878400000001</v>
      </c>
      <c r="AS27" s="439">
        <v>17547.878400000001</v>
      </c>
      <c r="AT27" s="439">
        <v>17547.878400000001</v>
      </c>
      <c r="AU27" s="439">
        <v>17547.878400000001</v>
      </c>
      <c r="AV27" s="439">
        <v>17547.878400000001</v>
      </c>
      <c r="AW27" s="439">
        <v>17547.878400000001</v>
      </c>
      <c r="AX27" s="439">
        <v>18249.793536000001</v>
      </c>
      <c r="AY27" s="439">
        <v>18249.793536000001</v>
      </c>
      <c r="AZ27" s="439">
        <v>18249.793536000001</v>
      </c>
      <c r="BA27" s="439">
        <v>18249.793536000001</v>
      </c>
      <c r="BB27" s="439">
        <v>18249.793536000001</v>
      </c>
      <c r="BC27" s="439">
        <v>18249.793536000001</v>
      </c>
      <c r="BD27" s="439">
        <v>18249.793536000001</v>
      </c>
      <c r="BE27" s="439">
        <v>18249.793536000001</v>
      </c>
      <c r="BF27" s="439">
        <v>18249.793536000001</v>
      </c>
      <c r="BG27" s="439">
        <v>18249.793536000001</v>
      </c>
      <c r="BH27" s="439">
        <v>18249.793536000001</v>
      </c>
      <c r="BI27" s="439">
        <v>18249.793536000001</v>
      </c>
      <c r="BJ27" s="439">
        <v>18979.785277440002</v>
      </c>
      <c r="BK27" s="439">
        <v>18979.785277440002</v>
      </c>
      <c r="BL27" s="439">
        <v>18979.785277440002</v>
      </c>
      <c r="BM27" s="439">
        <v>18979.785277440002</v>
      </c>
      <c r="BN27" s="439">
        <v>18979.785277440002</v>
      </c>
      <c r="BO27" s="439">
        <v>18979.785277440002</v>
      </c>
      <c r="BP27" s="439">
        <v>18979.785277440002</v>
      </c>
      <c r="BQ27" s="439">
        <v>18979.785277440002</v>
      </c>
      <c r="BR27" s="439">
        <v>18979.785277440002</v>
      </c>
      <c r="BS27" s="439">
        <v>18979.785277440002</v>
      </c>
      <c r="BT27" s="439">
        <v>18979.785277440002</v>
      </c>
      <c r="BU27" s="439">
        <v>18979.785277440002</v>
      </c>
      <c r="BV27" s="439">
        <v>19738.976688537601</v>
      </c>
      <c r="BW27" s="439">
        <v>19738.976688537601</v>
      </c>
      <c r="BX27" s="439">
        <v>19738.976688537601</v>
      </c>
      <c r="BY27" s="439">
        <v>19738.976688537601</v>
      </c>
      <c r="BZ27" s="439">
        <v>19738.976688537601</v>
      </c>
      <c r="CA27" s="439">
        <v>19738.976688537601</v>
      </c>
      <c r="CB27" s="439">
        <v>19738.976688537601</v>
      </c>
      <c r="CC27" s="439">
        <v>19738.976688537601</v>
      </c>
      <c r="CD27" s="439">
        <v>19738.976688537601</v>
      </c>
      <c r="CE27" s="439">
        <v>19738.976688537601</v>
      </c>
      <c r="CF27" s="439">
        <v>19738.976688537601</v>
      </c>
      <c r="CG27" s="439">
        <v>19738.976688537601</v>
      </c>
      <c r="CH27" s="439">
        <v>20528.535756079105</v>
      </c>
      <c r="CI27" s="439">
        <v>20528.535756079105</v>
      </c>
      <c r="CJ27" s="439">
        <v>20528.535756079105</v>
      </c>
      <c r="CK27" s="439">
        <v>20528.535756079105</v>
      </c>
      <c r="CL27" s="439">
        <v>20528.535756079105</v>
      </c>
      <c r="CM27" s="439">
        <v>20528.535756079105</v>
      </c>
      <c r="CN27" s="439">
        <v>20528.535756079105</v>
      </c>
      <c r="CO27" s="439">
        <v>20528.535756079105</v>
      </c>
      <c r="CP27" s="439">
        <v>20528.535756079105</v>
      </c>
      <c r="CQ27" s="439">
        <v>20528.535756079105</v>
      </c>
      <c r="CR27" s="439">
        <v>20528.535756079105</v>
      </c>
      <c r="CS27" s="439">
        <v>20528.535756079105</v>
      </c>
      <c r="CT27" s="439">
        <v>21349.677186322271</v>
      </c>
      <c r="CU27" s="439">
        <v>21349.677186322271</v>
      </c>
      <c r="CV27" s="439">
        <v>21349.677186322271</v>
      </c>
      <c r="CW27" s="439">
        <v>21349.677186322271</v>
      </c>
      <c r="CX27" s="439">
        <v>21349.677186322271</v>
      </c>
      <c r="CY27" s="439">
        <v>21349.677186322271</v>
      </c>
    </row>
    <row r="28" spans="1:103" ht="12" customHeight="1">
      <c r="A28" s="310" t="s">
        <v>647</v>
      </c>
      <c r="B28" s="439">
        <v>15600</v>
      </c>
      <c r="C28" s="439">
        <v>15600</v>
      </c>
      <c r="D28" s="439">
        <v>15600</v>
      </c>
      <c r="E28" s="439">
        <v>15600</v>
      </c>
      <c r="F28" s="439">
        <v>15600</v>
      </c>
      <c r="G28" s="439">
        <v>15600</v>
      </c>
      <c r="H28" s="439">
        <v>15600</v>
      </c>
      <c r="I28" s="439">
        <v>15600</v>
      </c>
      <c r="J28" s="439">
        <v>15600</v>
      </c>
      <c r="K28" s="439">
        <v>15600</v>
      </c>
      <c r="L28" s="439">
        <v>15600</v>
      </c>
      <c r="M28" s="439">
        <v>15600</v>
      </c>
      <c r="N28" s="439">
        <v>16224</v>
      </c>
      <c r="O28" s="439">
        <v>16224</v>
      </c>
      <c r="P28" s="439">
        <v>16224</v>
      </c>
      <c r="Q28" s="439">
        <v>16224</v>
      </c>
      <c r="R28" s="439">
        <v>16224</v>
      </c>
      <c r="S28" s="439">
        <v>16224</v>
      </c>
      <c r="T28" s="439">
        <v>16224</v>
      </c>
      <c r="U28" s="439">
        <v>16224</v>
      </c>
      <c r="V28" s="439">
        <v>16224</v>
      </c>
      <c r="W28" s="439">
        <v>16224</v>
      </c>
      <c r="X28" s="439">
        <v>16224</v>
      </c>
      <c r="Y28" s="439">
        <v>16224</v>
      </c>
      <c r="Z28" s="439">
        <v>16872.96</v>
      </c>
      <c r="AA28" s="439">
        <v>16872.96</v>
      </c>
      <c r="AB28" s="439">
        <v>16872.96</v>
      </c>
      <c r="AC28" s="439">
        <v>16872.96</v>
      </c>
      <c r="AD28" s="439">
        <v>16872.96</v>
      </c>
      <c r="AE28" s="439">
        <v>16872.96</v>
      </c>
      <c r="AF28" s="439">
        <v>16872.96</v>
      </c>
      <c r="AG28" s="439">
        <v>16872.96</v>
      </c>
      <c r="AH28" s="439">
        <v>16872.96</v>
      </c>
      <c r="AI28" s="439">
        <v>16872.96</v>
      </c>
      <c r="AJ28" s="439">
        <v>16872.96</v>
      </c>
      <c r="AK28" s="439">
        <v>16872.96</v>
      </c>
      <c r="AL28" s="439">
        <v>17547.878400000001</v>
      </c>
      <c r="AM28" s="439">
        <v>17547.878400000001</v>
      </c>
      <c r="AN28" s="439">
        <v>17547.878400000001</v>
      </c>
      <c r="AO28" s="439">
        <v>17547.878400000001</v>
      </c>
      <c r="AP28" s="439">
        <v>17547.878400000001</v>
      </c>
      <c r="AQ28" s="439">
        <v>17547.878400000001</v>
      </c>
      <c r="AR28" s="439">
        <v>17547.878400000001</v>
      </c>
      <c r="AS28" s="439">
        <v>17547.878400000001</v>
      </c>
      <c r="AT28" s="439">
        <v>17547.878400000001</v>
      </c>
      <c r="AU28" s="439">
        <v>17547.878400000001</v>
      </c>
      <c r="AV28" s="439">
        <v>17547.878400000001</v>
      </c>
      <c r="AW28" s="439">
        <v>17547.878400000001</v>
      </c>
      <c r="AX28" s="439">
        <v>18249.793536000001</v>
      </c>
      <c r="AY28" s="439">
        <v>18249.793536000001</v>
      </c>
      <c r="AZ28" s="439">
        <v>18249.793536000001</v>
      </c>
      <c r="BA28" s="439">
        <v>18249.793536000001</v>
      </c>
      <c r="BB28" s="439">
        <v>18249.793536000001</v>
      </c>
      <c r="BC28" s="439">
        <v>18249.793536000001</v>
      </c>
      <c r="BD28" s="439">
        <v>18249.793536000001</v>
      </c>
      <c r="BE28" s="439">
        <v>18249.793536000001</v>
      </c>
      <c r="BF28" s="439">
        <v>18249.793536000001</v>
      </c>
      <c r="BG28" s="439">
        <v>18249.793536000001</v>
      </c>
      <c r="BH28" s="439">
        <v>18249.793536000001</v>
      </c>
      <c r="BI28" s="439">
        <v>18249.793536000001</v>
      </c>
      <c r="BJ28" s="439">
        <v>18979.785277440002</v>
      </c>
      <c r="BK28" s="439">
        <v>18979.785277440002</v>
      </c>
      <c r="BL28" s="439">
        <v>18979.785277440002</v>
      </c>
      <c r="BM28" s="439">
        <v>18979.785277440002</v>
      </c>
      <c r="BN28" s="439">
        <v>18979.785277440002</v>
      </c>
      <c r="BO28" s="439">
        <v>18979.785277440002</v>
      </c>
      <c r="BP28" s="439">
        <v>18979.785277440002</v>
      </c>
      <c r="BQ28" s="439">
        <v>18979.785277440002</v>
      </c>
      <c r="BR28" s="439">
        <v>18979.785277440002</v>
      </c>
      <c r="BS28" s="439">
        <v>18979.785277440002</v>
      </c>
      <c r="BT28" s="439">
        <v>18979.785277440002</v>
      </c>
      <c r="BU28" s="439">
        <v>18979.785277440002</v>
      </c>
      <c r="BV28" s="439">
        <v>19738.976688537601</v>
      </c>
      <c r="BW28" s="439">
        <v>19738.976688537601</v>
      </c>
      <c r="BX28" s="439">
        <v>19738.976688537601</v>
      </c>
      <c r="BY28" s="439">
        <v>19738.976688537601</v>
      </c>
      <c r="BZ28" s="439">
        <v>19738.976688537601</v>
      </c>
      <c r="CA28" s="439">
        <v>19738.976688537601</v>
      </c>
      <c r="CB28" s="439">
        <v>19738.976688537601</v>
      </c>
      <c r="CC28" s="439">
        <v>19738.976688537601</v>
      </c>
      <c r="CD28" s="439">
        <v>19738.976688537601</v>
      </c>
      <c r="CE28" s="439">
        <v>19738.976688537601</v>
      </c>
      <c r="CF28" s="439">
        <v>19738.976688537601</v>
      </c>
      <c r="CG28" s="439">
        <v>19738.976688537601</v>
      </c>
      <c r="CH28" s="439">
        <v>20528.535756079105</v>
      </c>
      <c r="CI28" s="439">
        <v>20528.535756079105</v>
      </c>
      <c r="CJ28" s="439">
        <v>20528.535756079105</v>
      </c>
      <c r="CK28" s="439">
        <v>20528.535756079105</v>
      </c>
      <c r="CL28" s="439">
        <v>20528.535756079105</v>
      </c>
      <c r="CM28" s="439">
        <v>20528.535756079105</v>
      </c>
      <c r="CN28" s="439">
        <v>20528.535756079105</v>
      </c>
      <c r="CO28" s="439">
        <v>20528.535756079105</v>
      </c>
      <c r="CP28" s="439">
        <v>20528.535756079105</v>
      </c>
      <c r="CQ28" s="439">
        <v>20528.535756079105</v>
      </c>
      <c r="CR28" s="439">
        <v>20528.535756079105</v>
      </c>
      <c r="CS28" s="439">
        <v>20528.535756079105</v>
      </c>
      <c r="CT28" s="439">
        <v>21349.677186322271</v>
      </c>
      <c r="CU28" s="439">
        <v>21349.677186322271</v>
      </c>
      <c r="CV28" s="439">
        <v>21349.677186322271</v>
      </c>
      <c r="CW28" s="439">
        <v>21349.677186322271</v>
      </c>
      <c r="CX28" s="439">
        <v>21349.677186322271</v>
      </c>
      <c r="CY28" s="439">
        <v>21349.677186322271</v>
      </c>
    </row>
    <row r="29" spans="1:103" ht="12" customHeight="1">
      <c r="A29" s="310" t="s">
        <v>648</v>
      </c>
      <c r="B29" s="439">
        <v>15600</v>
      </c>
      <c r="C29" s="439">
        <v>15600</v>
      </c>
      <c r="D29" s="439">
        <v>15600</v>
      </c>
      <c r="E29" s="439">
        <v>15600</v>
      </c>
      <c r="F29" s="439">
        <v>15600</v>
      </c>
      <c r="G29" s="439">
        <v>15600</v>
      </c>
      <c r="H29" s="439">
        <v>15600</v>
      </c>
      <c r="I29" s="439">
        <v>15600</v>
      </c>
      <c r="J29" s="439">
        <v>15600</v>
      </c>
      <c r="K29" s="439">
        <v>15600</v>
      </c>
      <c r="L29" s="439">
        <v>15600</v>
      </c>
      <c r="M29" s="439">
        <v>15600</v>
      </c>
      <c r="N29" s="439">
        <v>16224</v>
      </c>
      <c r="O29" s="439">
        <v>16224</v>
      </c>
      <c r="P29" s="439">
        <v>16224</v>
      </c>
      <c r="Q29" s="439">
        <v>16224</v>
      </c>
      <c r="R29" s="439">
        <v>16224</v>
      </c>
      <c r="S29" s="439">
        <v>16224</v>
      </c>
      <c r="T29" s="439">
        <v>16224</v>
      </c>
      <c r="U29" s="439">
        <v>16224</v>
      </c>
      <c r="V29" s="439">
        <v>16224</v>
      </c>
      <c r="W29" s="439">
        <v>16224</v>
      </c>
      <c r="X29" s="439">
        <v>16224</v>
      </c>
      <c r="Y29" s="439">
        <v>16224</v>
      </c>
      <c r="Z29" s="439">
        <v>16872.96</v>
      </c>
      <c r="AA29" s="439">
        <v>16872.96</v>
      </c>
      <c r="AB29" s="439">
        <v>16872.96</v>
      </c>
      <c r="AC29" s="439">
        <v>16872.96</v>
      </c>
      <c r="AD29" s="439">
        <v>16872.96</v>
      </c>
      <c r="AE29" s="439">
        <v>16872.96</v>
      </c>
      <c r="AF29" s="439">
        <v>16872.96</v>
      </c>
      <c r="AG29" s="439">
        <v>16872.96</v>
      </c>
      <c r="AH29" s="439">
        <v>16872.96</v>
      </c>
      <c r="AI29" s="439">
        <v>16872.96</v>
      </c>
      <c r="AJ29" s="439">
        <v>16872.96</v>
      </c>
      <c r="AK29" s="439">
        <v>16872.96</v>
      </c>
      <c r="AL29" s="439">
        <v>17547.878400000001</v>
      </c>
      <c r="AM29" s="439">
        <v>17547.878400000001</v>
      </c>
      <c r="AN29" s="439">
        <v>17547.878400000001</v>
      </c>
      <c r="AO29" s="439">
        <v>17547.878400000001</v>
      </c>
      <c r="AP29" s="439">
        <v>17547.878400000001</v>
      </c>
      <c r="AQ29" s="439">
        <v>17547.878400000001</v>
      </c>
      <c r="AR29" s="439">
        <v>17547.878400000001</v>
      </c>
      <c r="AS29" s="439">
        <v>17547.878400000001</v>
      </c>
      <c r="AT29" s="439">
        <v>17547.878400000001</v>
      </c>
      <c r="AU29" s="439">
        <v>17547.878400000001</v>
      </c>
      <c r="AV29" s="439">
        <v>17547.878400000001</v>
      </c>
      <c r="AW29" s="439">
        <v>17547.878400000001</v>
      </c>
      <c r="AX29" s="439">
        <v>18249.793536000001</v>
      </c>
      <c r="AY29" s="439">
        <v>18249.793536000001</v>
      </c>
      <c r="AZ29" s="439">
        <v>18249.793536000001</v>
      </c>
      <c r="BA29" s="439">
        <v>18249.793536000001</v>
      </c>
      <c r="BB29" s="439">
        <v>18249.793536000001</v>
      </c>
      <c r="BC29" s="439">
        <v>18249.793536000001</v>
      </c>
      <c r="BD29" s="439">
        <v>18249.793536000001</v>
      </c>
      <c r="BE29" s="439">
        <v>18249.793536000001</v>
      </c>
      <c r="BF29" s="439">
        <v>18249.793536000001</v>
      </c>
      <c r="BG29" s="439">
        <v>18249.793536000001</v>
      </c>
      <c r="BH29" s="439">
        <v>18249.793536000001</v>
      </c>
      <c r="BI29" s="439">
        <v>18249.793536000001</v>
      </c>
      <c r="BJ29" s="439">
        <v>18979.785277440002</v>
      </c>
      <c r="BK29" s="439">
        <v>18979.785277440002</v>
      </c>
      <c r="BL29" s="439">
        <v>18979.785277440002</v>
      </c>
      <c r="BM29" s="439">
        <v>18979.785277440002</v>
      </c>
      <c r="BN29" s="439">
        <v>18979.785277440002</v>
      </c>
      <c r="BO29" s="439">
        <v>18979.785277440002</v>
      </c>
      <c r="BP29" s="439">
        <v>18979.785277440002</v>
      </c>
      <c r="BQ29" s="439">
        <v>18979.785277440002</v>
      </c>
      <c r="BR29" s="439">
        <v>18979.785277440002</v>
      </c>
      <c r="BS29" s="439">
        <v>18979.785277440002</v>
      </c>
      <c r="BT29" s="439">
        <v>18979.785277440002</v>
      </c>
      <c r="BU29" s="439">
        <v>18979.785277440002</v>
      </c>
      <c r="BV29" s="439">
        <v>19738.976688537601</v>
      </c>
      <c r="BW29" s="439">
        <v>19738.976688537601</v>
      </c>
      <c r="BX29" s="439">
        <v>19738.976688537601</v>
      </c>
      <c r="BY29" s="439">
        <v>19738.976688537601</v>
      </c>
      <c r="BZ29" s="439">
        <v>19738.976688537601</v>
      </c>
      <c r="CA29" s="439">
        <v>19738.976688537601</v>
      </c>
      <c r="CB29" s="439">
        <v>19738.976688537601</v>
      </c>
      <c r="CC29" s="439">
        <v>19738.976688537601</v>
      </c>
      <c r="CD29" s="439">
        <v>19738.976688537601</v>
      </c>
      <c r="CE29" s="439">
        <v>19738.976688537601</v>
      </c>
      <c r="CF29" s="439">
        <v>19738.976688537601</v>
      </c>
      <c r="CG29" s="439">
        <v>19738.976688537601</v>
      </c>
      <c r="CH29" s="439">
        <v>20528.535756079105</v>
      </c>
      <c r="CI29" s="439">
        <v>20528.535756079105</v>
      </c>
      <c r="CJ29" s="439">
        <v>20528.535756079105</v>
      </c>
      <c r="CK29" s="439">
        <v>20528.535756079105</v>
      </c>
      <c r="CL29" s="439">
        <v>20528.535756079105</v>
      </c>
      <c r="CM29" s="439">
        <v>20528.535756079105</v>
      </c>
      <c r="CN29" s="439">
        <v>20528.535756079105</v>
      </c>
      <c r="CO29" s="439">
        <v>20528.535756079105</v>
      </c>
      <c r="CP29" s="439">
        <v>20528.535756079105</v>
      </c>
      <c r="CQ29" s="439">
        <v>20528.535756079105</v>
      </c>
      <c r="CR29" s="439">
        <v>20528.535756079105</v>
      </c>
      <c r="CS29" s="439">
        <v>20528.535756079105</v>
      </c>
      <c r="CT29" s="439">
        <v>21349.677186322271</v>
      </c>
      <c r="CU29" s="439">
        <v>21349.677186322271</v>
      </c>
      <c r="CV29" s="439">
        <v>21349.677186322271</v>
      </c>
      <c r="CW29" s="439">
        <v>21349.677186322271</v>
      </c>
      <c r="CX29" s="439">
        <v>21349.677186322271</v>
      </c>
      <c r="CY29" s="439">
        <v>21349.677186322271</v>
      </c>
    </row>
    <row r="30" spans="1:103" ht="12" customHeight="1">
      <c r="A30" s="310" t="s">
        <v>649</v>
      </c>
      <c r="B30" s="439">
        <v>15600</v>
      </c>
      <c r="C30" s="439">
        <v>15600</v>
      </c>
      <c r="D30" s="439">
        <v>15600</v>
      </c>
      <c r="E30" s="439">
        <v>15600</v>
      </c>
      <c r="F30" s="439">
        <v>15600</v>
      </c>
      <c r="G30" s="439">
        <v>15600</v>
      </c>
      <c r="H30" s="439">
        <v>15600</v>
      </c>
      <c r="I30" s="439">
        <v>15600</v>
      </c>
      <c r="J30" s="439">
        <v>15600</v>
      </c>
      <c r="K30" s="439">
        <v>15600</v>
      </c>
      <c r="L30" s="439">
        <v>15600</v>
      </c>
      <c r="M30" s="439">
        <v>15600</v>
      </c>
      <c r="N30" s="439">
        <v>16224</v>
      </c>
      <c r="O30" s="439">
        <v>16224</v>
      </c>
      <c r="P30" s="439">
        <v>16224</v>
      </c>
      <c r="Q30" s="439">
        <v>16224</v>
      </c>
      <c r="R30" s="439">
        <v>16224</v>
      </c>
      <c r="S30" s="439">
        <v>16224</v>
      </c>
      <c r="T30" s="439">
        <v>16224</v>
      </c>
      <c r="U30" s="439">
        <v>16224</v>
      </c>
      <c r="V30" s="439">
        <v>16224</v>
      </c>
      <c r="W30" s="439">
        <v>16224</v>
      </c>
      <c r="X30" s="439">
        <v>16224</v>
      </c>
      <c r="Y30" s="439">
        <v>16224</v>
      </c>
      <c r="Z30" s="439">
        <v>16872.96</v>
      </c>
      <c r="AA30" s="439">
        <v>16872.96</v>
      </c>
      <c r="AB30" s="439">
        <v>16872.96</v>
      </c>
      <c r="AC30" s="439">
        <v>16872.96</v>
      </c>
      <c r="AD30" s="439">
        <v>16872.96</v>
      </c>
      <c r="AE30" s="439">
        <v>16872.96</v>
      </c>
      <c r="AF30" s="439">
        <v>16872.96</v>
      </c>
      <c r="AG30" s="439">
        <v>16872.96</v>
      </c>
      <c r="AH30" s="439">
        <v>16872.96</v>
      </c>
      <c r="AI30" s="439">
        <v>16872.96</v>
      </c>
      <c r="AJ30" s="439">
        <v>16872.96</v>
      </c>
      <c r="AK30" s="439">
        <v>16872.96</v>
      </c>
      <c r="AL30" s="439">
        <v>17547.878400000001</v>
      </c>
      <c r="AM30" s="439">
        <v>17547.878400000001</v>
      </c>
      <c r="AN30" s="439">
        <v>17547.878400000001</v>
      </c>
      <c r="AO30" s="439">
        <v>17547.878400000001</v>
      </c>
      <c r="AP30" s="439">
        <v>17547.878400000001</v>
      </c>
      <c r="AQ30" s="439">
        <v>17547.878400000001</v>
      </c>
      <c r="AR30" s="439">
        <v>17547.878400000001</v>
      </c>
      <c r="AS30" s="439">
        <v>17547.878400000001</v>
      </c>
      <c r="AT30" s="439">
        <v>17547.878400000001</v>
      </c>
      <c r="AU30" s="439">
        <v>17547.878400000001</v>
      </c>
      <c r="AV30" s="439">
        <v>17547.878400000001</v>
      </c>
      <c r="AW30" s="439">
        <v>17547.878400000001</v>
      </c>
      <c r="AX30" s="439">
        <v>18249.793536000001</v>
      </c>
      <c r="AY30" s="439">
        <v>18249.793536000001</v>
      </c>
      <c r="AZ30" s="439">
        <v>18249.793536000001</v>
      </c>
      <c r="BA30" s="439">
        <v>18249.793536000001</v>
      </c>
      <c r="BB30" s="439">
        <v>18249.793536000001</v>
      </c>
      <c r="BC30" s="439">
        <v>18249.793536000001</v>
      </c>
      <c r="BD30" s="439">
        <v>18249.793536000001</v>
      </c>
      <c r="BE30" s="439">
        <v>18249.793536000001</v>
      </c>
      <c r="BF30" s="439">
        <v>18249.793536000001</v>
      </c>
      <c r="BG30" s="439">
        <v>18249.793536000001</v>
      </c>
      <c r="BH30" s="439">
        <v>18249.793536000001</v>
      </c>
      <c r="BI30" s="439">
        <v>18249.793536000001</v>
      </c>
      <c r="BJ30" s="439">
        <v>18979.785277440002</v>
      </c>
      <c r="BK30" s="439">
        <v>18979.785277440002</v>
      </c>
      <c r="BL30" s="439">
        <v>18979.785277440002</v>
      </c>
      <c r="BM30" s="439">
        <v>18979.785277440002</v>
      </c>
      <c r="BN30" s="439">
        <v>18979.785277440002</v>
      </c>
      <c r="BO30" s="439">
        <v>18979.785277440002</v>
      </c>
      <c r="BP30" s="439">
        <v>18979.785277440002</v>
      </c>
      <c r="BQ30" s="439">
        <v>18979.785277440002</v>
      </c>
      <c r="BR30" s="439">
        <v>18979.785277440002</v>
      </c>
      <c r="BS30" s="439">
        <v>18979.785277440002</v>
      </c>
      <c r="BT30" s="439">
        <v>18979.785277440002</v>
      </c>
      <c r="BU30" s="439">
        <v>18979.785277440002</v>
      </c>
      <c r="BV30" s="439">
        <v>19738.976688537601</v>
      </c>
      <c r="BW30" s="439">
        <v>19738.976688537601</v>
      </c>
      <c r="BX30" s="439">
        <v>19738.976688537601</v>
      </c>
      <c r="BY30" s="439">
        <v>19738.976688537601</v>
      </c>
      <c r="BZ30" s="439">
        <v>19738.976688537601</v>
      </c>
      <c r="CA30" s="439">
        <v>19738.976688537601</v>
      </c>
      <c r="CB30" s="439">
        <v>19738.976688537601</v>
      </c>
      <c r="CC30" s="439">
        <v>19738.976688537601</v>
      </c>
      <c r="CD30" s="439">
        <v>19738.976688537601</v>
      </c>
      <c r="CE30" s="439">
        <v>19738.976688537601</v>
      </c>
      <c r="CF30" s="439">
        <v>19738.976688537601</v>
      </c>
      <c r="CG30" s="439">
        <v>19738.976688537601</v>
      </c>
      <c r="CH30" s="439">
        <v>20528.535756079105</v>
      </c>
      <c r="CI30" s="439">
        <v>20528.535756079105</v>
      </c>
      <c r="CJ30" s="439">
        <v>20528.535756079105</v>
      </c>
      <c r="CK30" s="439">
        <v>20528.535756079105</v>
      </c>
      <c r="CL30" s="439">
        <v>20528.535756079105</v>
      </c>
      <c r="CM30" s="439">
        <v>20528.535756079105</v>
      </c>
      <c r="CN30" s="439">
        <v>20528.535756079105</v>
      </c>
      <c r="CO30" s="439">
        <v>20528.535756079105</v>
      </c>
      <c r="CP30" s="439">
        <v>20528.535756079105</v>
      </c>
      <c r="CQ30" s="439">
        <v>20528.535756079105</v>
      </c>
      <c r="CR30" s="439">
        <v>20528.535756079105</v>
      </c>
      <c r="CS30" s="439">
        <v>20528.535756079105</v>
      </c>
      <c r="CT30" s="439">
        <v>21349.677186322271</v>
      </c>
      <c r="CU30" s="439">
        <v>21349.677186322271</v>
      </c>
      <c r="CV30" s="439">
        <v>21349.677186322271</v>
      </c>
      <c r="CW30" s="439">
        <v>21349.677186322271</v>
      </c>
      <c r="CX30" s="439">
        <v>21349.677186322271</v>
      </c>
      <c r="CY30" s="439">
        <v>21349.677186322271</v>
      </c>
    </row>
    <row r="31" spans="1:103" ht="12" customHeight="1">
      <c r="A31" s="458" t="s">
        <v>650</v>
      </c>
      <c r="B31" s="439">
        <v>156000</v>
      </c>
      <c r="C31" s="439">
        <v>156000</v>
      </c>
      <c r="D31" s="439">
        <v>156000</v>
      </c>
      <c r="E31" s="439">
        <v>156000</v>
      </c>
      <c r="F31" s="439">
        <v>156000</v>
      </c>
      <c r="G31" s="439">
        <v>156000</v>
      </c>
      <c r="H31" s="439">
        <v>156000</v>
      </c>
      <c r="I31" s="439">
        <v>156000</v>
      </c>
      <c r="J31" s="439">
        <v>156000</v>
      </c>
      <c r="K31" s="439">
        <v>156000</v>
      </c>
      <c r="L31" s="439">
        <v>156000</v>
      </c>
      <c r="M31" s="439">
        <v>156000</v>
      </c>
      <c r="N31" s="439">
        <v>162240</v>
      </c>
      <c r="O31" s="439">
        <v>162240</v>
      </c>
      <c r="P31" s="439">
        <v>162240</v>
      </c>
      <c r="Q31" s="439">
        <v>162240</v>
      </c>
      <c r="R31" s="439">
        <v>162240</v>
      </c>
      <c r="S31" s="439">
        <v>162240</v>
      </c>
      <c r="T31" s="439">
        <v>162240</v>
      </c>
      <c r="U31" s="439">
        <v>162240</v>
      </c>
      <c r="V31" s="439">
        <v>162240</v>
      </c>
      <c r="W31" s="439">
        <v>162240</v>
      </c>
      <c r="X31" s="439">
        <v>162240</v>
      </c>
      <c r="Y31" s="439">
        <v>162240</v>
      </c>
      <c r="Z31" s="439">
        <v>168729.60000000001</v>
      </c>
      <c r="AA31" s="439">
        <v>168729.60000000001</v>
      </c>
      <c r="AB31" s="439">
        <v>168729.60000000001</v>
      </c>
      <c r="AC31" s="439">
        <v>168729.60000000001</v>
      </c>
      <c r="AD31" s="439">
        <v>168729.60000000001</v>
      </c>
      <c r="AE31" s="439">
        <v>168729.60000000001</v>
      </c>
      <c r="AF31" s="439">
        <v>168729.60000000001</v>
      </c>
      <c r="AG31" s="439">
        <v>168729.60000000001</v>
      </c>
      <c r="AH31" s="439">
        <v>168729.60000000001</v>
      </c>
      <c r="AI31" s="439">
        <v>168729.60000000001</v>
      </c>
      <c r="AJ31" s="439">
        <v>168729.60000000001</v>
      </c>
      <c r="AK31" s="439">
        <v>168729.60000000001</v>
      </c>
      <c r="AL31" s="439">
        <v>175478.78400000001</v>
      </c>
      <c r="AM31" s="439">
        <v>175478.78400000001</v>
      </c>
      <c r="AN31" s="439">
        <v>175478.78400000001</v>
      </c>
      <c r="AO31" s="439">
        <v>175478.78400000001</v>
      </c>
      <c r="AP31" s="439">
        <v>175478.78400000001</v>
      </c>
      <c r="AQ31" s="439">
        <v>175478.78400000001</v>
      </c>
      <c r="AR31" s="439">
        <v>175478.78400000001</v>
      </c>
      <c r="AS31" s="439">
        <v>175478.78400000001</v>
      </c>
      <c r="AT31" s="439">
        <v>175478.78400000001</v>
      </c>
      <c r="AU31" s="439">
        <v>175478.78400000001</v>
      </c>
      <c r="AV31" s="439">
        <v>175478.78400000001</v>
      </c>
      <c r="AW31" s="439">
        <v>175478.78400000001</v>
      </c>
      <c r="AX31" s="439">
        <v>182497.93536000003</v>
      </c>
      <c r="AY31" s="439">
        <v>182497.93536000003</v>
      </c>
      <c r="AZ31" s="439">
        <v>182497.93536000003</v>
      </c>
      <c r="BA31" s="439">
        <v>182497.93536000003</v>
      </c>
      <c r="BB31" s="439">
        <v>182497.93536000003</v>
      </c>
      <c r="BC31" s="439">
        <v>182497.93536000003</v>
      </c>
      <c r="BD31" s="439">
        <v>182497.93536000003</v>
      </c>
      <c r="BE31" s="439">
        <v>182497.93536000003</v>
      </c>
      <c r="BF31" s="439">
        <v>182497.93536000003</v>
      </c>
      <c r="BG31" s="439">
        <v>182497.93536000003</v>
      </c>
      <c r="BH31" s="439">
        <v>182497.93536000003</v>
      </c>
      <c r="BI31" s="439">
        <v>182497.93536000003</v>
      </c>
      <c r="BJ31" s="439">
        <v>189797.85277440003</v>
      </c>
      <c r="BK31" s="439">
        <v>189797.85277440003</v>
      </c>
      <c r="BL31" s="439">
        <v>189797.85277440003</v>
      </c>
      <c r="BM31" s="439">
        <v>189797.85277440003</v>
      </c>
      <c r="BN31" s="439">
        <v>189797.85277440003</v>
      </c>
      <c r="BO31" s="439">
        <v>189797.85277440003</v>
      </c>
      <c r="BP31" s="439">
        <v>189797.85277440003</v>
      </c>
      <c r="BQ31" s="439">
        <v>189797.85277440003</v>
      </c>
      <c r="BR31" s="439">
        <v>189797.85277440003</v>
      </c>
      <c r="BS31" s="439">
        <v>189797.85277440003</v>
      </c>
      <c r="BT31" s="439">
        <v>189797.85277440003</v>
      </c>
      <c r="BU31" s="439">
        <v>189797.85277440003</v>
      </c>
      <c r="BV31" s="439">
        <v>197389.76688537604</v>
      </c>
      <c r="BW31" s="439">
        <v>197389.76688537604</v>
      </c>
      <c r="BX31" s="439">
        <v>197389.76688537604</v>
      </c>
      <c r="BY31" s="439">
        <v>197389.76688537604</v>
      </c>
      <c r="BZ31" s="439">
        <v>197389.76688537604</v>
      </c>
      <c r="CA31" s="439">
        <v>197389.76688537604</v>
      </c>
      <c r="CB31" s="439">
        <v>197389.76688537604</v>
      </c>
      <c r="CC31" s="439">
        <v>197389.76688537604</v>
      </c>
      <c r="CD31" s="439">
        <v>197389.76688537604</v>
      </c>
      <c r="CE31" s="439">
        <v>197389.76688537604</v>
      </c>
      <c r="CF31" s="439">
        <v>197389.76688537604</v>
      </c>
      <c r="CG31" s="439">
        <v>197389.76688537604</v>
      </c>
      <c r="CH31" s="439">
        <v>205285.35756079108</v>
      </c>
      <c r="CI31" s="439">
        <v>205285.35756079108</v>
      </c>
      <c r="CJ31" s="439">
        <v>205285.35756079108</v>
      </c>
      <c r="CK31" s="439">
        <v>205285.35756079108</v>
      </c>
      <c r="CL31" s="439">
        <v>205285.35756079108</v>
      </c>
      <c r="CM31" s="439">
        <v>205285.35756079108</v>
      </c>
      <c r="CN31" s="439">
        <v>205285.35756079108</v>
      </c>
      <c r="CO31" s="439">
        <v>205285.35756079108</v>
      </c>
      <c r="CP31" s="439">
        <v>205285.35756079108</v>
      </c>
      <c r="CQ31" s="439">
        <v>205285.35756079108</v>
      </c>
      <c r="CR31" s="439">
        <v>205285.35756079108</v>
      </c>
      <c r="CS31" s="439">
        <v>205285.35756079108</v>
      </c>
      <c r="CT31" s="439">
        <v>213496.77186322273</v>
      </c>
      <c r="CU31" s="439">
        <v>213496.77186322273</v>
      </c>
      <c r="CV31" s="439">
        <v>213496.77186322273</v>
      </c>
      <c r="CW31" s="439">
        <v>213496.77186322273</v>
      </c>
      <c r="CX31" s="439">
        <v>213496.77186322273</v>
      </c>
      <c r="CY31" s="439">
        <v>213496.77186322273</v>
      </c>
    </row>
    <row r="32" spans="1:103" ht="12" customHeight="1">
      <c r="A32" s="310" t="s">
        <v>651</v>
      </c>
      <c r="B32" s="439">
        <v>3120</v>
      </c>
      <c r="C32" s="439">
        <v>3120</v>
      </c>
      <c r="D32" s="439">
        <v>3120</v>
      </c>
      <c r="E32" s="439">
        <v>3120</v>
      </c>
      <c r="F32" s="439">
        <v>3120</v>
      </c>
      <c r="G32" s="439">
        <v>3120</v>
      </c>
      <c r="H32" s="439">
        <v>3120</v>
      </c>
      <c r="I32" s="439">
        <v>3120</v>
      </c>
      <c r="J32" s="439">
        <v>3120</v>
      </c>
      <c r="K32" s="439">
        <v>3120</v>
      </c>
      <c r="L32" s="439">
        <v>3120</v>
      </c>
      <c r="M32" s="439">
        <v>3120</v>
      </c>
      <c r="N32" s="439">
        <v>3244.8</v>
      </c>
      <c r="O32" s="439">
        <v>3244.8</v>
      </c>
      <c r="P32" s="439">
        <v>3244.8</v>
      </c>
      <c r="Q32" s="439">
        <v>3244.8</v>
      </c>
      <c r="R32" s="439">
        <v>3244.8</v>
      </c>
      <c r="S32" s="439">
        <v>3244.8</v>
      </c>
      <c r="T32" s="439">
        <v>3244.8</v>
      </c>
      <c r="U32" s="439">
        <v>3244.8</v>
      </c>
      <c r="V32" s="439">
        <v>3244.8</v>
      </c>
      <c r="W32" s="439">
        <v>3244.8</v>
      </c>
      <c r="X32" s="439">
        <v>3244.8</v>
      </c>
      <c r="Y32" s="439">
        <v>3244.8</v>
      </c>
      <c r="Z32" s="439">
        <v>3374.5920000000001</v>
      </c>
      <c r="AA32" s="439">
        <v>3374.5920000000001</v>
      </c>
      <c r="AB32" s="439">
        <v>3374.5920000000001</v>
      </c>
      <c r="AC32" s="439">
        <v>3374.5920000000001</v>
      </c>
      <c r="AD32" s="439">
        <v>3374.5920000000001</v>
      </c>
      <c r="AE32" s="439">
        <v>3374.5920000000001</v>
      </c>
      <c r="AF32" s="439">
        <v>3374.5920000000001</v>
      </c>
      <c r="AG32" s="439">
        <v>3374.5920000000001</v>
      </c>
      <c r="AH32" s="439">
        <v>3374.5920000000001</v>
      </c>
      <c r="AI32" s="439">
        <v>3374.5920000000001</v>
      </c>
      <c r="AJ32" s="439">
        <v>3374.5920000000001</v>
      </c>
      <c r="AK32" s="439">
        <v>3374.5920000000001</v>
      </c>
      <c r="AL32" s="439">
        <v>3509.5756800000004</v>
      </c>
      <c r="AM32" s="439">
        <v>3509.5756800000004</v>
      </c>
      <c r="AN32" s="439">
        <v>3509.5756800000004</v>
      </c>
      <c r="AO32" s="439">
        <v>3509.5756800000004</v>
      </c>
      <c r="AP32" s="439">
        <v>3509.5756800000004</v>
      </c>
      <c r="AQ32" s="439">
        <v>3509.5756800000004</v>
      </c>
      <c r="AR32" s="439">
        <v>3509.5756800000004</v>
      </c>
      <c r="AS32" s="439">
        <v>3509.5756800000004</v>
      </c>
      <c r="AT32" s="439">
        <v>3509.5756800000004</v>
      </c>
      <c r="AU32" s="439">
        <v>3509.5756800000004</v>
      </c>
      <c r="AV32" s="439">
        <v>3509.5756800000004</v>
      </c>
      <c r="AW32" s="439">
        <v>3509.5756800000004</v>
      </c>
      <c r="AX32" s="439">
        <v>3649.9587072000004</v>
      </c>
      <c r="AY32" s="439">
        <v>3649.9587072000004</v>
      </c>
      <c r="AZ32" s="439">
        <v>3649.9587072000004</v>
      </c>
      <c r="BA32" s="439">
        <v>3649.9587072000004</v>
      </c>
      <c r="BB32" s="439">
        <v>3649.9587072000004</v>
      </c>
      <c r="BC32" s="439">
        <v>3649.9587072000004</v>
      </c>
      <c r="BD32" s="439">
        <v>3649.9587072000004</v>
      </c>
      <c r="BE32" s="439">
        <v>3649.9587072000004</v>
      </c>
      <c r="BF32" s="439">
        <v>3649.9587072000004</v>
      </c>
      <c r="BG32" s="439">
        <v>3649.9587072000004</v>
      </c>
      <c r="BH32" s="439">
        <v>3649.9587072000004</v>
      </c>
      <c r="BI32" s="439">
        <v>3649.9587072000004</v>
      </c>
      <c r="BJ32" s="439">
        <v>3795.9570554880006</v>
      </c>
      <c r="BK32" s="439">
        <v>3795.9570554880006</v>
      </c>
      <c r="BL32" s="439">
        <v>3795.9570554880006</v>
      </c>
      <c r="BM32" s="439">
        <v>3795.9570554880006</v>
      </c>
      <c r="BN32" s="439">
        <v>3795.9570554880006</v>
      </c>
      <c r="BO32" s="439">
        <v>3795.9570554880006</v>
      </c>
      <c r="BP32" s="439">
        <v>3795.9570554880006</v>
      </c>
      <c r="BQ32" s="439">
        <v>3795.9570554880006</v>
      </c>
      <c r="BR32" s="439">
        <v>3795.9570554880006</v>
      </c>
      <c r="BS32" s="439">
        <v>3795.9570554880006</v>
      </c>
      <c r="BT32" s="439">
        <v>3795.9570554880006</v>
      </c>
      <c r="BU32" s="439">
        <v>3795.9570554880006</v>
      </c>
      <c r="BV32" s="439">
        <v>3947.795337707521</v>
      </c>
      <c r="BW32" s="439">
        <v>3947.795337707521</v>
      </c>
      <c r="BX32" s="439">
        <v>3947.795337707521</v>
      </c>
      <c r="BY32" s="439">
        <v>3947.795337707521</v>
      </c>
      <c r="BZ32" s="439">
        <v>3947.795337707521</v>
      </c>
      <c r="CA32" s="439">
        <v>3947.795337707521</v>
      </c>
      <c r="CB32" s="439">
        <v>3947.795337707521</v>
      </c>
      <c r="CC32" s="439">
        <v>3947.795337707521</v>
      </c>
      <c r="CD32" s="439">
        <v>3947.795337707521</v>
      </c>
      <c r="CE32" s="439">
        <v>3947.795337707521</v>
      </c>
      <c r="CF32" s="439">
        <v>3947.795337707521</v>
      </c>
      <c r="CG32" s="439">
        <v>3947.795337707521</v>
      </c>
      <c r="CH32" s="439">
        <v>4105.7071512158218</v>
      </c>
      <c r="CI32" s="439">
        <v>4105.7071512158218</v>
      </c>
      <c r="CJ32" s="439">
        <v>4105.7071512158218</v>
      </c>
      <c r="CK32" s="439">
        <v>4105.7071512158218</v>
      </c>
      <c r="CL32" s="439">
        <v>4105.7071512158218</v>
      </c>
      <c r="CM32" s="439">
        <v>4105.7071512158218</v>
      </c>
      <c r="CN32" s="439">
        <v>4105.7071512158218</v>
      </c>
      <c r="CO32" s="439">
        <v>4105.7071512158218</v>
      </c>
      <c r="CP32" s="439">
        <v>4105.7071512158218</v>
      </c>
      <c r="CQ32" s="439">
        <v>4105.7071512158218</v>
      </c>
      <c r="CR32" s="439">
        <v>4105.7071512158218</v>
      </c>
      <c r="CS32" s="439">
        <v>4105.7071512158218</v>
      </c>
      <c r="CT32" s="439">
        <v>4269.9354372644548</v>
      </c>
      <c r="CU32" s="439">
        <v>4269.9354372644548</v>
      </c>
      <c r="CV32" s="439">
        <v>4269.9354372644548</v>
      </c>
      <c r="CW32" s="439">
        <v>4269.9354372644548</v>
      </c>
      <c r="CX32" s="439">
        <v>4269.9354372644548</v>
      </c>
      <c r="CY32" s="439">
        <v>4269.9354372644548</v>
      </c>
    </row>
    <row r="33" spans="1:103" ht="12" customHeight="1">
      <c r="A33" s="310" t="s">
        <v>652</v>
      </c>
      <c r="B33" s="439">
        <v>15600</v>
      </c>
      <c r="C33" s="439">
        <v>15600</v>
      </c>
      <c r="D33" s="439">
        <v>15600</v>
      </c>
      <c r="E33" s="439">
        <v>15600</v>
      </c>
      <c r="F33" s="439">
        <v>15600</v>
      </c>
      <c r="G33" s="439">
        <v>15600</v>
      </c>
      <c r="H33" s="439">
        <v>15600</v>
      </c>
      <c r="I33" s="439">
        <v>15600</v>
      </c>
      <c r="J33" s="439">
        <v>15600</v>
      </c>
      <c r="K33" s="439">
        <v>15600</v>
      </c>
      <c r="L33" s="439">
        <v>15600</v>
      </c>
      <c r="M33" s="439">
        <v>15600</v>
      </c>
      <c r="N33" s="439">
        <v>16224</v>
      </c>
      <c r="O33" s="439">
        <v>16224</v>
      </c>
      <c r="P33" s="439">
        <v>16224</v>
      </c>
      <c r="Q33" s="439">
        <v>16224</v>
      </c>
      <c r="R33" s="439">
        <v>16224</v>
      </c>
      <c r="S33" s="439">
        <v>16224</v>
      </c>
      <c r="T33" s="439">
        <v>16224</v>
      </c>
      <c r="U33" s="439">
        <v>16224</v>
      </c>
      <c r="V33" s="439">
        <v>16224</v>
      </c>
      <c r="W33" s="439">
        <v>16224</v>
      </c>
      <c r="X33" s="439">
        <v>16224</v>
      </c>
      <c r="Y33" s="439">
        <v>16224</v>
      </c>
      <c r="Z33" s="439">
        <v>16872.96</v>
      </c>
      <c r="AA33" s="439">
        <v>16872.96</v>
      </c>
      <c r="AB33" s="439">
        <v>16872.96</v>
      </c>
      <c r="AC33" s="439">
        <v>16872.96</v>
      </c>
      <c r="AD33" s="439">
        <v>16872.96</v>
      </c>
      <c r="AE33" s="439">
        <v>16872.96</v>
      </c>
      <c r="AF33" s="439">
        <v>16872.96</v>
      </c>
      <c r="AG33" s="439">
        <v>16872.96</v>
      </c>
      <c r="AH33" s="439">
        <v>16872.96</v>
      </c>
      <c r="AI33" s="439">
        <v>16872.96</v>
      </c>
      <c r="AJ33" s="439">
        <v>16872.96</v>
      </c>
      <c r="AK33" s="439">
        <v>16872.96</v>
      </c>
      <c r="AL33" s="439">
        <v>17547.878400000001</v>
      </c>
      <c r="AM33" s="439">
        <v>17547.878400000001</v>
      </c>
      <c r="AN33" s="439">
        <v>17547.878400000001</v>
      </c>
      <c r="AO33" s="439">
        <v>17547.878400000001</v>
      </c>
      <c r="AP33" s="439">
        <v>17547.878400000001</v>
      </c>
      <c r="AQ33" s="439">
        <v>17547.878400000001</v>
      </c>
      <c r="AR33" s="439">
        <v>17547.878400000001</v>
      </c>
      <c r="AS33" s="439">
        <v>17547.878400000001</v>
      </c>
      <c r="AT33" s="439">
        <v>17547.878400000001</v>
      </c>
      <c r="AU33" s="439">
        <v>17547.878400000001</v>
      </c>
      <c r="AV33" s="439">
        <v>17547.878400000001</v>
      </c>
      <c r="AW33" s="439">
        <v>17547.878400000001</v>
      </c>
      <c r="AX33" s="439">
        <v>18249.793536000001</v>
      </c>
      <c r="AY33" s="439">
        <v>18249.793536000001</v>
      </c>
      <c r="AZ33" s="439">
        <v>18249.793536000001</v>
      </c>
      <c r="BA33" s="439">
        <v>18249.793536000001</v>
      </c>
      <c r="BB33" s="439">
        <v>18249.793536000001</v>
      </c>
      <c r="BC33" s="439">
        <v>18249.793536000001</v>
      </c>
      <c r="BD33" s="439">
        <v>18249.793536000001</v>
      </c>
      <c r="BE33" s="439">
        <v>18249.793536000001</v>
      </c>
      <c r="BF33" s="439">
        <v>18249.793536000001</v>
      </c>
      <c r="BG33" s="439">
        <v>18249.793536000001</v>
      </c>
      <c r="BH33" s="439">
        <v>18249.793536000001</v>
      </c>
      <c r="BI33" s="439">
        <v>18249.793536000001</v>
      </c>
      <c r="BJ33" s="439">
        <v>18979.785277440002</v>
      </c>
      <c r="BK33" s="439">
        <v>18979.785277440002</v>
      </c>
      <c r="BL33" s="439">
        <v>18979.785277440002</v>
      </c>
      <c r="BM33" s="439">
        <v>18979.785277440002</v>
      </c>
      <c r="BN33" s="439">
        <v>18979.785277440002</v>
      </c>
      <c r="BO33" s="439">
        <v>18979.785277440002</v>
      </c>
      <c r="BP33" s="439">
        <v>18979.785277440002</v>
      </c>
      <c r="BQ33" s="439">
        <v>18979.785277440002</v>
      </c>
      <c r="BR33" s="439">
        <v>18979.785277440002</v>
      </c>
      <c r="BS33" s="439">
        <v>18979.785277440002</v>
      </c>
      <c r="BT33" s="439">
        <v>18979.785277440002</v>
      </c>
      <c r="BU33" s="439">
        <v>18979.785277440002</v>
      </c>
      <c r="BV33" s="439">
        <v>19738.976688537601</v>
      </c>
      <c r="BW33" s="439">
        <v>19738.976688537601</v>
      </c>
      <c r="BX33" s="439">
        <v>19738.976688537601</v>
      </c>
      <c r="BY33" s="439">
        <v>19738.976688537601</v>
      </c>
      <c r="BZ33" s="439">
        <v>19738.976688537601</v>
      </c>
      <c r="CA33" s="439">
        <v>19738.976688537601</v>
      </c>
      <c r="CB33" s="439">
        <v>19738.976688537601</v>
      </c>
      <c r="CC33" s="439">
        <v>19738.976688537601</v>
      </c>
      <c r="CD33" s="439">
        <v>19738.976688537601</v>
      </c>
      <c r="CE33" s="439">
        <v>19738.976688537601</v>
      </c>
      <c r="CF33" s="439">
        <v>19738.976688537601</v>
      </c>
      <c r="CG33" s="439">
        <v>19738.976688537601</v>
      </c>
      <c r="CH33" s="439">
        <v>20528.535756079105</v>
      </c>
      <c r="CI33" s="439">
        <v>20528.535756079105</v>
      </c>
      <c r="CJ33" s="439">
        <v>20528.535756079105</v>
      </c>
      <c r="CK33" s="439">
        <v>20528.535756079105</v>
      </c>
      <c r="CL33" s="439">
        <v>20528.535756079105</v>
      </c>
      <c r="CM33" s="439">
        <v>20528.535756079105</v>
      </c>
      <c r="CN33" s="439">
        <v>20528.535756079105</v>
      </c>
      <c r="CO33" s="439">
        <v>20528.535756079105</v>
      </c>
      <c r="CP33" s="439">
        <v>20528.535756079105</v>
      </c>
      <c r="CQ33" s="439">
        <v>20528.535756079105</v>
      </c>
      <c r="CR33" s="439">
        <v>20528.535756079105</v>
      </c>
      <c r="CS33" s="439">
        <v>20528.535756079105</v>
      </c>
      <c r="CT33" s="439">
        <v>21349.677186322271</v>
      </c>
      <c r="CU33" s="439">
        <v>21349.677186322271</v>
      </c>
      <c r="CV33" s="439">
        <v>21349.677186322271</v>
      </c>
      <c r="CW33" s="439">
        <v>21349.677186322271</v>
      </c>
      <c r="CX33" s="439">
        <v>21349.677186322271</v>
      </c>
      <c r="CY33" s="439">
        <v>21349.677186322271</v>
      </c>
    </row>
    <row r="34" spans="1:103" ht="12" customHeight="1">
      <c r="A34" s="310" t="s">
        <v>653</v>
      </c>
      <c r="B34" s="439">
        <v>1040</v>
      </c>
      <c r="C34" s="439">
        <v>1040</v>
      </c>
      <c r="D34" s="439">
        <v>1040</v>
      </c>
      <c r="E34" s="439">
        <v>1040</v>
      </c>
      <c r="F34" s="439">
        <v>1040</v>
      </c>
      <c r="G34" s="439">
        <v>1040</v>
      </c>
      <c r="H34" s="439">
        <v>1040</v>
      </c>
      <c r="I34" s="439">
        <v>1040</v>
      </c>
      <c r="J34" s="439">
        <v>1040</v>
      </c>
      <c r="K34" s="439">
        <v>1040</v>
      </c>
      <c r="L34" s="439">
        <v>1040</v>
      </c>
      <c r="M34" s="439">
        <v>1040</v>
      </c>
      <c r="N34" s="439">
        <v>1081.6000000000001</v>
      </c>
      <c r="O34" s="439">
        <v>1081.6000000000001</v>
      </c>
      <c r="P34" s="439">
        <v>1081.6000000000001</v>
      </c>
      <c r="Q34" s="439">
        <v>1081.6000000000001</v>
      </c>
      <c r="R34" s="439">
        <v>1081.6000000000001</v>
      </c>
      <c r="S34" s="439">
        <v>1081.6000000000001</v>
      </c>
      <c r="T34" s="439">
        <v>1081.6000000000001</v>
      </c>
      <c r="U34" s="439">
        <v>1081.6000000000001</v>
      </c>
      <c r="V34" s="439">
        <v>1081.6000000000001</v>
      </c>
      <c r="W34" s="439">
        <v>1081.6000000000001</v>
      </c>
      <c r="X34" s="439">
        <v>1081.6000000000001</v>
      </c>
      <c r="Y34" s="439">
        <v>1081.6000000000001</v>
      </c>
      <c r="Z34" s="439">
        <v>1124.8640000000003</v>
      </c>
      <c r="AA34" s="439">
        <v>1124.8640000000003</v>
      </c>
      <c r="AB34" s="439">
        <v>1124.8640000000003</v>
      </c>
      <c r="AC34" s="439">
        <v>1124.8640000000003</v>
      </c>
      <c r="AD34" s="439">
        <v>1124.8640000000003</v>
      </c>
      <c r="AE34" s="439">
        <v>1124.8640000000003</v>
      </c>
      <c r="AF34" s="439">
        <v>1124.8640000000003</v>
      </c>
      <c r="AG34" s="439">
        <v>1124.8640000000003</v>
      </c>
      <c r="AH34" s="439">
        <v>1124.8640000000003</v>
      </c>
      <c r="AI34" s="439">
        <v>1124.8640000000003</v>
      </c>
      <c r="AJ34" s="439">
        <v>1124.8640000000003</v>
      </c>
      <c r="AK34" s="439">
        <v>1124.8640000000003</v>
      </c>
      <c r="AL34" s="439">
        <v>1169.8585600000004</v>
      </c>
      <c r="AM34" s="439">
        <v>1169.8585600000004</v>
      </c>
      <c r="AN34" s="439">
        <v>1169.8585600000004</v>
      </c>
      <c r="AO34" s="439">
        <v>1169.8585600000004</v>
      </c>
      <c r="AP34" s="439">
        <v>1169.8585600000004</v>
      </c>
      <c r="AQ34" s="439">
        <v>1169.8585600000004</v>
      </c>
      <c r="AR34" s="439">
        <v>1169.8585600000004</v>
      </c>
      <c r="AS34" s="439">
        <v>1169.8585600000004</v>
      </c>
      <c r="AT34" s="439">
        <v>1169.8585600000004</v>
      </c>
      <c r="AU34" s="439">
        <v>1169.8585600000004</v>
      </c>
      <c r="AV34" s="439">
        <v>1169.8585600000004</v>
      </c>
      <c r="AW34" s="439">
        <v>1169.8585600000004</v>
      </c>
      <c r="AX34" s="439">
        <v>1216.6529024000004</v>
      </c>
      <c r="AY34" s="439">
        <v>1216.6529024000004</v>
      </c>
      <c r="AZ34" s="439">
        <v>1216.6529024000004</v>
      </c>
      <c r="BA34" s="439">
        <v>1216.6529024000004</v>
      </c>
      <c r="BB34" s="439">
        <v>1216.6529024000004</v>
      </c>
      <c r="BC34" s="439">
        <v>1216.6529024000004</v>
      </c>
      <c r="BD34" s="439">
        <v>1216.6529024000004</v>
      </c>
      <c r="BE34" s="439">
        <v>1216.6529024000004</v>
      </c>
      <c r="BF34" s="439">
        <v>1216.6529024000004</v>
      </c>
      <c r="BG34" s="439">
        <v>1216.6529024000004</v>
      </c>
      <c r="BH34" s="439">
        <v>1216.6529024000004</v>
      </c>
      <c r="BI34" s="439">
        <v>1216.6529024000004</v>
      </c>
      <c r="BJ34" s="439">
        <v>1265.3190184960004</v>
      </c>
      <c r="BK34" s="439">
        <v>1265.3190184960004</v>
      </c>
      <c r="BL34" s="439">
        <v>1265.3190184960004</v>
      </c>
      <c r="BM34" s="439">
        <v>1265.3190184960004</v>
      </c>
      <c r="BN34" s="439">
        <v>1265.3190184960004</v>
      </c>
      <c r="BO34" s="439">
        <v>1265.3190184960004</v>
      </c>
      <c r="BP34" s="439">
        <v>1265.3190184960004</v>
      </c>
      <c r="BQ34" s="439">
        <v>1265.3190184960004</v>
      </c>
      <c r="BR34" s="439">
        <v>1265.3190184960004</v>
      </c>
      <c r="BS34" s="439">
        <v>1265.3190184960004</v>
      </c>
      <c r="BT34" s="439">
        <v>1265.3190184960004</v>
      </c>
      <c r="BU34" s="439">
        <v>1265.3190184960004</v>
      </c>
      <c r="BV34" s="439">
        <v>1315.9317792358404</v>
      </c>
      <c r="BW34" s="439">
        <v>1315.9317792358404</v>
      </c>
      <c r="BX34" s="439">
        <v>1315.9317792358404</v>
      </c>
      <c r="BY34" s="439">
        <v>1315.9317792358404</v>
      </c>
      <c r="BZ34" s="439">
        <v>1315.9317792358404</v>
      </c>
      <c r="CA34" s="439">
        <v>1315.9317792358404</v>
      </c>
      <c r="CB34" s="439">
        <v>1315.9317792358404</v>
      </c>
      <c r="CC34" s="439">
        <v>1315.9317792358404</v>
      </c>
      <c r="CD34" s="439">
        <v>1315.9317792358404</v>
      </c>
      <c r="CE34" s="439">
        <v>1315.9317792358404</v>
      </c>
      <c r="CF34" s="439">
        <v>1315.9317792358404</v>
      </c>
      <c r="CG34" s="439">
        <v>1315.9317792358404</v>
      </c>
      <c r="CH34" s="439">
        <v>1368.5690504052741</v>
      </c>
      <c r="CI34" s="439">
        <v>1368.5690504052741</v>
      </c>
      <c r="CJ34" s="439">
        <v>1368.5690504052741</v>
      </c>
      <c r="CK34" s="439">
        <v>1368.5690504052741</v>
      </c>
      <c r="CL34" s="439">
        <v>1368.5690504052741</v>
      </c>
      <c r="CM34" s="439">
        <v>1368.5690504052741</v>
      </c>
      <c r="CN34" s="439">
        <v>1368.5690504052741</v>
      </c>
      <c r="CO34" s="439">
        <v>1368.5690504052741</v>
      </c>
      <c r="CP34" s="439">
        <v>1368.5690504052741</v>
      </c>
      <c r="CQ34" s="439">
        <v>1368.5690504052741</v>
      </c>
      <c r="CR34" s="439">
        <v>1368.5690504052741</v>
      </c>
      <c r="CS34" s="439">
        <v>1368.5690504052741</v>
      </c>
      <c r="CT34" s="439">
        <v>1423.311812421485</v>
      </c>
      <c r="CU34" s="439">
        <v>1423.311812421485</v>
      </c>
      <c r="CV34" s="439">
        <v>1423.311812421485</v>
      </c>
      <c r="CW34" s="439">
        <v>1423.311812421485</v>
      </c>
      <c r="CX34" s="439">
        <v>1423.311812421485</v>
      </c>
      <c r="CY34" s="439">
        <v>1423.311812421485</v>
      </c>
    </row>
    <row r="35" spans="1:103" ht="12" customHeight="1">
      <c r="A35" s="310" t="s">
        <v>654</v>
      </c>
      <c r="B35" s="439">
        <v>18408</v>
      </c>
      <c r="C35" s="439">
        <v>18408</v>
      </c>
      <c r="D35" s="439">
        <v>18408</v>
      </c>
      <c r="E35" s="439">
        <v>18408</v>
      </c>
      <c r="F35" s="439">
        <v>18408</v>
      </c>
      <c r="G35" s="439">
        <v>18408</v>
      </c>
      <c r="H35" s="439">
        <v>18408</v>
      </c>
      <c r="I35" s="439">
        <v>18408</v>
      </c>
      <c r="J35" s="439">
        <v>18408</v>
      </c>
      <c r="K35" s="439">
        <v>18408</v>
      </c>
      <c r="L35" s="439">
        <v>18408</v>
      </c>
      <c r="M35" s="439">
        <v>18408</v>
      </c>
      <c r="N35" s="439">
        <v>19144.32</v>
      </c>
      <c r="O35" s="439">
        <v>19144.32</v>
      </c>
      <c r="P35" s="439">
        <v>19144.32</v>
      </c>
      <c r="Q35" s="439">
        <v>19144.32</v>
      </c>
      <c r="R35" s="439">
        <v>19144.32</v>
      </c>
      <c r="S35" s="439">
        <v>19144.32</v>
      </c>
      <c r="T35" s="439">
        <v>19144.32</v>
      </c>
      <c r="U35" s="439">
        <v>19144.32</v>
      </c>
      <c r="V35" s="439">
        <v>19144.32</v>
      </c>
      <c r="W35" s="439">
        <v>19144.32</v>
      </c>
      <c r="X35" s="439">
        <v>19144.32</v>
      </c>
      <c r="Y35" s="439">
        <v>19144.32</v>
      </c>
      <c r="Z35" s="439">
        <v>19910.092800000002</v>
      </c>
      <c r="AA35" s="439">
        <v>19910.092800000002</v>
      </c>
      <c r="AB35" s="439">
        <v>19910.092800000002</v>
      </c>
      <c r="AC35" s="439">
        <v>19910.092800000002</v>
      </c>
      <c r="AD35" s="439">
        <v>19910.092800000002</v>
      </c>
      <c r="AE35" s="439">
        <v>19910.092800000002</v>
      </c>
      <c r="AF35" s="439">
        <v>19910.092800000002</v>
      </c>
      <c r="AG35" s="439">
        <v>19910.092800000002</v>
      </c>
      <c r="AH35" s="439">
        <v>19910.092800000002</v>
      </c>
      <c r="AI35" s="439">
        <v>19910.092800000002</v>
      </c>
      <c r="AJ35" s="439">
        <v>19910.092800000002</v>
      </c>
      <c r="AK35" s="439">
        <v>19910.092800000002</v>
      </c>
      <c r="AL35" s="439">
        <v>20706.496512000002</v>
      </c>
      <c r="AM35" s="439">
        <v>20706.496512000002</v>
      </c>
      <c r="AN35" s="439">
        <v>20706.496512000002</v>
      </c>
      <c r="AO35" s="439">
        <v>20706.496512000002</v>
      </c>
      <c r="AP35" s="439">
        <v>20706.496512000002</v>
      </c>
      <c r="AQ35" s="439">
        <v>20706.496512000002</v>
      </c>
      <c r="AR35" s="439">
        <v>20706.496512000002</v>
      </c>
      <c r="AS35" s="439">
        <v>20706.496512000002</v>
      </c>
      <c r="AT35" s="439">
        <v>20706.496512000002</v>
      </c>
      <c r="AU35" s="439">
        <v>20706.496512000002</v>
      </c>
      <c r="AV35" s="439">
        <v>20706.496512000002</v>
      </c>
      <c r="AW35" s="439">
        <v>20706.496512000002</v>
      </c>
      <c r="AX35" s="439">
        <v>21534.756372480002</v>
      </c>
      <c r="AY35" s="439">
        <v>21534.756372480002</v>
      </c>
      <c r="AZ35" s="439">
        <v>21534.756372480002</v>
      </c>
      <c r="BA35" s="439">
        <v>21534.756372480002</v>
      </c>
      <c r="BB35" s="439">
        <v>21534.756372480002</v>
      </c>
      <c r="BC35" s="439">
        <v>21534.756372480002</v>
      </c>
      <c r="BD35" s="439">
        <v>21534.756372480002</v>
      </c>
      <c r="BE35" s="439">
        <v>21534.756372480002</v>
      </c>
      <c r="BF35" s="439">
        <v>21534.756372480002</v>
      </c>
      <c r="BG35" s="439">
        <v>21534.756372480002</v>
      </c>
      <c r="BH35" s="439">
        <v>21534.756372480002</v>
      </c>
      <c r="BI35" s="439">
        <v>21534.756372480002</v>
      </c>
      <c r="BJ35" s="439">
        <v>22396.146627379203</v>
      </c>
      <c r="BK35" s="439">
        <v>22396.146627379203</v>
      </c>
      <c r="BL35" s="439">
        <v>22396.146627379203</v>
      </c>
      <c r="BM35" s="439">
        <v>22396.146627379203</v>
      </c>
      <c r="BN35" s="439">
        <v>22396.146627379203</v>
      </c>
      <c r="BO35" s="439">
        <v>22396.146627379203</v>
      </c>
      <c r="BP35" s="439">
        <v>22396.146627379203</v>
      </c>
      <c r="BQ35" s="439">
        <v>22396.146627379203</v>
      </c>
      <c r="BR35" s="439">
        <v>22396.146627379203</v>
      </c>
      <c r="BS35" s="439">
        <v>22396.146627379203</v>
      </c>
      <c r="BT35" s="439">
        <v>22396.146627379203</v>
      </c>
      <c r="BU35" s="439">
        <v>22396.146627379203</v>
      </c>
      <c r="BV35" s="439">
        <v>23291.992492474372</v>
      </c>
      <c r="BW35" s="439">
        <v>23291.992492474372</v>
      </c>
      <c r="BX35" s="439">
        <v>23291.992492474372</v>
      </c>
      <c r="BY35" s="439">
        <v>23291.992492474372</v>
      </c>
      <c r="BZ35" s="439">
        <v>23291.992492474372</v>
      </c>
      <c r="CA35" s="439">
        <v>23291.992492474372</v>
      </c>
      <c r="CB35" s="439">
        <v>23291.992492474372</v>
      </c>
      <c r="CC35" s="439">
        <v>23291.992492474372</v>
      </c>
      <c r="CD35" s="439">
        <v>23291.992492474372</v>
      </c>
      <c r="CE35" s="439">
        <v>23291.992492474372</v>
      </c>
      <c r="CF35" s="439">
        <v>23291.992492474372</v>
      </c>
      <c r="CG35" s="439">
        <v>23291.992492474372</v>
      </c>
      <c r="CH35" s="439">
        <v>24223.672192173348</v>
      </c>
      <c r="CI35" s="439">
        <v>24223.672192173348</v>
      </c>
      <c r="CJ35" s="439">
        <v>24223.672192173348</v>
      </c>
      <c r="CK35" s="439">
        <v>24223.672192173348</v>
      </c>
      <c r="CL35" s="439">
        <v>24223.672192173348</v>
      </c>
      <c r="CM35" s="439">
        <v>24223.672192173348</v>
      </c>
      <c r="CN35" s="439">
        <v>24223.672192173348</v>
      </c>
      <c r="CO35" s="439">
        <v>24223.672192173348</v>
      </c>
      <c r="CP35" s="439">
        <v>24223.672192173348</v>
      </c>
      <c r="CQ35" s="439">
        <v>24223.672192173348</v>
      </c>
      <c r="CR35" s="439">
        <v>24223.672192173348</v>
      </c>
      <c r="CS35" s="439">
        <v>24223.672192173348</v>
      </c>
      <c r="CT35" s="439">
        <v>25192.619079860284</v>
      </c>
      <c r="CU35" s="439">
        <v>25192.619079860284</v>
      </c>
      <c r="CV35" s="439">
        <v>25192.619079860284</v>
      </c>
      <c r="CW35" s="439">
        <v>25192.619079860284</v>
      </c>
      <c r="CX35" s="439">
        <v>25192.619079860284</v>
      </c>
      <c r="CY35" s="439">
        <v>25192.619079860284</v>
      </c>
    </row>
    <row r="36" spans="1:103" ht="12" customHeight="1">
      <c r="A36" s="458" t="s">
        <v>655</v>
      </c>
      <c r="B36" s="439">
        <v>0</v>
      </c>
      <c r="C36" s="439">
        <v>0</v>
      </c>
      <c r="D36" s="439">
        <v>0</v>
      </c>
      <c r="E36" s="439">
        <v>0</v>
      </c>
      <c r="F36" s="439">
        <v>0</v>
      </c>
      <c r="G36" s="439">
        <v>150000</v>
      </c>
      <c r="H36" s="439">
        <v>0</v>
      </c>
      <c r="I36" s="439">
        <v>0</v>
      </c>
      <c r="J36" s="439">
        <v>0</v>
      </c>
      <c r="K36" s="439">
        <v>0</v>
      </c>
      <c r="L36" s="439">
        <v>0</v>
      </c>
      <c r="M36" s="439">
        <v>0</v>
      </c>
      <c r="N36" s="439">
        <v>0</v>
      </c>
      <c r="O36" s="439">
        <v>0</v>
      </c>
      <c r="P36" s="439">
        <v>0</v>
      </c>
      <c r="Q36" s="439">
        <v>0</v>
      </c>
      <c r="R36" s="439">
        <v>0</v>
      </c>
      <c r="S36" s="439">
        <v>150000</v>
      </c>
      <c r="T36" s="439">
        <v>0</v>
      </c>
      <c r="U36" s="439">
        <v>0</v>
      </c>
      <c r="V36" s="439">
        <v>0</v>
      </c>
      <c r="W36" s="439">
        <v>0</v>
      </c>
      <c r="X36" s="439">
        <v>0</v>
      </c>
      <c r="Y36" s="439">
        <v>0</v>
      </c>
      <c r="Z36" s="439">
        <v>0</v>
      </c>
      <c r="AA36" s="439">
        <v>0</v>
      </c>
      <c r="AB36" s="439">
        <v>0</v>
      </c>
      <c r="AC36" s="439">
        <v>0</v>
      </c>
      <c r="AD36" s="439">
        <v>0</v>
      </c>
      <c r="AE36" s="439">
        <v>150000</v>
      </c>
      <c r="AF36" s="439">
        <v>0</v>
      </c>
      <c r="AG36" s="439">
        <v>0</v>
      </c>
      <c r="AH36" s="439">
        <v>0</v>
      </c>
      <c r="AI36" s="439">
        <v>0</v>
      </c>
      <c r="AJ36" s="439">
        <v>0</v>
      </c>
      <c r="AK36" s="439">
        <v>0</v>
      </c>
      <c r="AL36" s="439">
        <v>0</v>
      </c>
      <c r="AM36" s="439">
        <v>0</v>
      </c>
      <c r="AN36" s="439">
        <v>0</v>
      </c>
      <c r="AO36" s="439">
        <v>0</v>
      </c>
      <c r="AP36" s="439">
        <v>0</v>
      </c>
      <c r="AQ36" s="439">
        <v>150000</v>
      </c>
      <c r="AR36" s="439">
        <v>0</v>
      </c>
      <c r="AS36" s="439">
        <v>0</v>
      </c>
      <c r="AT36" s="439">
        <v>0</v>
      </c>
      <c r="AU36" s="439">
        <v>0</v>
      </c>
      <c r="AV36" s="439">
        <v>0</v>
      </c>
      <c r="AW36" s="439">
        <v>0</v>
      </c>
      <c r="AX36" s="439">
        <v>0</v>
      </c>
      <c r="AY36" s="439">
        <v>0</v>
      </c>
      <c r="AZ36" s="439">
        <v>0</v>
      </c>
      <c r="BA36" s="439">
        <v>0</v>
      </c>
      <c r="BB36" s="439">
        <v>0</v>
      </c>
      <c r="BC36" s="439">
        <v>150000</v>
      </c>
      <c r="BD36" s="439">
        <v>0</v>
      </c>
      <c r="BE36" s="439">
        <v>0</v>
      </c>
      <c r="BF36" s="439">
        <v>0</v>
      </c>
      <c r="BG36" s="439">
        <v>0</v>
      </c>
      <c r="BH36" s="439">
        <v>0</v>
      </c>
      <c r="BI36" s="439">
        <v>0</v>
      </c>
      <c r="BJ36" s="439">
        <v>0</v>
      </c>
      <c r="BK36" s="439">
        <v>0</v>
      </c>
      <c r="BL36" s="439">
        <v>0</v>
      </c>
      <c r="BM36" s="439">
        <v>0</v>
      </c>
      <c r="BN36" s="439">
        <v>0</v>
      </c>
      <c r="BO36" s="439">
        <v>150000</v>
      </c>
      <c r="BP36" s="439">
        <v>0</v>
      </c>
      <c r="BQ36" s="439">
        <v>0</v>
      </c>
      <c r="BR36" s="439">
        <v>0</v>
      </c>
      <c r="BS36" s="439">
        <v>0</v>
      </c>
      <c r="BT36" s="439">
        <v>0</v>
      </c>
      <c r="BU36" s="439">
        <v>0</v>
      </c>
      <c r="BV36" s="439">
        <v>0</v>
      </c>
      <c r="BW36" s="439">
        <v>0</v>
      </c>
      <c r="BX36" s="439">
        <v>0</v>
      </c>
      <c r="BY36" s="439">
        <v>0</v>
      </c>
      <c r="BZ36" s="439">
        <v>0</v>
      </c>
      <c r="CA36" s="439">
        <v>150000</v>
      </c>
      <c r="CB36" s="439">
        <v>0</v>
      </c>
      <c r="CC36" s="439">
        <v>0</v>
      </c>
      <c r="CD36" s="439">
        <v>0</v>
      </c>
      <c r="CE36" s="439">
        <v>0</v>
      </c>
      <c r="CF36" s="439">
        <v>0</v>
      </c>
      <c r="CG36" s="439">
        <v>0</v>
      </c>
      <c r="CH36" s="439">
        <v>0</v>
      </c>
      <c r="CI36" s="439">
        <v>0</v>
      </c>
      <c r="CJ36" s="439">
        <v>0</v>
      </c>
      <c r="CK36" s="439">
        <v>0</v>
      </c>
      <c r="CL36" s="439">
        <v>0</v>
      </c>
      <c r="CM36" s="439">
        <v>150000</v>
      </c>
      <c r="CN36" s="439">
        <v>0</v>
      </c>
      <c r="CO36" s="439">
        <v>0</v>
      </c>
      <c r="CP36" s="439">
        <v>0</v>
      </c>
      <c r="CQ36" s="439">
        <v>0</v>
      </c>
      <c r="CR36" s="439">
        <v>0</v>
      </c>
      <c r="CS36" s="439">
        <v>0</v>
      </c>
      <c r="CT36" s="439">
        <v>0</v>
      </c>
      <c r="CU36" s="439">
        <v>0</v>
      </c>
      <c r="CV36" s="439">
        <v>0</v>
      </c>
      <c r="CW36" s="439">
        <v>0</v>
      </c>
      <c r="CX36" s="439">
        <v>0</v>
      </c>
      <c r="CY36" s="439">
        <v>150000</v>
      </c>
    </row>
    <row r="37" spans="1:103" ht="12" customHeight="1">
      <c r="A37" s="310" t="s">
        <v>656</v>
      </c>
      <c r="B37" s="439">
        <v>0</v>
      </c>
      <c r="C37" s="439">
        <v>0</v>
      </c>
      <c r="D37" s="439">
        <v>0</v>
      </c>
      <c r="E37" s="439">
        <v>0</v>
      </c>
      <c r="F37" s="439">
        <v>0</v>
      </c>
      <c r="G37" s="439">
        <v>0</v>
      </c>
      <c r="H37" s="439">
        <v>0</v>
      </c>
      <c r="I37" s="439">
        <v>0</v>
      </c>
      <c r="J37" s="439">
        <v>270000</v>
      </c>
      <c r="K37" s="439">
        <v>0</v>
      </c>
      <c r="L37" s="439">
        <v>0</v>
      </c>
      <c r="M37" s="439">
        <v>0</v>
      </c>
      <c r="N37" s="439">
        <v>0</v>
      </c>
      <c r="O37" s="439">
        <v>0</v>
      </c>
      <c r="P37" s="439">
        <v>0</v>
      </c>
      <c r="Q37" s="439">
        <v>0</v>
      </c>
      <c r="R37" s="439">
        <v>0</v>
      </c>
      <c r="S37" s="439">
        <v>0</v>
      </c>
      <c r="T37" s="439">
        <v>0</v>
      </c>
      <c r="U37" s="439">
        <v>0</v>
      </c>
      <c r="V37" s="439">
        <v>270000</v>
      </c>
      <c r="W37" s="439">
        <v>0</v>
      </c>
      <c r="X37" s="439">
        <v>0</v>
      </c>
      <c r="Y37" s="439">
        <v>0</v>
      </c>
      <c r="Z37" s="439">
        <v>0</v>
      </c>
      <c r="AA37" s="439">
        <v>0</v>
      </c>
      <c r="AB37" s="439">
        <v>0</v>
      </c>
      <c r="AC37" s="439">
        <v>0</v>
      </c>
      <c r="AD37" s="439">
        <v>0</v>
      </c>
      <c r="AE37" s="439">
        <v>0</v>
      </c>
      <c r="AF37" s="439">
        <v>0</v>
      </c>
      <c r="AG37" s="439">
        <v>0</v>
      </c>
      <c r="AH37" s="439">
        <v>270000</v>
      </c>
      <c r="AI37" s="439">
        <v>0</v>
      </c>
      <c r="AJ37" s="439">
        <v>0</v>
      </c>
      <c r="AK37" s="439">
        <v>0</v>
      </c>
      <c r="AL37" s="439">
        <v>0</v>
      </c>
      <c r="AM37" s="439">
        <v>0</v>
      </c>
      <c r="AN37" s="439">
        <v>0</v>
      </c>
      <c r="AO37" s="439">
        <v>0</v>
      </c>
      <c r="AP37" s="439">
        <v>0</v>
      </c>
      <c r="AQ37" s="439">
        <v>0</v>
      </c>
      <c r="AR37" s="439">
        <v>0</v>
      </c>
      <c r="AS37" s="439">
        <v>0</v>
      </c>
      <c r="AT37" s="439">
        <v>270000</v>
      </c>
      <c r="AU37" s="439">
        <v>0</v>
      </c>
      <c r="AV37" s="439">
        <v>0</v>
      </c>
      <c r="AW37" s="439">
        <v>0</v>
      </c>
      <c r="AX37" s="439">
        <v>0</v>
      </c>
      <c r="AY37" s="439">
        <v>0</v>
      </c>
      <c r="AZ37" s="439">
        <v>0</v>
      </c>
      <c r="BA37" s="439">
        <v>0</v>
      </c>
      <c r="BB37" s="439">
        <v>0</v>
      </c>
      <c r="BC37" s="439">
        <v>0</v>
      </c>
      <c r="BD37" s="439">
        <v>0</v>
      </c>
      <c r="BE37" s="439">
        <v>0</v>
      </c>
      <c r="BF37" s="439">
        <v>270000</v>
      </c>
      <c r="BG37" s="439">
        <v>0</v>
      </c>
      <c r="BH37" s="439">
        <v>0</v>
      </c>
      <c r="BI37" s="439">
        <v>0</v>
      </c>
      <c r="BJ37" s="439">
        <v>0</v>
      </c>
      <c r="BK37" s="439">
        <v>0</v>
      </c>
      <c r="BL37" s="439">
        <v>0</v>
      </c>
      <c r="BM37" s="439">
        <v>0</v>
      </c>
      <c r="BN37" s="439">
        <v>0</v>
      </c>
      <c r="BO37" s="439">
        <v>0</v>
      </c>
      <c r="BP37" s="439">
        <v>0</v>
      </c>
      <c r="BQ37" s="439">
        <v>0</v>
      </c>
      <c r="BR37" s="439">
        <v>270000</v>
      </c>
      <c r="BS37" s="439">
        <v>0</v>
      </c>
      <c r="BT37" s="439">
        <v>0</v>
      </c>
      <c r="BU37" s="439">
        <v>0</v>
      </c>
      <c r="BV37" s="439">
        <v>0</v>
      </c>
      <c r="BW37" s="439">
        <v>0</v>
      </c>
      <c r="BX37" s="439">
        <v>0</v>
      </c>
      <c r="BY37" s="439">
        <v>0</v>
      </c>
      <c r="BZ37" s="439">
        <v>0</v>
      </c>
      <c r="CA37" s="439">
        <v>0</v>
      </c>
      <c r="CB37" s="439">
        <v>0</v>
      </c>
      <c r="CC37" s="439">
        <v>0</v>
      </c>
      <c r="CD37" s="439">
        <v>270000</v>
      </c>
      <c r="CE37" s="439">
        <v>0</v>
      </c>
      <c r="CF37" s="439">
        <v>0</v>
      </c>
      <c r="CG37" s="439">
        <v>0</v>
      </c>
      <c r="CH37" s="439">
        <v>0</v>
      </c>
      <c r="CI37" s="439">
        <v>0</v>
      </c>
      <c r="CJ37" s="439">
        <v>0</v>
      </c>
      <c r="CK37" s="439">
        <v>0</v>
      </c>
      <c r="CL37" s="439">
        <v>0</v>
      </c>
      <c r="CM37" s="439">
        <v>0</v>
      </c>
      <c r="CN37" s="439">
        <v>0</v>
      </c>
      <c r="CO37" s="439">
        <v>0</v>
      </c>
      <c r="CP37" s="439">
        <v>270000</v>
      </c>
      <c r="CQ37" s="439">
        <v>0</v>
      </c>
      <c r="CR37" s="439">
        <v>0</v>
      </c>
      <c r="CS37" s="439">
        <v>0</v>
      </c>
      <c r="CT37" s="439">
        <v>0</v>
      </c>
      <c r="CU37" s="439">
        <v>0</v>
      </c>
      <c r="CV37" s="439">
        <v>0</v>
      </c>
      <c r="CW37" s="439">
        <v>0</v>
      </c>
      <c r="CX37" s="439">
        <v>0</v>
      </c>
      <c r="CY37" s="439">
        <v>0</v>
      </c>
    </row>
    <row r="38" spans="1:103" ht="11.25" customHeight="1">
      <c r="A38" s="310" t="s">
        <v>657</v>
      </c>
      <c r="B38" s="439">
        <v>0</v>
      </c>
      <c r="C38" s="439">
        <v>0</v>
      </c>
      <c r="D38" s="439">
        <v>25000</v>
      </c>
      <c r="E38" s="439">
        <v>0</v>
      </c>
      <c r="F38" s="439">
        <v>0</v>
      </c>
      <c r="G38" s="439">
        <v>25000</v>
      </c>
      <c r="H38" s="439">
        <v>1100000</v>
      </c>
      <c r="I38" s="439">
        <v>0</v>
      </c>
      <c r="J38" s="439">
        <v>0</v>
      </c>
      <c r="K38" s="439">
        <v>0</v>
      </c>
      <c r="L38" s="439">
        <v>0</v>
      </c>
      <c r="M38" s="439">
        <v>100000</v>
      </c>
      <c r="N38" s="439">
        <v>0</v>
      </c>
      <c r="O38" s="439">
        <v>0</v>
      </c>
      <c r="P38" s="439">
        <v>25000</v>
      </c>
      <c r="Q38" s="439">
        <v>0</v>
      </c>
      <c r="R38" s="439">
        <v>0</v>
      </c>
      <c r="S38" s="439">
        <v>25000</v>
      </c>
      <c r="T38" s="439">
        <v>1144000</v>
      </c>
      <c r="U38" s="439">
        <v>0</v>
      </c>
      <c r="V38" s="439">
        <v>0</v>
      </c>
      <c r="W38" s="439">
        <v>0</v>
      </c>
      <c r="X38" s="439">
        <v>0</v>
      </c>
      <c r="Y38" s="439">
        <v>100000</v>
      </c>
      <c r="Z38" s="439">
        <v>0</v>
      </c>
      <c r="AA38" s="439">
        <v>0</v>
      </c>
      <c r="AB38" s="439">
        <v>25000</v>
      </c>
      <c r="AC38" s="439">
        <v>0</v>
      </c>
      <c r="AD38" s="439">
        <v>0</v>
      </c>
      <c r="AE38" s="439">
        <v>25000</v>
      </c>
      <c r="AF38" s="439">
        <v>1189760</v>
      </c>
      <c r="AG38" s="439">
        <v>0</v>
      </c>
      <c r="AH38" s="439">
        <v>0</v>
      </c>
      <c r="AI38" s="439">
        <v>0</v>
      </c>
      <c r="AJ38" s="439">
        <v>0</v>
      </c>
      <c r="AK38" s="439">
        <v>100000</v>
      </c>
      <c r="AL38" s="439">
        <v>0</v>
      </c>
      <c r="AM38" s="439">
        <v>0</v>
      </c>
      <c r="AN38" s="439">
        <v>25000</v>
      </c>
      <c r="AO38" s="439">
        <v>0</v>
      </c>
      <c r="AP38" s="439">
        <v>0</v>
      </c>
      <c r="AQ38" s="439">
        <v>25000</v>
      </c>
      <c r="AR38" s="439">
        <v>1237350.4000000001</v>
      </c>
      <c r="AS38" s="439">
        <v>0</v>
      </c>
      <c r="AT38" s="439">
        <v>0</v>
      </c>
      <c r="AU38" s="439">
        <v>0</v>
      </c>
      <c r="AV38" s="439">
        <v>0</v>
      </c>
      <c r="AW38" s="439">
        <v>100000</v>
      </c>
      <c r="AX38" s="439">
        <v>0</v>
      </c>
      <c r="AY38" s="439">
        <v>0</v>
      </c>
      <c r="AZ38" s="439">
        <v>25000</v>
      </c>
      <c r="BA38" s="439">
        <v>0</v>
      </c>
      <c r="BB38" s="439">
        <v>0</v>
      </c>
      <c r="BC38" s="439">
        <v>25000</v>
      </c>
      <c r="BD38" s="439">
        <v>1286844.4160000002</v>
      </c>
      <c r="BE38" s="439">
        <v>0</v>
      </c>
      <c r="BF38" s="439">
        <v>0</v>
      </c>
      <c r="BG38" s="439">
        <v>0</v>
      </c>
      <c r="BH38" s="439">
        <v>0</v>
      </c>
      <c r="BI38" s="439">
        <v>100000</v>
      </c>
      <c r="BJ38" s="439">
        <v>0</v>
      </c>
      <c r="BK38" s="439">
        <v>0</v>
      </c>
      <c r="BL38" s="439">
        <v>25000</v>
      </c>
      <c r="BM38" s="439">
        <v>0</v>
      </c>
      <c r="BN38" s="439">
        <v>0</v>
      </c>
      <c r="BO38" s="439">
        <v>25000</v>
      </c>
      <c r="BP38" s="439">
        <v>1338318.1926400003</v>
      </c>
      <c r="BQ38" s="439">
        <v>0</v>
      </c>
      <c r="BR38" s="439">
        <v>0</v>
      </c>
      <c r="BS38" s="439">
        <v>0</v>
      </c>
      <c r="BT38" s="439">
        <v>0</v>
      </c>
      <c r="BU38" s="439">
        <v>100000</v>
      </c>
      <c r="BV38" s="439">
        <v>0</v>
      </c>
      <c r="BW38" s="439">
        <v>0</v>
      </c>
      <c r="BX38" s="439">
        <v>25000</v>
      </c>
      <c r="BY38" s="439">
        <v>0</v>
      </c>
      <c r="BZ38" s="439">
        <v>0</v>
      </c>
      <c r="CA38" s="439">
        <v>25000</v>
      </c>
      <c r="CB38" s="439">
        <v>1391850.9203456002</v>
      </c>
      <c r="CC38" s="439">
        <v>0</v>
      </c>
      <c r="CD38" s="439">
        <v>0</v>
      </c>
      <c r="CE38" s="439">
        <v>0</v>
      </c>
      <c r="CF38" s="439">
        <v>0</v>
      </c>
      <c r="CG38" s="439">
        <v>100000</v>
      </c>
      <c r="CH38" s="439">
        <v>0</v>
      </c>
      <c r="CI38" s="439">
        <v>0</v>
      </c>
      <c r="CJ38" s="439">
        <v>25000</v>
      </c>
      <c r="CK38" s="439">
        <v>0</v>
      </c>
      <c r="CL38" s="439">
        <v>0</v>
      </c>
      <c r="CM38" s="439">
        <v>25000</v>
      </c>
      <c r="CN38" s="439">
        <v>1447524.9571594242</v>
      </c>
      <c r="CO38" s="439">
        <v>0</v>
      </c>
      <c r="CP38" s="439">
        <v>0</v>
      </c>
      <c r="CQ38" s="439">
        <v>0</v>
      </c>
      <c r="CR38" s="439">
        <v>0</v>
      </c>
      <c r="CS38" s="439">
        <v>100000</v>
      </c>
      <c r="CT38" s="439">
        <v>0</v>
      </c>
      <c r="CU38" s="439">
        <v>0</v>
      </c>
      <c r="CV38" s="439">
        <v>25000</v>
      </c>
      <c r="CW38" s="439">
        <v>0</v>
      </c>
      <c r="CX38" s="439">
        <v>0</v>
      </c>
      <c r="CY38" s="439">
        <v>25000</v>
      </c>
    </row>
    <row r="39" spans="1:103" ht="12" customHeight="1">
      <c r="A39" s="458" t="s">
        <v>658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4000000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39">
        <v>0</v>
      </c>
      <c r="R39" s="439">
        <v>0</v>
      </c>
      <c r="S39" s="439">
        <v>0</v>
      </c>
      <c r="T39" s="439">
        <v>0</v>
      </c>
      <c r="U39" s="439">
        <v>0</v>
      </c>
      <c r="V39" s="439">
        <v>3000000</v>
      </c>
      <c r="W39" s="439">
        <v>0</v>
      </c>
      <c r="X39" s="439">
        <v>0</v>
      </c>
      <c r="Y39" s="439">
        <v>0</v>
      </c>
      <c r="Z39" s="439">
        <v>0</v>
      </c>
      <c r="AA39" s="439">
        <v>0</v>
      </c>
      <c r="AB39" s="439">
        <v>0</v>
      </c>
      <c r="AC39" s="439">
        <v>0</v>
      </c>
      <c r="AD39" s="439">
        <v>0</v>
      </c>
      <c r="AE39" s="439">
        <v>0</v>
      </c>
      <c r="AF39" s="439">
        <v>0</v>
      </c>
      <c r="AG39" s="439">
        <v>0</v>
      </c>
      <c r="AH39" s="439">
        <v>3000000</v>
      </c>
      <c r="AI39" s="439">
        <v>0</v>
      </c>
      <c r="AJ39" s="439">
        <v>0</v>
      </c>
      <c r="AK39" s="439">
        <v>0</v>
      </c>
      <c r="AL39" s="439">
        <v>0</v>
      </c>
      <c r="AM39" s="439">
        <v>0</v>
      </c>
      <c r="AN39" s="439">
        <v>0</v>
      </c>
      <c r="AO39" s="439">
        <v>0</v>
      </c>
      <c r="AP39" s="439">
        <v>0</v>
      </c>
      <c r="AQ39" s="439">
        <v>0</v>
      </c>
      <c r="AR39" s="439">
        <v>0</v>
      </c>
      <c r="AS39" s="439">
        <v>0</v>
      </c>
      <c r="AT39" s="439">
        <v>3000000</v>
      </c>
      <c r="AU39" s="439">
        <v>0</v>
      </c>
      <c r="AV39" s="439">
        <v>0</v>
      </c>
      <c r="AW39" s="439">
        <v>0</v>
      </c>
      <c r="AX39" s="439">
        <v>0</v>
      </c>
      <c r="AY39" s="439">
        <v>0</v>
      </c>
      <c r="AZ39" s="439">
        <v>0</v>
      </c>
      <c r="BA39" s="439">
        <v>0</v>
      </c>
      <c r="BB39" s="439">
        <v>0</v>
      </c>
      <c r="BC39" s="439">
        <v>0</v>
      </c>
      <c r="BD39" s="439">
        <v>0</v>
      </c>
      <c r="BE39" s="439">
        <v>0</v>
      </c>
      <c r="BF39" s="439">
        <v>3000000</v>
      </c>
      <c r="BG39" s="439">
        <v>0</v>
      </c>
      <c r="BH39" s="439">
        <v>0</v>
      </c>
      <c r="BI39" s="439">
        <v>0</v>
      </c>
      <c r="BJ39" s="439">
        <v>0</v>
      </c>
      <c r="BK39" s="439">
        <v>0</v>
      </c>
      <c r="BL39" s="439">
        <v>0</v>
      </c>
      <c r="BM39" s="439">
        <v>0</v>
      </c>
      <c r="BN39" s="439">
        <v>0</v>
      </c>
      <c r="BO39" s="439">
        <v>0</v>
      </c>
      <c r="BP39" s="439">
        <v>0</v>
      </c>
      <c r="BQ39" s="439">
        <v>0</v>
      </c>
      <c r="BR39" s="439">
        <v>3000000</v>
      </c>
      <c r="BS39" s="439">
        <v>0</v>
      </c>
      <c r="BT39" s="439">
        <v>0</v>
      </c>
      <c r="BU39" s="439">
        <v>0</v>
      </c>
      <c r="BV39" s="439">
        <v>0</v>
      </c>
      <c r="BW39" s="439">
        <v>0</v>
      </c>
      <c r="BX39" s="439">
        <v>0</v>
      </c>
      <c r="BY39" s="439">
        <v>0</v>
      </c>
      <c r="BZ39" s="439">
        <v>0</v>
      </c>
      <c r="CA39" s="439">
        <v>0</v>
      </c>
      <c r="CB39" s="439">
        <v>0</v>
      </c>
      <c r="CC39" s="439">
        <v>0</v>
      </c>
      <c r="CD39" s="439">
        <v>3000000</v>
      </c>
      <c r="CE39" s="439">
        <v>0</v>
      </c>
      <c r="CF39" s="439">
        <v>0</v>
      </c>
      <c r="CG39" s="439">
        <v>0</v>
      </c>
      <c r="CH39" s="439">
        <v>0</v>
      </c>
      <c r="CI39" s="439">
        <v>0</v>
      </c>
      <c r="CJ39" s="439">
        <v>0</v>
      </c>
      <c r="CK39" s="439">
        <v>0</v>
      </c>
      <c r="CL39" s="439">
        <v>0</v>
      </c>
      <c r="CM39" s="439">
        <v>0</v>
      </c>
      <c r="CN39" s="439">
        <v>0</v>
      </c>
      <c r="CO39" s="439">
        <v>0</v>
      </c>
      <c r="CP39" s="439">
        <v>3000000</v>
      </c>
      <c r="CQ39" s="439">
        <v>0</v>
      </c>
      <c r="CR39" s="439">
        <v>0</v>
      </c>
      <c r="CS39" s="439">
        <v>0</v>
      </c>
      <c r="CT39" s="439">
        <v>0</v>
      </c>
      <c r="CU39" s="439">
        <v>0</v>
      </c>
      <c r="CV39" s="439">
        <v>0</v>
      </c>
      <c r="CW39" s="439">
        <v>0</v>
      </c>
      <c r="CX39" s="439">
        <v>0</v>
      </c>
      <c r="CY39" s="439">
        <v>0</v>
      </c>
    </row>
    <row r="40" spans="1:103" ht="12" customHeight="1">
      <c r="A40" s="458" t="s">
        <v>659</v>
      </c>
      <c r="B40" s="439">
        <v>0</v>
      </c>
      <c r="C40" s="439">
        <v>0</v>
      </c>
      <c r="D40" s="439">
        <v>0</v>
      </c>
      <c r="E40" s="439">
        <v>0</v>
      </c>
      <c r="F40" s="439">
        <v>0</v>
      </c>
      <c r="G40" s="439">
        <v>0</v>
      </c>
      <c r="H40" s="439">
        <v>0</v>
      </c>
      <c r="I40" s="439">
        <v>0</v>
      </c>
      <c r="J40" s="439">
        <v>0</v>
      </c>
      <c r="K40" s="439">
        <v>0</v>
      </c>
      <c r="L40" s="439">
        <v>0</v>
      </c>
      <c r="M40" s="439">
        <v>0</v>
      </c>
      <c r="N40" s="439">
        <v>0</v>
      </c>
      <c r="O40" s="439">
        <v>0</v>
      </c>
      <c r="P40" s="439">
        <v>0</v>
      </c>
      <c r="Q40" s="439">
        <v>0</v>
      </c>
      <c r="R40" s="439">
        <v>0</v>
      </c>
      <c r="S40" s="439">
        <v>0</v>
      </c>
      <c r="T40" s="439">
        <v>0</v>
      </c>
      <c r="U40" s="439">
        <v>0</v>
      </c>
      <c r="V40" s="439">
        <v>0</v>
      </c>
      <c r="W40" s="439">
        <v>0</v>
      </c>
      <c r="X40" s="439">
        <v>0</v>
      </c>
      <c r="Y40" s="439">
        <v>0</v>
      </c>
      <c r="Z40" s="439">
        <v>0</v>
      </c>
      <c r="AA40" s="439">
        <v>0</v>
      </c>
      <c r="AB40" s="439">
        <v>0</v>
      </c>
      <c r="AC40" s="439">
        <v>0</v>
      </c>
      <c r="AD40" s="439">
        <v>0</v>
      </c>
      <c r="AE40" s="439">
        <v>0</v>
      </c>
      <c r="AF40" s="439">
        <v>0</v>
      </c>
      <c r="AG40" s="439">
        <v>0</v>
      </c>
      <c r="AH40" s="439">
        <v>0</v>
      </c>
      <c r="AI40" s="439">
        <v>0</v>
      </c>
      <c r="AJ40" s="439">
        <v>0</v>
      </c>
      <c r="AK40" s="439">
        <v>0</v>
      </c>
      <c r="AL40" s="439">
        <v>0</v>
      </c>
      <c r="AM40" s="439">
        <v>0</v>
      </c>
      <c r="AN40" s="439">
        <v>0</v>
      </c>
      <c r="AO40" s="439">
        <v>0</v>
      </c>
      <c r="AP40" s="439">
        <v>0</v>
      </c>
      <c r="AQ40" s="439">
        <v>0</v>
      </c>
      <c r="AR40" s="439">
        <v>0</v>
      </c>
      <c r="AS40" s="439">
        <v>0</v>
      </c>
      <c r="AT40" s="439">
        <v>0</v>
      </c>
      <c r="AU40" s="439">
        <v>0</v>
      </c>
      <c r="AV40" s="439">
        <v>0</v>
      </c>
      <c r="AW40" s="439">
        <v>0</v>
      </c>
      <c r="AX40" s="439">
        <v>0</v>
      </c>
      <c r="AY40" s="439">
        <v>0</v>
      </c>
      <c r="AZ40" s="439">
        <v>0</v>
      </c>
      <c r="BA40" s="439">
        <v>0</v>
      </c>
      <c r="BB40" s="439">
        <v>0</v>
      </c>
      <c r="BC40" s="439">
        <v>0</v>
      </c>
      <c r="BD40" s="439">
        <v>0</v>
      </c>
      <c r="BE40" s="439">
        <v>0</v>
      </c>
      <c r="BF40" s="439">
        <v>0</v>
      </c>
      <c r="BG40" s="439">
        <v>0</v>
      </c>
      <c r="BH40" s="439">
        <v>0</v>
      </c>
      <c r="BI40" s="439">
        <v>0</v>
      </c>
      <c r="BJ40" s="439">
        <v>0</v>
      </c>
      <c r="BK40" s="439">
        <v>0</v>
      </c>
      <c r="BL40" s="439">
        <v>0</v>
      </c>
      <c r="BM40" s="439">
        <v>0</v>
      </c>
      <c r="BN40" s="439">
        <v>0</v>
      </c>
      <c r="BO40" s="439">
        <v>0</v>
      </c>
      <c r="BP40" s="439">
        <v>0</v>
      </c>
      <c r="BQ40" s="439">
        <v>0</v>
      </c>
      <c r="BR40" s="439">
        <v>0</v>
      </c>
      <c r="BS40" s="439">
        <v>0</v>
      </c>
      <c r="BT40" s="439">
        <v>0</v>
      </c>
      <c r="BU40" s="439">
        <v>0</v>
      </c>
      <c r="BV40" s="439">
        <v>0</v>
      </c>
      <c r="BW40" s="439">
        <v>0</v>
      </c>
      <c r="BX40" s="439">
        <v>0</v>
      </c>
      <c r="BY40" s="439">
        <v>0</v>
      </c>
      <c r="BZ40" s="439">
        <v>0</v>
      </c>
      <c r="CA40" s="439">
        <v>0</v>
      </c>
      <c r="CB40" s="439">
        <v>0</v>
      </c>
      <c r="CC40" s="439">
        <v>0</v>
      </c>
      <c r="CD40" s="439">
        <v>0</v>
      </c>
      <c r="CE40" s="439">
        <v>0</v>
      </c>
      <c r="CF40" s="439">
        <v>0</v>
      </c>
      <c r="CG40" s="439">
        <v>0</v>
      </c>
      <c r="CH40" s="439">
        <v>0</v>
      </c>
      <c r="CI40" s="439">
        <v>0</v>
      </c>
      <c r="CJ40" s="439">
        <v>0</v>
      </c>
      <c r="CK40" s="439">
        <v>0</v>
      </c>
      <c r="CL40" s="439">
        <v>0</v>
      </c>
      <c r="CM40" s="439">
        <v>0</v>
      </c>
      <c r="CN40" s="439">
        <v>0</v>
      </c>
      <c r="CO40" s="439">
        <v>0</v>
      </c>
      <c r="CP40" s="439">
        <v>0</v>
      </c>
      <c r="CQ40" s="439">
        <v>0</v>
      </c>
      <c r="CR40" s="439">
        <v>0</v>
      </c>
      <c r="CS40" s="439">
        <v>0</v>
      </c>
      <c r="CT40" s="439">
        <v>0</v>
      </c>
      <c r="CU40" s="439">
        <v>0</v>
      </c>
      <c r="CV40" s="439">
        <v>0</v>
      </c>
      <c r="CW40" s="439">
        <v>0</v>
      </c>
      <c r="CX40" s="439">
        <v>0</v>
      </c>
      <c r="CY40" s="439">
        <v>0</v>
      </c>
    </row>
    <row r="41" spans="1:103" ht="12" customHeight="1">
      <c r="A41" s="458" t="s">
        <v>660</v>
      </c>
      <c r="B41" s="439">
        <v>0</v>
      </c>
      <c r="C41" s="439">
        <v>0</v>
      </c>
      <c r="D41" s="439">
        <v>0</v>
      </c>
      <c r="E41" s="439">
        <v>0</v>
      </c>
      <c r="F41" s="439">
        <v>0</v>
      </c>
      <c r="G41" s="439">
        <v>624000</v>
      </c>
      <c r="H41" s="439">
        <v>0</v>
      </c>
      <c r="I41" s="439">
        <v>0</v>
      </c>
      <c r="J41" s="439">
        <v>0</v>
      </c>
      <c r="K41" s="439">
        <v>0</v>
      </c>
      <c r="L41" s="439">
        <v>0</v>
      </c>
      <c r="M41" s="439">
        <v>0</v>
      </c>
      <c r="N41" s="439">
        <v>0</v>
      </c>
      <c r="O41" s="439">
        <v>0</v>
      </c>
      <c r="P41" s="439">
        <v>0</v>
      </c>
      <c r="Q41" s="439">
        <v>0</v>
      </c>
      <c r="R41" s="439">
        <v>0</v>
      </c>
      <c r="S41" s="439">
        <v>648960</v>
      </c>
      <c r="T41" s="439">
        <v>0</v>
      </c>
      <c r="U41" s="439">
        <v>0</v>
      </c>
      <c r="V41" s="439">
        <v>0</v>
      </c>
      <c r="W41" s="439">
        <v>0</v>
      </c>
      <c r="X41" s="439">
        <v>0</v>
      </c>
      <c r="Y41" s="439">
        <v>0</v>
      </c>
      <c r="Z41" s="439">
        <v>0</v>
      </c>
      <c r="AA41" s="439">
        <v>0</v>
      </c>
      <c r="AB41" s="439">
        <v>0</v>
      </c>
      <c r="AC41" s="439">
        <v>0</v>
      </c>
      <c r="AD41" s="439">
        <v>0</v>
      </c>
      <c r="AE41" s="439">
        <v>674918.40000000002</v>
      </c>
      <c r="AF41" s="439">
        <v>0</v>
      </c>
      <c r="AG41" s="439">
        <v>0</v>
      </c>
      <c r="AH41" s="439">
        <v>0</v>
      </c>
      <c r="AI41" s="439">
        <v>0</v>
      </c>
      <c r="AJ41" s="439">
        <v>0</v>
      </c>
      <c r="AK41" s="439">
        <v>0</v>
      </c>
      <c r="AL41" s="439">
        <v>0</v>
      </c>
      <c r="AM41" s="439">
        <v>0</v>
      </c>
      <c r="AN41" s="439">
        <v>0</v>
      </c>
      <c r="AO41" s="439">
        <v>0</v>
      </c>
      <c r="AP41" s="439">
        <v>0</v>
      </c>
      <c r="AQ41" s="439">
        <v>701915.13600000006</v>
      </c>
      <c r="AR41" s="439">
        <v>0</v>
      </c>
      <c r="AS41" s="439">
        <v>0</v>
      </c>
      <c r="AT41" s="439">
        <v>0</v>
      </c>
      <c r="AU41" s="439">
        <v>0</v>
      </c>
      <c r="AV41" s="439">
        <v>0</v>
      </c>
      <c r="AW41" s="439">
        <v>0</v>
      </c>
      <c r="AX41" s="439">
        <v>0</v>
      </c>
      <c r="AY41" s="439">
        <v>0</v>
      </c>
      <c r="AZ41" s="439">
        <v>0</v>
      </c>
      <c r="BA41" s="439">
        <v>0</v>
      </c>
      <c r="BB41" s="439">
        <v>0</v>
      </c>
      <c r="BC41" s="439">
        <v>729991.74144000013</v>
      </c>
      <c r="BD41" s="439">
        <v>0</v>
      </c>
      <c r="BE41" s="439">
        <v>0</v>
      </c>
      <c r="BF41" s="439">
        <v>0</v>
      </c>
      <c r="BG41" s="439">
        <v>0</v>
      </c>
      <c r="BH41" s="439">
        <v>0</v>
      </c>
      <c r="BI41" s="439">
        <v>0</v>
      </c>
      <c r="BJ41" s="439">
        <v>0</v>
      </c>
      <c r="BK41" s="439">
        <v>0</v>
      </c>
      <c r="BL41" s="439">
        <v>0</v>
      </c>
      <c r="BM41" s="439">
        <v>0</v>
      </c>
      <c r="BN41" s="439">
        <v>0</v>
      </c>
      <c r="BO41" s="439">
        <v>759191.41109760012</v>
      </c>
      <c r="BP41" s="439">
        <v>0</v>
      </c>
      <c r="BQ41" s="439">
        <v>0</v>
      </c>
      <c r="BR41" s="439">
        <v>0</v>
      </c>
      <c r="BS41" s="439">
        <v>0</v>
      </c>
      <c r="BT41" s="439">
        <v>0</v>
      </c>
      <c r="BU41" s="439">
        <v>0</v>
      </c>
      <c r="BV41" s="439">
        <v>0</v>
      </c>
      <c r="BW41" s="439">
        <v>0</v>
      </c>
      <c r="BX41" s="439">
        <v>0</v>
      </c>
      <c r="BY41" s="439">
        <v>0</v>
      </c>
      <c r="BZ41" s="439">
        <v>0</v>
      </c>
      <c r="CA41" s="439">
        <v>789559.06754150416</v>
      </c>
      <c r="CB41" s="439">
        <v>0</v>
      </c>
      <c r="CC41" s="439">
        <v>0</v>
      </c>
      <c r="CD41" s="439">
        <v>0</v>
      </c>
      <c r="CE41" s="439">
        <v>0</v>
      </c>
      <c r="CF41" s="439">
        <v>0</v>
      </c>
      <c r="CG41" s="439">
        <v>0</v>
      </c>
      <c r="CH41" s="439">
        <v>0</v>
      </c>
      <c r="CI41" s="439">
        <v>0</v>
      </c>
      <c r="CJ41" s="439">
        <v>0</v>
      </c>
      <c r="CK41" s="439">
        <v>0</v>
      </c>
      <c r="CL41" s="439">
        <v>0</v>
      </c>
      <c r="CM41" s="439">
        <v>821141.4302431643</v>
      </c>
      <c r="CN41" s="439">
        <v>0</v>
      </c>
      <c r="CO41" s="439">
        <v>0</v>
      </c>
      <c r="CP41" s="439">
        <v>0</v>
      </c>
      <c r="CQ41" s="439">
        <v>0</v>
      </c>
      <c r="CR41" s="439">
        <v>0</v>
      </c>
      <c r="CS41" s="439">
        <v>0</v>
      </c>
      <c r="CT41" s="439">
        <v>0</v>
      </c>
      <c r="CU41" s="439">
        <v>0</v>
      </c>
      <c r="CV41" s="439">
        <v>0</v>
      </c>
      <c r="CW41" s="439">
        <v>0</v>
      </c>
      <c r="CX41" s="439">
        <v>0</v>
      </c>
      <c r="CY41" s="439">
        <v>0</v>
      </c>
    </row>
    <row r="42" spans="1:103" ht="12" customHeight="1" thickBot="1">
      <c r="A42" s="345" t="s">
        <v>104</v>
      </c>
      <c r="B42" s="440">
        <f t="shared" ref="B42:BM42" si="0">SUM(B2:B41)</f>
        <v>4016960</v>
      </c>
      <c r="C42" s="440">
        <f t="shared" si="0"/>
        <v>4016960</v>
      </c>
      <c r="D42" s="440">
        <f t="shared" si="0"/>
        <v>4041960</v>
      </c>
      <c r="E42" s="440">
        <f t="shared" si="0"/>
        <v>3978460</v>
      </c>
      <c r="F42" s="440">
        <f t="shared" si="0"/>
        <v>3978460</v>
      </c>
      <c r="G42" s="440">
        <f t="shared" si="0"/>
        <v>4800560</v>
      </c>
      <c r="H42" s="440">
        <f t="shared" si="0"/>
        <v>5101560</v>
      </c>
      <c r="I42" s="440">
        <f t="shared" si="0"/>
        <v>4001560</v>
      </c>
      <c r="J42" s="440">
        <f t="shared" si="0"/>
        <v>8271560</v>
      </c>
      <c r="K42" s="440">
        <f t="shared" si="0"/>
        <v>3894440</v>
      </c>
      <c r="L42" s="440">
        <f t="shared" si="0"/>
        <v>3894440</v>
      </c>
      <c r="M42" s="440">
        <f t="shared" si="0"/>
        <v>3994440</v>
      </c>
      <c r="N42" s="440">
        <f t="shared" si="0"/>
        <v>3352418.7199999997</v>
      </c>
      <c r="O42" s="440">
        <f t="shared" si="0"/>
        <v>3352418.7199999997</v>
      </c>
      <c r="P42" s="440">
        <f t="shared" si="0"/>
        <v>3377418.7199999997</v>
      </c>
      <c r="Q42" s="440">
        <f t="shared" si="0"/>
        <v>3352418.7199999997</v>
      </c>
      <c r="R42" s="440">
        <f t="shared" si="0"/>
        <v>3352418.7199999997</v>
      </c>
      <c r="S42" s="440">
        <f t="shared" si="0"/>
        <v>4201788.72</v>
      </c>
      <c r="T42" s="440">
        <f t="shared" si="0"/>
        <v>4473156.72</v>
      </c>
      <c r="U42" s="440">
        <f t="shared" si="0"/>
        <v>3329156.7199999997</v>
      </c>
      <c r="V42" s="440">
        <f t="shared" si="0"/>
        <v>6599156.7199999997</v>
      </c>
      <c r="W42" s="440">
        <f t="shared" si="0"/>
        <v>3329156.7199999997</v>
      </c>
      <c r="X42" s="440">
        <f t="shared" si="0"/>
        <v>3329156.7199999997</v>
      </c>
      <c r="Y42" s="440">
        <f t="shared" si="0"/>
        <v>3429156.7199999997</v>
      </c>
      <c r="Z42" s="440">
        <f t="shared" si="0"/>
        <v>3474746.3008000012</v>
      </c>
      <c r="AA42" s="440">
        <f t="shared" si="0"/>
        <v>3474746.3008000012</v>
      </c>
      <c r="AB42" s="440">
        <f t="shared" si="0"/>
        <v>3499746.3008000012</v>
      </c>
      <c r="AC42" s="440">
        <f t="shared" si="0"/>
        <v>3474746.3008000012</v>
      </c>
      <c r="AD42" s="440">
        <f t="shared" si="0"/>
        <v>3474746.3008000012</v>
      </c>
      <c r="AE42" s="440">
        <f t="shared" si="0"/>
        <v>4352615.7008000016</v>
      </c>
      <c r="AF42" s="440">
        <f t="shared" si="0"/>
        <v>4692457.3008000012</v>
      </c>
      <c r="AG42" s="440">
        <f t="shared" si="0"/>
        <v>3502697.3008000012</v>
      </c>
      <c r="AH42" s="440">
        <f t="shared" si="0"/>
        <v>6772697.3008000012</v>
      </c>
      <c r="AI42" s="440">
        <f t="shared" si="0"/>
        <v>3502697.3008000012</v>
      </c>
      <c r="AJ42" s="440">
        <f t="shared" si="0"/>
        <v>3502697.3008000012</v>
      </c>
      <c r="AK42" s="440">
        <f t="shared" si="0"/>
        <v>3602697.3008000012</v>
      </c>
      <c r="AL42" s="440">
        <f t="shared" si="0"/>
        <v>3656470.836031999</v>
      </c>
      <c r="AM42" s="440">
        <f t="shared" si="0"/>
        <v>3656470.836031999</v>
      </c>
      <c r="AN42" s="440">
        <f t="shared" si="0"/>
        <v>3681470.836031999</v>
      </c>
      <c r="AO42" s="440">
        <f t="shared" si="0"/>
        <v>3656470.836031999</v>
      </c>
      <c r="AP42" s="440">
        <f t="shared" si="0"/>
        <v>3656470.836031999</v>
      </c>
      <c r="AQ42" s="440">
        <f t="shared" si="0"/>
        <v>4564132.0720319999</v>
      </c>
      <c r="AR42" s="440">
        <f t="shared" si="0"/>
        <v>4924567.3360319994</v>
      </c>
      <c r="AS42" s="440">
        <f t="shared" si="0"/>
        <v>3687216.9360319995</v>
      </c>
      <c r="AT42" s="440">
        <f t="shared" si="0"/>
        <v>6957216.9360319991</v>
      </c>
      <c r="AU42" s="440">
        <f t="shared" si="0"/>
        <v>3687216.9360319995</v>
      </c>
      <c r="AV42" s="440">
        <f t="shared" si="0"/>
        <v>3687216.9360319995</v>
      </c>
      <c r="AW42" s="440">
        <f t="shared" si="0"/>
        <v>3787216.9360319995</v>
      </c>
      <c r="AX42" s="440">
        <f t="shared" si="0"/>
        <v>3849737.8209932805</v>
      </c>
      <c r="AY42" s="440">
        <f t="shared" si="0"/>
        <v>3849737.8209932805</v>
      </c>
      <c r="AZ42" s="440">
        <f t="shared" si="0"/>
        <v>3874737.8209932805</v>
      </c>
      <c r="BA42" s="440">
        <f t="shared" si="0"/>
        <v>3849737.8209932805</v>
      </c>
      <c r="BB42" s="440">
        <f t="shared" si="0"/>
        <v>3849737.8209932805</v>
      </c>
      <c r="BC42" s="440">
        <f t="shared" si="0"/>
        <v>4788550.2724332809</v>
      </c>
      <c r="BD42" s="440">
        <f t="shared" si="0"/>
        <v>5170402.9469932802</v>
      </c>
      <c r="BE42" s="440">
        <f t="shared" si="0"/>
        <v>3883558.5309932805</v>
      </c>
      <c r="BF42" s="440">
        <f t="shared" si="0"/>
        <v>7153558.5309932809</v>
      </c>
      <c r="BG42" s="440">
        <f t="shared" si="0"/>
        <v>3883558.5309932805</v>
      </c>
      <c r="BH42" s="440">
        <f t="shared" si="0"/>
        <v>3883558.5309932805</v>
      </c>
      <c r="BI42" s="440">
        <f t="shared" si="0"/>
        <v>3983558.5309932805</v>
      </c>
      <c r="BJ42" s="440">
        <f t="shared" si="0"/>
        <v>4055436.3005050132</v>
      </c>
      <c r="BK42" s="440">
        <f t="shared" si="0"/>
        <v>4055436.3005050132</v>
      </c>
      <c r="BL42" s="440">
        <f t="shared" si="0"/>
        <v>4080436.3005050132</v>
      </c>
      <c r="BM42" s="440">
        <f t="shared" si="0"/>
        <v>4055436.3005050132</v>
      </c>
      <c r="BN42" s="440">
        <f t="shared" ref="BN42:CY42" si="1">SUM(BN2:BN41)</f>
        <v>4055436.3005050132</v>
      </c>
      <c r="BO42" s="440">
        <f t="shared" si="1"/>
        <v>5026830.4926026138</v>
      </c>
      <c r="BP42" s="440">
        <f t="shared" si="1"/>
        <v>5430957.2741450137</v>
      </c>
      <c r="BQ42" s="440">
        <f t="shared" si="1"/>
        <v>4092639.0815050136</v>
      </c>
      <c r="BR42" s="440">
        <f t="shared" si="1"/>
        <v>7362639.0815050136</v>
      </c>
      <c r="BS42" s="440">
        <f t="shared" si="1"/>
        <v>4092639.0815050136</v>
      </c>
      <c r="BT42" s="440">
        <f t="shared" si="1"/>
        <v>4092639.0815050136</v>
      </c>
      <c r="BU42" s="440">
        <f t="shared" si="1"/>
        <v>4192639.0815050136</v>
      </c>
      <c r="BV42" s="440">
        <f t="shared" si="1"/>
        <v>4274533.6158644147</v>
      </c>
      <c r="BW42" s="440">
        <f t="shared" si="1"/>
        <v>4274533.6158644147</v>
      </c>
      <c r="BX42" s="440">
        <f t="shared" si="1"/>
        <v>4299533.6158644147</v>
      </c>
      <c r="BY42" s="440">
        <f t="shared" si="1"/>
        <v>4274533.6158644147</v>
      </c>
      <c r="BZ42" s="440">
        <f t="shared" si="1"/>
        <v>4274533.6158644147</v>
      </c>
      <c r="CA42" s="440">
        <f t="shared" si="1"/>
        <v>5280015.7425059192</v>
      </c>
      <c r="CB42" s="440">
        <f t="shared" si="1"/>
        <v>5707307.5953100156</v>
      </c>
      <c r="CC42" s="440">
        <f t="shared" si="1"/>
        <v>4315456.6749644149</v>
      </c>
      <c r="CD42" s="440">
        <f t="shared" si="1"/>
        <v>7585456.6749644149</v>
      </c>
      <c r="CE42" s="440">
        <f t="shared" si="1"/>
        <v>4315456.6749644149</v>
      </c>
      <c r="CF42" s="440">
        <f t="shared" si="1"/>
        <v>4315456.6749644149</v>
      </c>
      <c r="CG42" s="440">
        <f t="shared" si="1"/>
        <v>4415456.6749644149</v>
      </c>
      <c r="CH42" s="440">
        <f t="shared" si="1"/>
        <v>4508082.8101721099</v>
      </c>
      <c r="CI42" s="440">
        <f t="shared" si="1"/>
        <v>4508082.8101721099</v>
      </c>
      <c r="CJ42" s="440">
        <f t="shared" si="1"/>
        <v>4533082.8101721099</v>
      </c>
      <c r="CK42" s="440">
        <f t="shared" si="1"/>
        <v>4508082.8101721099</v>
      </c>
      <c r="CL42" s="440">
        <f t="shared" si="1"/>
        <v>4508082.8101721099</v>
      </c>
      <c r="CM42" s="440">
        <f t="shared" si="1"/>
        <v>5549239.6054252759</v>
      </c>
      <c r="CN42" s="440">
        <f t="shared" si="1"/>
        <v>6000623.1323415358</v>
      </c>
      <c r="CO42" s="440">
        <f t="shared" si="1"/>
        <v>4553098.1751821116</v>
      </c>
      <c r="CP42" s="440">
        <f t="shared" si="1"/>
        <v>7823098.1751821116</v>
      </c>
      <c r="CQ42" s="440">
        <f t="shared" si="1"/>
        <v>4553098.1751821116</v>
      </c>
      <c r="CR42" s="440">
        <f t="shared" si="1"/>
        <v>4553098.1751821116</v>
      </c>
      <c r="CS42" s="440">
        <f t="shared" si="1"/>
        <v>4653098.1751821116</v>
      </c>
      <c r="CT42" s="440">
        <f t="shared" si="1"/>
        <v>4757230.7572194282</v>
      </c>
      <c r="CU42" s="440">
        <f t="shared" si="1"/>
        <v>4757230.7572194282</v>
      </c>
      <c r="CV42" s="440">
        <f t="shared" si="1"/>
        <v>4782230.7572194282</v>
      </c>
      <c r="CW42" s="440">
        <f t="shared" si="1"/>
        <v>4757230.7572194282</v>
      </c>
      <c r="CX42" s="440">
        <f t="shared" si="1"/>
        <v>4757230.7572194282</v>
      </c>
      <c r="CY42" s="440">
        <f t="shared" si="1"/>
        <v>4981747.6587304277</v>
      </c>
    </row>
    <row r="43" spans="1:103" ht="12" customHeight="1" thickTop="1">
      <c r="A43" s="459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3"/>
      <c r="AA43" s="443"/>
      <c r="AB43" s="443"/>
      <c r="AC43" s="443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  <c r="BM43" s="443"/>
      <c r="BN43" s="443"/>
      <c r="BO43" s="443"/>
      <c r="BP43" s="443"/>
      <c r="BQ43" s="443"/>
      <c r="BR43" s="443"/>
      <c r="BS43" s="443"/>
      <c r="BT43" s="443"/>
      <c r="BU43" s="443"/>
      <c r="BV43" s="443"/>
      <c r="BW43" s="443"/>
      <c r="BX43" s="443"/>
      <c r="BY43" s="443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443"/>
      <c r="CX43" s="443"/>
      <c r="CY43" s="443"/>
    </row>
    <row r="44" spans="1:103" ht="12" customHeight="1">
      <c r="C44" s="376"/>
    </row>
  </sheetData>
  <autoFilter ref="A1:CY42"/>
  <pageMargins left="0.41" right="0.24" top="0.19" bottom="0.17" header="0.17" footer="0.21"/>
  <pageSetup scale="1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88"/>
  <sheetViews>
    <sheetView workbookViewId="0">
      <pane xSplit="2" ySplit="2" topLeftCell="C3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1" width="56.7109375" style="319" bestFit="1" customWidth="1"/>
    <col min="2" max="2" width="14.42578125" style="319" bestFit="1" customWidth="1"/>
    <col min="3" max="3" width="36" style="319" customWidth="1"/>
    <col min="4" max="7" width="12.85546875" style="319" hidden="1" customWidth="1"/>
    <col min="8" max="8" width="12.7109375" style="319" hidden="1" customWidth="1"/>
    <col min="9" max="9" width="13.42578125" style="319" hidden="1" customWidth="1"/>
    <col min="10" max="10" width="12.7109375" style="319" hidden="1" customWidth="1"/>
    <col min="11" max="11" width="13.42578125" style="319" hidden="1" customWidth="1"/>
    <col min="12" max="12" width="12.7109375" style="319" hidden="1" customWidth="1"/>
    <col min="13" max="13" width="13.42578125" style="319" hidden="1" customWidth="1"/>
    <col min="14" max="14" width="12.7109375" style="319" hidden="1" customWidth="1"/>
    <col min="15" max="15" width="13.42578125" style="319" hidden="1" customWidth="1"/>
    <col min="16" max="16" width="12.7109375" style="319" hidden="1" customWidth="1"/>
    <col min="17" max="17" width="13.42578125" style="319" hidden="1" customWidth="1"/>
    <col min="18" max="18" width="12.7109375" style="319" hidden="1" customWidth="1"/>
    <col min="19" max="19" width="13.42578125" style="319" hidden="1" customWidth="1"/>
    <col min="20" max="20" width="12.7109375" style="319" hidden="1" customWidth="1"/>
    <col min="21" max="21" width="13.42578125" style="319" hidden="1" customWidth="1"/>
    <col min="22" max="22" width="12.7109375" style="319" hidden="1" customWidth="1"/>
    <col min="23" max="23" width="13.42578125" style="319" hidden="1" customWidth="1"/>
    <col min="24" max="24" width="12.7109375" style="319" hidden="1" customWidth="1"/>
    <col min="25" max="25" width="13.42578125" style="319" hidden="1" customWidth="1"/>
    <col min="26" max="26" width="12.7109375" style="319" bestFit="1" customWidth="1"/>
    <col min="27" max="27" width="13.42578125" style="319" bestFit="1" customWidth="1"/>
    <col min="28" max="28" width="12.7109375" style="319" bestFit="1" customWidth="1"/>
    <col min="29" max="29" width="13.42578125" style="319" bestFit="1" customWidth="1"/>
    <col min="30" max="30" width="12.7109375" style="319" bestFit="1" customWidth="1"/>
    <col min="31" max="31" width="13.42578125" style="319" bestFit="1" customWidth="1"/>
    <col min="32" max="32" width="12.7109375" style="319" bestFit="1" customWidth="1"/>
    <col min="33" max="33" width="13.42578125" style="319" bestFit="1" customWidth="1"/>
    <col min="34" max="34" width="12.7109375" style="319" bestFit="1" customWidth="1"/>
    <col min="35" max="35" width="13.42578125" style="319" bestFit="1" customWidth="1"/>
    <col min="36" max="36" width="12.7109375" style="319" bestFit="1" customWidth="1"/>
    <col min="37" max="37" width="13.42578125" style="319" bestFit="1" customWidth="1"/>
    <col min="38" max="38" width="12.7109375" style="319" bestFit="1" customWidth="1"/>
    <col min="39" max="39" width="13.42578125" style="319" bestFit="1" customWidth="1"/>
    <col min="40" max="40" width="12.7109375" style="319" bestFit="1" customWidth="1"/>
    <col min="41" max="41" width="13.42578125" style="319" bestFit="1" customWidth="1"/>
    <col min="42" max="42" width="12.7109375" style="319" bestFit="1" customWidth="1"/>
    <col min="43" max="43" width="13.42578125" style="319" bestFit="1" customWidth="1"/>
    <col min="44" max="44" width="12.7109375" style="319" bestFit="1" customWidth="1"/>
    <col min="45" max="45" width="13.42578125" style="319" bestFit="1" customWidth="1"/>
    <col min="46" max="46" width="12.7109375" style="319" bestFit="1" customWidth="1"/>
    <col min="47" max="47" width="13.42578125" style="319" bestFit="1" customWidth="1"/>
    <col min="48" max="48" width="12.7109375" style="319" bestFit="1" customWidth="1"/>
    <col min="49" max="49" width="13.42578125" style="319" bestFit="1" customWidth="1"/>
    <col min="50" max="50" width="12.7109375" style="319" bestFit="1" customWidth="1"/>
    <col min="51" max="51" width="13.42578125" style="319" bestFit="1" customWidth="1"/>
    <col min="52" max="52" width="12.7109375" style="319" bestFit="1" customWidth="1"/>
    <col min="53" max="53" width="13.42578125" style="319" bestFit="1" customWidth="1"/>
    <col min="54" max="54" width="12.7109375" style="319" bestFit="1" customWidth="1"/>
    <col min="55" max="55" width="13.42578125" style="319" bestFit="1" customWidth="1"/>
    <col min="56" max="56" width="12.7109375" style="319" bestFit="1" customWidth="1"/>
    <col min="57" max="57" width="13.42578125" style="319" bestFit="1" customWidth="1"/>
    <col min="58" max="58" width="12.7109375" style="319" bestFit="1" customWidth="1"/>
    <col min="59" max="59" width="13.42578125" style="319" bestFit="1" customWidth="1"/>
    <col min="60" max="60" width="12.7109375" style="319" bestFit="1" customWidth="1"/>
    <col min="61" max="61" width="13.42578125" style="319" bestFit="1" customWidth="1"/>
    <col min="62" max="62" width="12.7109375" style="319" bestFit="1" customWidth="1"/>
    <col min="63" max="63" width="13.42578125" style="319" bestFit="1" customWidth="1"/>
    <col min="64" max="64" width="12.7109375" style="319" bestFit="1" customWidth="1"/>
    <col min="65" max="65" width="13.42578125" style="319" bestFit="1" customWidth="1"/>
    <col min="66" max="66" width="12.7109375" style="319" bestFit="1" customWidth="1"/>
    <col min="67" max="67" width="13.42578125" style="319" bestFit="1" customWidth="1"/>
    <col min="68" max="68" width="12.7109375" style="319" bestFit="1" customWidth="1"/>
    <col min="69" max="69" width="13.42578125" style="319" bestFit="1" customWidth="1"/>
    <col min="70" max="70" width="12.7109375" style="319" bestFit="1" customWidth="1"/>
    <col min="71" max="71" width="13.42578125" style="319" bestFit="1" customWidth="1"/>
    <col min="72" max="72" width="12.7109375" style="319" bestFit="1" customWidth="1"/>
    <col min="73" max="73" width="13.42578125" style="319" bestFit="1" customWidth="1"/>
    <col min="74" max="74" width="12.85546875" style="319" bestFit="1" customWidth="1"/>
    <col min="75" max="75" width="13.42578125" style="319" bestFit="1" customWidth="1"/>
    <col min="76" max="76" width="12.85546875" style="319" bestFit="1" customWidth="1"/>
    <col min="77" max="77" width="13.42578125" style="319" bestFit="1" customWidth="1"/>
    <col min="78" max="78" width="12.85546875" style="319" bestFit="1" customWidth="1"/>
    <col min="79" max="79" width="13.42578125" style="319" bestFit="1" customWidth="1"/>
    <col min="80" max="80" width="12.85546875" style="319" bestFit="1" customWidth="1"/>
    <col min="81" max="81" width="13.42578125" style="319" bestFit="1" customWidth="1"/>
    <col min="82" max="82" width="12.85546875" style="319" bestFit="1" customWidth="1"/>
    <col min="83" max="83" width="13.42578125" style="319" bestFit="1" customWidth="1"/>
    <col min="84" max="84" width="12.85546875" style="319" bestFit="1" customWidth="1"/>
    <col min="85" max="95" width="13.42578125" style="319" bestFit="1" customWidth="1"/>
    <col min="96" max="96" width="12.85546875" style="319" bestFit="1" customWidth="1"/>
    <col min="97" max="103" width="13.42578125" style="319" bestFit="1" customWidth="1"/>
    <col min="104" max="16384" width="7.7109375" style="319"/>
  </cols>
  <sheetData>
    <row r="1" spans="1:103">
      <c r="D1" s="337" t="s">
        <v>312</v>
      </c>
      <c r="E1" s="337" t="s">
        <v>312</v>
      </c>
      <c r="F1" s="337" t="s">
        <v>312</v>
      </c>
      <c r="G1" s="337" t="s">
        <v>312</v>
      </c>
      <c r="H1" s="337" t="s">
        <v>312</v>
      </c>
      <c r="I1" s="337" t="s">
        <v>312</v>
      </c>
      <c r="J1" s="337" t="s">
        <v>312</v>
      </c>
      <c r="K1" s="337" t="s">
        <v>312</v>
      </c>
      <c r="L1" s="337" t="s">
        <v>312</v>
      </c>
      <c r="M1" s="337" t="s">
        <v>312</v>
      </c>
      <c r="N1" s="337" t="s">
        <v>313</v>
      </c>
      <c r="O1" s="337" t="s">
        <v>313</v>
      </c>
      <c r="P1" s="337" t="s">
        <v>313</v>
      </c>
      <c r="Q1" s="337" t="s">
        <v>313</v>
      </c>
      <c r="R1" s="337" t="s">
        <v>313</v>
      </c>
      <c r="S1" s="337" t="s">
        <v>313</v>
      </c>
      <c r="T1" s="337" t="s">
        <v>313</v>
      </c>
      <c r="U1" s="337" t="s">
        <v>313</v>
      </c>
      <c r="V1" s="337" t="s">
        <v>313</v>
      </c>
      <c r="W1" s="337" t="s">
        <v>313</v>
      </c>
      <c r="X1" s="337" t="s">
        <v>313</v>
      </c>
      <c r="Y1" s="337" t="s">
        <v>313</v>
      </c>
      <c r="Z1" s="337" t="s">
        <v>314</v>
      </c>
      <c r="AA1" s="337" t="s">
        <v>314</v>
      </c>
      <c r="AB1" s="337" t="s">
        <v>314</v>
      </c>
      <c r="AC1" s="337" t="s">
        <v>314</v>
      </c>
      <c r="AD1" s="337" t="s">
        <v>314</v>
      </c>
      <c r="AE1" s="337" t="s">
        <v>314</v>
      </c>
      <c r="AF1" s="337" t="s">
        <v>314</v>
      </c>
      <c r="AG1" s="337" t="s">
        <v>314</v>
      </c>
      <c r="AH1" s="337" t="s">
        <v>314</v>
      </c>
      <c r="AI1" s="337" t="s">
        <v>314</v>
      </c>
      <c r="AJ1" s="337" t="s">
        <v>314</v>
      </c>
      <c r="AK1" s="337" t="s">
        <v>314</v>
      </c>
      <c r="AL1" s="337" t="s">
        <v>315</v>
      </c>
      <c r="AM1" s="337" t="s">
        <v>315</v>
      </c>
      <c r="AN1" s="337" t="s">
        <v>315</v>
      </c>
      <c r="AO1" s="337" t="s">
        <v>315</v>
      </c>
      <c r="AP1" s="337" t="s">
        <v>315</v>
      </c>
      <c r="AQ1" s="337" t="s">
        <v>315</v>
      </c>
      <c r="AR1" s="337" t="s">
        <v>315</v>
      </c>
      <c r="AS1" s="337" t="s">
        <v>315</v>
      </c>
      <c r="AT1" s="337" t="s">
        <v>315</v>
      </c>
      <c r="AU1" s="337" t="s">
        <v>315</v>
      </c>
      <c r="AV1" s="337" t="s">
        <v>315</v>
      </c>
      <c r="AW1" s="337" t="s">
        <v>315</v>
      </c>
      <c r="AX1" s="337" t="s">
        <v>316</v>
      </c>
      <c r="AY1" s="337" t="s">
        <v>316</v>
      </c>
      <c r="AZ1" s="337" t="s">
        <v>316</v>
      </c>
      <c r="BA1" s="337" t="s">
        <v>316</v>
      </c>
      <c r="BB1" s="337" t="s">
        <v>316</v>
      </c>
      <c r="BC1" s="337" t="s">
        <v>316</v>
      </c>
      <c r="BD1" s="337" t="s">
        <v>316</v>
      </c>
      <c r="BE1" s="337" t="s">
        <v>316</v>
      </c>
      <c r="BF1" s="337" t="s">
        <v>316</v>
      </c>
      <c r="BG1" s="337" t="s">
        <v>316</v>
      </c>
      <c r="BH1" s="337" t="s">
        <v>316</v>
      </c>
      <c r="BI1" s="337" t="s">
        <v>316</v>
      </c>
      <c r="BJ1" s="337" t="s">
        <v>317</v>
      </c>
      <c r="BK1" s="337" t="s">
        <v>317</v>
      </c>
      <c r="BL1" s="337" t="s">
        <v>317</v>
      </c>
      <c r="BM1" s="337" t="s">
        <v>317</v>
      </c>
      <c r="BN1" s="337" t="s">
        <v>317</v>
      </c>
      <c r="BO1" s="337" t="s">
        <v>317</v>
      </c>
      <c r="BP1" s="337" t="s">
        <v>317</v>
      </c>
      <c r="BQ1" s="337" t="s">
        <v>317</v>
      </c>
      <c r="BR1" s="337" t="s">
        <v>317</v>
      </c>
      <c r="BS1" s="337" t="s">
        <v>317</v>
      </c>
      <c r="BT1" s="337" t="s">
        <v>317</v>
      </c>
      <c r="BU1" s="337" t="s">
        <v>317</v>
      </c>
      <c r="BV1" s="337" t="s">
        <v>318</v>
      </c>
      <c r="BW1" s="337" t="s">
        <v>318</v>
      </c>
      <c r="BX1" s="337" t="s">
        <v>318</v>
      </c>
      <c r="BY1" s="337" t="s">
        <v>318</v>
      </c>
      <c r="BZ1" s="337" t="s">
        <v>318</v>
      </c>
      <c r="CA1" s="337" t="s">
        <v>318</v>
      </c>
      <c r="CB1" s="337" t="s">
        <v>318</v>
      </c>
      <c r="CC1" s="337" t="s">
        <v>318</v>
      </c>
      <c r="CD1" s="337" t="s">
        <v>318</v>
      </c>
      <c r="CE1" s="337" t="s">
        <v>318</v>
      </c>
      <c r="CF1" s="337" t="s">
        <v>318</v>
      </c>
      <c r="CG1" s="337" t="s">
        <v>318</v>
      </c>
      <c r="CH1" s="337" t="s">
        <v>319</v>
      </c>
      <c r="CI1" s="337" t="s">
        <v>319</v>
      </c>
      <c r="CJ1" s="337" t="s">
        <v>319</v>
      </c>
      <c r="CK1" s="337" t="s">
        <v>319</v>
      </c>
      <c r="CL1" s="337" t="s">
        <v>319</v>
      </c>
      <c r="CM1" s="337" t="s">
        <v>319</v>
      </c>
      <c r="CN1" s="337" t="s">
        <v>319</v>
      </c>
      <c r="CO1" s="337" t="s">
        <v>319</v>
      </c>
      <c r="CP1" s="337" t="s">
        <v>319</v>
      </c>
      <c r="CQ1" s="337" t="s">
        <v>319</v>
      </c>
      <c r="CR1" s="337" t="s">
        <v>319</v>
      </c>
      <c r="CS1" s="337" t="s">
        <v>319</v>
      </c>
      <c r="CT1" s="337" t="s">
        <v>320</v>
      </c>
      <c r="CU1" s="337" t="s">
        <v>320</v>
      </c>
      <c r="CV1" s="337" t="s">
        <v>320</v>
      </c>
      <c r="CW1" s="337" t="s">
        <v>320</v>
      </c>
      <c r="CX1" s="337" t="s">
        <v>320</v>
      </c>
      <c r="CY1" s="337" t="s">
        <v>320</v>
      </c>
    </row>
    <row r="2" spans="1:103">
      <c r="A2" s="460" t="s">
        <v>2</v>
      </c>
      <c r="B2" s="337" t="s">
        <v>661</v>
      </c>
      <c r="C2" s="337" t="s">
        <v>662</v>
      </c>
      <c r="D2" s="460">
        <v>44012</v>
      </c>
      <c r="E2" s="460">
        <v>44043</v>
      </c>
      <c r="F2" s="460">
        <v>44074</v>
      </c>
      <c r="G2" s="460">
        <v>44104</v>
      </c>
      <c r="H2" s="460">
        <v>44135</v>
      </c>
      <c r="I2" s="460">
        <v>44165</v>
      </c>
      <c r="J2" s="460">
        <v>44196</v>
      </c>
      <c r="K2" s="460">
        <v>44227</v>
      </c>
      <c r="L2" s="460">
        <v>44255</v>
      </c>
      <c r="M2" s="460">
        <v>44286</v>
      </c>
      <c r="N2" s="460">
        <v>44316</v>
      </c>
      <c r="O2" s="460">
        <v>44347</v>
      </c>
      <c r="P2" s="460">
        <v>44377</v>
      </c>
      <c r="Q2" s="460">
        <v>44408</v>
      </c>
      <c r="R2" s="460">
        <v>44439</v>
      </c>
      <c r="S2" s="460">
        <v>44469</v>
      </c>
      <c r="T2" s="460">
        <v>44500</v>
      </c>
      <c r="U2" s="460">
        <v>44530</v>
      </c>
      <c r="V2" s="460">
        <v>44561</v>
      </c>
      <c r="W2" s="460">
        <v>44592</v>
      </c>
      <c r="X2" s="460">
        <v>44620</v>
      </c>
      <c r="Y2" s="460">
        <v>44651</v>
      </c>
      <c r="Z2" s="460">
        <v>44681</v>
      </c>
      <c r="AA2" s="460">
        <v>44712</v>
      </c>
      <c r="AB2" s="460">
        <v>44742</v>
      </c>
      <c r="AC2" s="460">
        <v>44773</v>
      </c>
      <c r="AD2" s="460">
        <v>44804</v>
      </c>
      <c r="AE2" s="460">
        <v>44834</v>
      </c>
      <c r="AF2" s="460">
        <v>44865</v>
      </c>
      <c r="AG2" s="460">
        <v>44895</v>
      </c>
      <c r="AH2" s="460">
        <v>44926</v>
      </c>
      <c r="AI2" s="460">
        <v>44957</v>
      </c>
      <c r="AJ2" s="460">
        <v>44985</v>
      </c>
      <c r="AK2" s="460">
        <v>45016</v>
      </c>
      <c r="AL2" s="460">
        <v>45046</v>
      </c>
      <c r="AM2" s="460">
        <v>45077</v>
      </c>
      <c r="AN2" s="460">
        <v>45107</v>
      </c>
      <c r="AO2" s="460">
        <v>45138</v>
      </c>
      <c r="AP2" s="460">
        <v>45169</v>
      </c>
      <c r="AQ2" s="460">
        <v>45199</v>
      </c>
      <c r="AR2" s="460">
        <v>45230</v>
      </c>
      <c r="AS2" s="460">
        <v>45260</v>
      </c>
      <c r="AT2" s="460">
        <v>45291</v>
      </c>
      <c r="AU2" s="460">
        <v>45322</v>
      </c>
      <c r="AV2" s="460">
        <v>45351</v>
      </c>
      <c r="AW2" s="460">
        <v>45382</v>
      </c>
      <c r="AX2" s="460">
        <v>45412</v>
      </c>
      <c r="AY2" s="460">
        <v>45443</v>
      </c>
      <c r="AZ2" s="460">
        <v>45473</v>
      </c>
      <c r="BA2" s="460">
        <v>45504</v>
      </c>
      <c r="BB2" s="460">
        <v>45535</v>
      </c>
      <c r="BC2" s="460">
        <v>45565</v>
      </c>
      <c r="BD2" s="460">
        <v>45596</v>
      </c>
      <c r="BE2" s="460">
        <v>45626</v>
      </c>
      <c r="BF2" s="460">
        <v>45657</v>
      </c>
      <c r="BG2" s="460">
        <v>45688</v>
      </c>
      <c r="BH2" s="460">
        <v>45716</v>
      </c>
      <c r="BI2" s="460">
        <v>45747</v>
      </c>
      <c r="BJ2" s="460">
        <v>45777</v>
      </c>
      <c r="BK2" s="460">
        <v>45808</v>
      </c>
      <c r="BL2" s="460">
        <v>45838</v>
      </c>
      <c r="BM2" s="460">
        <v>45869</v>
      </c>
      <c r="BN2" s="460">
        <v>45900</v>
      </c>
      <c r="BO2" s="460">
        <v>45930</v>
      </c>
      <c r="BP2" s="460">
        <v>45961</v>
      </c>
      <c r="BQ2" s="460">
        <v>45991</v>
      </c>
      <c r="BR2" s="460">
        <v>46022</v>
      </c>
      <c r="BS2" s="460">
        <v>46053</v>
      </c>
      <c r="BT2" s="460">
        <v>46081</v>
      </c>
      <c r="BU2" s="460">
        <v>46112</v>
      </c>
      <c r="BV2" s="460">
        <v>46142</v>
      </c>
      <c r="BW2" s="460">
        <v>46173</v>
      </c>
      <c r="BX2" s="460">
        <v>46203</v>
      </c>
      <c r="BY2" s="460">
        <v>46234</v>
      </c>
      <c r="BZ2" s="460">
        <v>46265</v>
      </c>
      <c r="CA2" s="460">
        <v>46295</v>
      </c>
      <c r="CB2" s="460">
        <v>46326</v>
      </c>
      <c r="CC2" s="460">
        <v>46356</v>
      </c>
      <c r="CD2" s="460">
        <v>46387</v>
      </c>
      <c r="CE2" s="460">
        <v>46418</v>
      </c>
      <c r="CF2" s="460">
        <v>46446</v>
      </c>
      <c r="CG2" s="460">
        <v>46477</v>
      </c>
      <c r="CH2" s="460">
        <v>46507</v>
      </c>
      <c r="CI2" s="460">
        <v>46538</v>
      </c>
      <c r="CJ2" s="460">
        <v>46568</v>
      </c>
      <c r="CK2" s="460">
        <v>46599</v>
      </c>
      <c r="CL2" s="460">
        <v>46630</v>
      </c>
      <c r="CM2" s="460">
        <v>46660</v>
      </c>
      <c r="CN2" s="460">
        <v>46691</v>
      </c>
      <c r="CO2" s="460">
        <v>46721</v>
      </c>
      <c r="CP2" s="460">
        <v>46752</v>
      </c>
      <c r="CQ2" s="460">
        <v>46783</v>
      </c>
      <c r="CR2" s="460">
        <v>46812</v>
      </c>
      <c r="CS2" s="460">
        <v>46843</v>
      </c>
      <c r="CT2" s="460">
        <v>46873</v>
      </c>
      <c r="CU2" s="460">
        <v>46904</v>
      </c>
      <c r="CV2" s="460">
        <v>46934</v>
      </c>
      <c r="CW2" s="460">
        <v>46965</v>
      </c>
      <c r="CX2" s="460">
        <v>46996</v>
      </c>
      <c r="CY2" s="460">
        <v>47026</v>
      </c>
    </row>
    <row r="3" spans="1:103" ht="15">
      <c r="A3" s="319" t="s">
        <v>621</v>
      </c>
      <c r="B3" s="384" t="s">
        <v>663</v>
      </c>
      <c r="C3" s="384" t="s">
        <v>664</v>
      </c>
      <c r="D3" s="325">
        <v>73840</v>
      </c>
      <c r="E3" s="325">
        <v>73840</v>
      </c>
      <c r="F3" s="325">
        <v>73840</v>
      </c>
      <c r="G3" s="325">
        <v>73840</v>
      </c>
      <c r="H3" s="325">
        <v>73840</v>
      </c>
      <c r="I3" s="325">
        <v>73840</v>
      </c>
      <c r="J3" s="325">
        <v>73840</v>
      </c>
      <c r="K3" s="325">
        <v>73840</v>
      </c>
      <c r="L3" s="325">
        <v>73840</v>
      </c>
      <c r="M3" s="325">
        <v>73840</v>
      </c>
      <c r="N3" s="325">
        <v>76793.600000000006</v>
      </c>
      <c r="O3" s="325">
        <v>76793.600000000006</v>
      </c>
      <c r="P3" s="325">
        <v>76793.600000000006</v>
      </c>
      <c r="Q3" s="325">
        <v>76793.600000000006</v>
      </c>
      <c r="R3" s="325">
        <v>76793.600000000006</v>
      </c>
      <c r="S3" s="325">
        <v>76793.600000000006</v>
      </c>
      <c r="T3" s="325">
        <v>76793.600000000006</v>
      </c>
      <c r="U3" s="325">
        <v>76793.600000000006</v>
      </c>
      <c r="V3" s="325">
        <v>76793.600000000006</v>
      </c>
      <c r="W3" s="325">
        <v>76793.600000000006</v>
      </c>
      <c r="X3" s="325">
        <v>76793.600000000006</v>
      </c>
      <c r="Y3" s="325">
        <v>76793.600000000006</v>
      </c>
      <c r="Z3" s="325">
        <v>79865.344000000012</v>
      </c>
      <c r="AA3" s="325">
        <v>79865.344000000012</v>
      </c>
      <c r="AB3" s="325">
        <v>79865.344000000012</v>
      </c>
      <c r="AC3" s="325">
        <v>79865.344000000012</v>
      </c>
      <c r="AD3" s="325">
        <v>79865.344000000012</v>
      </c>
      <c r="AE3" s="325">
        <v>79865.344000000012</v>
      </c>
      <c r="AF3" s="325">
        <v>79865.344000000012</v>
      </c>
      <c r="AG3" s="325">
        <v>79865.344000000012</v>
      </c>
      <c r="AH3" s="325">
        <v>79865.344000000012</v>
      </c>
      <c r="AI3" s="325">
        <v>79865.344000000012</v>
      </c>
      <c r="AJ3" s="325">
        <v>79865.344000000012</v>
      </c>
      <c r="AK3" s="325">
        <v>79865.344000000012</v>
      </c>
      <c r="AL3" s="325">
        <v>83059.957760000019</v>
      </c>
      <c r="AM3" s="325">
        <v>83059.957760000019</v>
      </c>
      <c r="AN3" s="325">
        <v>83059.957760000019</v>
      </c>
      <c r="AO3" s="325">
        <v>83059.957760000019</v>
      </c>
      <c r="AP3" s="325">
        <v>83059.957760000019</v>
      </c>
      <c r="AQ3" s="325">
        <v>83059.957760000019</v>
      </c>
      <c r="AR3" s="325">
        <v>83059.957760000019</v>
      </c>
      <c r="AS3" s="325">
        <v>83059.957760000019</v>
      </c>
      <c r="AT3" s="325">
        <v>83059.957760000019</v>
      </c>
      <c r="AU3" s="325">
        <v>83059.957760000019</v>
      </c>
      <c r="AV3" s="325">
        <v>83059.957760000019</v>
      </c>
      <c r="AW3" s="325">
        <v>83059.957760000019</v>
      </c>
      <c r="AX3" s="325">
        <v>86382.356070400012</v>
      </c>
      <c r="AY3" s="325">
        <v>86382.356070400012</v>
      </c>
      <c r="AZ3" s="325">
        <v>86382.356070400012</v>
      </c>
      <c r="BA3" s="325">
        <v>86382.356070400012</v>
      </c>
      <c r="BB3" s="325">
        <v>86382.356070400012</v>
      </c>
      <c r="BC3" s="325">
        <v>86382.356070400012</v>
      </c>
      <c r="BD3" s="325">
        <v>86382.356070400012</v>
      </c>
      <c r="BE3" s="325">
        <v>86382.356070400012</v>
      </c>
      <c r="BF3" s="325">
        <v>86382.356070400012</v>
      </c>
      <c r="BG3" s="325">
        <v>86382.356070400012</v>
      </c>
      <c r="BH3" s="325">
        <v>86382.356070400012</v>
      </c>
      <c r="BI3" s="325">
        <v>86382.356070400012</v>
      </c>
      <c r="BJ3" s="325">
        <v>89837.650313216029</v>
      </c>
      <c r="BK3" s="325">
        <v>89837.650313216029</v>
      </c>
      <c r="BL3" s="325">
        <v>89837.650313216029</v>
      </c>
      <c r="BM3" s="325">
        <v>89837.650313216029</v>
      </c>
      <c r="BN3" s="325">
        <v>89837.650313216029</v>
      </c>
      <c r="BO3" s="325">
        <v>89837.650313216029</v>
      </c>
      <c r="BP3" s="325">
        <v>89837.650313216029</v>
      </c>
      <c r="BQ3" s="325">
        <v>89837.650313216029</v>
      </c>
      <c r="BR3" s="325">
        <v>89837.650313216029</v>
      </c>
      <c r="BS3" s="325">
        <v>89837.650313216029</v>
      </c>
      <c r="BT3" s="325">
        <v>89837.650313216029</v>
      </c>
      <c r="BU3" s="325">
        <v>89837.650313216029</v>
      </c>
      <c r="BV3" s="325">
        <v>93431.156325744669</v>
      </c>
      <c r="BW3" s="325">
        <v>93431.156325744669</v>
      </c>
      <c r="BX3" s="325">
        <v>93431.156325744669</v>
      </c>
      <c r="BY3" s="325">
        <v>93431.156325744669</v>
      </c>
      <c r="BZ3" s="325">
        <v>93431.156325744669</v>
      </c>
      <c r="CA3" s="325">
        <v>93431.156325744669</v>
      </c>
      <c r="CB3" s="325">
        <v>93431.156325744669</v>
      </c>
      <c r="CC3" s="325">
        <v>93431.156325744669</v>
      </c>
      <c r="CD3" s="325">
        <v>93431.156325744669</v>
      </c>
      <c r="CE3" s="325">
        <v>93431.156325744669</v>
      </c>
      <c r="CF3" s="325">
        <v>93431.156325744669</v>
      </c>
      <c r="CG3" s="325">
        <v>93431.156325744669</v>
      </c>
      <c r="CH3" s="325">
        <v>97168.402578774461</v>
      </c>
      <c r="CI3" s="325">
        <v>97168.402578774461</v>
      </c>
      <c r="CJ3" s="325">
        <v>97168.402578774461</v>
      </c>
      <c r="CK3" s="325">
        <v>97168.402578774461</v>
      </c>
      <c r="CL3" s="325">
        <v>97168.402578774461</v>
      </c>
      <c r="CM3" s="325">
        <v>97168.402578774461</v>
      </c>
      <c r="CN3" s="325">
        <v>97168.402578774461</v>
      </c>
      <c r="CO3" s="325">
        <v>97168.402578774461</v>
      </c>
      <c r="CP3" s="325">
        <v>97168.402578774461</v>
      </c>
      <c r="CQ3" s="325">
        <v>97168.402578774461</v>
      </c>
      <c r="CR3" s="325">
        <v>97168.402578774461</v>
      </c>
      <c r="CS3" s="325">
        <v>97168.402578774461</v>
      </c>
      <c r="CT3" s="325">
        <v>101055.13868192544</v>
      </c>
      <c r="CU3" s="325">
        <v>101055.13868192544</v>
      </c>
      <c r="CV3" s="325">
        <v>101055.13868192544</v>
      </c>
      <c r="CW3" s="325">
        <v>101055.13868192544</v>
      </c>
      <c r="CX3" s="325">
        <v>101055.13868192544</v>
      </c>
      <c r="CY3" s="325">
        <v>101055.13868192544</v>
      </c>
    </row>
    <row r="4" spans="1:103" ht="15">
      <c r="A4" s="319" t="s">
        <v>622</v>
      </c>
      <c r="B4" s="384" t="s">
        <v>663</v>
      </c>
      <c r="C4" s="384" t="s">
        <v>664</v>
      </c>
      <c r="D4" s="325">
        <v>1170000</v>
      </c>
      <c r="E4" s="325">
        <v>1170000</v>
      </c>
      <c r="F4" s="325">
        <v>1170000</v>
      </c>
      <c r="G4" s="325">
        <v>1170000</v>
      </c>
      <c r="H4" s="325">
        <v>1170000</v>
      </c>
      <c r="I4" s="325">
        <v>1170000</v>
      </c>
      <c r="J4" s="325">
        <v>1170000</v>
      </c>
      <c r="K4" s="325">
        <v>1170000</v>
      </c>
      <c r="L4" s="325">
        <v>1170000</v>
      </c>
      <c r="M4" s="325">
        <v>1170000</v>
      </c>
      <c r="N4" s="325">
        <v>535392</v>
      </c>
      <c r="O4" s="325">
        <v>535392</v>
      </c>
      <c r="P4" s="325">
        <v>535392</v>
      </c>
      <c r="Q4" s="325">
        <v>535392</v>
      </c>
      <c r="R4" s="325">
        <v>535392</v>
      </c>
      <c r="S4" s="325">
        <v>535392</v>
      </c>
      <c r="T4" s="325">
        <v>486720</v>
      </c>
      <c r="U4" s="325">
        <v>486720</v>
      </c>
      <c r="V4" s="325">
        <v>486720</v>
      </c>
      <c r="W4" s="325">
        <v>486720</v>
      </c>
      <c r="X4" s="325">
        <v>486720</v>
      </c>
      <c r="Y4" s="325">
        <v>486720</v>
      </c>
      <c r="Z4" s="325">
        <v>506188.80000000005</v>
      </c>
      <c r="AA4" s="325">
        <v>506188.80000000005</v>
      </c>
      <c r="AB4" s="325">
        <v>506188.80000000005</v>
      </c>
      <c r="AC4" s="325">
        <v>506188.80000000005</v>
      </c>
      <c r="AD4" s="325">
        <v>506188.80000000005</v>
      </c>
      <c r="AE4" s="325">
        <v>506188.80000000005</v>
      </c>
      <c r="AF4" s="325">
        <v>506188.80000000005</v>
      </c>
      <c r="AG4" s="325">
        <v>506188.80000000005</v>
      </c>
      <c r="AH4" s="325">
        <v>506188.80000000005</v>
      </c>
      <c r="AI4" s="325">
        <v>506188.80000000005</v>
      </c>
      <c r="AJ4" s="325">
        <v>506188.80000000005</v>
      </c>
      <c r="AK4" s="325">
        <v>506188.80000000005</v>
      </c>
      <c r="AL4" s="325">
        <v>526436.35200000007</v>
      </c>
      <c r="AM4" s="325">
        <v>526436.35200000007</v>
      </c>
      <c r="AN4" s="325">
        <v>526436.35200000007</v>
      </c>
      <c r="AO4" s="325">
        <v>526436.35200000007</v>
      </c>
      <c r="AP4" s="325">
        <v>526436.35200000007</v>
      </c>
      <c r="AQ4" s="325">
        <v>526436.35200000007</v>
      </c>
      <c r="AR4" s="325">
        <v>526436.35200000007</v>
      </c>
      <c r="AS4" s="325">
        <v>526436.35200000007</v>
      </c>
      <c r="AT4" s="325">
        <v>526436.35200000007</v>
      </c>
      <c r="AU4" s="325">
        <v>526436.35200000007</v>
      </c>
      <c r="AV4" s="325">
        <v>526436.35200000007</v>
      </c>
      <c r="AW4" s="325">
        <v>526436.35200000007</v>
      </c>
      <c r="AX4" s="325">
        <v>547493.80608000001</v>
      </c>
      <c r="AY4" s="325">
        <v>547493.80608000001</v>
      </c>
      <c r="AZ4" s="325">
        <v>547493.80608000001</v>
      </c>
      <c r="BA4" s="325">
        <v>547493.80608000001</v>
      </c>
      <c r="BB4" s="325">
        <v>547493.80608000001</v>
      </c>
      <c r="BC4" s="325">
        <v>547493.80608000001</v>
      </c>
      <c r="BD4" s="325">
        <v>547493.80608000001</v>
      </c>
      <c r="BE4" s="325">
        <v>547493.80608000001</v>
      </c>
      <c r="BF4" s="325">
        <v>547493.80608000001</v>
      </c>
      <c r="BG4" s="325">
        <v>547493.80608000001</v>
      </c>
      <c r="BH4" s="325">
        <v>547493.80608000001</v>
      </c>
      <c r="BI4" s="325">
        <v>547493.80608000001</v>
      </c>
      <c r="BJ4" s="325">
        <v>569393.55832320009</v>
      </c>
      <c r="BK4" s="325">
        <v>569393.55832320009</v>
      </c>
      <c r="BL4" s="325">
        <v>569393.55832320009</v>
      </c>
      <c r="BM4" s="325">
        <v>569393.55832320009</v>
      </c>
      <c r="BN4" s="325">
        <v>569393.55832320009</v>
      </c>
      <c r="BO4" s="325">
        <v>569393.55832320009</v>
      </c>
      <c r="BP4" s="325">
        <v>569393.55832320009</v>
      </c>
      <c r="BQ4" s="325">
        <v>569393.55832320009</v>
      </c>
      <c r="BR4" s="325">
        <v>569393.55832320009</v>
      </c>
      <c r="BS4" s="325">
        <v>569393.55832320009</v>
      </c>
      <c r="BT4" s="325">
        <v>569393.55832320009</v>
      </c>
      <c r="BU4" s="325">
        <v>569393.55832320009</v>
      </c>
      <c r="BV4" s="325">
        <v>592169.30065612821</v>
      </c>
      <c r="BW4" s="325">
        <v>592169.30065612821</v>
      </c>
      <c r="BX4" s="325">
        <v>592169.30065612821</v>
      </c>
      <c r="BY4" s="325">
        <v>592169.30065612821</v>
      </c>
      <c r="BZ4" s="325">
        <v>592169.30065612821</v>
      </c>
      <c r="CA4" s="325">
        <v>592169.30065612821</v>
      </c>
      <c r="CB4" s="325">
        <v>592169.30065612821</v>
      </c>
      <c r="CC4" s="325">
        <v>592169.30065612821</v>
      </c>
      <c r="CD4" s="325">
        <v>592169.30065612821</v>
      </c>
      <c r="CE4" s="325">
        <v>592169.30065612821</v>
      </c>
      <c r="CF4" s="325">
        <v>592169.30065612821</v>
      </c>
      <c r="CG4" s="325">
        <v>592169.30065612821</v>
      </c>
      <c r="CH4" s="325">
        <v>615856.07268237334</v>
      </c>
      <c r="CI4" s="325">
        <v>615856.07268237334</v>
      </c>
      <c r="CJ4" s="325">
        <v>615856.07268237334</v>
      </c>
      <c r="CK4" s="325">
        <v>615856.07268237334</v>
      </c>
      <c r="CL4" s="325">
        <v>615856.07268237334</v>
      </c>
      <c r="CM4" s="325">
        <v>615856.07268237334</v>
      </c>
      <c r="CN4" s="325">
        <v>615856.07268237334</v>
      </c>
      <c r="CO4" s="325">
        <v>615856.07268237334</v>
      </c>
      <c r="CP4" s="325">
        <v>615856.07268237334</v>
      </c>
      <c r="CQ4" s="325">
        <v>615856.07268237334</v>
      </c>
      <c r="CR4" s="325">
        <v>615856.07268237334</v>
      </c>
      <c r="CS4" s="325">
        <v>615856.07268237334</v>
      </c>
      <c r="CT4" s="325">
        <v>640490.31558966835</v>
      </c>
      <c r="CU4" s="325">
        <v>640490.31558966835</v>
      </c>
      <c r="CV4" s="325">
        <v>640490.31558966835</v>
      </c>
      <c r="CW4" s="325">
        <v>640490.31558966835</v>
      </c>
      <c r="CX4" s="325">
        <v>640490.31558966835</v>
      </c>
      <c r="CY4" s="325">
        <v>640490.31558966835</v>
      </c>
    </row>
    <row r="5" spans="1:103" ht="15">
      <c r="A5" s="319" t="s">
        <v>623</v>
      </c>
      <c r="B5" s="384" t="s">
        <v>663</v>
      </c>
      <c r="C5" s="384" t="s">
        <v>665</v>
      </c>
      <c r="D5" s="325">
        <v>104000</v>
      </c>
      <c r="E5" s="325">
        <v>104000</v>
      </c>
      <c r="F5" s="325">
        <v>104000</v>
      </c>
      <c r="G5" s="325">
        <v>104000</v>
      </c>
      <c r="H5" s="325">
        <v>104000</v>
      </c>
      <c r="I5" s="325">
        <v>104000</v>
      </c>
      <c r="J5" s="325">
        <v>104000</v>
      </c>
      <c r="K5" s="325">
        <v>104000</v>
      </c>
      <c r="L5" s="325">
        <v>104000</v>
      </c>
      <c r="M5" s="325">
        <v>104000</v>
      </c>
      <c r="N5" s="325">
        <v>108160</v>
      </c>
      <c r="O5" s="325">
        <v>108160</v>
      </c>
      <c r="P5" s="325">
        <v>108160</v>
      </c>
      <c r="Q5" s="325">
        <v>108160</v>
      </c>
      <c r="R5" s="325">
        <v>108160</v>
      </c>
      <c r="S5" s="325">
        <v>108160</v>
      </c>
      <c r="T5" s="325">
        <v>108160</v>
      </c>
      <c r="U5" s="325">
        <v>108160</v>
      </c>
      <c r="V5" s="325">
        <v>108160</v>
      </c>
      <c r="W5" s="325">
        <v>108160</v>
      </c>
      <c r="X5" s="325">
        <v>108160</v>
      </c>
      <c r="Y5" s="325">
        <v>108160</v>
      </c>
      <c r="Z5" s="325">
        <v>112486.40000000001</v>
      </c>
      <c r="AA5" s="325">
        <v>112486.40000000001</v>
      </c>
      <c r="AB5" s="325">
        <v>112486.40000000001</v>
      </c>
      <c r="AC5" s="325">
        <v>112486.40000000001</v>
      </c>
      <c r="AD5" s="325">
        <v>112486.40000000001</v>
      </c>
      <c r="AE5" s="325">
        <v>112486.40000000001</v>
      </c>
      <c r="AF5" s="325">
        <v>112486.40000000001</v>
      </c>
      <c r="AG5" s="325">
        <v>112486.40000000001</v>
      </c>
      <c r="AH5" s="325">
        <v>112486.40000000001</v>
      </c>
      <c r="AI5" s="325">
        <v>112486.40000000001</v>
      </c>
      <c r="AJ5" s="325">
        <v>112486.40000000001</v>
      </c>
      <c r="AK5" s="325">
        <v>112486.40000000001</v>
      </c>
      <c r="AL5" s="325">
        <v>116985.85600000001</v>
      </c>
      <c r="AM5" s="325">
        <v>116985.85600000001</v>
      </c>
      <c r="AN5" s="325">
        <v>116985.85600000001</v>
      </c>
      <c r="AO5" s="325">
        <v>116985.85600000001</v>
      </c>
      <c r="AP5" s="325">
        <v>116985.85600000001</v>
      </c>
      <c r="AQ5" s="325">
        <v>116985.85600000001</v>
      </c>
      <c r="AR5" s="325">
        <v>116985.85600000001</v>
      </c>
      <c r="AS5" s="325">
        <v>116985.85600000001</v>
      </c>
      <c r="AT5" s="325">
        <v>116985.85600000001</v>
      </c>
      <c r="AU5" s="325">
        <v>116985.85600000001</v>
      </c>
      <c r="AV5" s="325">
        <v>116985.85600000001</v>
      </c>
      <c r="AW5" s="325">
        <v>116985.85600000001</v>
      </c>
      <c r="AX5" s="325">
        <v>121665.29024000002</v>
      </c>
      <c r="AY5" s="325">
        <v>121665.29024000002</v>
      </c>
      <c r="AZ5" s="325">
        <v>121665.29024000002</v>
      </c>
      <c r="BA5" s="325">
        <v>121665.29024000002</v>
      </c>
      <c r="BB5" s="325">
        <v>121665.29024000002</v>
      </c>
      <c r="BC5" s="325">
        <v>121665.29024000002</v>
      </c>
      <c r="BD5" s="325">
        <v>121665.29024000002</v>
      </c>
      <c r="BE5" s="325">
        <v>121665.29024000002</v>
      </c>
      <c r="BF5" s="325">
        <v>121665.29024000002</v>
      </c>
      <c r="BG5" s="325">
        <v>121665.29024000002</v>
      </c>
      <c r="BH5" s="325">
        <v>121665.29024000002</v>
      </c>
      <c r="BI5" s="325">
        <v>121665.29024000002</v>
      </c>
      <c r="BJ5" s="325">
        <v>126531.90184960002</v>
      </c>
      <c r="BK5" s="325">
        <v>126531.90184960002</v>
      </c>
      <c r="BL5" s="325">
        <v>126531.90184960002</v>
      </c>
      <c r="BM5" s="325">
        <v>126531.90184960002</v>
      </c>
      <c r="BN5" s="325">
        <v>126531.90184960002</v>
      </c>
      <c r="BO5" s="325">
        <v>126531.90184960002</v>
      </c>
      <c r="BP5" s="325">
        <v>126531.90184960002</v>
      </c>
      <c r="BQ5" s="325">
        <v>126531.90184960002</v>
      </c>
      <c r="BR5" s="325">
        <v>126531.90184960002</v>
      </c>
      <c r="BS5" s="325">
        <v>126531.90184960002</v>
      </c>
      <c r="BT5" s="325">
        <v>126531.90184960002</v>
      </c>
      <c r="BU5" s="325">
        <v>126531.90184960002</v>
      </c>
      <c r="BV5" s="325">
        <v>131593.17792358404</v>
      </c>
      <c r="BW5" s="325">
        <v>131593.17792358404</v>
      </c>
      <c r="BX5" s="325">
        <v>131593.17792358404</v>
      </c>
      <c r="BY5" s="325">
        <v>131593.17792358404</v>
      </c>
      <c r="BZ5" s="325">
        <v>131593.17792358404</v>
      </c>
      <c r="CA5" s="325">
        <v>131593.17792358404</v>
      </c>
      <c r="CB5" s="325">
        <v>131593.17792358404</v>
      </c>
      <c r="CC5" s="325">
        <v>131593.17792358404</v>
      </c>
      <c r="CD5" s="325">
        <v>131593.17792358404</v>
      </c>
      <c r="CE5" s="325">
        <v>131593.17792358404</v>
      </c>
      <c r="CF5" s="325">
        <v>131593.17792358404</v>
      </c>
      <c r="CG5" s="325">
        <v>131593.17792358404</v>
      </c>
      <c r="CH5" s="325">
        <v>136856.9050405274</v>
      </c>
      <c r="CI5" s="325">
        <v>136856.9050405274</v>
      </c>
      <c r="CJ5" s="325">
        <v>136856.9050405274</v>
      </c>
      <c r="CK5" s="325">
        <v>136856.9050405274</v>
      </c>
      <c r="CL5" s="325">
        <v>136856.9050405274</v>
      </c>
      <c r="CM5" s="325">
        <v>136856.9050405274</v>
      </c>
      <c r="CN5" s="325">
        <v>136856.9050405274</v>
      </c>
      <c r="CO5" s="325">
        <v>136856.9050405274</v>
      </c>
      <c r="CP5" s="325">
        <v>136856.9050405274</v>
      </c>
      <c r="CQ5" s="325">
        <v>136856.9050405274</v>
      </c>
      <c r="CR5" s="325">
        <v>136856.9050405274</v>
      </c>
      <c r="CS5" s="325">
        <v>136856.9050405274</v>
      </c>
      <c r="CT5" s="325">
        <v>142331.18124214851</v>
      </c>
      <c r="CU5" s="325">
        <v>142331.18124214851</v>
      </c>
      <c r="CV5" s="325">
        <v>142331.18124214851</v>
      </c>
      <c r="CW5" s="325">
        <v>142331.18124214851</v>
      </c>
      <c r="CX5" s="325">
        <v>142331.18124214851</v>
      </c>
      <c r="CY5" s="325">
        <v>142331.18124214851</v>
      </c>
    </row>
    <row r="6" spans="1:103" ht="15">
      <c r="A6" s="319" t="s">
        <v>624</v>
      </c>
      <c r="B6" s="384" t="s">
        <v>663</v>
      </c>
      <c r="C6" s="384" t="s">
        <v>665</v>
      </c>
      <c r="D6" s="325">
        <v>312000</v>
      </c>
      <c r="E6" s="325">
        <v>312000</v>
      </c>
      <c r="F6" s="325">
        <v>312000</v>
      </c>
      <c r="G6" s="325">
        <v>312000</v>
      </c>
      <c r="H6" s="325">
        <v>312000</v>
      </c>
      <c r="I6" s="325">
        <v>312000</v>
      </c>
      <c r="J6" s="325">
        <v>312000</v>
      </c>
      <c r="K6" s="325">
        <v>312000</v>
      </c>
      <c r="L6" s="325">
        <v>312000</v>
      </c>
      <c r="M6" s="325">
        <v>312000</v>
      </c>
      <c r="N6" s="325">
        <v>324480</v>
      </c>
      <c r="O6" s="325">
        <v>324480</v>
      </c>
      <c r="P6" s="325">
        <v>324480</v>
      </c>
      <c r="Q6" s="325">
        <v>324480</v>
      </c>
      <c r="R6" s="325">
        <v>324480</v>
      </c>
      <c r="S6" s="325">
        <v>324480</v>
      </c>
      <c r="T6" s="325">
        <v>324480</v>
      </c>
      <c r="U6" s="325">
        <v>324480</v>
      </c>
      <c r="V6" s="325">
        <v>324480</v>
      </c>
      <c r="W6" s="325">
        <v>324480</v>
      </c>
      <c r="X6" s="325">
        <v>324480</v>
      </c>
      <c r="Y6" s="325">
        <v>324480</v>
      </c>
      <c r="Z6" s="325">
        <v>337459.20000000001</v>
      </c>
      <c r="AA6" s="325">
        <v>337459.20000000001</v>
      </c>
      <c r="AB6" s="325">
        <v>337459.20000000001</v>
      </c>
      <c r="AC6" s="325">
        <v>337459.20000000001</v>
      </c>
      <c r="AD6" s="325">
        <v>337459.20000000001</v>
      </c>
      <c r="AE6" s="325">
        <v>337459.20000000001</v>
      </c>
      <c r="AF6" s="325">
        <v>337459.20000000001</v>
      </c>
      <c r="AG6" s="325">
        <v>337459.20000000001</v>
      </c>
      <c r="AH6" s="325">
        <v>337459.20000000001</v>
      </c>
      <c r="AI6" s="325">
        <v>337459.20000000001</v>
      </c>
      <c r="AJ6" s="325">
        <v>337459.20000000001</v>
      </c>
      <c r="AK6" s="325">
        <v>337459.20000000001</v>
      </c>
      <c r="AL6" s="325">
        <v>350957.56800000003</v>
      </c>
      <c r="AM6" s="325">
        <v>350957.56800000003</v>
      </c>
      <c r="AN6" s="325">
        <v>350957.56800000003</v>
      </c>
      <c r="AO6" s="325">
        <v>350957.56800000003</v>
      </c>
      <c r="AP6" s="325">
        <v>350957.56800000003</v>
      </c>
      <c r="AQ6" s="325">
        <v>350957.56800000003</v>
      </c>
      <c r="AR6" s="325">
        <v>350957.56800000003</v>
      </c>
      <c r="AS6" s="325">
        <v>350957.56800000003</v>
      </c>
      <c r="AT6" s="325">
        <v>350957.56800000003</v>
      </c>
      <c r="AU6" s="325">
        <v>350957.56800000003</v>
      </c>
      <c r="AV6" s="325">
        <v>350957.56800000003</v>
      </c>
      <c r="AW6" s="325">
        <v>350957.56800000003</v>
      </c>
      <c r="AX6" s="325">
        <v>364995.87072000006</v>
      </c>
      <c r="AY6" s="325">
        <v>364995.87072000006</v>
      </c>
      <c r="AZ6" s="325">
        <v>364995.87072000006</v>
      </c>
      <c r="BA6" s="325">
        <v>364995.87072000006</v>
      </c>
      <c r="BB6" s="325">
        <v>364995.87072000006</v>
      </c>
      <c r="BC6" s="325">
        <v>364995.87072000006</v>
      </c>
      <c r="BD6" s="325">
        <v>364995.87072000006</v>
      </c>
      <c r="BE6" s="325">
        <v>364995.87072000006</v>
      </c>
      <c r="BF6" s="325">
        <v>364995.87072000006</v>
      </c>
      <c r="BG6" s="325">
        <v>364995.87072000006</v>
      </c>
      <c r="BH6" s="325">
        <v>364995.87072000006</v>
      </c>
      <c r="BI6" s="325">
        <v>364995.87072000006</v>
      </c>
      <c r="BJ6" s="325">
        <v>379595.70554880006</v>
      </c>
      <c r="BK6" s="325">
        <v>379595.70554880006</v>
      </c>
      <c r="BL6" s="325">
        <v>379595.70554880006</v>
      </c>
      <c r="BM6" s="325">
        <v>379595.70554880006</v>
      </c>
      <c r="BN6" s="325">
        <v>379595.70554880006</v>
      </c>
      <c r="BO6" s="325">
        <v>379595.70554880006</v>
      </c>
      <c r="BP6" s="325">
        <v>379595.70554880006</v>
      </c>
      <c r="BQ6" s="325">
        <v>379595.70554880006</v>
      </c>
      <c r="BR6" s="325">
        <v>379595.70554880006</v>
      </c>
      <c r="BS6" s="325">
        <v>379595.70554880006</v>
      </c>
      <c r="BT6" s="325">
        <v>379595.70554880006</v>
      </c>
      <c r="BU6" s="325">
        <v>379595.70554880006</v>
      </c>
      <c r="BV6" s="325">
        <v>394779.53377075208</v>
      </c>
      <c r="BW6" s="325">
        <v>394779.53377075208</v>
      </c>
      <c r="BX6" s="325">
        <v>394779.53377075208</v>
      </c>
      <c r="BY6" s="325">
        <v>394779.53377075208</v>
      </c>
      <c r="BZ6" s="325">
        <v>394779.53377075208</v>
      </c>
      <c r="CA6" s="325">
        <v>394779.53377075208</v>
      </c>
      <c r="CB6" s="325">
        <v>394779.53377075208</v>
      </c>
      <c r="CC6" s="325">
        <v>394779.53377075208</v>
      </c>
      <c r="CD6" s="325">
        <v>394779.53377075208</v>
      </c>
      <c r="CE6" s="325">
        <v>394779.53377075208</v>
      </c>
      <c r="CF6" s="325">
        <v>394779.53377075208</v>
      </c>
      <c r="CG6" s="325">
        <v>394779.53377075208</v>
      </c>
      <c r="CH6" s="325">
        <v>410570.71512158215</v>
      </c>
      <c r="CI6" s="325">
        <v>410570.71512158215</v>
      </c>
      <c r="CJ6" s="325">
        <v>410570.71512158215</v>
      </c>
      <c r="CK6" s="325">
        <v>410570.71512158215</v>
      </c>
      <c r="CL6" s="325">
        <v>410570.71512158215</v>
      </c>
      <c r="CM6" s="325">
        <v>410570.71512158215</v>
      </c>
      <c r="CN6" s="325">
        <v>410570.71512158215</v>
      </c>
      <c r="CO6" s="325">
        <v>410570.71512158215</v>
      </c>
      <c r="CP6" s="325">
        <v>410570.71512158215</v>
      </c>
      <c r="CQ6" s="325">
        <v>410570.71512158215</v>
      </c>
      <c r="CR6" s="325">
        <v>410570.71512158215</v>
      </c>
      <c r="CS6" s="325">
        <v>410570.71512158215</v>
      </c>
      <c r="CT6" s="325">
        <v>426993.54372644547</v>
      </c>
      <c r="CU6" s="325">
        <v>426993.54372644547</v>
      </c>
      <c r="CV6" s="325">
        <v>426993.54372644547</v>
      </c>
      <c r="CW6" s="325">
        <v>426993.54372644547</v>
      </c>
      <c r="CX6" s="325">
        <v>426993.54372644547</v>
      </c>
      <c r="CY6" s="325">
        <v>426993.54372644547</v>
      </c>
    </row>
    <row r="7" spans="1:103" ht="15">
      <c r="A7" s="319" t="s">
        <v>625</v>
      </c>
      <c r="B7" s="384" t="s">
        <v>663</v>
      </c>
      <c r="C7" s="384" t="s">
        <v>665</v>
      </c>
      <c r="D7" s="325">
        <v>15600</v>
      </c>
      <c r="E7" s="325">
        <v>15600</v>
      </c>
      <c r="F7" s="325">
        <v>15600</v>
      </c>
      <c r="G7" s="325">
        <v>15600</v>
      </c>
      <c r="H7" s="325">
        <v>15600</v>
      </c>
      <c r="I7" s="325">
        <v>15600</v>
      </c>
      <c r="J7" s="325">
        <v>15600</v>
      </c>
      <c r="K7" s="325">
        <v>15600</v>
      </c>
      <c r="L7" s="325">
        <v>15600</v>
      </c>
      <c r="M7" s="325">
        <v>15600</v>
      </c>
      <c r="N7" s="325">
        <v>16224</v>
      </c>
      <c r="O7" s="325">
        <v>16224</v>
      </c>
      <c r="P7" s="325">
        <v>16224</v>
      </c>
      <c r="Q7" s="325">
        <v>16224</v>
      </c>
      <c r="R7" s="325">
        <v>16224</v>
      </c>
      <c r="S7" s="325">
        <v>16224</v>
      </c>
      <c r="T7" s="325">
        <v>16224</v>
      </c>
      <c r="U7" s="325">
        <v>16224</v>
      </c>
      <c r="V7" s="325">
        <v>16224</v>
      </c>
      <c r="W7" s="325">
        <v>16224</v>
      </c>
      <c r="X7" s="325">
        <v>16224</v>
      </c>
      <c r="Y7" s="325">
        <v>16224</v>
      </c>
      <c r="Z7" s="325">
        <v>16872.96</v>
      </c>
      <c r="AA7" s="325">
        <v>16872.96</v>
      </c>
      <c r="AB7" s="325">
        <v>16872.96</v>
      </c>
      <c r="AC7" s="325">
        <v>16872.96</v>
      </c>
      <c r="AD7" s="325">
        <v>16872.96</v>
      </c>
      <c r="AE7" s="325">
        <v>16872.96</v>
      </c>
      <c r="AF7" s="325">
        <v>16872.96</v>
      </c>
      <c r="AG7" s="325">
        <v>16872.96</v>
      </c>
      <c r="AH7" s="325">
        <v>16872.96</v>
      </c>
      <c r="AI7" s="325">
        <v>16872.96</v>
      </c>
      <c r="AJ7" s="325">
        <v>16872.96</v>
      </c>
      <c r="AK7" s="325">
        <v>16872.96</v>
      </c>
      <c r="AL7" s="325">
        <v>17547.878400000001</v>
      </c>
      <c r="AM7" s="325">
        <v>17547.878400000001</v>
      </c>
      <c r="AN7" s="325">
        <v>17547.878400000001</v>
      </c>
      <c r="AO7" s="325">
        <v>17547.878400000001</v>
      </c>
      <c r="AP7" s="325">
        <v>17547.878400000001</v>
      </c>
      <c r="AQ7" s="325">
        <v>17547.878400000001</v>
      </c>
      <c r="AR7" s="325">
        <v>17547.878400000001</v>
      </c>
      <c r="AS7" s="325">
        <v>17547.878400000001</v>
      </c>
      <c r="AT7" s="325">
        <v>17547.878400000001</v>
      </c>
      <c r="AU7" s="325">
        <v>17547.878400000001</v>
      </c>
      <c r="AV7" s="325">
        <v>17547.878400000001</v>
      </c>
      <c r="AW7" s="325">
        <v>17547.878400000001</v>
      </c>
      <c r="AX7" s="325">
        <v>18249.793536000001</v>
      </c>
      <c r="AY7" s="325">
        <v>18249.793536000001</v>
      </c>
      <c r="AZ7" s="325">
        <v>18249.793536000001</v>
      </c>
      <c r="BA7" s="325">
        <v>18249.793536000001</v>
      </c>
      <c r="BB7" s="325">
        <v>18249.793536000001</v>
      </c>
      <c r="BC7" s="325">
        <v>18249.793536000001</v>
      </c>
      <c r="BD7" s="325">
        <v>18249.793536000001</v>
      </c>
      <c r="BE7" s="325">
        <v>18249.793536000001</v>
      </c>
      <c r="BF7" s="325">
        <v>18249.793536000001</v>
      </c>
      <c r="BG7" s="325">
        <v>18249.793536000001</v>
      </c>
      <c r="BH7" s="325">
        <v>18249.793536000001</v>
      </c>
      <c r="BI7" s="325">
        <v>18249.793536000001</v>
      </c>
      <c r="BJ7" s="325">
        <v>18979.785277440002</v>
      </c>
      <c r="BK7" s="325">
        <v>18979.785277440002</v>
      </c>
      <c r="BL7" s="325">
        <v>18979.785277440002</v>
      </c>
      <c r="BM7" s="325">
        <v>18979.785277440002</v>
      </c>
      <c r="BN7" s="325">
        <v>18979.785277440002</v>
      </c>
      <c r="BO7" s="325">
        <v>18979.785277440002</v>
      </c>
      <c r="BP7" s="325">
        <v>18979.785277440002</v>
      </c>
      <c r="BQ7" s="325">
        <v>18979.785277440002</v>
      </c>
      <c r="BR7" s="325">
        <v>18979.785277440002</v>
      </c>
      <c r="BS7" s="325">
        <v>18979.785277440002</v>
      </c>
      <c r="BT7" s="325">
        <v>18979.785277440002</v>
      </c>
      <c r="BU7" s="325">
        <v>18979.785277440002</v>
      </c>
      <c r="BV7" s="325">
        <v>19738.976688537601</v>
      </c>
      <c r="BW7" s="325">
        <v>19738.976688537601</v>
      </c>
      <c r="BX7" s="325">
        <v>19738.976688537601</v>
      </c>
      <c r="BY7" s="325">
        <v>19738.976688537601</v>
      </c>
      <c r="BZ7" s="325">
        <v>19738.976688537601</v>
      </c>
      <c r="CA7" s="325">
        <v>19738.976688537601</v>
      </c>
      <c r="CB7" s="325">
        <v>19738.976688537601</v>
      </c>
      <c r="CC7" s="325">
        <v>19738.976688537601</v>
      </c>
      <c r="CD7" s="325">
        <v>19738.976688537601</v>
      </c>
      <c r="CE7" s="325">
        <v>19738.976688537601</v>
      </c>
      <c r="CF7" s="325">
        <v>19738.976688537601</v>
      </c>
      <c r="CG7" s="325">
        <v>19738.976688537601</v>
      </c>
      <c r="CH7" s="325">
        <v>20528.535756079105</v>
      </c>
      <c r="CI7" s="325">
        <v>20528.535756079105</v>
      </c>
      <c r="CJ7" s="325">
        <v>20528.535756079105</v>
      </c>
      <c r="CK7" s="325">
        <v>20528.535756079105</v>
      </c>
      <c r="CL7" s="325">
        <v>20528.535756079105</v>
      </c>
      <c r="CM7" s="325">
        <v>20528.535756079105</v>
      </c>
      <c r="CN7" s="325">
        <v>20528.535756079105</v>
      </c>
      <c r="CO7" s="325">
        <v>20528.535756079105</v>
      </c>
      <c r="CP7" s="325">
        <v>20528.535756079105</v>
      </c>
      <c r="CQ7" s="325">
        <v>20528.535756079105</v>
      </c>
      <c r="CR7" s="325">
        <v>20528.535756079105</v>
      </c>
      <c r="CS7" s="325">
        <v>20528.535756079105</v>
      </c>
      <c r="CT7" s="325">
        <v>21349.677186322271</v>
      </c>
      <c r="CU7" s="325">
        <v>21349.677186322271</v>
      </c>
      <c r="CV7" s="325">
        <v>21349.677186322271</v>
      </c>
      <c r="CW7" s="325">
        <v>21349.677186322271</v>
      </c>
      <c r="CX7" s="325">
        <v>21349.677186322271</v>
      </c>
      <c r="CY7" s="325">
        <v>21349.677186322271</v>
      </c>
    </row>
    <row r="8" spans="1:103" ht="15">
      <c r="A8" s="319" t="s">
        <v>626</v>
      </c>
      <c r="B8" s="384" t="s">
        <v>663</v>
      </c>
      <c r="C8" s="384" t="s">
        <v>665</v>
      </c>
      <c r="D8" s="325">
        <v>10400</v>
      </c>
      <c r="E8" s="325">
        <v>10400</v>
      </c>
      <c r="F8" s="325">
        <v>10400</v>
      </c>
      <c r="G8" s="325">
        <v>10400</v>
      </c>
      <c r="H8" s="325">
        <v>10400</v>
      </c>
      <c r="I8" s="325">
        <v>10400</v>
      </c>
      <c r="J8" s="325">
        <v>10400</v>
      </c>
      <c r="K8" s="325">
        <v>10400</v>
      </c>
      <c r="L8" s="325">
        <v>10400</v>
      </c>
      <c r="M8" s="325">
        <v>10400</v>
      </c>
      <c r="N8" s="325">
        <v>10816</v>
      </c>
      <c r="O8" s="325">
        <v>10816</v>
      </c>
      <c r="P8" s="325">
        <v>10816</v>
      </c>
      <c r="Q8" s="325">
        <v>10816</v>
      </c>
      <c r="R8" s="325">
        <v>10816</v>
      </c>
      <c r="S8" s="325">
        <v>10816</v>
      </c>
      <c r="T8" s="325">
        <v>10816</v>
      </c>
      <c r="U8" s="325">
        <v>10816</v>
      </c>
      <c r="V8" s="325">
        <v>10816</v>
      </c>
      <c r="W8" s="325">
        <v>10816</v>
      </c>
      <c r="X8" s="325">
        <v>10816</v>
      </c>
      <c r="Y8" s="325">
        <v>10816</v>
      </c>
      <c r="Z8" s="325">
        <v>11248.640000000001</v>
      </c>
      <c r="AA8" s="325">
        <v>11248.640000000001</v>
      </c>
      <c r="AB8" s="325">
        <v>11248.640000000001</v>
      </c>
      <c r="AC8" s="325">
        <v>11248.640000000001</v>
      </c>
      <c r="AD8" s="325">
        <v>11248.640000000001</v>
      </c>
      <c r="AE8" s="325">
        <v>11248.640000000001</v>
      </c>
      <c r="AF8" s="325">
        <v>11248.640000000001</v>
      </c>
      <c r="AG8" s="325">
        <v>11248.640000000001</v>
      </c>
      <c r="AH8" s="325">
        <v>11248.640000000001</v>
      </c>
      <c r="AI8" s="325">
        <v>11248.640000000001</v>
      </c>
      <c r="AJ8" s="325">
        <v>11248.640000000001</v>
      </c>
      <c r="AK8" s="325">
        <v>11248.640000000001</v>
      </c>
      <c r="AL8" s="325">
        <v>11698.585600000002</v>
      </c>
      <c r="AM8" s="325">
        <v>11698.585600000002</v>
      </c>
      <c r="AN8" s="325">
        <v>11698.585600000002</v>
      </c>
      <c r="AO8" s="325">
        <v>11698.585600000002</v>
      </c>
      <c r="AP8" s="325">
        <v>11698.585600000002</v>
      </c>
      <c r="AQ8" s="325">
        <v>11698.585600000002</v>
      </c>
      <c r="AR8" s="325">
        <v>11698.585600000002</v>
      </c>
      <c r="AS8" s="325">
        <v>11698.585600000002</v>
      </c>
      <c r="AT8" s="325">
        <v>11698.585600000002</v>
      </c>
      <c r="AU8" s="325">
        <v>11698.585600000002</v>
      </c>
      <c r="AV8" s="325">
        <v>11698.585600000002</v>
      </c>
      <c r="AW8" s="325">
        <v>11698.585600000002</v>
      </c>
      <c r="AX8" s="325">
        <v>12166.529024000003</v>
      </c>
      <c r="AY8" s="325">
        <v>12166.529024000003</v>
      </c>
      <c r="AZ8" s="325">
        <v>12166.529024000003</v>
      </c>
      <c r="BA8" s="325">
        <v>12166.529024000003</v>
      </c>
      <c r="BB8" s="325">
        <v>12166.529024000003</v>
      </c>
      <c r="BC8" s="325">
        <v>12166.529024000003</v>
      </c>
      <c r="BD8" s="325">
        <v>12166.529024000003</v>
      </c>
      <c r="BE8" s="325">
        <v>12166.529024000003</v>
      </c>
      <c r="BF8" s="325">
        <v>12166.529024000003</v>
      </c>
      <c r="BG8" s="325">
        <v>12166.529024000003</v>
      </c>
      <c r="BH8" s="325">
        <v>12166.529024000003</v>
      </c>
      <c r="BI8" s="325">
        <v>12166.529024000003</v>
      </c>
      <c r="BJ8" s="325">
        <v>12653.190184960004</v>
      </c>
      <c r="BK8" s="325">
        <v>12653.190184960004</v>
      </c>
      <c r="BL8" s="325">
        <v>12653.190184960004</v>
      </c>
      <c r="BM8" s="325">
        <v>12653.190184960004</v>
      </c>
      <c r="BN8" s="325">
        <v>12653.190184960004</v>
      </c>
      <c r="BO8" s="325">
        <v>12653.190184960004</v>
      </c>
      <c r="BP8" s="325">
        <v>12653.190184960004</v>
      </c>
      <c r="BQ8" s="325">
        <v>12653.190184960004</v>
      </c>
      <c r="BR8" s="325">
        <v>12653.190184960004</v>
      </c>
      <c r="BS8" s="325">
        <v>12653.190184960004</v>
      </c>
      <c r="BT8" s="325">
        <v>12653.190184960004</v>
      </c>
      <c r="BU8" s="325">
        <v>12653.190184960004</v>
      </c>
      <c r="BV8" s="325">
        <v>13159.317792358404</v>
      </c>
      <c r="BW8" s="325">
        <v>13159.317792358404</v>
      </c>
      <c r="BX8" s="325">
        <v>13159.317792358404</v>
      </c>
      <c r="BY8" s="325">
        <v>13159.317792358404</v>
      </c>
      <c r="BZ8" s="325">
        <v>13159.317792358404</v>
      </c>
      <c r="CA8" s="325">
        <v>13159.317792358404</v>
      </c>
      <c r="CB8" s="325">
        <v>13159.317792358404</v>
      </c>
      <c r="CC8" s="325">
        <v>13159.317792358404</v>
      </c>
      <c r="CD8" s="325">
        <v>13159.317792358404</v>
      </c>
      <c r="CE8" s="325">
        <v>13159.317792358404</v>
      </c>
      <c r="CF8" s="325">
        <v>13159.317792358404</v>
      </c>
      <c r="CG8" s="325">
        <v>13159.317792358404</v>
      </c>
      <c r="CH8" s="325">
        <v>13685.690504052742</v>
      </c>
      <c r="CI8" s="325">
        <v>13685.690504052742</v>
      </c>
      <c r="CJ8" s="325">
        <v>13685.690504052742</v>
      </c>
      <c r="CK8" s="325">
        <v>13685.690504052742</v>
      </c>
      <c r="CL8" s="325">
        <v>13685.690504052742</v>
      </c>
      <c r="CM8" s="325">
        <v>13685.690504052742</v>
      </c>
      <c r="CN8" s="325">
        <v>13685.690504052742</v>
      </c>
      <c r="CO8" s="325">
        <v>13685.690504052742</v>
      </c>
      <c r="CP8" s="325">
        <v>13685.690504052742</v>
      </c>
      <c r="CQ8" s="325">
        <v>13685.690504052742</v>
      </c>
      <c r="CR8" s="325">
        <v>13685.690504052742</v>
      </c>
      <c r="CS8" s="325">
        <v>13685.690504052742</v>
      </c>
      <c r="CT8" s="325">
        <v>14233.118124214852</v>
      </c>
      <c r="CU8" s="325">
        <v>14233.118124214852</v>
      </c>
      <c r="CV8" s="325">
        <v>14233.118124214852</v>
      </c>
      <c r="CW8" s="325">
        <v>14233.118124214852</v>
      </c>
      <c r="CX8" s="325">
        <v>14233.118124214852</v>
      </c>
      <c r="CY8" s="325">
        <v>14233.118124214852</v>
      </c>
    </row>
    <row r="9" spans="1:103" ht="15">
      <c r="A9" s="319" t="s">
        <v>666</v>
      </c>
      <c r="B9" s="384" t="s">
        <v>663</v>
      </c>
      <c r="C9" s="384" t="s">
        <v>665</v>
      </c>
      <c r="D9" s="325">
        <v>72800</v>
      </c>
      <c r="E9" s="325">
        <v>72800</v>
      </c>
      <c r="F9" s="325">
        <v>72800</v>
      </c>
      <c r="G9" s="325">
        <v>72800</v>
      </c>
      <c r="H9" s="325">
        <v>72800</v>
      </c>
      <c r="I9" s="325">
        <v>72800</v>
      </c>
      <c r="J9" s="325">
        <v>72800</v>
      </c>
      <c r="K9" s="325">
        <v>72800</v>
      </c>
      <c r="L9" s="325">
        <v>72800</v>
      </c>
      <c r="M9" s="325">
        <v>72800</v>
      </c>
      <c r="N9" s="325">
        <v>75712</v>
      </c>
      <c r="O9" s="325">
        <v>75712</v>
      </c>
      <c r="P9" s="325">
        <v>75712</v>
      </c>
      <c r="Q9" s="325">
        <v>75712</v>
      </c>
      <c r="R9" s="325">
        <v>75712</v>
      </c>
      <c r="S9" s="325">
        <v>75712</v>
      </c>
      <c r="T9" s="325">
        <v>75712</v>
      </c>
      <c r="U9" s="325">
        <v>75712</v>
      </c>
      <c r="V9" s="325">
        <v>75712</v>
      </c>
      <c r="W9" s="325">
        <v>75712</v>
      </c>
      <c r="X9" s="325">
        <v>75712</v>
      </c>
      <c r="Y9" s="325">
        <v>75712</v>
      </c>
      <c r="Z9" s="325">
        <v>78740.479999999996</v>
      </c>
      <c r="AA9" s="325">
        <v>78740.479999999996</v>
      </c>
      <c r="AB9" s="325">
        <v>78740.479999999996</v>
      </c>
      <c r="AC9" s="325">
        <v>78740.479999999996</v>
      </c>
      <c r="AD9" s="325">
        <v>78740.479999999996</v>
      </c>
      <c r="AE9" s="325">
        <v>78740.479999999996</v>
      </c>
      <c r="AF9" s="325">
        <v>78740.479999999996</v>
      </c>
      <c r="AG9" s="325">
        <v>78740.479999999996</v>
      </c>
      <c r="AH9" s="325">
        <v>78740.479999999996</v>
      </c>
      <c r="AI9" s="325">
        <v>78740.479999999996</v>
      </c>
      <c r="AJ9" s="325">
        <v>78740.479999999996</v>
      </c>
      <c r="AK9" s="325">
        <v>78740.479999999996</v>
      </c>
      <c r="AL9" s="325">
        <v>81890.099199999997</v>
      </c>
      <c r="AM9" s="325">
        <v>81890.099199999997</v>
      </c>
      <c r="AN9" s="325">
        <v>81890.099199999997</v>
      </c>
      <c r="AO9" s="325">
        <v>81890.099199999997</v>
      </c>
      <c r="AP9" s="325">
        <v>81890.099199999997</v>
      </c>
      <c r="AQ9" s="325">
        <v>81890.099199999997</v>
      </c>
      <c r="AR9" s="325">
        <v>81890.099199999997</v>
      </c>
      <c r="AS9" s="325">
        <v>81890.099199999997</v>
      </c>
      <c r="AT9" s="325">
        <v>81890.099199999997</v>
      </c>
      <c r="AU9" s="325">
        <v>81890.099199999997</v>
      </c>
      <c r="AV9" s="325">
        <v>81890.099199999997</v>
      </c>
      <c r="AW9" s="325">
        <v>81890.099199999997</v>
      </c>
      <c r="AX9" s="325">
        <v>85165.703167999993</v>
      </c>
      <c r="AY9" s="325">
        <v>85165.703167999993</v>
      </c>
      <c r="AZ9" s="325">
        <v>85165.703167999993</v>
      </c>
      <c r="BA9" s="325">
        <v>85165.703167999993</v>
      </c>
      <c r="BB9" s="325">
        <v>85165.703167999993</v>
      </c>
      <c r="BC9" s="325">
        <v>85165.703167999993</v>
      </c>
      <c r="BD9" s="325">
        <v>85165.703167999993</v>
      </c>
      <c r="BE9" s="325">
        <v>85165.703167999993</v>
      </c>
      <c r="BF9" s="325">
        <v>85165.703167999993</v>
      </c>
      <c r="BG9" s="325">
        <v>85165.703167999993</v>
      </c>
      <c r="BH9" s="325">
        <v>85165.703167999993</v>
      </c>
      <c r="BI9" s="325">
        <v>85165.703167999993</v>
      </c>
      <c r="BJ9" s="325">
        <v>88572.331294719988</v>
      </c>
      <c r="BK9" s="325">
        <v>88572.331294719988</v>
      </c>
      <c r="BL9" s="325">
        <v>88572.331294719988</v>
      </c>
      <c r="BM9" s="325">
        <v>88572.331294719988</v>
      </c>
      <c r="BN9" s="325">
        <v>88572.331294719988</v>
      </c>
      <c r="BO9" s="325">
        <v>88572.331294719988</v>
      </c>
      <c r="BP9" s="325">
        <v>88572.331294719988</v>
      </c>
      <c r="BQ9" s="325">
        <v>88572.331294719988</v>
      </c>
      <c r="BR9" s="325">
        <v>88572.331294719988</v>
      </c>
      <c r="BS9" s="325">
        <v>88572.331294719988</v>
      </c>
      <c r="BT9" s="325">
        <v>88572.331294719988</v>
      </c>
      <c r="BU9" s="325">
        <v>88572.331294719988</v>
      </c>
      <c r="BV9" s="325">
        <v>92115.224546508791</v>
      </c>
      <c r="BW9" s="325">
        <v>92115.224546508791</v>
      </c>
      <c r="BX9" s="325">
        <v>92115.224546508791</v>
      </c>
      <c r="BY9" s="325">
        <v>92115.224546508791</v>
      </c>
      <c r="BZ9" s="325">
        <v>92115.224546508791</v>
      </c>
      <c r="CA9" s="325">
        <v>92115.224546508791</v>
      </c>
      <c r="CB9" s="325">
        <v>92115.224546508791</v>
      </c>
      <c r="CC9" s="325">
        <v>92115.224546508791</v>
      </c>
      <c r="CD9" s="325">
        <v>92115.224546508791</v>
      </c>
      <c r="CE9" s="325">
        <v>92115.224546508791</v>
      </c>
      <c r="CF9" s="325">
        <v>92115.224546508791</v>
      </c>
      <c r="CG9" s="325">
        <v>92115.224546508791</v>
      </c>
      <c r="CH9" s="325">
        <v>95799.833528369141</v>
      </c>
      <c r="CI9" s="325">
        <v>95799.833528369141</v>
      </c>
      <c r="CJ9" s="325">
        <v>95799.833528369141</v>
      </c>
      <c r="CK9" s="325">
        <v>95799.833528369141</v>
      </c>
      <c r="CL9" s="325">
        <v>95799.833528369141</v>
      </c>
      <c r="CM9" s="325">
        <v>95799.833528369141</v>
      </c>
      <c r="CN9" s="325">
        <v>95799.833528369141</v>
      </c>
      <c r="CO9" s="325">
        <v>95799.833528369141</v>
      </c>
      <c r="CP9" s="325">
        <v>95799.833528369141</v>
      </c>
      <c r="CQ9" s="325">
        <v>95799.833528369141</v>
      </c>
      <c r="CR9" s="325">
        <v>95799.833528369141</v>
      </c>
      <c r="CS9" s="325">
        <v>95799.833528369141</v>
      </c>
      <c r="CT9" s="325">
        <v>99631.826869503915</v>
      </c>
      <c r="CU9" s="325">
        <v>99631.826869503915</v>
      </c>
      <c r="CV9" s="325">
        <v>99631.826869503915</v>
      </c>
      <c r="CW9" s="325">
        <v>99631.826869503915</v>
      </c>
      <c r="CX9" s="325">
        <v>99631.826869503915</v>
      </c>
      <c r="CY9" s="325">
        <v>99631.826869503915</v>
      </c>
    </row>
    <row r="10" spans="1:103" ht="15">
      <c r="A10" s="319" t="s">
        <v>628</v>
      </c>
      <c r="B10" s="384" t="s">
        <v>663</v>
      </c>
      <c r="C10" s="384" t="s">
        <v>667</v>
      </c>
      <c r="D10" s="325">
        <v>62400</v>
      </c>
      <c r="E10" s="325">
        <v>62400</v>
      </c>
      <c r="F10" s="325">
        <v>62400</v>
      </c>
      <c r="G10" s="325">
        <v>62400</v>
      </c>
      <c r="H10" s="325">
        <v>62400</v>
      </c>
      <c r="I10" s="325">
        <v>62400</v>
      </c>
      <c r="J10" s="325">
        <v>62400</v>
      </c>
      <c r="K10" s="325">
        <v>62400</v>
      </c>
      <c r="L10" s="325">
        <v>62400</v>
      </c>
      <c r="M10" s="325">
        <v>62400</v>
      </c>
      <c r="N10" s="325">
        <v>64896</v>
      </c>
      <c r="O10" s="325">
        <v>64896</v>
      </c>
      <c r="P10" s="325">
        <v>64896</v>
      </c>
      <c r="Q10" s="325">
        <v>64896</v>
      </c>
      <c r="R10" s="325">
        <v>64896</v>
      </c>
      <c r="S10" s="325">
        <v>64896</v>
      </c>
      <c r="T10" s="325">
        <v>64896</v>
      </c>
      <c r="U10" s="325">
        <v>64896</v>
      </c>
      <c r="V10" s="325">
        <v>64896</v>
      </c>
      <c r="W10" s="325">
        <v>64896</v>
      </c>
      <c r="X10" s="325">
        <v>64896</v>
      </c>
      <c r="Y10" s="325">
        <v>64896</v>
      </c>
      <c r="Z10" s="325">
        <v>67491.839999999997</v>
      </c>
      <c r="AA10" s="325">
        <v>67491.839999999997</v>
      </c>
      <c r="AB10" s="325">
        <v>67491.839999999997</v>
      </c>
      <c r="AC10" s="325">
        <v>67491.839999999997</v>
      </c>
      <c r="AD10" s="325">
        <v>67491.839999999997</v>
      </c>
      <c r="AE10" s="325">
        <v>67491.839999999997</v>
      </c>
      <c r="AF10" s="325">
        <v>67491.839999999997</v>
      </c>
      <c r="AG10" s="325">
        <v>67491.839999999997</v>
      </c>
      <c r="AH10" s="325">
        <v>67491.839999999997</v>
      </c>
      <c r="AI10" s="325">
        <v>67491.839999999997</v>
      </c>
      <c r="AJ10" s="325">
        <v>67491.839999999997</v>
      </c>
      <c r="AK10" s="325">
        <v>67491.839999999997</v>
      </c>
      <c r="AL10" s="325">
        <v>70191.513600000006</v>
      </c>
      <c r="AM10" s="325">
        <v>70191.513600000006</v>
      </c>
      <c r="AN10" s="325">
        <v>70191.513600000006</v>
      </c>
      <c r="AO10" s="325">
        <v>70191.513600000006</v>
      </c>
      <c r="AP10" s="325">
        <v>70191.513600000006</v>
      </c>
      <c r="AQ10" s="325">
        <v>70191.513600000006</v>
      </c>
      <c r="AR10" s="325">
        <v>70191.513600000006</v>
      </c>
      <c r="AS10" s="325">
        <v>70191.513600000006</v>
      </c>
      <c r="AT10" s="325">
        <v>70191.513600000006</v>
      </c>
      <c r="AU10" s="325">
        <v>70191.513600000006</v>
      </c>
      <c r="AV10" s="325">
        <v>70191.513600000006</v>
      </c>
      <c r="AW10" s="325">
        <v>70191.513600000006</v>
      </c>
      <c r="AX10" s="325">
        <v>72999.174144000004</v>
      </c>
      <c r="AY10" s="325">
        <v>72999.174144000004</v>
      </c>
      <c r="AZ10" s="325">
        <v>72999.174144000004</v>
      </c>
      <c r="BA10" s="325">
        <v>72999.174144000004</v>
      </c>
      <c r="BB10" s="325">
        <v>72999.174144000004</v>
      </c>
      <c r="BC10" s="325">
        <v>72999.174144000004</v>
      </c>
      <c r="BD10" s="325">
        <v>72999.174144000004</v>
      </c>
      <c r="BE10" s="325">
        <v>72999.174144000004</v>
      </c>
      <c r="BF10" s="325">
        <v>72999.174144000004</v>
      </c>
      <c r="BG10" s="325">
        <v>72999.174144000004</v>
      </c>
      <c r="BH10" s="325">
        <v>72999.174144000004</v>
      </c>
      <c r="BI10" s="325">
        <v>72999.174144000004</v>
      </c>
      <c r="BJ10" s="325">
        <v>75919.141109760007</v>
      </c>
      <c r="BK10" s="325">
        <v>75919.141109760007</v>
      </c>
      <c r="BL10" s="325">
        <v>75919.141109760007</v>
      </c>
      <c r="BM10" s="325">
        <v>75919.141109760007</v>
      </c>
      <c r="BN10" s="325">
        <v>75919.141109760007</v>
      </c>
      <c r="BO10" s="325">
        <v>75919.141109760007</v>
      </c>
      <c r="BP10" s="325">
        <v>75919.141109760007</v>
      </c>
      <c r="BQ10" s="325">
        <v>75919.141109760007</v>
      </c>
      <c r="BR10" s="325">
        <v>75919.141109760007</v>
      </c>
      <c r="BS10" s="325">
        <v>75919.141109760007</v>
      </c>
      <c r="BT10" s="325">
        <v>75919.141109760007</v>
      </c>
      <c r="BU10" s="325">
        <v>75919.141109760007</v>
      </c>
      <c r="BV10" s="325">
        <v>78955.906754150405</v>
      </c>
      <c r="BW10" s="325">
        <v>78955.906754150405</v>
      </c>
      <c r="BX10" s="325">
        <v>78955.906754150405</v>
      </c>
      <c r="BY10" s="325">
        <v>78955.906754150405</v>
      </c>
      <c r="BZ10" s="325">
        <v>78955.906754150405</v>
      </c>
      <c r="CA10" s="325">
        <v>78955.906754150405</v>
      </c>
      <c r="CB10" s="325">
        <v>78955.906754150405</v>
      </c>
      <c r="CC10" s="325">
        <v>78955.906754150405</v>
      </c>
      <c r="CD10" s="325">
        <v>78955.906754150405</v>
      </c>
      <c r="CE10" s="325">
        <v>78955.906754150405</v>
      </c>
      <c r="CF10" s="325">
        <v>78955.906754150405</v>
      </c>
      <c r="CG10" s="325">
        <v>78955.906754150405</v>
      </c>
      <c r="CH10" s="325">
        <v>82114.143024316421</v>
      </c>
      <c r="CI10" s="325">
        <v>82114.143024316421</v>
      </c>
      <c r="CJ10" s="325">
        <v>82114.143024316421</v>
      </c>
      <c r="CK10" s="325">
        <v>82114.143024316421</v>
      </c>
      <c r="CL10" s="325">
        <v>82114.143024316421</v>
      </c>
      <c r="CM10" s="325">
        <v>82114.143024316421</v>
      </c>
      <c r="CN10" s="325">
        <v>82114.143024316421</v>
      </c>
      <c r="CO10" s="325">
        <v>82114.143024316421</v>
      </c>
      <c r="CP10" s="325">
        <v>82114.143024316421</v>
      </c>
      <c r="CQ10" s="325">
        <v>82114.143024316421</v>
      </c>
      <c r="CR10" s="325">
        <v>82114.143024316421</v>
      </c>
      <c r="CS10" s="325">
        <v>82114.143024316421</v>
      </c>
      <c r="CT10" s="325">
        <v>85398.708745289085</v>
      </c>
      <c r="CU10" s="325">
        <v>85398.708745289085</v>
      </c>
      <c r="CV10" s="325">
        <v>85398.708745289085</v>
      </c>
      <c r="CW10" s="325">
        <v>85398.708745289085</v>
      </c>
      <c r="CX10" s="325">
        <v>85398.708745289085</v>
      </c>
      <c r="CY10" s="325">
        <v>85398.708745289085</v>
      </c>
    </row>
    <row r="11" spans="1:103" ht="15">
      <c r="A11" s="319" t="s">
        <v>629</v>
      </c>
      <c r="B11" s="384" t="s">
        <v>663</v>
      </c>
      <c r="C11" s="384" t="s">
        <v>667</v>
      </c>
      <c r="D11" s="325">
        <v>327600</v>
      </c>
      <c r="E11" s="325">
        <v>327600</v>
      </c>
      <c r="F11" s="325">
        <v>327600</v>
      </c>
      <c r="G11" s="325">
        <v>327600</v>
      </c>
      <c r="H11" s="325">
        <v>327600</v>
      </c>
      <c r="I11" s="325">
        <v>327600</v>
      </c>
      <c r="J11" s="325">
        <v>327600</v>
      </c>
      <c r="K11" s="325">
        <v>262080</v>
      </c>
      <c r="L11" s="325">
        <v>262080</v>
      </c>
      <c r="M11" s="325">
        <v>262080</v>
      </c>
      <c r="N11" s="325">
        <v>272563.20000000001</v>
      </c>
      <c r="O11" s="325">
        <v>272563.20000000001</v>
      </c>
      <c r="P11" s="325">
        <v>272563.20000000001</v>
      </c>
      <c r="Q11" s="325">
        <v>272563.20000000001</v>
      </c>
      <c r="R11" s="325">
        <v>272563.20000000001</v>
      </c>
      <c r="S11" s="325">
        <v>272563.20000000001</v>
      </c>
      <c r="T11" s="325">
        <v>272563.20000000001</v>
      </c>
      <c r="U11" s="325">
        <v>272563.20000000001</v>
      </c>
      <c r="V11" s="325">
        <v>272563.20000000001</v>
      </c>
      <c r="W11" s="325">
        <v>272563.20000000001</v>
      </c>
      <c r="X11" s="325">
        <v>272563.20000000001</v>
      </c>
      <c r="Y11" s="325">
        <v>272563.20000000001</v>
      </c>
      <c r="Z11" s="325">
        <v>283465.728</v>
      </c>
      <c r="AA11" s="325">
        <v>283465.728</v>
      </c>
      <c r="AB11" s="325">
        <v>283465.728</v>
      </c>
      <c r="AC11" s="325">
        <v>283465.728</v>
      </c>
      <c r="AD11" s="325">
        <v>283465.728</v>
      </c>
      <c r="AE11" s="325">
        <v>283465.728</v>
      </c>
      <c r="AF11" s="325">
        <v>283465.728</v>
      </c>
      <c r="AG11" s="325">
        <v>283465.728</v>
      </c>
      <c r="AH11" s="325">
        <v>283465.728</v>
      </c>
      <c r="AI11" s="325">
        <v>283465.728</v>
      </c>
      <c r="AJ11" s="325">
        <v>283465.728</v>
      </c>
      <c r="AK11" s="325">
        <v>283465.728</v>
      </c>
      <c r="AL11" s="325">
        <v>294804.35712</v>
      </c>
      <c r="AM11" s="325">
        <v>294804.35712</v>
      </c>
      <c r="AN11" s="325">
        <v>294804.35712</v>
      </c>
      <c r="AO11" s="325">
        <v>294804.35712</v>
      </c>
      <c r="AP11" s="325">
        <v>294804.35712</v>
      </c>
      <c r="AQ11" s="325">
        <v>294804.35712</v>
      </c>
      <c r="AR11" s="325">
        <v>294804.35712</v>
      </c>
      <c r="AS11" s="325">
        <v>294804.35712</v>
      </c>
      <c r="AT11" s="325">
        <v>294804.35712</v>
      </c>
      <c r="AU11" s="325">
        <v>294804.35712</v>
      </c>
      <c r="AV11" s="325">
        <v>294804.35712</v>
      </c>
      <c r="AW11" s="325">
        <v>294804.35712</v>
      </c>
      <c r="AX11" s="325">
        <v>306596.53140480001</v>
      </c>
      <c r="AY11" s="325">
        <v>306596.53140480001</v>
      </c>
      <c r="AZ11" s="325">
        <v>306596.53140480001</v>
      </c>
      <c r="BA11" s="325">
        <v>306596.53140480001</v>
      </c>
      <c r="BB11" s="325">
        <v>306596.53140480001</v>
      </c>
      <c r="BC11" s="325">
        <v>306596.53140480001</v>
      </c>
      <c r="BD11" s="325">
        <v>306596.53140480001</v>
      </c>
      <c r="BE11" s="325">
        <v>306596.53140480001</v>
      </c>
      <c r="BF11" s="325">
        <v>306596.53140480001</v>
      </c>
      <c r="BG11" s="325">
        <v>306596.53140480001</v>
      </c>
      <c r="BH11" s="325">
        <v>306596.53140480001</v>
      </c>
      <c r="BI11" s="325">
        <v>306596.53140480001</v>
      </c>
      <c r="BJ11" s="325">
        <v>318860.39266099205</v>
      </c>
      <c r="BK11" s="325">
        <v>318860.39266099205</v>
      </c>
      <c r="BL11" s="325">
        <v>318860.39266099205</v>
      </c>
      <c r="BM11" s="325">
        <v>318860.39266099205</v>
      </c>
      <c r="BN11" s="325">
        <v>318860.39266099205</v>
      </c>
      <c r="BO11" s="325">
        <v>318860.39266099205</v>
      </c>
      <c r="BP11" s="325">
        <v>318860.39266099205</v>
      </c>
      <c r="BQ11" s="325">
        <v>318860.39266099205</v>
      </c>
      <c r="BR11" s="325">
        <v>318860.39266099205</v>
      </c>
      <c r="BS11" s="325">
        <v>318860.39266099205</v>
      </c>
      <c r="BT11" s="325">
        <v>318860.39266099205</v>
      </c>
      <c r="BU11" s="325">
        <v>318860.39266099205</v>
      </c>
      <c r="BV11" s="325">
        <v>331614.80836743175</v>
      </c>
      <c r="BW11" s="325">
        <v>331614.80836743175</v>
      </c>
      <c r="BX11" s="325">
        <v>331614.80836743175</v>
      </c>
      <c r="BY11" s="325">
        <v>331614.80836743175</v>
      </c>
      <c r="BZ11" s="325">
        <v>331614.80836743175</v>
      </c>
      <c r="CA11" s="325">
        <v>331614.80836743175</v>
      </c>
      <c r="CB11" s="325">
        <v>331614.80836743175</v>
      </c>
      <c r="CC11" s="325">
        <v>331614.80836743175</v>
      </c>
      <c r="CD11" s="325">
        <v>331614.80836743175</v>
      </c>
      <c r="CE11" s="325">
        <v>331614.80836743175</v>
      </c>
      <c r="CF11" s="325">
        <v>331614.80836743175</v>
      </c>
      <c r="CG11" s="325">
        <v>331614.80836743175</v>
      </c>
      <c r="CH11" s="325">
        <v>344879.400702129</v>
      </c>
      <c r="CI11" s="325">
        <v>344879.400702129</v>
      </c>
      <c r="CJ11" s="325">
        <v>344879.400702129</v>
      </c>
      <c r="CK11" s="325">
        <v>344879.400702129</v>
      </c>
      <c r="CL11" s="325">
        <v>344879.400702129</v>
      </c>
      <c r="CM11" s="325">
        <v>344879.400702129</v>
      </c>
      <c r="CN11" s="325">
        <v>344879.400702129</v>
      </c>
      <c r="CO11" s="325">
        <v>344879.400702129</v>
      </c>
      <c r="CP11" s="325">
        <v>344879.400702129</v>
      </c>
      <c r="CQ11" s="325">
        <v>344879.400702129</v>
      </c>
      <c r="CR11" s="325">
        <v>344879.400702129</v>
      </c>
      <c r="CS11" s="325">
        <v>344879.400702129</v>
      </c>
      <c r="CT11" s="325">
        <v>358674.57673021418</v>
      </c>
      <c r="CU11" s="325">
        <v>358674.57673021418</v>
      </c>
      <c r="CV11" s="325">
        <v>358674.57673021418</v>
      </c>
      <c r="CW11" s="325">
        <v>358674.57673021418</v>
      </c>
      <c r="CX11" s="325">
        <v>358674.57673021418</v>
      </c>
      <c r="CY11" s="325">
        <v>358674.57673021418</v>
      </c>
    </row>
    <row r="12" spans="1:103" ht="15">
      <c r="A12" s="319" t="s">
        <v>630</v>
      </c>
      <c r="B12" s="384" t="s">
        <v>663</v>
      </c>
      <c r="C12" s="384" t="s">
        <v>667</v>
      </c>
      <c r="D12" s="325">
        <v>104000</v>
      </c>
      <c r="E12" s="325">
        <v>104000</v>
      </c>
      <c r="F12" s="325">
        <v>104000</v>
      </c>
      <c r="G12" s="325">
        <v>104000</v>
      </c>
      <c r="H12" s="325">
        <v>104000</v>
      </c>
      <c r="I12" s="325">
        <v>104000</v>
      </c>
      <c r="J12" s="325">
        <v>104000</v>
      </c>
      <c r="K12" s="325">
        <v>62400</v>
      </c>
      <c r="L12" s="325">
        <v>62400</v>
      </c>
      <c r="M12" s="325">
        <v>62400</v>
      </c>
      <c r="N12" s="325">
        <v>64896</v>
      </c>
      <c r="O12" s="325">
        <v>64896</v>
      </c>
      <c r="P12" s="325">
        <v>64896</v>
      </c>
      <c r="Q12" s="325">
        <v>64896</v>
      </c>
      <c r="R12" s="325">
        <v>64896</v>
      </c>
      <c r="S12" s="325">
        <v>64896</v>
      </c>
      <c r="T12" s="325">
        <v>64896</v>
      </c>
      <c r="U12" s="325">
        <v>64896</v>
      </c>
      <c r="V12" s="325">
        <v>64896</v>
      </c>
      <c r="W12" s="325">
        <v>64896</v>
      </c>
      <c r="X12" s="325">
        <v>64896</v>
      </c>
      <c r="Y12" s="325">
        <v>64896</v>
      </c>
      <c r="Z12" s="325">
        <v>67491.839999999997</v>
      </c>
      <c r="AA12" s="325">
        <v>67491.839999999997</v>
      </c>
      <c r="AB12" s="325">
        <v>67491.839999999997</v>
      </c>
      <c r="AC12" s="325">
        <v>67491.839999999997</v>
      </c>
      <c r="AD12" s="325">
        <v>67491.839999999997</v>
      </c>
      <c r="AE12" s="325">
        <v>67491.839999999997</v>
      </c>
      <c r="AF12" s="325">
        <v>67491.839999999997</v>
      </c>
      <c r="AG12" s="325">
        <v>67491.839999999997</v>
      </c>
      <c r="AH12" s="325">
        <v>67491.839999999997</v>
      </c>
      <c r="AI12" s="325">
        <v>67491.839999999997</v>
      </c>
      <c r="AJ12" s="325">
        <v>67491.839999999997</v>
      </c>
      <c r="AK12" s="325">
        <v>67491.839999999997</v>
      </c>
      <c r="AL12" s="325">
        <v>70191.513600000006</v>
      </c>
      <c r="AM12" s="325">
        <v>70191.513600000006</v>
      </c>
      <c r="AN12" s="325">
        <v>70191.513600000006</v>
      </c>
      <c r="AO12" s="325">
        <v>70191.513600000006</v>
      </c>
      <c r="AP12" s="325">
        <v>70191.513600000006</v>
      </c>
      <c r="AQ12" s="325">
        <v>70191.513600000006</v>
      </c>
      <c r="AR12" s="325">
        <v>70191.513600000006</v>
      </c>
      <c r="AS12" s="325">
        <v>70191.513600000006</v>
      </c>
      <c r="AT12" s="325">
        <v>70191.513600000006</v>
      </c>
      <c r="AU12" s="325">
        <v>70191.513600000006</v>
      </c>
      <c r="AV12" s="325">
        <v>70191.513600000006</v>
      </c>
      <c r="AW12" s="325">
        <v>70191.513600000006</v>
      </c>
      <c r="AX12" s="325">
        <v>72999.174144000004</v>
      </c>
      <c r="AY12" s="325">
        <v>72999.174144000004</v>
      </c>
      <c r="AZ12" s="325">
        <v>72999.174144000004</v>
      </c>
      <c r="BA12" s="325">
        <v>72999.174144000004</v>
      </c>
      <c r="BB12" s="325">
        <v>72999.174144000004</v>
      </c>
      <c r="BC12" s="325">
        <v>72999.174144000004</v>
      </c>
      <c r="BD12" s="325">
        <v>72999.174144000004</v>
      </c>
      <c r="BE12" s="325">
        <v>72999.174144000004</v>
      </c>
      <c r="BF12" s="325">
        <v>72999.174144000004</v>
      </c>
      <c r="BG12" s="325">
        <v>72999.174144000004</v>
      </c>
      <c r="BH12" s="325">
        <v>72999.174144000004</v>
      </c>
      <c r="BI12" s="325">
        <v>72999.174144000004</v>
      </c>
      <c r="BJ12" s="325">
        <v>75919.141109760007</v>
      </c>
      <c r="BK12" s="325">
        <v>75919.141109760007</v>
      </c>
      <c r="BL12" s="325">
        <v>75919.141109760007</v>
      </c>
      <c r="BM12" s="325">
        <v>75919.141109760007</v>
      </c>
      <c r="BN12" s="325">
        <v>75919.141109760007</v>
      </c>
      <c r="BO12" s="325">
        <v>75919.141109760007</v>
      </c>
      <c r="BP12" s="325">
        <v>75919.141109760007</v>
      </c>
      <c r="BQ12" s="325">
        <v>75919.141109760007</v>
      </c>
      <c r="BR12" s="325">
        <v>75919.141109760007</v>
      </c>
      <c r="BS12" s="325">
        <v>75919.141109760007</v>
      </c>
      <c r="BT12" s="325">
        <v>75919.141109760007</v>
      </c>
      <c r="BU12" s="325">
        <v>75919.141109760007</v>
      </c>
      <c r="BV12" s="325">
        <v>78955.906754150405</v>
      </c>
      <c r="BW12" s="325">
        <v>78955.906754150405</v>
      </c>
      <c r="BX12" s="325">
        <v>78955.906754150405</v>
      </c>
      <c r="BY12" s="325">
        <v>78955.906754150405</v>
      </c>
      <c r="BZ12" s="325">
        <v>78955.906754150405</v>
      </c>
      <c r="CA12" s="325">
        <v>78955.906754150405</v>
      </c>
      <c r="CB12" s="325">
        <v>78955.906754150405</v>
      </c>
      <c r="CC12" s="325">
        <v>78955.906754150405</v>
      </c>
      <c r="CD12" s="325">
        <v>78955.906754150405</v>
      </c>
      <c r="CE12" s="325">
        <v>78955.906754150405</v>
      </c>
      <c r="CF12" s="325">
        <v>78955.906754150405</v>
      </c>
      <c r="CG12" s="325">
        <v>78955.906754150405</v>
      </c>
      <c r="CH12" s="325">
        <v>82114.143024316421</v>
      </c>
      <c r="CI12" s="325">
        <v>82114.143024316421</v>
      </c>
      <c r="CJ12" s="325">
        <v>82114.143024316421</v>
      </c>
      <c r="CK12" s="325">
        <v>82114.143024316421</v>
      </c>
      <c r="CL12" s="325">
        <v>82114.143024316421</v>
      </c>
      <c r="CM12" s="325">
        <v>82114.143024316421</v>
      </c>
      <c r="CN12" s="325">
        <v>82114.143024316421</v>
      </c>
      <c r="CO12" s="325">
        <v>82114.143024316421</v>
      </c>
      <c r="CP12" s="325">
        <v>82114.143024316421</v>
      </c>
      <c r="CQ12" s="325">
        <v>82114.143024316421</v>
      </c>
      <c r="CR12" s="325">
        <v>82114.143024316421</v>
      </c>
      <c r="CS12" s="325">
        <v>82114.143024316421</v>
      </c>
      <c r="CT12" s="325">
        <v>85398.708745289085</v>
      </c>
      <c r="CU12" s="325">
        <v>85398.708745289085</v>
      </c>
      <c r="CV12" s="325">
        <v>85398.708745289085</v>
      </c>
      <c r="CW12" s="325">
        <v>85398.708745289085</v>
      </c>
      <c r="CX12" s="325">
        <v>85398.708745289085</v>
      </c>
      <c r="CY12" s="325">
        <v>85398.708745289085</v>
      </c>
    </row>
    <row r="13" spans="1:103" ht="15">
      <c r="A13" s="319" t="s">
        <v>631</v>
      </c>
      <c r="B13" s="384" t="s">
        <v>663</v>
      </c>
      <c r="C13" s="384" t="s">
        <v>667</v>
      </c>
      <c r="D13" s="325">
        <v>62400</v>
      </c>
      <c r="E13" s="325">
        <v>62400</v>
      </c>
      <c r="F13" s="325">
        <v>62400</v>
      </c>
      <c r="G13" s="325">
        <v>62400</v>
      </c>
      <c r="H13" s="325">
        <v>62400</v>
      </c>
      <c r="I13" s="325">
        <v>62400</v>
      </c>
      <c r="J13" s="325">
        <v>62400</v>
      </c>
      <c r="K13" s="325">
        <v>62400</v>
      </c>
      <c r="L13" s="325">
        <v>62400</v>
      </c>
      <c r="M13" s="325">
        <v>62400</v>
      </c>
      <c r="N13" s="325">
        <v>64896</v>
      </c>
      <c r="O13" s="325">
        <v>64896</v>
      </c>
      <c r="P13" s="325">
        <v>64896</v>
      </c>
      <c r="Q13" s="325">
        <v>64896</v>
      </c>
      <c r="R13" s="325">
        <v>64896</v>
      </c>
      <c r="S13" s="325">
        <v>64896</v>
      </c>
      <c r="T13" s="325">
        <v>64896</v>
      </c>
      <c r="U13" s="325">
        <v>64896</v>
      </c>
      <c r="V13" s="325">
        <v>64896</v>
      </c>
      <c r="W13" s="325">
        <v>64896</v>
      </c>
      <c r="X13" s="325">
        <v>64896</v>
      </c>
      <c r="Y13" s="325">
        <v>64896</v>
      </c>
      <c r="Z13" s="325">
        <v>67491.839999999997</v>
      </c>
      <c r="AA13" s="325">
        <v>67491.839999999997</v>
      </c>
      <c r="AB13" s="325">
        <v>67491.839999999997</v>
      </c>
      <c r="AC13" s="325">
        <v>67491.839999999997</v>
      </c>
      <c r="AD13" s="325">
        <v>67491.839999999997</v>
      </c>
      <c r="AE13" s="325">
        <v>67491.839999999997</v>
      </c>
      <c r="AF13" s="325">
        <v>67491.839999999997</v>
      </c>
      <c r="AG13" s="325">
        <v>67491.839999999997</v>
      </c>
      <c r="AH13" s="325">
        <v>67491.839999999997</v>
      </c>
      <c r="AI13" s="325">
        <v>67491.839999999997</v>
      </c>
      <c r="AJ13" s="325">
        <v>67491.839999999997</v>
      </c>
      <c r="AK13" s="325">
        <v>67491.839999999997</v>
      </c>
      <c r="AL13" s="325">
        <v>70191.513600000006</v>
      </c>
      <c r="AM13" s="325">
        <v>70191.513600000006</v>
      </c>
      <c r="AN13" s="325">
        <v>70191.513600000006</v>
      </c>
      <c r="AO13" s="325">
        <v>70191.513600000006</v>
      </c>
      <c r="AP13" s="325">
        <v>70191.513600000006</v>
      </c>
      <c r="AQ13" s="325">
        <v>70191.513600000006</v>
      </c>
      <c r="AR13" s="325">
        <v>70191.513600000006</v>
      </c>
      <c r="AS13" s="325">
        <v>70191.513600000006</v>
      </c>
      <c r="AT13" s="325">
        <v>70191.513600000006</v>
      </c>
      <c r="AU13" s="325">
        <v>70191.513600000006</v>
      </c>
      <c r="AV13" s="325">
        <v>70191.513600000006</v>
      </c>
      <c r="AW13" s="325">
        <v>70191.513600000006</v>
      </c>
      <c r="AX13" s="325">
        <v>72999.174144000004</v>
      </c>
      <c r="AY13" s="325">
        <v>72999.174144000004</v>
      </c>
      <c r="AZ13" s="325">
        <v>72999.174144000004</v>
      </c>
      <c r="BA13" s="325">
        <v>72999.174144000004</v>
      </c>
      <c r="BB13" s="325">
        <v>72999.174144000004</v>
      </c>
      <c r="BC13" s="325">
        <v>72999.174144000004</v>
      </c>
      <c r="BD13" s="325">
        <v>72999.174144000004</v>
      </c>
      <c r="BE13" s="325">
        <v>72999.174144000004</v>
      </c>
      <c r="BF13" s="325">
        <v>72999.174144000004</v>
      </c>
      <c r="BG13" s="325">
        <v>72999.174144000004</v>
      </c>
      <c r="BH13" s="325">
        <v>72999.174144000004</v>
      </c>
      <c r="BI13" s="325">
        <v>72999.174144000004</v>
      </c>
      <c r="BJ13" s="325">
        <v>75919.141109760007</v>
      </c>
      <c r="BK13" s="325">
        <v>75919.141109760007</v>
      </c>
      <c r="BL13" s="325">
        <v>75919.141109760007</v>
      </c>
      <c r="BM13" s="325">
        <v>75919.141109760007</v>
      </c>
      <c r="BN13" s="325">
        <v>75919.141109760007</v>
      </c>
      <c r="BO13" s="325">
        <v>75919.141109760007</v>
      </c>
      <c r="BP13" s="325">
        <v>75919.141109760007</v>
      </c>
      <c r="BQ13" s="325">
        <v>75919.141109760007</v>
      </c>
      <c r="BR13" s="325">
        <v>75919.141109760007</v>
      </c>
      <c r="BS13" s="325">
        <v>75919.141109760007</v>
      </c>
      <c r="BT13" s="325">
        <v>75919.141109760007</v>
      </c>
      <c r="BU13" s="325">
        <v>75919.141109760007</v>
      </c>
      <c r="BV13" s="325">
        <v>78955.906754150405</v>
      </c>
      <c r="BW13" s="325">
        <v>78955.906754150405</v>
      </c>
      <c r="BX13" s="325">
        <v>78955.906754150405</v>
      </c>
      <c r="BY13" s="325">
        <v>78955.906754150405</v>
      </c>
      <c r="BZ13" s="325">
        <v>78955.906754150405</v>
      </c>
      <c r="CA13" s="325">
        <v>78955.906754150405</v>
      </c>
      <c r="CB13" s="325">
        <v>78955.906754150405</v>
      </c>
      <c r="CC13" s="325">
        <v>78955.906754150405</v>
      </c>
      <c r="CD13" s="325">
        <v>78955.906754150405</v>
      </c>
      <c r="CE13" s="325">
        <v>78955.906754150405</v>
      </c>
      <c r="CF13" s="325">
        <v>78955.906754150405</v>
      </c>
      <c r="CG13" s="325">
        <v>78955.906754150405</v>
      </c>
      <c r="CH13" s="325">
        <v>82114.143024316421</v>
      </c>
      <c r="CI13" s="325">
        <v>82114.143024316421</v>
      </c>
      <c r="CJ13" s="325">
        <v>82114.143024316421</v>
      </c>
      <c r="CK13" s="325">
        <v>82114.143024316421</v>
      </c>
      <c r="CL13" s="325">
        <v>82114.143024316421</v>
      </c>
      <c r="CM13" s="325">
        <v>82114.143024316421</v>
      </c>
      <c r="CN13" s="325">
        <v>82114.143024316421</v>
      </c>
      <c r="CO13" s="325">
        <v>82114.143024316421</v>
      </c>
      <c r="CP13" s="325">
        <v>82114.143024316421</v>
      </c>
      <c r="CQ13" s="325">
        <v>82114.143024316421</v>
      </c>
      <c r="CR13" s="325">
        <v>82114.143024316421</v>
      </c>
      <c r="CS13" s="325">
        <v>82114.143024316421</v>
      </c>
      <c r="CT13" s="325">
        <v>85398.708745289085</v>
      </c>
      <c r="CU13" s="325">
        <v>85398.708745289085</v>
      </c>
      <c r="CV13" s="325">
        <v>85398.708745289085</v>
      </c>
      <c r="CW13" s="325">
        <v>85398.708745289085</v>
      </c>
      <c r="CX13" s="325">
        <v>85398.708745289085</v>
      </c>
      <c r="CY13" s="325">
        <v>85398.708745289085</v>
      </c>
    </row>
    <row r="14" spans="1:103" ht="15">
      <c r="A14" s="319" t="s">
        <v>632</v>
      </c>
      <c r="B14" s="384" t="s">
        <v>663</v>
      </c>
      <c r="C14" s="384" t="s">
        <v>667</v>
      </c>
      <c r="D14" s="325">
        <v>72800</v>
      </c>
      <c r="E14" s="325">
        <v>72800</v>
      </c>
      <c r="F14" s="325">
        <v>72800</v>
      </c>
      <c r="G14" s="325">
        <v>72800</v>
      </c>
      <c r="H14" s="325">
        <v>72800</v>
      </c>
      <c r="I14" s="325">
        <v>72800</v>
      </c>
      <c r="J14" s="325">
        <v>72800</v>
      </c>
      <c r="K14" s="325">
        <v>72800</v>
      </c>
      <c r="L14" s="325">
        <v>72800</v>
      </c>
      <c r="M14" s="325">
        <v>72800</v>
      </c>
      <c r="N14" s="325">
        <v>75712</v>
      </c>
      <c r="O14" s="325">
        <v>75712</v>
      </c>
      <c r="P14" s="325">
        <v>75712</v>
      </c>
      <c r="Q14" s="325">
        <v>75712</v>
      </c>
      <c r="R14" s="325">
        <v>75712</v>
      </c>
      <c r="S14" s="325">
        <v>75712</v>
      </c>
      <c r="T14" s="325">
        <v>75712</v>
      </c>
      <c r="U14" s="325">
        <v>75712</v>
      </c>
      <c r="V14" s="325">
        <v>75712</v>
      </c>
      <c r="W14" s="325">
        <v>75712</v>
      </c>
      <c r="X14" s="325">
        <v>75712</v>
      </c>
      <c r="Y14" s="325">
        <v>75712</v>
      </c>
      <c r="Z14" s="325">
        <v>78740.479999999996</v>
      </c>
      <c r="AA14" s="325">
        <v>78740.479999999996</v>
      </c>
      <c r="AB14" s="325">
        <v>78740.479999999996</v>
      </c>
      <c r="AC14" s="325">
        <v>78740.479999999996</v>
      </c>
      <c r="AD14" s="325">
        <v>78740.479999999996</v>
      </c>
      <c r="AE14" s="325">
        <v>78740.479999999996</v>
      </c>
      <c r="AF14" s="325">
        <v>78740.479999999996</v>
      </c>
      <c r="AG14" s="325">
        <v>78740.479999999996</v>
      </c>
      <c r="AH14" s="325">
        <v>78740.479999999996</v>
      </c>
      <c r="AI14" s="325">
        <v>78740.479999999996</v>
      </c>
      <c r="AJ14" s="325">
        <v>78740.479999999996</v>
      </c>
      <c r="AK14" s="325">
        <v>78740.479999999996</v>
      </c>
      <c r="AL14" s="325">
        <v>81890.099199999997</v>
      </c>
      <c r="AM14" s="325">
        <v>81890.099199999997</v>
      </c>
      <c r="AN14" s="325">
        <v>81890.099199999997</v>
      </c>
      <c r="AO14" s="325">
        <v>81890.099199999997</v>
      </c>
      <c r="AP14" s="325">
        <v>81890.099199999997</v>
      </c>
      <c r="AQ14" s="325">
        <v>81890.099199999997</v>
      </c>
      <c r="AR14" s="325">
        <v>81890.099199999997</v>
      </c>
      <c r="AS14" s="325">
        <v>81890.099199999997</v>
      </c>
      <c r="AT14" s="325">
        <v>81890.099199999997</v>
      </c>
      <c r="AU14" s="325">
        <v>81890.099199999997</v>
      </c>
      <c r="AV14" s="325">
        <v>81890.099199999997</v>
      </c>
      <c r="AW14" s="325">
        <v>81890.099199999997</v>
      </c>
      <c r="AX14" s="325">
        <v>85165.703167999993</v>
      </c>
      <c r="AY14" s="325">
        <v>85165.703167999993</v>
      </c>
      <c r="AZ14" s="325">
        <v>85165.703167999993</v>
      </c>
      <c r="BA14" s="325">
        <v>85165.703167999993</v>
      </c>
      <c r="BB14" s="325">
        <v>85165.703167999993</v>
      </c>
      <c r="BC14" s="325">
        <v>85165.703167999993</v>
      </c>
      <c r="BD14" s="325">
        <v>85165.703167999993</v>
      </c>
      <c r="BE14" s="325">
        <v>85165.703167999993</v>
      </c>
      <c r="BF14" s="325">
        <v>85165.703167999993</v>
      </c>
      <c r="BG14" s="325">
        <v>85165.703167999993</v>
      </c>
      <c r="BH14" s="325">
        <v>85165.703167999993</v>
      </c>
      <c r="BI14" s="325">
        <v>85165.703167999993</v>
      </c>
      <c r="BJ14" s="325">
        <v>88572.331294719988</v>
      </c>
      <c r="BK14" s="325">
        <v>88572.331294719988</v>
      </c>
      <c r="BL14" s="325">
        <v>88572.331294719988</v>
      </c>
      <c r="BM14" s="325">
        <v>88572.331294719988</v>
      </c>
      <c r="BN14" s="325">
        <v>88572.331294719988</v>
      </c>
      <c r="BO14" s="325">
        <v>88572.331294719988</v>
      </c>
      <c r="BP14" s="325">
        <v>88572.331294719988</v>
      </c>
      <c r="BQ14" s="325">
        <v>88572.331294719988</v>
      </c>
      <c r="BR14" s="325">
        <v>88572.331294719988</v>
      </c>
      <c r="BS14" s="325">
        <v>88572.331294719988</v>
      </c>
      <c r="BT14" s="325">
        <v>88572.331294719988</v>
      </c>
      <c r="BU14" s="325">
        <v>88572.331294719988</v>
      </c>
      <c r="BV14" s="325">
        <v>92115.224546508791</v>
      </c>
      <c r="BW14" s="325">
        <v>92115.224546508791</v>
      </c>
      <c r="BX14" s="325">
        <v>92115.224546508791</v>
      </c>
      <c r="BY14" s="325">
        <v>92115.224546508791</v>
      </c>
      <c r="BZ14" s="325">
        <v>92115.224546508791</v>
      </c>
      <c r="CA14" s="325">
        <v>92115.224546508791</v>
      </c>
      <c r="CB14" s="325">
        <v>92115.224546508791</v>
      </c>
      <c r="CC14" s="325">
        <v>92115.224546508791</v>
      </c>
      <c r="CD14" s="325">
        <v>92115.224546508791</v>
      </c>
      <c r="CE14" s="325">
        <v>92115.224546508791</v>
      </c>
      <c r="CF14" s="325">
        <v>92115.224546508791</v>
      </c>
      <c r="CG14" s="325">
        <v>92115.224546508791</v>
      </c>
      <c r="CH14" s="325">
        <v>95799.833528369141</v>
      </c>
      <c r="CI14" s="325">
        <v>95799.833528369141</v>
      </c>
      <c r="CJ14" s="325">
        <v>95799.833528369141</v>
      </c>
      <c r="CK14" s="325">
        <v>95799.833528369141</v>
      </c>
      <c r="CL14" s="325">
        <v>95799.833528369141</v>
      </c>
      <c r="CM14" s="325">
        <v>95799.833528369141</v>
      </c>
      <c r="CN14" s="325">
        <v>95799.833528369141</v>
      </c>
      <c r="CO14" s="325">
        <v>95799.833528369141</v>
      </c>
      <c r="CP14" s="325">
        <v>95799.833528369141</v>
      </c>
      <c r="CQ14" s="325">
        <v>95799.833528369141</v>
      </c>
      <c r="CR14" s="325">
        <v>95799.833528369141</v>
      </c>
      <c r="CS14" s="325">
        <v>95799.833528369141</v>
      </c>
      <c r="CT14" s="325">
        <v>99631.826869503915</v>
      </c>
      <c r="CU14" s="325">
        <v>99631.826869503915</v>
      </c>
      <c r="CV14" s="325">
        <v>99631.826869503915</v>
      </c>
      <c r="CW14" s="325">
        <v>99631.826869503915</v>
      </c>
      <c r="CX14" s="325">
        <v>99631.826869503915</v>
      </c>
      <c r="CY14" s="325">
        <v>99631.826869503915</v>
      </c>
    </row>
    <row r="15" spans="1:103" ht="15">
      <c r="A15" s="319" t="s">
        <v>633</v>
      </c>
      <c r="B15" s="384" t="s">
        <v>663</v>
      </c>
      <c r="C15" s="384" t="s">
        <v>667</v>
      </c>
      <c r="D15" s="325">
        <v>62400</v>
      </c>
      <c r="E15" s="325">
        <v>62400</v>
      </c>
      <c r="F15" s="325">
        <v>62400</v>
      </c>
      <c r="G15" s="325">
        <v>62400</v>
      </c>
      <c r="H15" s="325">
        <v>62400</v>
      </c>
      <c r="I15" s="325">
        <v>62400</v>
      </c>
      <c r="J15" s="325">
        <v>62400</v>
      </c>
      <c r="K15" s="325">
        <v>62400</v>
      </c>
      <c r="L15" s="325">
        <v>62400</v>
      </c>
      <c r="M15" s="325">
        <v>62400</v>
      </c>
      <c r="N15" s="325">
        <v>64896</v>
      </c>
      <c r="O15" s="325">
        <v>64896</v>
      </c>
      <c r="P15" s="325">
        <v>64896</v>
      </c>
      <c r="Q15" s="325">
        <v>64896</v>
      </c>
      <c r="R15" s="325">
        <v>64896</v>
      </c>
      <c r="S15" s="325">
        <v>64896</v>
      </c>
      <c r="T15" s="325">
        <v>64896</v>
      </c>
      <c r="U15" s="325">
        <v>64896</v>
      </c>
      <c r="V15" s="325">
        <v>64896</v>
      </c>
      <c r="W15" s="325">
        <v>64896</v>
      </c>
      <c r="X15" s="325">
        <v>64896</v>
      </c>
      <c r="Y15" s="325">
        <v>64896</v>
      </c>
      <c r="Z15" s="325">
        <v>67491.839999999997</v>
      </c>
      <c r="AA15" s="325">
        <v>67491.839999999997</v>
      </c>
      <c r="AB15" s="325">
        <v>67491.839999999997</v>
      </c>
      <c r="AC15" s="325">
        <v>67491.839999999997</v>
      </c>
      <c r="AD15" s="325">
        <v>67491.839999999997</v>
      </c>
      <c r="AE15" s="325">
        <v>67491.839999999997</v>
      </c>
      <c r="AF15" s="325">
        <v>67491.839999999997</v>
      </c>
      <c r="AG15" s="325">
        <v>67491.839999999997</v>
      </c>
      <c r="AH15" s="325">
        <v>67491.839999999997</v>
      </c>
      <c r="AI15" s="325">
        <v>67491.839999999997</v>
      </c>
      <c r="AJ15" s="325">
        <v>67491.839999999997</v>
      </c>
      <c r="AK15" s="325">
        <v>67491.839999999997</v>
      </c>
      <c r="AL15" s="325">
        <v>70191.513600000006</v>
      </c>
      <c r="AM15" s="325">
        <v>70191.513600000006</v>
      </c>
      <c r="AN15" s="325">
        <v>70191.513600000006</v>
      </c>
      <c r="AO15" s="325">
        <v>70191.513600000006</v>
      </c>
      <c r="AP15" s="325">
        <v>70191.513600000006</v>
      </c>
      <c r="AQ15" s="325">
        <v>70191.513600000006</v>
      </c>
      <c r="AR15" s="325">
        <v>70191.513600000006</v>
      </c>
      <c r="AS15" s="325">
        <v>70191.513600000006</v>
      </c>
      <c r="AT15" s="325">
        <v>70191.513600000006</v>
      </c>
      <c r="AU15" s="325">
        <v>70191.513600000006</v>
      </c>
      <c r="AV15" s="325">
        <v>70191.513600000006</v>
      </c>
      <c r="AW15" s="325">
        <v>70191.513600000006</v>
      </c>
      <c r="AX15" s="325">
        <v>72999.174144000004</v>
      </c>
      <c r="AY15" s="325">
        <v>72999.174144000004</v>
      </c>
      <c r="AZ15" s="325">
        <v>72999.174144000004</v>
      </c>
      <c r="BA15" s="325">
        <v>72999.174144000004</v>
      </c>
      <c r="BB15" s="325">
        <v>72999.174144000004</v>
      </c>
      <c r="BC15" s="325">
        <v>72999.174144000004</v>
      </c>
      <c r="BD15" s="325">
        <v>72999.174144000004</v>
      </c>
      <c r="BE15" s="325">
        <v>72999.174144000004</v>
      </c>
      <c r="BF15" s="325">
        <v>72999.174144000004</v>
      </c>
      <c r="BG15" s="325">
        <v>72999.174144000004</v>
      </c>
      <c r="BH15" s="325">
        <v>72999.174144000004</v>
      </c>
      <c r="BI15" s="325">
        <v>72999.174144000004</v>
      </c>
      <c r="BJ15" s="325">
        <v>75919.141109760007</v>
      </c>
      <c r="BK15" s="325">
        <v>75919.141109760007</v>
      </c>
      <c r="BL15" s="325">
        <v>75919.141109760007</v>
      </c>
      <c r="BM15" s="325">
        <v>75919.141109760007</v>
      </c>
      <c r="BN15" s="325">
        <v>75919.141109760007</v>
      </c>
      <c r="BO15" s="325">
        <v>75919.141109760007</v>
      </c>
      <c r="BP15" s="325">
        <v>75919.141109760007</v>
      </c>
      <c r="BQ15" s="325">
        <v>75919.141109760007</v>
      </c>
      <c r="BR15" s="325">
        <v>75919.141109760007</v>
      </c>
      <c r="BS15" s="325">
        <v>75919.141109760007</v>
      </c>
      <c r="BT15" s="325">
        <v>75919.141109760007</v>
      </c>
      <c r="BU15" s="325">
        <v>75919.141109760007</v>
      </c>
      <c r="BV15" s="325">
        <v>78955.906754150405</v>
      </c>
      <c r="BW15" s="325">
        <v>78955.906754150405</v>
      </c>
      <c r="BX15" s="325">
        <v>78955.906754150405</v>
      </c>
      <c r="BY15" s="325">
        <v>78955.906754150405</v>
      </c>
      <c r="BZ15" s="325">
        <v>78955.906754150405</v>
      </c>
      <c r="CA15" s="325">
        <v>78955.906754150405</v>
      </c>
      <c r="CB15" s="325">
        <v>78955.906754150405</v>
      </c>
      <c r="CC15" s="325">
        <v>78955.906754150405</v>
      </c>
      <c r="CD15" s="325">
        <v>78955.906754150405</v>
      </c>
      <c r="CE15" s="325">
        <v>78955.906754150405</v>
      </c>
      <c r="CF15" s="325">
        <v>78955.906754150405</v>
      </c>
      <c r="CG15" s="325">
        <v>78955.906754150405</v>
      </c>
      <c r="CH15" s="325">
        <v>82114.143024316421</v>
      </c>
      <c r="CI15" s="325">
        <v>82114.143024316421</v>
      </c>
      <c r="CJ15" s="325">
        <v>82114.143024316421</v>
      </c>
      <c r="CK15" s="325">
        <v>82114.143024316421</v>
      </c>
      <c r="CL15" s="325">
        <v>82114.143024316421</v>
      </c>
      <c r="CM15" s="325">
        <v>82114.143024316421</v>
      </c>
      <c r="CN15" s="325">
        <v>82114.143024316421</v>
      </c>
      <c r="CO15" s="325">
        <v>82114.143024316421</v>
      </c>
      <c r="CP15" s="325">
        <v>82114.143024316421</v>
      </c>
      <c r="CQ15" s="325">
        <v>82114.143024316421</v>
      </c>
      <c r="CR15" s="325">
        <v>82114.143024316421</v>
      </c>
      <c r="CS15" s="325">
        <v>82114.143024316421</v>
      </c>
      <c r="CT15" s="325">
        <v>85398.708745289085</v>
      </c>
      <c r="CU15" s="325">
        <v>85398.708745289085</v>
      </c>
      <c r="CV15" s="325">
        <v>85398.708745289085</v>
      </c>
      <c r="CW15" s="325">
        <v>85398.708745289085</v>
      </c>
      <c r="CX15" s="325">
        <v>85398.708745289085</v>
      </c>
      <c r="CY15" s="325">
        <v>85398.708745289085</v>
      </c>
    </row>
    <row r="16" spans="1:103" ht="15">
      <c r="A16" s="319" t="s">
        <v>634</v>
      </c>
      <c r="B16" s="384" t="s">
        <v>663</v>
      </c>
      <c r="C16" s="384" t="s">
        <v>667</v>
      </c>
      <c r="D16" s="325">
        <v>72800</v>
      </c>
      <c r="E16" s="325">
        <v>72800</v>
      </c>
      <c r="F16" s="325">
        <v>72800</v>
      </c>
      <c r="G16" s="325">
        <v>72800</v>
      </c>
      <c r="H16" s="325">
        <v>72800</v>
      </c>
      <c r="I16" s="325">
        <v>72800</v>
      </c>
      <c r="J16" s="325">
        <v>72800</v>
      </c>
      <c r="K16" s="325">
        <v>72800</v>
      </c>
      <c r="L16" s="325">
        <v>72800</v>
      </c>
      <c r="M16" s="325">
        <v>72800</v>
      </c>
      <c r="N16" s="325">
        <v>75712</v>
      </c>
      <c r="O16" s="325">
        <v>75712</v>
      </c>
      <c r="P16" s="325">
        <v>75712</v>
      </c>
      <c r="Q16" s="325">
        <v>75712</v>
      </c>
      <c r="R16" s="325">
        <v>75712</v>
      </c>
      <c r="S16" s="325">
        <v>75712</v>
      </c>
      <c r="T16" s="325">
        <v>75712</v>
      </c>
      <c r="U16" s="325">
        <v>75712</v>
      </c>
      <c r="V16" s="325">
        <v>75712</v>
      </c>
      <c r="W16" s="325">
        <v>75712</v>
      </c>
      <c r="X16" s="325">
        <v>75712</v>
      </c>
      <c r="Y16" s="325">
        <v>75712</v>
      </c>
      <c r="Z16" s="325">
        <v>78740.479999999996</v>
      </c>
      <c r="AA16" s="325">
        <v>78740.479999999996</v>
      </c>
      <c r="AB16" s="325">
        <v>78740.479999999996</v>
      </c>
      <c r="AC16" s="325">
        <v>78740.479999999996</v>
      </c>
      <c r="AD16" s="325">
        <v>78740.479999999996</v>
      </c>
      <c r="AE16" s="325">
        <v>78740.479999999996</v>
      </c>
      <c r="AF16" s="325">
        <v>78740.479999999996</v>
      </c>
      <c r="AG16" s="325">
        <v>78740.479999999996</v>
      </c>
      <c r="AH16" s="325">
        <v>78740.479999999996</v>
      </c>
      <c r="AI16" s="325">
        <v>78740.479999999996</v>
      </c>
      <c r="AJ16" s="325">
        <v>78740.479999999996</v>
      </c>
      <c r="AK16" s="325">
        <v>78740.479999999996</v>
      </c>
      <c r="AL16" s="325">
        <v>81890.099199999997</v>
      </c>
      <c r="AM16" s="325">
        <v>81890.099199999997</v>
      </c>
      <c r="AN16" s="325">
        <v>81890.099199999997</v>
      </c>
      <c r="AO16" s="325">
        <v>81890.099199999997</v>
      </c>
      <c r="AP16" s="325">
        <v>81890.099199999997</v>
      </c>
      <c r="AQ16" s="325">
        <v>81890.099199999997</v>
      </c>
      <c r="AR16" s="325">
        <v>81890.099199999997</v>
      </c>
      <c r="AS16" s="325">
        <v>81890.099199999997</v>
      </c>
      <c r="AT16" s="325">
        <v>81890.099199999997</v>
      </c>
      <c r="AU16" s="325">
        <v>81890.099199999997</v>
      </c>
      <c r="AV16" s="325">
        <v>81890.099199999997</v>
      </c>
      <c r="AW16" s="325">
        <v>81890.099199999997</v>
      </c>
      <c r="AX16" s="325">
        <v>85165.703167999993</v>
      </c>
      <c r="AY16" s="325">
        <v>85165.703167999993</v>
      </c>
      <c r="AZ16" s="325">
        <v>85165.703167999993</v>
      </c>
      <c r="BA16" s="325">
        <v>85165.703167999993</v>
      </c>
      <c r="BB16" s="325">
        <v>85165.703167999993</v>
      </c>
      <c r="BC16" s="325">
        <v>85165.703167999993</v>
      </c>
      <c r="BD16" s="325">
        <v>85165.703167999993</v>
      </c>
      <c r="BE16" s="325">
        <v>85165.703167999993</v>
      </c>
      <c r="BF16" s="325">
        <v>85165.703167999993</v>
      </c>
      <c r="BG16" s="325">
        <v>85165.703167999993</v>
      </c>
      <c r="BH16" s="325">
        <v>85165.703167999993</v>
      </c>
      <c r="BI16" s="325">
        <v>85165.703167999993</v>
      </c>
      <c r="BJ16" s="325">
        <v>88572.331294719988</v>
      </c>
      <c r="BK16" s="325">
        <v>88572.331294719988</v>
      </c>
      <c r="BL16" s="325">
        <v>88572.331294719988</v>
      </c>
      <c r="BM16" s="325">
        <v>88572.331294719988</v>
      </c>
      <c r="BN16" s="325">
        <v>88572.331294719988</v>
      </c>
      <c r="BO16" s="325">
        <v>88572.331294719988</v>
      </c>
      <c r="BP16" s="325">
        <v>88572.331294719988</v>
      </c>
      <c r="BQ16" s="325">
        <v>88572.331294719988</v>
      </c>
      <c r="BR16" s="325">
        <v>88572.331294719988</v>
      </c>
      <c r="BS16" s="325">
        <v>88572.331294719988</v>
      </c>
      <c r="BT16" s="325">
        <v>88572.331294719988</v>
      </c>
      <c r="BU16" s="325">
        <v>88572.331294719988</v>
      </c>
      <c r="BV16" s="325">
        <v>92115.224546508791</v>
      </c>
      <c r="BW16" s="325">
        <v>92115.224546508791</v>
      </c>
      <c r="BX16" s="325">
        <v>92115.224546508791</v>
      </c>
      <c r="BY16" s="325">
        <v>92115.224546508791</v>
      </c>
      <c r="BZ16" s="325">
        <v>92115.224546508791</v>
      </c>
      <c r="CA16" s="325">
        <v>92115.224546508791</v>
      </c>
      <c r="CB16" s="325">
        <v>92115.224546508791</v>
      </c>
      <c r="CC16" s="325">
        <v>92115.224546508791</v>
      </c>
      <c r="CD16" s="325">
        <v>92115.224546508791</v>
      </c>
      <c r="CE16" s="325">
        <v>92115.224546508791</v>
      </c>
      <c r="CF16" s="325">
        <v>92115.224546508791</v>
      </c>
      <c r="CG16" s="325">
        <v>92115.224546508791</v>
      </c>
      <c r="CH16" s="325">
        <v>95799.833528369141</v>
      </c>
      <c r="CI16" s="325">
        <v>95799.833528369141</v>
      </c>
      <c r="CJ16" s="325">
        <v>95799.833528369141</v>
      </c>
      <c r="CK16" s="325">
        <v>95799.833528369141</v>
      </c>
      <c r="CL16" s="325">
        <v>95799.833528369141</v>
      </c>
      <c r="CM16" s="325">
        <v>95799.833528369141</v>
      </c>
      <c r="CN16" s="325">
        <v>95799.833528369141</v>
      </c>
      <c r="CO16" s="325">
        <v>95799.833528369141</v>
      </c>
      <c r="CP16" s="325">
        <v>95799.833528369141</v>
      </c>
      <c r="CQ16" s="325">
        <v>95799.833528369141</v>
      </c>
      <c r="CR16" s="325">
        <v>95799.833528369141</v>
      </c>
      <c r="CS16" s="325">
        <v>95799.833528369141</v>
      </c>
      <c r="CT16" s="325">
        <v>99631.826869503915</v>
      </c>
      <c r="CU16" s="325">
        <v>99631.826869503915</v>
      </c>
      <c r="CV16" s="325">
        <v>99631.826869503915</v>
      </c>
      <c r="CW16" s="325">
        <v>99631.826869503915</v>
      </c>
      <c r="CX16" s="325">
        <v>99631.826869503915</v>
      </c>
      <c r="CY16" s="325">
        <v>99631.826869503915</v>
      </c>
    </row>
    <row r="17" spans="1:103" ht="15">
      <c r="A17" s="319" t="s">
        <v>635</v>
      </c>
      <c r="B17" s="384" t="s">
        <v>663</v>
      </c>
      <c r="C17" s="384" t="s">
        <v>667</v>
      </c>
      <c r="D17" s="325">
        <v>210000</v>
      </c>
      <c r="E17" s="325">
        <v>210000</v>
      </c>
      <c r="F17" s="325">
        <v>210000</v>
      </c>
      <c r="G17" s="325">
        <v>210000</v>
      </c>
      <c r="H17" s="325">
        <v>210000</v>
      </c>
      <c r="I17" s="325">
        <v>210000</v>
      </c>
      <c r="J17" s="325">
        <v>210000</v>
      </c>
      <c r="K17" s="325">
        <v>210000</v>
      </c>
      <c r="L17" s="325">
        <v>210000</v>
      </c>
      <c r="M17" s="325">
        <v>210000</v>
      </c>
      <c r="N17" s="325">
        <v>218400</v>
      </c>
      <c r="O17" s="325">
        <v>218400</v>
      </c>
      <c r="P17" s="325">
        <v>218400</v>
      </c>
      <c r="Q17" s="325">
        <v>218400</v>
      </c>
      <c r="R17" s="325">
        <v>218400</v>
      </c>
      <c r="S17" s="325">
        <v>218400</v>
      </c>
      <c r="T17" s="325">
        <v>218400</v>
      </c>
      <c r="U17" s="325">
        <v>218400</v>
      </c>
      <c r="V17" s="325">
        <v>218400</v>
      </c>
      <c r="W17" s="325">
        <v>218400</v>
      </c>
      <c r="X17" s="325">
        <v>218400</v>
      </c>
      <c r="Y17" s="325">
        <v>218400</v>
      </c>
      <c r="Z17" s="325">
        <v>227136</v>
      </c>
      <c r="AA17" s="325">
        <v>227136</v>
      </c>
      <c r="AB17" s="325">
        <v>227136</v>
      </c>
      <c r="AC17" s="325">
        <v>227136</v>
      </c>
      <c r="AD17" s="325">
        <v>227136</v>
      </c>
      <c r="AE17" s="325">
        <v>227136</v>
      </c>
      <c r="AF17" s="325">
        <v>227136</v>
      </c>
      <c r="AG17" s="325">
        <v>227136</v>
      </c>
      <c r="AH17" s="325">
        <v>227136</v>
      </c>
      <c r="AI17" s="325">
        <v>227136</v>
      </c>
      <c r="AJ17" s="325">
        <v>227136</v>
      </c>
      <c r="AK17" s="325">
        <v>227136</v>
      </c>
      <c r="AL17" s="325">
        <v>236221.44</v>
      </c>
      <c r="AM17" s="325">
        <v>236221.44</v>
      </c>
      <c r="AN17" s="325">
        <v>236221.44</v>
      </c>
      <c r="AO17" s="325">
        <v>236221.44</v>
      </c>
      <c r="AP17" s="325">
        <v>236221.44</v>
      </c>
      <c r="AQ17" s="325">
        <v>236221.44</v>
      </c>
      <c r="AR17" s="325">
        <v>236221.44</v>
      </c>
      <c r="AS17" s="325">
        <v>236221.44</v>
      </c>
      <c r="AT17" s="325">
        <v>236221.44</v>
      </c>
      <c r="AU17" s="325">
        <v>236221.44</v>
      </c>
      <c r="AV17" s="325">
        <v>236221.44</v>
      </c>
      <c r="AW17" s="325">
        <v>236221.44</v>
      </c>
      <c r="AX17" s="325">
        <v>245670.29760000002</v>
      </c>
      <c r="AY17" s="325">
        <v>245670.29760000002</v>
      </c>
      <c r="AZ17" s="325">
        <v>245670.29760000002</v>
      </c>
      <c r="BA17" s="325">
        <v>245670.29760000002</v>
      </c>
      <c r="BB17" s="325">
        <v>245670.29760000002</v>
      </c>
      <c r="BC17" s="325">
        <v>245670.29760000002</v>
      </c>
      <c r="BD17" s="325">
        <v>245670.29760000002</v>
      </c>
      <c r="BE17" s="325">
        <v>245670.29760000002</v>
      </c>
      <c r="BF17" s="325">
        <v>245670.29760000002</v>
      </c>
      <c r="BG17" s="325">
        <v>245670.29760000002</v>
      </c>
      <c r="BH17" s="325">
        <v>245670.29760000002</v>
      </c>
      <c r="BI17" s="325">
        <v>245670.29760000002</v>
      </c>
      <c r="BJ17" s="325">
        <v>255497.10950400002</v>
      </c>
      <c r="BK17" s="325">
        <v>255497.10950400002</v>
      </c>
      <c r="BL17" s="325">
        <v>255497.10950400002</v>
      </c>
      <c r="BM17" s="325">
        <v>255497.10950400002</v>
      </c>
      <c r="BN17" s="325">
        <v>255497.10950400002</v>
      </c>
      <c r="BO17" s="325">
        <v>255497.10950400002</v>
      </c>
      <c r="BP17" s="325">
        <v>255497.10950400002</v>
      </c>
      <c r="BQ17" s="325">
        <v>255497.10950400002</v>
      </c>
      <c r="BR17" s="325">
        <v>255497.10950400002</v>
      </c>
      <c r="BS17" s="325">
        <v>255497.10950400002</v>
      </c>
      <c r="BT17" s="325">
        <v>255497.10950400002</v>
      </c>
      <c r="BU17" s="325">
        <v>255497.10950400002</v>
      </c>
      <c r="BV17" s="325">
        <v>265716.99388416001</v>
      </c>
      <c r="BW17" s="325">
        <v>265716.99388416001</v>
      </c>
      <c r="BX17" s="325">
        <v>265716.99388416001</v>
      </c>
      <c r="BY17" s="325">
        <v>265716.99388416001</v>
      </c>
      <c r="BZ17" s="325">
        <v>265716.99388416001</v>
      </c>
      <c r="CA17" s="325">
        <v>265716.99388416001</v>
      </c>
      <c r="CB17" s="325">
        <v>265716.99388416001</v>
      </c>
      <c r="CC17" s="325">
        <v>265716.99388416001</v>
      </c>
      <c r="CD17" s="325">
        <v>265716.99388416001</v>
      </c>
      <c r="CE17" s="325">
        <v>265716.99388416001</v>
      </c>
      <c r="CF17" s="325">
        <v>265716.99388416001</v>
      </c>
      <c r="CG17" s="325">
        <v>265716.99388416001</v>
      </c>
      <c r="CH17" s="325">
        <v>276345.67363952642</v>
      </c>
      <c r="CI17" s="325">
        <v>276345.67363952642</v>
      </c>
      <c r="CJ17" s="325">
        <v>276345.67363952642</v>
      </c>
      <c r="CK17" s="325">
        <v>276345.67363952642</v>
      </c>
      <c r="CL17" s="325">
        <v>276345.67363952642</v>
      </c>
      <c r="CM17" s="325">
        <v>276345.67363952642</v>
      </c>
      <c r="CN17" s="325">
        <v>276345.67363952642</v>
      </c>
      <c r="CO17" s="325">
        <v>276345.67363952642</v>
      </c>
      <c r="CP17" s="325">
        <v>276345.67363952642</v>
      </c>
      <c r="CQ17" s="325">
        <v>276345.67363952642</v>
      </c>
      <c r="CR17" s="325">
        <v>276345.67363952642</v>
      </c>
      <c r="CS17" s="325">
        <v>276345.67363952642</v>
      </c>
      <c r="CT17" s="325">
        <v>287399.50058510748</v>
      </c>
      <c r="CU17" s="325">
        <v>287399.50058510748</v>
      </c>
      <c r="CV17" s="325">
        <v>287399.50058510748</v>
      </c>
      <c r="CW17" s="325">
        <v>287399.50058510748</v>
      </c>
      <c r="CX17" s="325">
        <v>287399.50058510748</v>
      </c>
      <c r="CY17" s="325">
        <v>287399.50058510748</v>
      </c>
    </row>
    <row r="18" spans="1:103" ht="15">
      <c r="A18" s="319" t="s">
        <v>636</v>
      </c>
      <c r="B18" s="384" t="s">
        <v>663</v>
      </c>
      <c r="C18" s="384" t="s">
        <v>667</v>
      </c>
      <c r="D18" s="325">
        <v>150000</v>
      </c>
      <c r="E18" s="325">
        <v>150000</v>
      </c>
      <c r="F18" s="325">
        <v>150000</v>
      </c>
      <c r="G18" s="325">
        <v>150000</v>
      </c>
      <c r="H18" s="325">
        <v>150000</v>
      </c>
      <c r="I18" s="325">
        <v>150000</v>
      </c>
      <c r="J18" s="325">
        <v>150000</v>
      </c>
      <c r="K18" s="325">
        <v>150000</v>
      </c>
      <c r="L18" s="325">
        <v>150000</v>
      </c>
      <c r="M18" s="325">
        <v>150000</v>
      </c>
      <c r="N18" s="325">
        <v>156000</v>
      </c>
      <c r="O18" s="325">
        <v>156000</v>
      </c>
      <c r="P18" s="325">
        <v>156000</v>
      </c>
      <c r="Q18" s="325">
        <v>156000</v>
      </c>
      <c r="R18" s="325">
        <v>156000</v>
      </c>
      <c r="S18" s="325">
        <v>156000</v>
      </c>
      <c r="T18" s="325">
        <v>156000</v>
      </c>
      <c r="U18" s="325">
        <v>156000</v>
      </c>
      <c r="V18" s="325">
        <v>156000</v>
      </c>
      <c r="W18" s="325">
        <v>156000</v>
      </c>
      <c r="X18" s="325">
        <v>156000</v>
      </c>
      <c r="Y18" s="325">
        <v>156000</v>
      </c>
      <c r="Z18" s="325">
        <v>162240</v>
      </c>
      <c r="AA18" s="325">
        <v>162240</v>
      </c>
      <c r="AB18" s="325">
        <v>162240</v>
      </c>
      <c r="AC18" s="325">
        <v>162240</v>
      </c>
      <c r="AD18" s="325">
        <v>162240</v>
      </c>
      <c r="AE18" s="325">
        <v>162240</v>
      </c>
      <c r="AF18" s="325">
        <v>162240</v>
      </c>
      <c r="AG18" s="325">
        <v>162240</v>
      </c>
      <c r="AH18" s="325">
        <v>162240</v>
      </c>
      <c r="AI18" s="325">
        <v>162240</v>
      </c>
      <c r="AJ18" s="325">
        <v>162240</v>
      </c>
      <c r="AK18" s="325">
        <v>162240</v>
      </c>
      <c r="AL18" s="325">
        <v>168729.60000000001</v>
      </c>
      <c r="AM18" s="325">
        <v>168729.60000000001</v>
      </c>
      <c r="AN18" s="325">
        <v>168729.60000000001</v>
      </c>
      <c r="AO18" s="325">
        <v>168729.60000000001</v>
      </c>
      <c r="AP18" s="325">
        <v>168729.60000000001</v>
      </c>
      <c r="AQ18" s="325">
        <v>168729.60000000001</v>
      </c>
      <c r="AR18" s="325">
        <v>168729.60000000001</v>
      </c>
      <c r="AS18" s="325">
        <v>168729.60000000001</v>
      </c>
      <c r="AT18" s="325">
        <v>168729.60000000001</v>
      </c>
      <c r="AU18" s="325">
        <v>168729.60000000001</v>
      </c>
      <c r="AV18" s="325">
        <v>168729.60000000001</v>
      </c>
      <c r="AW18" s="325">
        <v>168729.60000000001</v>
      </c>
      <c r="AX18" s="325">
        <v>175478.78400000001</v>
      </c>
      <c r="AY18" s="325">
        <v>175478.78400000001</v>
      </c>
      <c r="AZ18" s="325">
        <v>175478.78400000001</v>
      </c>
      <c r="BA18" s="325">
        <v>175478.78400000001</v>
      </c>
      <c r="BB18" s="325">
        <v>175478.78400000001</v>
      </c>
      <c r="BC18" s="325">
        <v>175478.78400000001</v>
      </c>
      <c r="BD18" s="325">
        <v>175478.78400000001</v>
      </c>
      <c r="BE18" s="325">
        <v>175478.78400000001</v>
      </c>
      <c r="BF18" s="325">
        <v>175478.78400000001</v>
      </c>
      <c r="BG18" s="325">
        <v>175478.78400000001</v>
      </c>
      <c r="BH18" s="325">
        <v>175478.78400000001</v>
      </c>
      <c r="BI18" s="325">
        <v>175478.78400000001</v>
      </c>
      <c r="BJ18" s="325">
        <v>182497.93536000003</v>
      </c>
      <c r="BK18" s="325">
        <v>182497.93536000003</v>
      </c>
      <c r="BL18" s="325">
        <v>182497.93536000003</v>
      </c>
      <c r="BM18" s="325">
        <v>182497.93536000003</v>
      </c>
      <c r="BN18" s="325">
        <v>182497.93536000003</v>
      </c>
      <c r="BO18" s="325">
        <v>182497.93536000003</v>
      </c>
      <c r="BP18" s="325">
        <v>182497.93536000003</v>
      </c>
      <c r="BQ18" s="325">
        <v>182497.93536000003</v>
      </c>
      <c r="BR18" s="325">
        <v>182497.93536000003</v>
      </c>
      <c r="BS18" s="325">
        <v>182497.93536000003</v>
      </c>
      <c r="BT18" s="325">
        <v>182497.93536000003</v>
      </c>
      <c r="BU18" s="325">
        <v>182497.93536000003</v>
      </c>
      <c r="BV18" s="325">
        <v>189797.85277440003</v>
      </c>
      <c r="BW18" s="325">
        <v>189797.85277440003</v>
      </c>
      <c r="BX18" s="325">
        <v>189797.85277440003</v>
      </c>
      <c r="BY18" s="325">
        <v>189797.85277440003</v>
      </c>
      <c r="BZ18" s="325">
        <v>189797.85277440003</v>
      </c>
      <c r="CA18" s="325">
        <v>189797.85277440003</v>
      </c>
      <c r="CB18" s="325">
        <v>189797.85277440003</v>
      </c>
      <c r="CC18" s="325">
        <v>189797.85277440003</v>
      </c>
      <c r="CD18" s="325">
        <v>189797.85277440003</v>
      </c>
      <c r="CE18" s="325">
        <v>189797.85277440003</v>
      </c>
      <c r="CF18" s="325">
        <v>189797.85277440003</v>
      </c>
      <c r="CG18" s="325">
        <v>189797.85277440003</v>
      </c>
      <c r="CH18" s="325">
        <v>197389.76688537604</v>
      </c>
      <c r="CI18" s="325">
        <v>197389.76688537604</v>
      </c>
      <c r="CJ18" s="325">
        <v>197389.76688537604</v>
      </c>
      <c r="CK18" s="325">
        <v>197389.76688537604</v>
      </c>
      <c r="CL18" s="325">
        <v>197389.76688537604</v>
      </c>
      <c r="CM18" s="325">
        <v>197389.76688537604</v>
      </c>
      <c r="CN18" s="325">
        <v>197389.76688537604</v>
      </c>
      <c r="CO18" s="325">
        <v>197389.76688537604</v>
      </c>
      <c r="CP18" s="325">
        <v>197389.76688537604</v>
      </c>
      <c r="CQ18" s="325">
        <v>197389.76688537604</v>
      </c>
      <c r="CR18" s="325">
        <v>197389.76688537604</v>
      </c>
      <c r="CS18" s="325">
        <v>197389.76688537604</v>
      </c>
      <c r="CT18" s="325">
        <v>205285.35756079108</v>
      </c>
      <c r="CU18" s="325">
        <v>205285.35756079108</v>
      </c>
      <c r="CV18" s="325">
        <v>205285.35756079108</v>
      </c>
      <c r="CW18" s="325">
        <v>205285.35756079108</v>
      </c>
      <c r="CX18" s="325">
        <v>205285.35756079108</v>
      </c>
      <c r="CY18" s="325">
        <v>205285.35756079108</v>
      </c>
    </row>
    <row r="19" spans="1:103" ht="15">
      <c r="A19" s="319" t="s">
        <v>637</v>
      </c>
      <c r="B19" s="384" t="s">
        <v>663</v>
      </c>
      <c r="C19" s="384" t="s">
        <v>668</v>
      </c>
      <c r="D19" s="325">
        <v>231000.00000000003</v>
      </c>
      <c r="E19" s="325">
        <v>231000.00000000003</v>
      </c>
      <c r="F19" s="325">
        <v>231000.00000000003</v>
      </c>
      <c r="G19" s="325">
        <v>254100.00000000006</v>
      </c>
      <c r="H19" s="325">
        <v>254100.00000000006</v>
      </c>
      <c r="I19" s="325">
        <v>254100.00000000006</v>
      </c>
      <c r="J19" s="325">
        <v>254100.00000000006</v>
      </c>
      <c r="K19" s="325">
        <v>254100.00000000006</v>
      </c>
      <c r="L19" s="325">
        <v>254100.00000000006</v>
      </c>
      <c r="M19" s="325">
        <v>254100.00000000006</v>
      </c>
      <c r="N19" s="325">
        <v>254100.00000000006</v>
      </c>
      <c r="O19" s="325">
        <v>254100.00000000006</v>
      </c>
      <c r="P19" s="325">
        <v>254100.00000000006</v>
      </c>
      <c r="Q19" s="325">
        <v>254100.00000000006</v>
      </c>
      <c r="R19" s="325">
        <v>254100.00000000006</v>
      </c>
      <c r="S19" s="325">
        <v>279510.00000000006</v>
      </c>
      <c r="T19" s="325">
        <v>279510.00000000006</v>
      </c>
      <c r="U19" s="325">
        <v>279510.00000000006</v>
      </c>
      <c r="V19" s="325">
        <v>279510.00000000006</v>
      </c>
      <c r="W19" s="325">
        <v>279510.00000000006</v>
      </c>
      <c r="X19" s="325">
        <v>279510.00000000006</v>
      </c>
      <c r="Y19" s="325">
        <v>279510.00000000006</v>
      </c>
      <c r="Z19" s="325">
        <v>279510.00000000006</v>
      </c>
      <c r="AA19" s="325">
        <v>279510.00000000006</v>
      </c>
      <c r="AB19" s="325">
        <v>279510.00000000006</v>
      </c>
      <c r="AC19" s="325">
        <v>279510.00000000006</v>
      </c>
      <c r="AD19" s="325">
        <v>279510.00000000006</v>
      </c>
      <c r="AE19" s="325">
        <v>307461.00000000012</v>
      </c>
      <c r="AF19" s="325">
        <v>307461.00000000012</v>
      </c>
      <c r="AG19" s="325">
        <v>307461.00000000012</v>
      </c>
      <c r="AH19" s="325">
        <v>307461.00000000012</v>
      </c>
      <c r="AI19" s="325">
        <v>307461.00000000012</v>
      </c>
      <c r="AJ19" s="325">
        <v>307461.00000000012</v>
      </c>
      <c r="AK19" s="325">
        <v>307461.00000000012</v>
      </c>
      <c r="AL19" s="325">
        <v>307461.00000000012</v>
      </c>
      <c r="AM19" s="325">
        <v>307461.00000000012</v>
      </c>
      <c r="AN19" s="325">
        <v>307461.00000000012</v>
      </c>
      <c r="AO19" s="325">
        <v>307461.00000000012</v>
      </c>
      <c r="AP19" s="325">
        <v>307461.00000000012</v>
      </c>
      <c r="AQ19" s="325">
        <v>338207.10000000015</v>
      </c>
      <c r="AR19" s="325">
        <v>338207.10000000015</v>
      </c>
      <c r="AS19" s="325">
        <v>338207.10000000015</v>
      </c>
      <c r="AT19" s="325">
        <v>338207.10000000015</v>
      </c>
      <c r="AU19" s="325">
        <v>338207.10000000015</v>
      </c>
      <c r="AV19" s="325">
        <v>338207.10000000015</v>
      </c>
      <c r="AW19" s="325">
        <v>338207.10000000015</v>
      </c>
      <c r="AX19" s="325">
        <v>338207.10000000015</v>
      </c>
      <c r="AY19" s="325">
        <v>338207.10000000015</v>
      </c>
      <c r="AZ19" s="325">
        <v>338207.10000000015</v>
      </c>
      <c r="BA19" s="325">
        <v>338207.10000000015</v>
      </c>
      <c r="BB19" s="325">
        <v>338207.10000000015</v>
      </c>
      <c r="BC19" s="325">
        <v>372027.81000000017</v>
      </c>
      <c r="BD19" s="325">
        <v>372027.81000000017</v>
      </c>
      <c r="BE19" s="325">
        <v>372027.81000000017</v>
      </c>
      <c r="BF19" s="325">
        <v>372027.81000000017</v>
      </c>
      <c r="BG19" s="325">
        <v>372027.81000000017</v>
      </c>
      <c r="BH19" s="325">
        <v>372027.81000000017</v>
      </c>
      <c r="BI19" s="325">
        <v>372027.81000000017</v>
      </c>
      <c r="BJ19" s="325">
        <v>372027.81000000017</v>
      </c>
      <c r="BK19" s="325">
        <v>372027.81000000017</v>
      </c>
      <c r="BL19" s="325">
        <v>372027.81000000017</v>
      </c>
      <c r="BM19" s="325">
        <v>372027.81000000017</v>
      </c>
      <c r="BN19" s="325">
        <v>372027.81000000017</v>
      </c>
      <c r="BO19" s="325">
        <v>409230.59100000025</v>
      </c>
      <c r="BP19" s="325">
        <v>409230.59100000025</v>
      </c>
      <c r="BQ19" s="325">
        <v>409230.59100000025</v>
      </c>
      <c r="BR19" s="325">
        <v>409230.59100000025</v>
      </c>
      <c r="BS19" s="325">
        <v>409230.59100000025</v>
      </c>
      <c r="BT19" s="325">
        <v>409230.59100000025</v>
      </c>
      <c r="BU19" s="325">
        <v>409230.59100000025</v>
      </c>
      <c r="BV19" s="325">
        <v>409230.59100000025</v>
      </c>
      <c r="BW19" s="325">
        <v>409230.59100000025</v>
      </c>
      <c r="BX19" s="325">
        <v>409230.59100000025</v>
      </c>
      <c r="BY19" s="325">
        <v>409230.59100000025</v>
      </c>
      <c r="BZ19" s="325">
        <v>409230.59100000025</v>
      </c>
      <c r="CA19" s="325">
        <v>450153.65010000032</v>
      </c>
      <c r="CB19" s="325">
        <v>450153.65010000032</v>
      </c>
      <c r="CC19" s="325">
        <v>450153.65010000032</v>
      </c>
      <c r="CD19" s="325">
        <v>450153.65010000032</v>
      </c>
      <c r="CE19" s="325">
        <v>450153.65010000032</v>
      </c>
      <c r="CF19" s="325">
        <v>450153.65010000032</v>
      </c>
      <c r="CG19" s="325">
        <v>450153.65010000032</v>
      </c>
      <c r="CH19" s="325">
        <v>450153.65010000032</v>
      </c>
      <c r="CI19" s="325">
        <v>450153.65010000032</v>
      </c>
      <c r="CJ19" s="325">
        <v>450153.65010000032</v>
      </c>
      <c r="CK19" s="325">
        <v>450153.65010000032</v>
      </c>
      <c r="CL19" s="325">
        <v>450153.65010000032</v>
      </c>
      <c r="CM19" s="325">
        <v>495169.01511000039</v>
      </c>
      <c r="CN19" s="325">
        <v>495169.01511000039</v>
      </c>
      <c r="CO19" s="325">
        <v>495169.01511000039</v>
      </c>
      <c r="CP19" s="325">
        <v>495169.01511000039</v>
      </c>
      <c r="CQ19" s="325">
        <v>495169.01511000039</v>
      </c>
      <c r="CR19" s="325">
        <v>495169.01511000039</v>
      </c>
      <c r="CS19" s="325">
        <v>495169.01511000039</v>
      </c>
      <c r="CT19" s="325">
        <v>495169.01511000039</v>
      </c>
      <c r="CU19" s="325">
        <v>495169.01511000039</v>
      </c>
      <c r="CV19" s="325">
        <v>495169.01511000039</v>
      </c>
      <c r="CW19" s="325">
        <v>495169.01511000039</v>
      </c>
      <c r="CX19" s="325">
        <v>495169.01511000039</v>
      </c>
      <c r="CY19" s="325">
        <v>544685.91662100051</v>
      </c>
    </row>
    <row r="20" spans="1:103" ht="15">
      <c r="A20" s="319" t="s">
        <v>638</v>
      </c>
      <c r="B20" s="384" t="s">
        <v>663</v>
      </c>
      <c r="C20" s="384" t="s">
        <v>668</v>
      </c>
      <c r="D20" s="325">
        <v>238831.99999999997</v>
      </c>
      <c r="E20" s="325">
        <v>238831.99999999997</v>
      </c>
      <c r="F20" s="325">
        <v>238831.99999999997</v>
      </c>
      <c r="G20" s="325">
        <v>238831.99999999997</v>
      </c>
      <c r="H20" s="325">
        <v>238831.99999999997</v>
      </c>
      <c r="I20" s="325">
        <v>238831.99999999997</v>
      </c>
      <c r="J20" s="325">
        <v>238831.99999999997</v>
      </c>
      <c r="K20" s="325">
        <v>238831.99999999997</v>
      </c>
      <c r="L20" s="325">
        <v>238831.99999999997</v>
      </c>
      <c r="M20" s="325">
        <v>238831.99999999997</v>
      </c>
      <c r="N20" s="325">
        <v>262715.2</v>
      </c>
      <c r="O20" s="325">
        <v>262715.2</v>
      </c>
      <c r="P20" s="325">
        <v>262715.2</v>
      </c>
      <c r="Q20" s="325">
        <v>262715.2</v>
      </c>
      <c r="R20" s="325">
        <v>262715.2</v>
      </c>
      <c r="S20" s="325">
        <v>262715.2</v>
      </c>
      <c r="T20" s="325">
        <v>262715.2</v>
      </c>
      <c r="U20" s="325">
        <v>262715.2</v>
      </c>
      <c r="V20" s="325">
        <v>262715.2</v>
      </c>
      <c r="W20" s="325">
        <v>262715.2</v>
      </c>
      <c r="X20" s="325">
        <v>262715.2</v>
      </c>
      <c r="Y20" s="325">
        <v>262715.2</v>
      </c>
      <c r="Z20" s="325">
        <v>288986.72000000003</v>
      </c>
      <c r="AA20" s="325">
        <v>288986.72000000003</v>
      </c>
      <c r="AB20" s="325">
        <v>288986.72000000003</v>
      </c>
      <c r="AC20" s="325">
        <v>288986.72000000003</v>
      </c>
      <c r="AD20" s="325">
        <v>288986.72000000003</v>
      </c>
      <c r="AE20" s="325">
        <v>288986.72000000003</v>
      </c>
      <c r="AF20" s="325">
        <v>288986.72000000003</v>
      </c>
      <c r="AG20" s="325">
        <v>288986.72000000003</v>
      </c>
      <c r="AH20" s="325">
        <v>288986.72000000003</v>
      </c>
      <c r="AI20" s="325">
        <v>288986.72000000003</v>
      </c>
      <c r="AJ20" s="325">
        <v>288986.72000000003</v>
      </c>
      <c r="AK20" s="325">
        <v>288986.72000000003</v>
      </c>
      <c r="AL20" s="325">
        <v>317885.39200000005</v>
      </c>
      <c r="AM20" s="325">
        <v>317885.39200000005</v>
      </c>
      <c r="AN20" s="325">
        <v>317885.39200000005</v>
      </c>
      <c r="AO20" s="325">
        <v>317885.39200000005</v>
      </c>
      <c r="AP20" s="325">
        <v>317885.39200000005</v>
      </c>
      <c r="AQ20" s="325">
        <v>317885.39200000005</v>
      </c>
      <c r="AR20" s="325">
        <v>317885.39200000005</v>
      </c>
      <c r="AS20" s="325">
        <v>317885.39200000005</v>
      </c>
      <c r="AT20" s="325">
        <v>317885.39200000005</v>
      </c>
      <c r="AU20" s="325">
        <v>317885.39200000005</v>
      </c>
      <c r="AV20" s="325">
        <v>317885.39200000005</v>
      </c>
      <c r="AW20" s="325">
        <v>317885.39200000005</v>
      </c>
      <c r="AX20" s="325">
        <v>349673.93120000011</v>
      </c>
      <c r="AY20" s="325">
        <v>349673.93120000011</v>
      </c>
      <c r="AZ20" s="325">
        <v>349673.93120000011</v>
      </c>
      <c r="BA20" s="325">
        <v>349673.93120000011</v>
      </c>
      <c r="BB20" s="325">
        <v>349673.93120000011</v>
      </c>
      <c r="BC20" s="325">
        <v>349673.93120000011</v>
      </c>
      <c r="BD20" s="325">
        <v>349673.93120000011</v>
      </c>
      <c r="BE20" s="325">
        <v>349673.93120000011</v>
      </c>
      <c r="BF20" s="325">
        <v>349673.93120000011</v>
      </c>
      <c r="BG20" s="325">
        <v>349673.93120000011</v>
      </c>
      <c r="BH20" s="325">
        <v>349673.93120000011</v>
      </c>
      <c r="BI20" s="325">
        <v>349673.93120000011</v>
      </c>
      <c r="BJ20" s="325">
        <v>384641.32432000013</v>
      </c>
      <c r="BK20" s="325">
        <v>384641.32432000013</v>
      </c>
      <c r="BL20" s="325">
        <v>384641.32432000013</v>
      </c>
      <c r="BM20" s="325">
        <v>384641.32432000013</v>
      </c>
      <c r="BN20" s="325">
        <v>384641.32432000013</v>
      </c>
      <c r="BO20" s="325">
        <v>384641.32432000013</v>
      </c>
      <c r="BP20" s="325">
        <v>384641.32432000013</v>
      </c>
      <c r="BQ20" s="325">
        <v>384641.32432000013</v>
      </c>
      <c r="BR20" s="325">
        <v>384641.32432000013</v>
      </c>
      <c r="BS20" s="325">
        <v>384641.32432000013</v>
      </c>
      <c r="BT20" s="325">
        <v>384641.32432000013</v>
      </c>
      <c r="BU20" s="325">
        <v>384641.32432000013</v>
      </c>
      <c r="BV20" s="325">
        <v>423105.4567520002</v>
      </c>
      <c r="BW20" s="325">
        <v>423105.4567520002</v>
      </c>
      <c r="BX20" s="325">
        <v>423105.4567520002</v>
      </c>
      <c r="BY20" s="325">
        <v>423105.4567520002</v>
      </c>
      <c r="BZ20" s="325">
        <v>423105.4567520002</v>
      </c>
      <c r="CA20" s="325">
        <v>423105.4567520002</v>
      </c>
      <c r="CB20" s="325">
        <v>423105.4567520002</v>
      </c>
      <c r="CC20" s="325">
        <v>423105.4567520002</v>
      </c>
      <c r="CD20" s="325">
        <v>423105.4567520002</v>
      </c>
      <c r="CE20" s="325">
        <v>423105.4567520002</v>
      </c>
      <c r="CF20" s="325">
        <v>423105.4567520002</v>
      </c>
      <c r="CG20" s="325">
        <v>423105.4567520002</v>
      </c>
      <c r="CH20" s="325">
        <v>465416.00242720026</v>
      </c>
      <c r="CI20" s="325">
        <v>465416.00242720026</v>
      </c>
      <c r="CJ20" s="325">
        <v>465416.00242720026</v>
      </c>
      <c r="CK20" s="325">
        <v>465416.00242720026</v>
      </c>
      <c r="CL20" s="325">
        <v>465416.00242720026</v>
      </c>
      <c r="CM20" s="325">
        <v>465416.00242720026</v>
      </c>
      <c r="CN20" s="325">
        <v>465416.00242720026</v>
      </c>
      <c r="CO20" s="325">
        <v>465416.00242720026</v>
      </c>
      <c r="CP20" s="325">
        <v>465416.00242720026</v>
      </c>
      <c r="CQ20" s="325">
        <v>465416.00242720026</v>
      </c>
      <c r="CR20" s="325">
        <v>465416.00242720026</v>
      </c>
      <c r="CS20" s="325">
        <v>465416.00242720026</v>
      </c>
      <c r="CT20" s="325">
        <v>511957.60266992031</v>
      </c>
      <c r="CU20" s="325">
        <v>511957.60266992031</v>
      </c>
      <c r="CV20" s="325">
        <v>511957.60266992031</v>
      </c>
      <c r="CW20" s="325">
        <v>511957.60266992031</v>
      </c>
      <c r="CX20" s="325">
        <v>511957.60266992031</v>
      </c>
      <c r="CY20" s="325">
        <v>511957.60266992031</v>
      </c>
    </row>
    <row r="21" spans="1:103" ht="15">
      <c r="A21" s="319" t="s">
        <v>639</v>
      </c>
      <c r="B21" s="384" t="s">
        <v>663</v>
      </c>
      <c r="C21" s="384" t="s">
        <v>668</v>
      </c>
      <c r="D21" s="325">
        <v>118800.00000000001</v>
      </c>
      <c r="E21" s="325">
        <v>118800.00000000001</v>
      </c>
      <c r="F21" s="325">
        <v>118800.00000000001</v>
      </c>
      <c r="G21" s="325">
        <v>118800.00000000001</v>
      </c>
      <c r="H21" s="325">
        <v>118800.00000000001</v>
      </c>
      <c r="I21" s="325">
        <v>118800.00000000001</v>
      </c>
      <c r="J21" s="325">
        <v>118800.00000000001</v>
      </c>
      <c r="K21" s="325">
        <v>118800.00000000001</v>
      </c>
      <c r="L21" s="325">
        <v>118800.00000000001</v>
      </c>
      <c r="M21" s="325">
        <v>118800.00000000001</v>
      </c>
      <c r="N21" s="325">
        <v>130680.00000000003</v>
      </c>
      <c r="O21" s="325">
        <v>130680.00000000003</v>
      </c>
      <c r="P21" s="325">
        <v>130680.00000000003</v>
      </c>
      <c r="Q21" s="325">
        <v>130680.00000000003</v>
      </c>
      <c r="R21" s="325">
        <v>130680.00000000003</v>
      </c>
      <c r="S21" s="325">
        <v>130680.00000000003</v>
      </c>
      <c r="T21" s="325">
        <v>130680.00000000003</v>
      </c>
      <c r="U21" s="325">
        <v>130680.00000000003</v>
      </c>
      <c r="V21" s="325">
        <v>130680.00000000003</v>
      </c>
      <c r="W21" s="325">
        <v>130680.00000000003</v>
      </c>
      <c r="X21" s="325">
        <v>130680.00000000003</v>
      </c>
      <c r="Y21" s="325">
        <v>130680.00000000003</v>
      </c>
      <c r="Z21" s="325">
        <v>143748.00000000003</v>
      </c>
      <c r="AA21" s="325">
        <v>143748.00000000003</v>
      </c>
      <c r="AB21" s="325">
        <v>143748.00000000003</v>
      </c>
      <c r="AC21" s="325">
        <v>143748.00000000003</v>
      </c>
      <c r="AD21" s="325">
        <v>143748.00000000003</v>
      </c>
      <c r="AE21" s="325">
        <v>143748.00000000003</v>
      </c>
      <c r="AF21" s="325">
        <v>143748.00000000003</v>
      </c>
      <c r="AG21" s="325">
        <v>143748.00000000003</v>
      </c>
      <c r="AH21" s="325">
        <v>143748.00000000003</v>
      </c>
      <c r="AI21" s="325">
        <v>143748.00000000003</v>
      </c>
      <c r="AJ21" s="325">
        <v>143748.00000000003</v>
      </c>
      <c r="AK21" s="325">
        <v>143748.00000000003</v>
      </c>
      <c r="AL21" s="325">
        <v>158122.80000000005</v>
      </c>
      <c r="AM21" s="325">
        <v>158122.80000000005</v>
      </c>
      <c r="AN21" s="325">
        <v>158122.80000000005</v>
      </c>
      <c r="AO21" s="325">
        <v>158122.80000000005</v>
      </c>
      <c r="AP21" s="325">
        <v>158122.80000000005</v>
      </c>
      <c r="AQ21" s="325">
        <v>158122.80000000005</v>
      </c>
      <c r="AR21" s="325">
        <v>158122.80000000005</v>
      </c>
      <c r="AS21" s="325">
        <v>158122.80000000005</v>
      </c>
      <c r="AT21" s="325">
        <v>158122.80000000005</v>
      </c>
      <c r="AU21" s="325">
        <v>158122.80000000005</v>
      </c>
      <c r="AV21" s="325">
        <v>158122.80000000005</v>
      </c>
      <c r="AW21" s="325">
        <v>158122.80000000005</v>
      </c>
      <c r="AX21" s="325">
        <v>173935.08000000007</v>
      </c>
      <c r="AY21" s="325">
        <v>173935.08000000007</v>
      </c>
      <c r="AZ21" s="325">
        <v>173935.08000000007</v>
      </c>
      <c r="BA21" s="325">
        <v>173935.08000000007</v>
      </c>
      <c r="BB21" s="325">
        <v>173935.08000000007</v>
      </c>
      <c r="BC21" s="325">
        <v>173935.08000000007</v>
      </c>
      <c r="BD21" s="325">
        <v>173935.08000000007</v>
      </c>
      <c r="BE21" s="325">
        <v>173935.08000000007</v>
      </c>
      <c r="BF21" s="325">
        <v>173935.08000000007</v>
      </c>
      <c r="BG21" s="325">
        <v>173935.08000000007</v>
      </c>
      <c r="BH21" s="325">
        <v>173935.08000000007</v>
      </c>
      <c r="BI21" s="325">
        <v>173935.08000000007</v>
      </c>
      <c r="BJ21" s="325">
        <v>191328.58800000011</v>
      </c>
      <c r="BK21" s="325">
        <v>191328.58800000011</v>
      </c>
      <c r="BL21" s="325">
        <v>191328.58800000011</v>
      </c>
      <c r="BM21" s="325">
        <v>191328.58800000011</v>
      </c>
      <c r="BN21" s="325">
        <v>191328.58800000011</v>
      </c>
      <c r="BO21" s="325">
        <v>191328.58800000011</v>
      </c>
      <c r="BP21" s="325">
        <v>191328.58800000011</v>
      </c>
      <c r="BQ21" s="325">
        <v>191328.58800000011</v>
      </c>
      <c r="BR21" s="325">
        <v>191328.58800000011</v>
      </c>
      <c r="BS21" s="325">
        <v>191328.58800000011</v>
      </c>
      <c r="BT21" s="325">
        <v>191328.58800000011</v>
      </c>
      <c r="BU21" s="325">
        <v>191328.58800000011</v>
      </c>
      <c r="BV21" s="325">
        <v>210461.44680000012</v>
      </c>
      <c r="BW21" s="325">
        <v>210461.44680000012</v>
      </c>
      <c r="BX21" s="325">
        <v>210461.44680000012</v>
      </c>
      <c r="BY21" s="325">
        <v>210461.44680000012</v>
      </c>
      <c r="BZ21" s="325">
        <v>210461.44680000012</v>
      </c>
      <c r="CA21" s="325">
        <v>210461.44680000012</v>
      </c>
      <c r="CB21" s="325">
        <v>210461.44680000012</v>
      </c>
      <c r="CC21" s="325">
        <v>210461.44680000012</v>
      </c>
      <c r="CD21" s="325">
        <v>210461.44680000012</v>
      </c>
      <c r="CE21" s="325">
        <v>210461.44680000012</v>
      </c>
      <c r="CF21" s="325">
        <v>210461.44680000012</v>
      </c>
      <c r="CG21" s="325">
        <v>210461.44680000012</v>
      </c>
      <c r="CH21" s="325">
        <v>231507.59148000015</v>
      </c>
      <c r="CI21" s="325">
        <v>231507.59148000015</v>
      </c>
      <c r="CJ21" s="325">
        <v>231507.59148000015</v>
      </c>
      <c r="CK21" s="325">
        <v>231507.59148000015</v>
      </c>
      <c r="CL21" s="325">
        <v>231507.59148000015</v>
      </c>
      <c r="CM21" s="325">
        <v>231507.59148000015</v>
      </c>
      <c r="CN21" s="325">
        <v>231507.59148000015</v>
      </c>
      <c r="CO21" s="325">
        <v>231507.59148000015</v>
      </c>
      <c r="CP21" s="325">
        <v>231507.59148000015</v>
      </c>
      <c r="CQ21" s="325">
        <v>231507.59148000015</v>
      </c>
      <c r="CR21" s="325">
        <v>231507.59148000015</v>
      </c>
      <c r="CS21" s="325">
        <v>231507.59148000015</v>
      </c>
      <c r="CT21" s="325">
        <v>254658.35062800019</v>
      </c>
      <c r="CU21" s="325">
        <v>254658.35062800019</v>
      </c>
      <c r="CV21" s="325">
        <v>254658.35062800019</v>
      </c>
      <c r="CW21" s="325">
        <v>254658.35062800019</v>
      </c>
      <c r="CX21" s="325">
        <v>254658.35062800019</v>
      </c>
      <c r="CY21" s="325">
        <v>254658.35062800019</v>
      </c>
    </row>
    <row r="22" spans="1:103" ht="15">
      <c r="A22" s="319" t="s">
        <v>669</v>
      </c>
      <c r="B22" s="384" t="s">
        <v>663</v>
      </c>
      <c r="C22" s="384" t="s">
        <v>665</v>
      </c>
      <c r="D22" s="325">
        <v>182000</v>
      </c>
      <c r="E22" s="325">
        <v>182000</v>
      </c>
      <c r="F22" s="325">
        <v>182000</v>
      </c>
      <c r="G22" s="325">
        <v>182000</v>
      </c>
      <c r="H22" s="325">
        <v>182000</v>
      </c>
      <c r="I22" s="325">
        <v>182000</v>
      </c>
      <c r="J22" s="325">
        <v>182000</v>
      </c>
      <c r="K22" s="325">
        <v>182000</v>
      </c>
      <c r="L22" s="325">
        <v>182000</v>
      </c>
      <c r="M22" s="325">
        <v>182000</v>
      </c>
      <c r="N22" s="325">
        <v>189280</v>
      </c>
      <c r="O22" s="325">
        <v>189280</v>
      </c>
      <c r="P22" s="325">
        <v>189280</v>
      </c>
      <c r="Q22" s="325">
        <v>189280</v>
      </c>
      <c r="R22" s="325">
        <v>189280</v>
      </c>
      <c r="S22" s="325">
        <v>189280</v>
      </c>
      <c r="T22" s="325">
        <v>189280</v>
      </c>
      <c r="U22" s="325">
        <v>189280</v>
      </c>
      <c r="V22" s="325">
        <v>189280</v>
      </c>
      <c r="W22" s="325">
        <v>189280</v>
      </c>
      <c r="X22" s="325">
        <v>189280</v>
      </c>
      <c r="Y22" s="325">
        <v>189280</v>
      </c>
      <c r="Z22" s="325">
        <v>196851.20000000001</v>
      </c>
      <c r="AA22" s="325">
        <v>196851.20000000001</v>
      </c>
      <c r="AB22" s="325">
        <v>196851.20000000001</v>
      </c>
      <c r="AC22" s="325">
        <v>196851.20000000001</v>
      </c>
      <c r="AD22" s="325">
        <v>196851.20000000001</v>
      </c>
      <c r="AE22" s="325">
        <v>196851.20000000001</v>
      </c>
      <c r="AF22" s="325">
        <v>196851.20000000001</v>
      </c>
      <c r="AG22" s="325">
        <v>196851.20000000001</v>
      </c>
      <c r="AH22" s="325">
        <v>196851.20000000001</v>
      </c>
      <c r="AI22" s="325">
        <v>196851.20000000001</v>
      </c>
      <c r="AJ22" s="325">
        <v>196851.20000000001</v>
      </c>
      <c r="AK22" s="325">
        <v>196851.20000000001</v>
      </c>
      <c r="AL22" s="325">
        <v>204725.24800000002</v>
      </c>
      <c r="AM22" s="325">
        <v>204725.24800000002</v>
      </c>
      <c r="AN22" s="325">
        <v>204725.24800000002</v>
      </c>
      <c r="AO22" s="325">
        <v>204725.24800000002</v>
      </c>
      <c r="AP22" s="325">
        <v>204725.24800000002</v>
      </c>
      <c r="AQ22" s="325">
        <v>204725.24800000002</v>
      </c>
      <c r="AR22" s="325">
        <v>204725.24800000002</v>
      </c>
      <c r="AS22" s="325">
        <v>204725.24800000002</v>
      </c>
      <c r="AT22" s="325">
        <v>204725.24800000002</v>
      </c>
      <c r="AU22" s="325">
        <v>204725.24800000002</v>
      </c>
      <c r="AV22" s="325">
        <v>204725.24800000002</v>
      </c>
      <c r="AW22" s="325">
        <v>204725.24800000002</v>
      </c>
      <c r="AX22" s="325">
        <v>212914.25792000003</v>
      </c>
      <c r="AY22" s="325">
        <v>212914.25792000003</v>
      </c>
      <c r="AZ22" s="325">
        <v>212914.25792000003</v>
      </c>
      <c r="BA22" s="325">
        <v>212914.25792000003</v>
      </c>
      <c r="BB22" s="325">
        <v>212914.25792000003</v>
      </c>
      <c r="BC22" s="325">
        <v>212914.25792000003</v>
      </c>
      <c r="BD22" s="325">
        <v>212914.25792000003</v>
      </c>
      <c r="BE22" s="325">
        <v>212914.25792000003</v>
      </c>
      <c r="BF22" s="325">
        <v>212914.25792000003</v>
      </c>
      <c r="BG22" s="325">
        <v>212914.25792000003</v>
      </c>
      <c r="BH22" s="325">
        <v>212914.25792000003</v>
      </c>
      <c r="BI22" s="325">
        <v>212914.25792000003</v>
      </c>
      <c r="BJ22" s="325">
        <v>221430.82823680004</v>
      </c>
      <c r="BK22" s="325">
        <v>221430.82823680004</v>
      </c>
      <c r="BL22" s="325">
        <v>221430.82823680004</v>
      </c>
      <c r="BM22" s="325">
        <v>221430.82823680004</v>
      </c>
      <c r="BN22" s="325">
        <v>221430.82823680004</v>
      </c>
      <c r="BO22" s="325">
        <v>221430.82823680004</v>
      </c>
      <c r="BP22" s="325">
        <v>221430.82823680004</v>
      </c>
      <c r="BQ22" s="325">
        <v>221430.82823680004</v>
      </c>
      <c r="BR22" s="325">
        <v>221430.82823680004</v>
      </c>
      <c r="BS22" s="325">
        <v>221430.82823680004</v>
      </c>
      <c r="BT22" s="325">
        <v>221430.82823680004</v>
      </c>
      <c r="BU22" s="325">
        <v>221430.82823680004</v>
      </c>
      <c r="BV22" s="325">
        <v>230288.06136627204</v>
      </c>
      <c r="BW22" s="325">
        <v>230288.06136627204</v>
      </c>
      <c r="BX22" s="325">
        <v>230288.06136627204</v>
      </c>
      <c r="BY22" s="325">
        <v>230288.06136627204</v>
      </c>
      <c r="BZ22" s="325">
        <v>230288.06136627204</v>
      </c>
      <c r="CA22" s="325">
        <v>230288.06136627204</v>
      </c>
      <c r="CB22" s="325">
        <v>230288.06136627204</v>
      </c>
      <c r="CC22" s="325">
        <v>230288.06136627204</v>
      </c>
      <c r="CD22" s="325">
        <v>230288.06136627204</v>
      </c>
      <c r="CE22" s="325">
        <v>230288.06136627204</v>
      </c>
      <c r="CF22" s="325">
        <v>230288.06136627204</v>
      </c>
      <c r="CG22" s="325">
        <v>230288.06136627204</v>
      </c>
      <c r="CH22" s="325">
        <v>239499.58382092294</v>
      </c>
      <c r="CI22" s="325">
        <v>239499.58382092294</v>
      </c>
      <c r="CJ22" s="325">
        <v>239499.58382092294</v>
      </c>
      <c r="CK22" s="325">
        <v>239499.58382092294</v>
      </c>
      <c r="CL22" s="325">
        <v>239499.58382092294</v>
      </c>
      <c r="CM22" s="325">
        <v>239499.58382092294</v>
      </c>
      <c r="CN22" s="325">
        <v>239499.58382092294</v>
      </c>
      <c r="CO22" s="325">
        <v>239499.58382092294</v>
      </c>
      <c r="CP22" s="325">
        <v>239499.58382092294</v>
      </c>
      <c r="CQ22" s="325">
        <v>239499.58382092294</v>
      </c>
      <c r="CR22" s="325">
        <v>239499.58382092294</v>
      </c>
      <c r="CS22" s="325">
        <v>239499.58382092294</v>
      </c>
      <c r="CT22" s="325">
        <v>249079.56717375986</v>
      </c>
      <c r="CU22" s="325">
        <v>249079.56717375986</v>
      </c>
      <c r="CV22" s="325">
        <v>249079.56717375986</v>
      </c>
      <c r="CW22" s="325">
        <v>249079.56717375986</v>
      </c>
      <c r="CX22" s="325">
        <v>249079.56717375986</v>
      </c>
      <c r="CY22" s="325">
        <v>249079.56717375986</v>
      </c>
    </row>
    <row r="23" spans="1:103" ht="15">
      <c r="A23" s="319" t="s">
        <v>643</v>
      </c>
      <c r="B23" s="384" t="s">
        <v>663</v>
      </c>
      <c r="C23" s="384" t="s">
        <v>665</v>
      </c>
      <c r="D23" s="325">
        <v>15600</v>
      </c>
      <c r="E23" s="325">
        <v>15600</v>
      </c>
      <c r="F23" s="325">
        <v>15600</v>
      </c>
      <c r="G23" s="325">
        <v>15600</v>
      </c>
      <c r="H23" s="325">
        <v>15600</v>
      </c>
      <c r="I23" s="325">
        <v>15600</v>
      </c>
      <c r="J23" s="325">
        <v>15600</v>
      </c>
      <c r="K23" s="325">
        <v>15600</v>
      </c>
      <c r="L23" s="325">
        <v>15600</v>
      </c>
      <c r="M23" s="325">
        <v>15600</v>
      </c>
      <c r="N23" s="325">
        <v>16224</v>
      </c>
      <c r="O23" s="325">
        <v>16224</v>
      </c>
      <c r="P23" s="325">
        <v>16224</v>
      </c>
      <c r="Q23" s="325">
        <v>16224</v>
      </c>
      <c r="R23" s="325">
        <v>16224</v>
      </c>
      <c r="S23" s="325">
        <v>16224</v>
      </c>
      <c r="T23" s="325">
        <v>16224</v>
      </c>
      <c r="U23" s="325">
        <v>16224</v>
      </c>
      <c r="V23" s="325">
        <v>16224</v>
      </c>
      <c r="W23" s="325">
        <v>16224</v>
      </c>
      <c r="X23" s="325">
        <v>16224</v>
      </c>
      <c r="Y23" s="325">
        <v>16224</v>
      </c>
      <c r="Z23" s="325">
        <v>16872.96</v>
      </c>
      <c r="AA23" s="325">
        <v>16872.96</v>
      </c>
      <c r="AB23" s="325">
        <v>16872.96</v>
      </c>
      <c r="AC23" s="325">
        <v>16872.96</v>
      </c>
      <c r="AD23" s="325">
        <v>16872.96</v>
      </c>
      <c r="AE23" s="325">
        <v>16872.96</v>
      </c>
      <c r="AF23" s="325">
        <v>16872.96</v>
      </c>
      <c r="AG23" s="325">
        <v>16872.96</v>
      </c>
      <c r="AH23" s="325">
        <v>16872.96</v>
      </c>
      <c r="AI23" s="325">
        <v>16872.96</v>
      </c>
      <c r="AJ23" s="325">
        <v>16872.96</v>
      </c>
      <c r="AK23" s="325">
        <v>16872.96</v>
      </c>
      <c r="AL23" s="325">
        <v>17547.878400000001</v>
      </c>
      <c r="AM23" s="325">
        <v>17547.878400000001</v>
      </c>
      <c r="AN23" s="325">
        <v>17547.878400000001</v>
      </c>
      <c r="AO23" s="325">
        <v>17547.878400000001</v>
      </c>
      <c r="AP23" s="325">
        <v>17547.878400000001</v>
      </c>
      <c r="AQ23" s="325">
        <v>17547.878400000001</v>
      </c>
      <c r="AR23" s="325">
        <v>17547.878400000001</v>
      </c>
      <c r="AS23" s="325">
        <v>17547.878400000001</v>
      </c>
      <c r="AT23" s="325">
        <v>17547.878400000001</v>
      </c>
      <c r="AU23" s="325">
        <v>17547.878400000001</v>
      </c>
      <c r="AV23" s="325">
        <v>17547.878400000001</v>
      </c>
      <c r="AW23" s="325">
        <v>17547.878400000001</v>
      </c>
      <c r="AX23" s="325">
        <v>18249.793536000001</v>
      </c>
      <c r="AY23" s="325">
        <v>18249.793536000001</v>
      </c>
      <c r="AZ23" s="325">
        <v>18249.793536000001</v>
      </c>
      <c r="BA23" s="325">
        <v>18249.793536000001</v>
      </c>
      <c r="BB23" s="325">
        <v>18249.793536000001</v>
      </c>
      <c r="BC23" s="325">
        <v>18249.793536000001</v>
      </c>
      <c r="BD23" s="325">
        <v>18249.793536000001</v>
      </c>
      <c r="BE23" s="325">
        <v>18249.793536000001</v>
      </c>
      <c r="BF23" s="325">
        <v>18249.793536000001</v>
      </c>
      <c r="BG23" s="325">
        <v>18249.793536000001</v>
      </c>
      <c r="BH23" s="325">
        <v>18249.793536000001</v>
      </c>
      <c r="BI23" s="325">
        <v>18249.793536000001</v>
      </c>
      <c r="BJ23" s="325">
        <v>18979.785277440002</v>
      </c>
      <c r="BK23" s="325">
        <v>18979.785277440002</v>
      </c>
      <c r="BL23" s="325">
        <v>18979.785277440002</v>
      </c>
      <c r="BM23" s="325">
        <v>18979.785277440002</v>
      </c>
      <c r="BN23" s="325">
        <v>18979.785277440002</v>
      </c>
      <c r="BO23" s="325">
        <v>18979.785277440002</v>
      </c>
      <c r="BP23" s="325">
        <v>18979.785277440002</v>
      </c>
      <c r="BQ23" s="325">
        <v>18979.785277440002</v>
      </c>
      <c r="BR23" s="325">
        <v>18979.785277440002</v>
      </c>
      <c r="BS23" s="325">
        <v>18979.785277440002</v>
      </c>
      <c r="BT23" s="325">
        <v>18979.785277440002</v>
      </c>
      <c r="BU23" s="325">
        <v>18979.785277440002</v>
      </c>
      <c r="BV23" s="325">
        <v>19738.976688537601</v>
      </c>
      <c r="BW23" s="325">
        <v>19738.976688537601</v>
      </c>
      <c r="BX23" s="325">
        <v>19738.976688537601</v>
      </c>
      <c r="BY23" s="325">
        <v>19738.976688537601</v>
      </c>
      <c r="BZ23" s="325">
        <v>19738.976688537601</v>
      </c>
      <c r="CA23" s="325">
        <v>19738.976688537601</v>
      </c>
      <c r="CB23" s="325">
        <v>19738.976688537601</v>
      </c>
      <c r="CC23" s="325">
        <v>19738.976688537601</v>
      </c>
      <c r="CD23" s="325">
        <v>19738.976688537601</v>
      </c>
      <c r="CE23" s="325">
        <v>19738.976688537601</v>
      </c>
      <c r="CF23" s="325">
        <v>19738.976688537601</v>
      </c>
      <c r="CG23" s="325">
        <v>19738.976688537601</v>
      </c>
      <c r="CH23" s="325">
        <v>20528.535756079105</v>
      </c>
      <c r="CI23" s="325">
        <v>20528.535756079105</v>
      </c>
      <c r="CJ23" s="325">
        <v>20528.535756079105</v>
      </c>
      <c r="CK23" s="325">
        <v>20528.535756079105</v>
      </c>
      <c r="CL23" s="325">
        <v>20528.535756079105</v>
      </c>
      <c r="CM23" s="325">
        <v>20528.535756079105</v>
      </c>
      <c r="CN23" s="325">
        <v>20528.535756079105</v>
      </c>
      <c r="CO23" s="325">
        <v>20528.535756079105</v>
      </c>
      <c r="CP23" s="325">
        <v>20528.535756079105</v>
      </c>
      <c r="CQ23" s="325">
        <v>20528.535756079105</v>
      </c>
      <c r="CR23" s="325">
        <v>20528.535756079105</v>
      </c>
      <c r="CS23" s="325">
        <v>20528.535756079105</v>
      </c>
      <c r="CT23" s="325">
        <v>21349.677186322271</v>
      </c>
      <c r="CU23" s="325">
        <v>21349.677186322271</v>
      </c>
      <c r="CV23" s="325">
        <v>21349.677186322271</v>
      </c>
      <c r="CW23" s="325">
        <v>21349.677186322271</v>
      </c>
      <c r="CX23" s="325">
        <v>21349.677186322271</v>
      </c>
      <c r="CY23" s="325">
        <v>21349.677186322271</v>
      </c>
    </row>
    <row r="24" spans="1:103" ht="15">
      <c r="A24" s="319" t="s">
        <v>644</v>
      </c>
      <c r="B24" s="384" t="s">
        <v>663</v>
      </c>
      <c r="C24" s="384" t="s">
        <v>665</v>
      </c>
      <c r="D24" s="325">
        <v>15600</v>
      </c>
      <c r="E24" s="325">
        <v>15600</v>
      </c>
      <c r="F24" s="325">
        <v>15600</v>
      </c>
      <c r="G24" s="325">
        <v>15600</v>
      </c>
      <c r="H24" s="325">
        <v>15600</v>
      </c>
      <c r="I24" s="325">
        <v>15600</v>
      </c>
      <c r="J24" s="325">
        <v>15600</v>
      </c>
      <c r="K24" s="325">
        <v>15600</v>
      </c>
      <c r="L24" s="325">
        <v>15600</v>
      </c>
      <c r="M24" s="325">
        <v>15600</v>
      </c>
      <c r="N24" s="325">
        <v>16224</v>
      </c>
      <c r="O24" s="325">
        <v>16224</v>
      </c>
      <c r="P24" s="325">
        <v>16224</v>
      </c>
      <c r="Q24" s="325">
        <v>16224</v>
      </c>
      <c r="R24" s="325">
        <v>16224</v>
      </c>
      <c r="S24" s="325">
        <v>16224</v>
      </c>
      <c r="T24" s="325">
        <v>16224</v>
      </c>
      <c r="U24" s="325">
        <v>16224</v>
      </c>
      <c r="V24" s="325">
        <v>16224</v>
      </c>
      <c r="W24" s="325">
        <v>16224</v>
      </c>
      <c r="X24" s="325">
        <v>16224</v>
      </c>
      <c r="Y24" s="325">
        <v>16224</v>
      </c>
      <c r="Z24" s="325">
        <v>16872.96</v>
      </c>
      <c r="AA24" s="325">
        <v>16872.96</v>
      </c>
      <c r="AB24" s="325">
        <v>16872.96</v>
      </c>
      <c r="AC24" s="325">
        <v>16872.96</v>
      </c>
      <c r="AD24" s="325">
        <v>16872.96</v>
      </c>
      <c r="AE24" s="325">
        <v>16872.96</v>
      </c>
      <c r="AF24" s="325">
        <v>16872.96</v>
      </c>
      <c r="AG24" s="325">
        <v>16872.96</v>
      </c>
      <c r="AH24" s="325">
        <v>16872.96</v>
      </c>
      <c r="AI24" s="325">
        <v>16872.96</v>
      </c>
      <c r="AJ24" s="325">
        <v>16872.96</v>
      </c>
      <c r="AK24" s="325">
        <v>16872.96</v>
      </c>
      <c r="AL24" s="325">
        <v>17547.878400000001</v>
      </c>
      <c r="AM24" s="325">
        <v>17547.878400000001</v>
      </c>
      <c r="AN24" s="325">
        <v>17547.878400000001</v>
      </c>
      <c r="AO24" s="325">
        <v>17547.878400000001</v>
      </c>
      <c r="AP24" s="325">
        <v>17547.878400000001</v>
      </c>
      <c r="AQ24" s="325">
        <v>17547.878400000001</v>
      </c>
      <c r="AR24" s="325">
        <v>17547.878400000001</v>
      </c>
      <c r="AS24" s="325">
        <v>17547.878400000001</v>
      </c>
      <c r="AT24" s="325">
        <v>17547.878400000001</v>
      </c>
      <c r="AU24" s="325">
        <v>17547.878400000001</v>
      </c>
      <c r="AV24" s="325">
        <v>17547.878400000001</v>
      </c>
      <c r="AW24" s="325">
        <v>17547.878400000001</v>
      </c>
      <c r="AX24" s="325">
        <v>18249.793536000001</v>
      </c>
      <c r="AY24" s="325">
        <v>18249.793536000001</v>
      </c>
      <c r="AZ24" s="325">
        <v>18249.793536000001</v>
      </c>
      <c r="BA24" s="325">
        <v>18249.793536000001</v>
      </c>
      <c r="BB24" s="325">
        <v>18249.793536000001</v>
      </c>
      <c r="BC24" s="325">
        <v>18249.793536000001</v>
      </c>
      <c r="BD24" s="325">
        <v>18249.793536000001</v>
      </c>
      <c r="BE24" s="325">
        <v>18249.793536000001</v>
      </c>
      <c r="BF24" s="325">
        <v>18249.793536000001</v>
      </c>
      <c r="BG24" s="325">
        <v>18249.793536000001</v>
      </c>
      <c r="BH24" s="325">
        <v>18249.793536000001</v>
      </c>
      <c r="BI24" s="325">
        <v>18249.793536000001</v>
      </c>
      <c r="BJ24" s="325">
        <v>18979.785277440002</v>
      </c>
      <c r="BK24" s="325">
        <v>18979.785277440002</v>
      </c>
      <c r="BL24" s="325">
        <v>18979.785277440002</v>
      </c>
      <c r="BM24" s="325">
        <v>18979.785277440002</v>
      </c>
      <c r="BN24" s="325">
        <v>18979.785277440002</v>
      </c>
      <c r="BO24" s="325">
        <v>18979.785277440002</v>
      </c>
      <c r="BP24" s="325">
        <v>18979.785277440002</v>
      </c>
      <c r="BQ24" s="325">
        <v>18979.785277440002</v>
      </c>
      <c r="BR24" s="325">
        <v>18979.785277440002</v>
      </c>
      <c r="BS24" s="325">
        <v>18979.785277440002</v>
      </c>
      <c r="BT24" s="325">
        <v>18979.785277440002</v>
      </c>
      <c r="BU24" s="325">
        <v>18979.785277440002</v>
      </c>
      <c r="BV24" s="325">
        <v>19738.976688537601</v>
      </c>
      <c r="BW24" s="325">
        <v>19738.976688537601</v>
      </c>
      <c r="BX24" s="325">
        <v>19738.976688537601</v>
      </c>
      <c r="BY24" s="325">
        <v>19738.976688537601</v>
      </c>
      <c r="BZ24" s="325">
        <v>19738.976688537601</v>
      </c>
      <c r="CA24" s="325">
        <v>19738.976688537601</v>
      </c>
      <c r="CB24" s="325">
        <v>19738.976688537601</v>
      </c>
      <c r="CC24" s="325">
        <v>19738.976688537601</v>
      </c>
      <c r="CD24" s="325">
        <v>19738.976688537601</v>
      </c>
      <c r="CE24" s="325">
        <v>19738.976688537601</v>
      </c>
      <c r="CF24" s="325">
        <v>19738.976688537601</v>
      </c>
      <c r="CG24" s="325">
        <v>19738.976688537601</v>
      </c>
      <c r="CH24" s="325">
        <v>20528.535756079105</v>
      </c>
      <c r="CI24" s="325">
        <v>20528.535756079105</v>
      </c>
      <c r="CJ24" s="325">
        <v>20528.535756079105</v>
      </c>
      <c r="CK24" s="325">
        <v>20528.535756079105</v>
      </c>
      <c r="CL24" s="325">
        <v>20528.535756079105</v>
      </c>
      <c r="CM24" s="325">
        <v>20528.535756079105</v>
      </c>
      <c r="CN24" s="325">
        <v>20528.535756079105</v>
      </c>
      <c r="CO24" s="325">
        <v>20528.535756079105</v>
      </c>
      <c r="CP24" s="325">
        <v>20528.535756079105</v>
      </c>
      <c r="CQ24" s="325">
        <v>20528.535756079105</v>
      </c>
      <c r="CR24" s="325">
        <v>20528.535756079105</v>
      </c>
      <c r="CS24" s="325">
        <v>20528.535756079105</v>
      </c>
      <c r="CT24" s="325">
        <v>21349.677186322271</v>
      </c>
      <c r="CU24" s="325">
        <v>21349.677186322271</v>
      </c>
      <c r="CV24" s="325">
        <v>21349.677186322271</v>
      </c>
      <c r="CW24" s="325">
        <v>21349.677186322271</v>
      </c>
      <c r="CX24" s="325">
        <v>21349.677186322271</v>
      </c>
      <c r="CY24" s="325">
        <v>21349.677186322271</v>
      </c>
    </row>
    <row r="25" spans="1:103" ht="15">
      <c r="A25" s="319" t="s">
        <v>645</v>
      </c>
      <c r="B25" s="384" t="s">
        <v>663</v>
      </c>
      <c r="C25" s="384" t="s">
        <v>665</v>
      </c>
      <c r="D25" s="325">
        <v>10400</v>
      </c>
      <c r="E25" s="325">
        <v>10400</v>
      </c>
      <c r="F25" s="325">
        <v>10400</v>
      </c>
      <c r="G25" s="325">
        <v>10400</v>
      </c>
      <c r="H25" s="325">
        <v>10400</v>
      </c>
      <c r="I25" s="325">
        <v>10400</v>
      </c>
      <c r="J25" s="325">
        <v>10400</v>
      </c>
      <c r="K25" s="325">
        <v>10400</v>
      </c>
      <c r="L25" s="325">
        <v>10400</v>
      </c>
      <c r="M25" s="325">
        <v>10400</v>
      </c>
      <c r="N25" s="325">
        <v>10816</v>
      </c>
      <c r="O25" s="325">
        <v>10816</v>
      </c>
      <c r="P25" s="325">
        <v>10816</v>
      </c>
      <c r="Q25" s="325">
        <v>10816</v>
      </c>
      <c r="R25" s="325">
        <v>10816</v>
      </c>
      <c r="S25" s="325">
        <v>10816</v>
      </c>
      <c r="T25" s="325">
        <v>10816</v>
      </c>
      <c r="U25" s="325">
        <v>10816</v>
      </c>
      <c r="V25" s="325">
        <v>10816</v>
      </c>
      <c r="W25" s="325">
        <v>10816</v>
      </c>
      <c r="X25" s="325">
        <v>10816</v>
      </c>
      <c r="Y25" s="325">
        <v>10816</v>
      </c>
      <c r="Z25" s="325">
        <v>11248.640000000001</v>
      </c>
      <c r="AA25" s="325">
        <v>11248.640000000001</v>
      </c>
      <c r="AB25" s="325">
        <v>11248.640000000001</v>
      </c>
      <c r="AC25" s="325">
        <v>11248.640000000001</v>
      </c>
      <c r="AD25" s="325">
        <v>11248.640000000001</v>
      </c>
      <c r="AE25" s="325">
        <v>11248.640000000001</v>
      </c>
      <c r="AF25" s="325">
        <v>11248.640000000001</v>
      </c>
      <c r="AG25" s="325">
        <v>11248.640000000001</v>
      </c>
      <c r="AH25" s="325">
        <v>11248.640000000001</v>
      </c>
      <c r="AI25" s="325">
        <v>11248.640000000001</v>
      </c>
      <c r="AJ25" s="325">
        <v>11248.640000000001</v>
      </c>
      <c r="AK25" s="325">
        <v>11248.640000000001</v>
      </c>
      <c r="AL25" s="325">
        <v>11698.585600000002</v>
      </c>
      <c r="AM25" s="325">
        <v>11698.585600000002</v>
      </c>
      <c r="AN25" s="325">
        <v>11698.585600000002</v>
      </c>
      <c r="AO25" s="325">
        <v>11698.585600000002</v>
      </c>
      <c r="AP25" s="325">
        <v>11698.585600000002</v>
      </c>
      <c r="AQ25" s="325">
        <v>11698.585600000002</v>
      </c>
      <c r="AR25" s="325">
        <v>11698.585600000002</v>
      </c>
      <c r="AS25" s="325">
        <v>11698.585600000002</v>
      </c>
      <c r="AT25" s="325">
        <v>11698.585600000002</v>
      </c>
      <c r="AU25" s="325">
        <v>11698.585600000002</v>
      </c>
      <c r="AV25" s="325">
        <v>11698.585600000002</v>
      </c>
      <c r="AW25" s="325">
        <v>11698.585600000002</v>
      </c>
      <c r="AX25" s="325">
        <v>12166.529024000003</v>
      </c>
      <c r="AY25" s="325">
        <v>12166.529024000003</v>
      </c>
      <c r="AZ25" s="325">
        <v>12166.529024000003</v>
      </c>
      <c r="BA25" s="325">
        <v>12166.529024000003</v>
      </c>
      <c r="BB25" s="325">
        <v>12166.529024000003</v>
      </c>
      <c r="BC25" s="325">
        <v>12166.529024000003</v>
      </c>
      <c r="BD25" s="325">
        <v>12166.529024000003</v>
      </c>
      <c r="BE25" s="325">
        <v>12166.529024000003</v>
      </c>
      <c r="BF25" s="325">
        <v>12166.529024000003</v>
      </c>
      <c r="BG25" s="325">
        <v>12166.529024000003</v>
      </c>
      <c r="BH25" s="325">
        <v>12166.529024000003</v>
      </c>
      <c r="BI25" s="325">
        <v>12166.529024000003</v>
      </c>
      <c r="BJ25" s="325">
        <v>12653.190184960004</v>
      </c>
      <c r="BK25" s="325">
        <v>12653.190184960004</v>
      </c>
      <c r="BL25" s="325">
        <v>12653.190184960004</v>
      </c>
      <c r="BM25" s="325">
        <v>12653.190184960004</v>
      </c>
      <c r="BN25" s="325">
        <v>12653.190184960004</v>
      </c>
      <c r="BO25" s="325">
        <v>12653.190184960004</v>
      </c>
      <c r="BP25" s="325">
        <v>12653.190184960004</v>
      </c>
      <c r="BQ25" s="325">
        <v>12653.190184960004</v>
      </c>
      <c r="BR25" s="325">
        <v>12653.190184960004</v>
      </c>
      <c r="BS25" s="325">
        <v>12653.190184960004</v>
      </c>
      <c r="BT25" s="325">
        <v>12653.190184960004</v>
      </c>
      <c r="BU25" s="325">
        <v>12653.190184960004</v>
      </c>
      <c r="BV25" s="325">
        <v>13159.317792358404</v>
      </c>
      <c r="BW25" s="325">
        <v>13159.317792358404</v>
      </c>
      <c r="BX25" s="325">
        <v>13159.317792358404</v>
      </c>
      <c r="BY25" s="325">
        <v>13159.317792358404</v>
      </c>
      <c r="BZ25" s="325">
        <v>13159.317792358404</v>
      </c>
      <c r="CA25" s="325">
        <v>13159.317792358404</v>
      </c>
      <c r="CB25" s="325">
        <v>13159.317792358404</v>
      </c>
      <c r="CC25" s="325">
        <v>13159.317792358404</v>
      </c>
      <c r="CD25" s="325">
        <v>13159.317792358404</v>
      </c>
      <c r="CE25" s="325">
        <v>13159.317792358404</v>
      </c>
      <c r="CF25" s="325">
        <v>13159.317792358404</v>
      </c>
      <c r="CG25" s="325">
        <v>13159.317792358404</v>
      </c>
      <c r="CH25" s="325">
        <v>13685.690504052742</v>
      </c>
      <c r="CI25" s="325">
        <v>13685.690504052742</v>
      </c>
      <c r="CJ25" s="325">
        <v>13685.690504052742</v>
      </c>
      <c r="CK25" s="325">
        <v>13685.690504052742</v>
      </c>
      <c r="CL25" s="325">
        <v>13685.690504052742</v>
      </c>
      <c r="CM25" s="325">
        <v>13685.690504052742</v>
      </c>
      <c r="CN25" s="325">
        <v>13685.690504052742</v>
      </c>
      <c r="CO25" s="325">
        <v>13685.690504052742</v>
      </c>
      <c r="CP25" s="325">
        <v>13685.690504052742</v>
      </c>
      <c r="CQ25" s="325">
        <v>13685.690504052742</v>
      </c>
      <c r="CR25" s="325">
        <v>13685.690504052742</v>
      </c>
      <c r="CS25" s="325">
        <v>13685.690504052742</v>
      </c>
      <c r="CT25" s="325">
        <v>14233.118124214852</v>
      </c>
      <c r="CU25" s="325">
        <v>14233.118124214852</v>
      </c>
      <c r="CV25" s="325">
        <v>14233.118124214852</v>
      </c>
      <c r="CW25" s="325">
        <v>14233.118124214852</v>
      </c>
      <c r="CX25" s="325">
        <v>14233.118124214852</v>
      </c>
      <c r="CY25" s="325">
        <v>14233.118124214852</v>
      </c>
    </row>
    <row r="26" spans="1:103" ht="15">
      <c r="A26" s="319" t="s">
        <v>646</v>
      </c>
      <c r="B26" s="384" t="s">
        <v>663</v>
      </c>
      <c r="C26" s="384" t="s">
        <v>665</v>
      </c>
      <c r="D26" s="325">
        <v>15600</v>
      </c>
      <c r="E26" s="325">
        <v>15600</v>
      </c>
      <c r="F26" s="325">
        <v>15600</v>
      </c>
      <c r="G26" s="325">
        <v>15600</v>
      </c>
      <c r="H26" s="325">
        <v>15600</v>
      </c>
      <c r="I26" s="325">
        <v>15600</v>
      </c>
      <c r="J26" s="325">
        <v>15600</v>
      </c>
      <c r="K26" s="325">
        <v>15600</v>
      </c>
      <c r="L26" s="325">
        <v>15600</v>
      </c>
      <c r="M26" s="325">
        <v>15600</v>
      </c>
      <c r="N26" s="325">
        <v>16224</v>
      </c>
      <c r="O26" s="325">
        <v>16224</v>
      </c>
      <c r="P26" s="325">
        <v>16224</v>
      </c>
      <c r="Q26" s="325">
        <v>16224</v>
      </c>
      <c r="R26" s="325">
        <v>16224</v>
      </c>
      <c r="S26" s="325">
        <v>16224</v>
      </c>
      <c r="T26" s="325">
        <v>16224</v>
      </c>
      <c r="U26" s="325">
        <v>16224</v>
      </c>
      <c r="V26" s="325">
        <v>16224</v>
      </c>
      <c r="W26" s="325">
        <v>16224</v>
      </c>
      <c r="X26" s="325">
        <v>16224</v>
      </c>
      <c r="Y26" s="325">
        <v>16224</v>
      </c>
      <c r="Z26" s="325">
        <v>16872.96</v>
      </c>
      <c r="AA26" s="325">
        <v>16872.96</v>
      </c>
      <c r="AB26" s="325">
        <v>16872.96</v>
      </c>
      <c r="AC26" s="325">
        <v>16872.96</v>
      </c>
      <c r="AD26" s="325">
        <v>16872.96</v>
      </c>
      <c r="AE26" s="325">
        <v>16872.96</v>
      </c>
      <c r="AF26" s="325">
        <v>16872.96</v>
      </c>
      <c r="AG26" s="325">
        <v>16872.96</v>
      </c>
      <c r="AH26" s="325">
        <v>16872.96</v>
      </c>
      <c r="AI26" s="325">
        <v>16872.96</v>
      </c>
      <c r="AJ26" s="325">
        <v>16872.96</v>
      </c>
      <c r="AK26" s="325">
        <v>16872.96</v>
      </c>
      <c r="AL26" s="325">
        <v>17547.878400000001</v>
      </c>
      <c r="AM26" s="325">
        <v>17547.878400000001</v>
      </c>
      <c r="AN26" s="325">
        <v>17547.878400000001</v>
      </c>
      <c r="AO26" s="325">
        <v>17547.878400000001</v>
      </c>
      <c r="AP26" s="325">
        <v>17547.878400000001</v>
      </c>
      <c r="AQ26" s="325">
        <v>17547.878400000001</v>
      </c>
      <c r="AR26" s="325">
        <v>17547.878400000001</v>
      </c>
      <c r="AS26" s="325">
        <v>17547.878400000001</v>
      </c>
      <c r="AT26" s="325">
        <v>17547.878400000001</v>
      </c>
      <c r="AU26" s="325">
        <v>17547.878400000001</v>
      </c>
      <c r="AV26" s="325">
        <v>17547.878400000001</v>
      </c>
      <c r="AW26" s="325">
        <v>17547.878400000001</v>
      </c>
      <c r="AX26" s="325">
        <v>18249.793536000001</v>
      </c>
      <c r="AY26" s="325">
        <v>18249.793536000001</v>
      </c>
      <c r="AZ26" s="325">
        <v>18249.793536000001</v>
      </c>
      <c r="BA26" s="325">
        <v>18249.793536000001</v>
      </c>
      <c r="BB26" s="325">
        <v>18249.793536000001</v>
      </c>
      <c r="BC26" s="325">
        <v>18249.793536000001</v>
      </c>
      <c r="BD26" s="325">
        <v>18249.793536000001</v>
      </c>
      <c r="BE26" s="325">
        <v>18249.793536000001</v>
      </c>
      <c r="BF26" s="325">
        <v>18249.793536000001</v>
      </c>
      <c r="BG26" s="325">
        <v>18249.793536000001</v>
      </c>
      <c r="BH26" s="325">
        <v>18249.793536000001</v>
      </c>
      <c r="BI26" s="325">
        <v>18249.793536000001</v>
      </c>
      <c r="BJ26" s="325">
        <v>18979.785277440002</v>
      </c>
      <c r="BK26" s="325">
        <v>18979.785277440002</v>
      </c>
      <c r="BL26" s="325">
        <v>18979.785277440002</v>
      </c>
      <c r="BM26" s="325">
        <v>18979.785277440002</v>
      </c>
      <c r="BN26" s="325">
        <v>18979.785277440002</v>
      </c>
      <c r="BO26" s="325">
        <v>18979.785277440002</v>
      </c>
      <c r="BP26" s="325">
        <v>18979.785277440002</v>
      </c>
      <c r="BQ26" s="325">
        <v>18979.785277440002</v>
      </c>
      <c r="BR26" s="325">
        <v>18979.785277440002</v>
      </c>
      <c r="BS26" s="325">
        <v>18979.785277440002</v>
      </c>
      <c r="BT26" s="325">
        <v>18979.785277440002</v>
      </c>
      <c r="BU26" s="325">
        <v>18979.785277440002</v>
      </c>
      <c r="BV26" s="325">
        <v>19738.976688537601</v>
      </c>
      <c r="BW26" s="325">
        <v>19738.976688537601</v>
      </c>
      <c r="BX26" s="325">
        <v>19738.976688537601</v>
      </c>
      <c r="BY26" s="325">
        <v>19738.976688537601</v>
      </c>
      <c r="BZ26" s="325">
        <v>19738.976688537601</v>
      </c>
      <c r="CA26" s="325">
        <v>19738.976688537601</v>
      </c>
      <c r="CB26" s="325">
        <v>19738.976688537601</v>
      </c>
      <c r="CC26" s="325">
        <v>19738.976688537601</v>
      </c>
      <c r="CD26" s="325">
        <v>19738.976688537601</v>
      </c>
      <c r="CE26" s="325">
        <v>19738.976688537601</v>
      </c>
      <c r="CF26" s="325">
        <v>19738.976688537601</v>
      </c>
      <c r="CG26" s="325">
        <v>19738.976688537601</v>
      </c>
      <c r="CH26" s="325">
        <v>20528.535756079105</v>
      </c>
      <c r="CI26" s="325">
        <v>20528.535756079105</v>
      </c>
      <c r="CJ26" s="325">
        <v>20528.535756079105</v>
      </c>
      <c r="CK26" s="325">
        <v>20528.535756079105</v>
      </c>
      <c r="CL26" s="325">
        <v>20528.535756079105</v>
      </c>
      <c r="CM26" s="325">
        <v>20528.535756079105</v>
      </c>
      <c r="CN26" s="325">
        <v>20528.535756079105</v>
      </c>
      <c r="CO26" s="325">
        <v>20528.535756079105</v>
      </c>
      <c r="CP26" s="325">
        <v>20528.535756079105</v>
      </c>
      <c r="CQ26" s="325">
        <v>20528.535756079105</v>
      </c>
      <c r="CR26" s="325">
        <v>20528.535756079105</v>
      </c>
      <c r="CS26" s="325">
        <v>20528.535756079105</v>
      </c>
      <c r="CT26" s="325">
        <v>21349.677186322271</v>
      </c>
      <c r="CU26" s="325">
        <v>21349.677186322271</v>
      </c>
      <c r="CV26" s="325">
        <v>21349.677186322271</v>
      </c>
      <c r="CW26" s="325">
        <v>21349.677186322271</v>
      </c>
      <c r="CX26" s="325">
        <v>21349.677186322271</v>
      </c>
      <c r="CY26" s="325">
        <v>21349.677186322271</v>
      </c>
    </row>
    <row r="27" spans="1:103" ht="15">
      <c r="A27" s="319" t="s">
        <v>647</v>
      </c>
      <c r="B27" s="384" t="s">
        <v>663</v>
      </c>
      <c r="C27" s="384" t="s">
        <v>665</v>
      </c>
      <c r="D27" s="325">
        <v>15600</v>
      </c>
      <c r="E27" s="325">
        <v>15600</v>
      </c>
      <c r="F27" s="325">
        <v>15600</v>
      </c>
      <c r="G27" s="325">
        <v>15600</v>
      </c>
      <c r="H27" s="325">
        <v>15600</v>
      </c>
      <c r="I27" s="325">
        <v>15600</v>
      </c>
      <c r="J27" s="325">
        <v>15600</v>
      </c>
      <c r="K27" s="325">
        <v>15600</v>
      </c>
      <c r="L27" s="325">
        <v>15600</v>
      </c>
      <c r="M27" s="325">
        <v>15600</v>
      </c>
      <c r="N27" s="325">
        <v>16224</v>
      </c>
      <c r="O27" s="325">
        <v>16224</v>
      </c>
      <c r="P27" s="325">
        <v>16224</v>
      </c>
      <c r="Q27" s="325">
        <v>16224</v>
      </c>
      <c r="R27" s="325">
        <v>16224</v>
      </c>
      <c r="S27" s="325">
        <v>16224</v>
      </c>
      <c r="T27" s="325">
        <v>16224</v>
      </c>
      <c r="U27" s="325">
        <v>16224</v>
      </c>
      <c r="V27" s="325">
        <v>16224</v>
      </c>
      <c r="W27" s="325">
        <v>16224</v>
      </c>
      <c r="X27" s="325">
        <v>16224</v>
      </c>
      <c r="Y27" s="325">
        <v>16224</v>
      </c>
      <c r="Z27" s="325">
        <v>16872.96</v>
      </c>
      <c r="AA27" s="325">
        <v>16872.96</v>
      </c>
      <c r="AB27" s="325">
        <v>16872.96</v>
      </c>
      <c r="AC27" s="325">
        <v>16872.96</v>
      </c>
      <c r="AD27" s="325">
        <v>16872.96</v>
      </c>
      <c r="AE27" s="325">
        <v>16872.96</v>
      </c>
      <c r="AF27" s="325">
        <v>16872.96</v>
      </c>
      <c r="AG27" s="325">
        <v>16872.96</v>
      </c>
      <c r="AH27" s="325">
        <v>16872.96</v>
      </c>
      <c r="AI27" s="325">
        <v>16872.96</v>
      </c>
      <c r="AJ27" s="325">
        <v>16872.96</v>
      </c>
      <c r="AK27" s="325">
        <v>16872.96</v>
      </c>
      <c r="AL27" s="325">
        <v>17547.878400000001</v>
      </c>
      <c r="AM27" s="325">
        <v>17547.878400000001</v>
      </c>
      <c r="AN27" s="325">
        <v>17547.878400000001</v>
      </c>
      <c r="AO27" s="325">
        <v>17547.878400000001</v>
      </c>
      <c r="AP27" s="325">
        <v>17547.878400000001</v>
      </c>
      <c r="AQ27" s="325">
        <v>17547.878400000001</v>
      </c>
      <c r="AR27" s="325">
        <v>17547.878400000001</v>
      </c>
      <c r="AS27" s="325">
        <v>17547.878400000001</v>
      </c>
      <c r="AT27" s="325">
        <v>17547.878400000001</v>
      </c>
      <c r="AU27" s="325">
        <v>17547.878400000001</v>
      </c>
      <c r="AV27" s="325">
        <v>17547.878400000001</v>
      </c>
      <c r="AW27" s="325">
        <v>17547.878400000001</v>
      </c>
      <c r="AX27" s="325">
        <v>18249.793536000001</v>
      </c>
      <c r="AY27" s="325">
        <v>18249.793536000001</v>
      </c>
      <c r="AZ27" s="325">
        <v>18249.793536000001</v>
      </c>
      <c r="BA27" s="325">
        <v>18249.793536000001</v>
      </c>
      <c r="BB27" s="325">
        <v>18249.793536000001</v>
      </c>
      <c r="BC27" s="325">
        <v>18249.793536000001</v>
      </c>
      <c r="BD27" s="325">
        <v>18249.793536000001</v>
      </c>
      <c r="BE27" s="325">
        <v>18249.793536000001</v>
      </c>
      <c r="BF27" s="325">
        <v>18249.793536000001</v>
      </c>
      <c r="BG27" s="325">
        <v>18249.793536000001</v>
      </c>
      <c r="BH27" s="325">
        <v>18249.793536000001</v>
      </c>
      <c r="BI27" s="325">
        <v>18249.793536000001</v>
      </c>
      <c r="BJ27" s="325">
        <v>18979.785277440002</v>
      </c>
      <c r="BK27" s="325">
        <v>18979.785277440002</v>
      </c>
      <c r="BL27" s="325">
        <v>18979.785277440002</v>
      </c>
      <c r="BM27" s="325">
        <v>18979.785277440002</v>
      </c>
      <c r="BN27" s="325">
        <v>18979.785277440002</v>
      </c>
      <c r="BO27" s="325">
        <v>18979.785277440002</v>
      </c>
      <c r="BP27" s="325">
        <v>18979.785277440002</v>
      </c>
      <c r="BQ27" s="325">
        <v>18979.785277440002</v>
      </c>
      <c r="BR27" s="325">
        <v>18979.785277440002</v>
      </c>
      <c r="BS27" s="325">
        <v>18979.785277440002</v>
      </c>
      <c r="BT27" s="325">
        <v>18979.785277440002</v>
      </c>
      <c r="BU27" s="325">
        <v>18979.785277440002</v>
      </c>
      <c r="BV27" s="325">
        <v>19738.976688537601</v>
      </c>
      <c r="BW27" s="325">
        <v>19738.976688537601</v>
      </c>
      <c r="BX27" s="325">
        <v>19738.976688537601</v>
      </c>
      <c r="BY27" s="325">
        <v>19738.976688537601</v>
      </c>
      <c r="BZ27" s="325">
        <v>19738.976688537601</v>
      </c>
      <c r="CA27" s="325">
        <v>19738.976688537601</v>
      </c>
      <c r="CB27" s="325">
        <v>19738.976688537601</v>
      </c>
      <c r="CC27" s="325">
        <v>19738.976688537601</v>
      </c>
      <c r="CD27" s="325">
        <v>19738.976688537601</v>
      </c>
      <c r="CE27" s="325">
        <v>19738.976688537601</v>
      </c>
      <c r="CF27" s="325">
        <v>19738.976688537601</v>
      </c>
      <c r="CG27" s="325">
        <v>19738.976688537601</v>
      </c>
      <c r="CH27" s="325">
        <v>20528.535756079105</v>
      </c>
      <c r="CI27" s="325">
        <v>20528.535756079105</v>
      </c>
      <c r="CJ27" s="325">
        <v>20528.535756079105</v>
      </c>
      <c r="CK27" s="325">
        <v>20528.535756079105</v>
      </c>
      <c r="CL27" s="325">
        <v>20528.535756079105</v>
      </c>
      <c r="CM27" s="325">
        <v>20528.535756079105</v>
      </c>
      <c r="CN27" s="325">
        <v>20528.535756079105</v>
      </c>
      <c r="CO27" s="325">
        <v>20528.535756079105</v>
      </c>
      <c r="CP27" s="325">
        <v>20528.535756079105</v>
      </c>
      <c r="CQ27" s="325">
        <v>20528.535756079105</v>
      </c>
      <c r="CR27" s="325">
        <v>20528.535756079105</v>
      </c>
      <c r="CS27" s="325">
        <v>20528.535756079105</v>
      </c>
      <c r="CT27" s="325">
        <v>21349.677186322271</v>
      </c>
      <c r="CU27" s="325">
        <v>21349.677186322271</v>
      </c>
      <c r="CV27" s="325">
        <v>21349.677186322271</v>
      </c>
      <c r="CW27" s="325">
        <v>21349.677186322271</v>
      </c>
      <c r="CX27" s="325">
        <v>21349.677186322271</v>
      </c>
      <c r="CY27" s="325">
        <v>21349.677186322271</v>
      </c>
    </row>
    <row r="28" spans="1:103" ht="15">
      <c r="A28" s="319" t="s">
        <v>648</v>
      </c>
      <c r="B28" s="384" t="s">
        <v>663</v>
      </c>
      <c r="C28" s="384" t="s">
        <v>665</v>
      </c>
      <c r="D28" s="325">
        <v>15600</v>
      </c>
      <c r="E28" s="325">
        <v>15600</v>
      </c>
      <c r="F28" s="325">
        <v>15600</v>
      </c>
      <c r="G28" s="325">
        <v>15600</v>
      </c>
      <c r="H28" s="325">
        <v>15600</v>
      </c>
      <c r="I28" s="325">
        <v>15600</v>
      </c>
      <c r="J28" s="325">
        <v>15600</v>
      </c>
      <c r="K28" s="325">
        <v>15600</v>
      </c>
      <c r="L28" s="325">
        <v>15600</v>
      </c>
      <c r="M28" s="325">
        <v>15600</v>
      </c>
      <c r="N28" s="325">
        <v>16224</v>
      </c>
      <c r="O28" s="325">
        <v>16224</v>
      </c>
      <c r="P28" s="325">
        <v>16224</v>
      </c>
      <c r="Q28" s="325">
        <v>16224</v>
      </c>
      <c r="R28" s="325">
        <v>16224</v>
      </c>
      <c r="S28" s="325">
        <v>16224</v>
      </c>
      <c r="T28" s="325">
        <v>16224</v>
      </c>
      <c r="U28" s="325">
        <v>16224</v>
      </c>
      <c r="V28" s="325">
        <v>16224</v>
      </c>
      <c r="W28" s="325">
        <v>16224</v>
      </c>
      <c r="X28" s="325">
        <v>16224</v>
      </c>
      <c r="Y28" s="325">
        <v>16224</v>
      </c>
      <c r="Z28" s="325">
        <v>16872.96</v>
      </c>
      <c r="AA28" s="325">
        <v>16872.96</v>
      </c>
      <c r="AB28" s="325">
        <v>16872.96</v>
      </c>
      <c r="AC28" s="325">
        <v>16872.96</v>
      </c>
      <c r="AD28" s="325">
        <v>16872.96</v>
      </c>
      <c r="AE28" s="325">
        <v>16872.96</v>
      </c>
      <c r="AF28" s="325">
        <v>16872.96</v>
      </c>
      <c r="AG28" s="325">
        <v>16872.96</v>
      </c>
      <c r="AH28" s="325">
        <v>16872.96</v>
      </c>
      <c r="AI28" s="325">
        <v>16872.96</v>
      </c>
      <c r="AJ28" s="325">
        <v>16872.96</v>
      </c>
      <c r="AK28" s="325">
        <v>16872.96</v>
      </c>
      <c r="AL28" s="325">
        <v>17547.878400000001</v>
      </c>
      <c r="AM28" s="325">
        <v>17547.878400000001</v>
      </c>
      <c r="AN28" s="325">
        <v>17547.878400000001</v>
      </c>
      <c r="AO28" s="325">
        <v>17547.878400000001</v>
      </c>
      <c r="AP28" s="325">
        <v>17547.878400000001</v>
      </c>
      <c r="AQ28" s="325">
        <v>17547.878400000001</v>
      </c>
      <c r="AR28" s="325">
        <v>17547.878400000001</v>
      </c>
      <c r="AS28" s="325">
        <v>17547.878400000001</v>
      </c>
      <c r="AT28" s="325">
        <v>17547.878400000001</v>
      </c>
      <c r="AU28" s="325">
        <v>17547.878400000001</v>
      </c>
      <c r="AV28" s="325">
        <v>17547.878400000001</v>
      </c>
      <c r="AW28" s="325">
        <v>17547.878400000001</v>
      </c>
      <c r="AX28" s="325">
        <v>18249.793536000001</v>
      </c>
      <c r="AY28" s="325">
        <v>18249.793536000001</v>
      </c>
      <c r="AZ28" s="325">
        <v>18249.793536000001</v>
      </c>
      <c r="BA28" s="325">
        <v>18249.793536000001</v>
      </c>
      <c r="BB28" s="325">
        <v>18249.793536000001</v>
      </c>
      <c r="BC28" s="325">
        <v>18249.793536000001</v>
      </c>
      <c r="BD28" s="325">
        <v>18249.793536000001</v>
      </c>
      <c r="BE28" s="325">
        <v>18249.793536000001</v>
      </c>
      <c r="BF28" s="325">
        <v>18249.793536000001</v>
      </c>
      <c r="BG28" s="325">
        <v>18249.793536000001</v>
      </c>
      <c r="BH28" s="325">
        <v>18249.793536000001</v>
      </c>
      <c r="BI28" s="325">
        <v>18249.793536000001</v>
      </c>
      <c r="BJ28" s="325">
        <v>18979.785277440002</v>
      </c>
      <c r="BK28" s="325">
        <v>18979.785277440002</v>
      </c>
      <c r="BL28" s="325">
        <v>18979.785277440002</v>
      </c>
      <c r="BM28" s="325">
        <v>18979.785277440002</v>
      </c>
      <c r="BN28" s="325">
        <v>18979.785277440002</v>
      </c>
      <c r="BO28" s="325">
        <v>18979.785277440002</v>
      </c>
      <c r="BP28" s="325">
        <v>18979.785277440002</v>
      </c>
      <c r="BQ28" s="325">
        <v>18979.785277440002</v>
      </c>
      <c r="BR28" s="325">
        <v>18979.785277440002</v>
      </c>
      <c r="BS28" s="325">
        <v>18979.785277440002</v>
      </c>
      <c r="BT28" s="325">
        <v>18979.785277440002</v>
      </c>
      <c r="BU28" s="325">
        <v>18979.785277440002</v>
      </c>
      <c r="BV28" s="325">
        <v>19738.976688537601</v>
      </c>
      <c r="BW28" s="325">
        <v>19738.976688537601</v>
      </c>
      <c r="BX28" s="325">
        <v>19738.976688537601</v>
      </c>
      <c r="BY28" s="325">
        <v>19738.976688537601</v>
      </c>
      <c r="BZ28" s="325">
        <v>19738.976688537601</v>
      </c>
      <c r="CA28" s="325">
        <v>19738.976688537601</v>
      </c>
      <c r="CB28" s="325">
        <v>19738.976688537601</v>
      </c>
      <c r="CC28" s="325">
        <v>19738.976688537601</v>
      </c>
      <c r="CD28" s="325">
        <v>19738.976688537601</v>
      </c>
      <c r="CE28" s="325">
        <v>19738.976688537601</v>
      </c>
      <c r="CF28" s="325">
        <v>19738.976688537601</v>
      </c>
      <c r="CG28" s="325">
        <v>19738.976688537601</v>
      </c>
      <c r="CH28" s="325">
        <v>20528.535756079105</v>
      </c>
      <c r="CI28" s="325">
        <v>20528.535756079105</v>
      </c>
      <c r="CJ28" s="325">
        <v>20528.535756079105</v>
      </c>
      <c r="CK28" s="325">
        <v>20528.535756079105</v>
      </c>
      <c r="CL28" s="325">
        <v>20528.535756079105</v>
      </c>
      <c r="CM28" s="325">
        <v>20528.535756079105</v>
      </c>
      <c r="CN28" s="325">
        <v>20528.535756079105</v>
      </c>
      <c r="CO28" s="325">
        <v>20528.535756079105</v>
      </c>
      <c r="CP28" s="325">
        <v>20528.535756079105</v>
      </c>
      <c r="CQ28" s="325">
        <v>20528.535756079105</v>
      </c>
      <c r="CR28" s="325">
        <v>20528.535756079105</v>
      </c>
      <c r="CS28" s="325">
        <v>20528.535756079105</v>
      </c>
      <c r="CT28" s="325">
        <v>21349.677186322271</v>
      </c>
      <c r="CU28" s="325">
        <v>21349.677186322271</v>
      </c>
      <c r="CV28" s="325">
        <v>21349.677186322271</v>
      </c>
      <c r="CW28" s="325">
        <v>21349.677186322271</v>
      </c>
      <c r="CX28" s="325">
        <v>21349.677186322271</v>
      </c>
      <c r="CY28" s="325">
        <v>21349.677186322271</v>
      </c>
    </row>
    <row r="29" spans="1:103" ht="15">
      <c r="A29" s="319" t="s">
        <v>649</v>
      </c>
      <c r="B29" s="384" t="s">
        <v>663</v>
      </c>
      <c r="C29" s="384" t="s">
        <v>665</v>
      </c>
      <c r="D29" s="325">
        <v>15600</v>
      </c>
      <c r="E29" s="325">
        <v>15600</v>
      </c>
      <c r="F29" s="325">
        <v>15600</v>
      </c>
      <c r="G29" s="325">
        <v>15600</v>
      </c>
      <c r="H29" s="325">
        <v>15600</v>
      </c>
      <c r="I29" s="325">
        <v>15600</v>
      </c>
      <c r="J29" s="325">
        <v>15600</v>
      </c>
      <c r="K29" s="325">
        <v>15600</v>
      </c>
      <c r="L29" s="325">
        <v>15600</v>
      </c>
      <c r="M29" s="325">
        <v>15600</v>
      </c>
      <c r="N29" s="325">
        <v>16224</v>
      </c>
      <c r="O29" s="325">
        <v>16224</v>
      </c>
      <c r="P29" s="325">
        <v>16224</v>
      </c>
      <c r="Q29" s="325">
        <v>16224</v>
      </c>
      <c r="R29" s="325">
        <v>16224</v>
      </c>
      <c r="S29" s="325">
        <v>16224</v>
      </c>
      <c r="T29" s="325">
        <v>16224</v>
      </c>
      <c r="U29" s="325">
        <v>16224</v>
      </c>
      <c r="V29" s="325">
        <v>16224</v>
      </c>
      <c r="W29" s="325">
        <v>16224</v>
      </c>
      <c r="X29" s="325">
        <v>16224</v>
      </c>
      <c r="Y29" s="325">
        <v>16224</v>
      </c>
      <c r="Z29" s="325">
        <v>16872.96</v>
      </c>
      <c r="AA29" s="325">
        <v>16872.96</v>
      </c>
      <c r="AB29" s="325">
        <v>16872.96</v>
      </c>
      <c r="AC29" s="325">
        <v>16872.96</v>
      </c>
      <c r="AD29" s="325">
        <v>16872.96</v>
      </c>
      <c r="AE29" s="325">
        <v>16872.96</v>
      </c>
      <c r="AF29" s="325">
        <v>16872.96</v>
      </c>
      <c r="AG29" s="325">
        <v>16872.96</v>
      </c>
      <c r="AH29" s="325">
        <v>16872.96</v>
      </c>
      <c r="AI29" s="325">
        <v>16872.96</v>
      </c>
      <c r="AJ29" s="325">
        <v>16872.96</v>
      </c>
      <c r="AK29" s="325">
        <v>16872.96</v>
      </c>
      <c r="AL29" s="325">
        <v>17547.878400000001</v>
      </c>
      <c r="AM29" s="325">
        <v>17547.878400000001</v>
      </c>
      <c r="AN29" s="325">
        <v>17547.878400000001</v>
      </c>
      <c r="AO29" s="325">
        <v>17547.878400000001</v>
      </c>
      <c r="AP29" s="325">
        <v>17547.878400000001</v>
      </c>
      <c r="AQ29" s="325">
        <v>17547.878400000001</v>
      </c>
      <c r="AR29" s="325">
        <v>17547.878400000001</v>
      </c>
      <c r="AS29" s="325">
        <v>17547.878400000001</v>
      </c>
      <c r="AT29" s="325">
        <v>17547.878400000001</v>
      </c>
      <c r="AU29" s="325">
        <v>17547.878400000001</v>
      </c>
      <c r="AV29" s="325">
        <v>17547.878400000001</v>
      </c>
      <c r="AW29" s="325">
        <v>17547.878400000001</v>
      </c>
      <c r="AX29" s="325">
        <v>18249.793536000001</v>
      </c>
      <c r="AY29" s="325">
        <v>18249.793536000001</v>
      </c>
      <c r="AZ29" s="325">
        <v>18249.793536000001</v>
      </c>
      <c r="BA29" s="325">
        <v>18249.793536000001</v>
      </c>
      <c r="BB29" s="325">
        <v>18249.793536000001</v>
      </c>
      <c r="BC29" s="325">
        <v>18249.793536000001</v>
      </c>
      <c r="BD29" s="325">
        <v>18249.793536000001</v>
      </c>
      <c r="BE29" s="325">
        <v>18249.793536000001</v>
      </c>
      <c r="BF29" s="325">
        <v>18249.793536000001</v>
      </c>
      <c r="BG29" s="325">
        <v>18249.793536000001</v>
      </c>
      <c r="BH29" s="325">
        <v>18249.793536000001</v>
      </c>
      <c r="BI29" s="325">
        <v>18249.793536000001</v>
      </c>
      <c r="BJ29" s="325">
        <v>18979.785277440002</v>
      </c>
      <c r="BK29" s="325">
        <v>18979.785277440002</v>
      </c>
      <c r="BL29" s="325">
        <v>18979.785277440002</v>
      </c>
      <c r="BM29" s="325">
        <v>18979.785277440002</v>
      </c>
      <c r="BN29" s="325">
        <v>18979.785277440002</v>
      </c>
      <c r="BO29" s="325">
        <v>18979.785277440002</v>
      </c>
      <c r="BP29" s="325">
        <v>18979.785277440002</v>
      </c>
      <c r="BQ29" s="325">
        <v>18979.785277440002</v>
      </c>
      <c r="BR29" s="325">
        <v>18979.785277440002</v>
      </c>
      <c r="BS29" s="325">
        <v>18979.785277440002</v>
      </c>
      <c r="BT29" s="325">
        <v>18979.785277440002</v>
      </c>
      <c r="BU29" s="325">
        <v>18979.785277440002</v>
      </c>
      <c r="BV29" s="325">
        <v>19738.976688537601</v>
      </c>
      <c r="BW29" s="325">
        <v>19738.976688537601</v>
      </c>
      <c r="BX29" s="325">
        <v>19738.976688537601</v>
      </c>
      <c r="BY29" s="325">
        <v>19738.976688537601</v>
      </c>
      <c r="BZ29" s="325">
        <v>19738.976688537601</v>
      </c>
      <c r="CA29" s="325">
        <v>19738.976688537601</v>
      </c>
      <c r="CB29" s="325">
        <v>19738.976688537601</v>
      </c>
      <c r="CC29" s="325">
        <v>19738.976688537601</v>
      </c>
      <c r="CD29" s="325">
        <v>19738.976688537601</v>
      </c>
      <c r="CE29" s="325">
        <v>19738.976688537601</v>
      </c>
      <c r="CF29" s="325">
        <v>19738.976688537601</v>
      </c>
      <c r="CG29" s="325">
        <v>19738.976688537601</v>
      </c>
      <c r="CH29" s="325">
        <v>20528.535756079105</v>
      </c>
      <c r="CI29" s="325">
        <v>20528.535756079105</v>
      </c>
      <c r="CJ29" s="325">
        <v>20528.535756079105</v>
      </c>
      <c r="CK29" s="325">
        <v>20528.535756079105</v>
      </c>
      <c r="CL29" s="325">
        <v>20528.535756079105</v>
      </c>
      <c r="CM29" s="325">
        <v>20528.535756079105</v>
      </c>
      <c r="CN29" s="325">
        <v>20528.535756079105</v>
      </c>
      <c r="CO29" s="325">
        <v>20528.535756079105</v>
      </c>
      <c r="CP29" s="325">
        <v>20528.535756079105</v>
      </c>
      <c r="CQ29" s="325">
        <v>20528.535756079105</v>
      </c>
      <c r="CR29" s="325">
        <v>20528.535756079105</v>
      </c>
      <c r="CS29" s="325">
        <v>20528.535756079105</v>
      </c>
      <c r="CT29" s="325">
        <v>21349.677186322271</v>
      </c>
      <c r="CU29" s="325">
        <v>21349.677186322271</v>
      </c>
      <c r="CV29" s="325">
        <v>21349.677186322271</v>
      </c>
      <c r="CW29" s="325">
        <v>21349.677186322271</v>
      </c>
      <c r="CX29" s="325">
        <v>21349.677186322271</v>
      </c>
      <c r="CY29" s="325">
        <v>21349.677186322271</v>
      </c>
    </row>
    <row r="30" spans="1:103" ht="15">
      <c r="A30" s="319" t="s">
        <v>650</v>
      </c>
      <c r="B30" s="384" t="s">
        <v>663</v>
      </c>
      <c r="C30" s="384" t="s">
        <v>665</v>
      </c>
      <c r="D30" s="325">
        <v>156000</v>
      </c>
      <c r="E30" s="325">
        <v>156000</v>
      </c>
      <c r="F30" s="325">
        <v>156000</v>
      </c>
      <c r="G30" s="325">
        <v>156000</v>
      </c>
      <c r="H30" s="325">
        <v>156000</v>
      </c>
      <c r="I30" s="325">
        <v>156000</v>
      </c>
      <c r="J30" s="325">
        <v>156000</v>
      </c>
      <c r="K30" s="325">
        <v>156000</v>
      </c>
      <c r="L30" s="325">
        <v>156000</v>
      </c>
      <c r="M30" s="325">
        <v>156000</v>
      </c>
      <c r="N30" s="325">
        <v>162240</v>
      </c>
      <c r="O30" s="325">
        <v>162240</v>
      </c>
      <c r="P30" s="325">
        <v>162240</v>
      </c>
      <c r="Q30" s="325">
        <v>162240</v>
      </c>
      <c r="R30" s="325">
        <v>162240</v>
      </c>
      <c r="S30" s="325">
        <v>162240</v>
      </c>
      <c r="T30" s="325">
        <v>162240</v>
      </c>
      <c r="U30" s="325">
        <v>162240</v>
      </c>
      <c r="V30" s="325">
        <v>162240</v>
      </c>
      <c r="W30" s="325">
        <v>162240</v>
      </c>
      <c r="X30" s="325">
        <v>162240</v>
      </c>
      <c r="Y30" s="325">
        <v>162240</v>
      </c>
      <c r="Z30" s="325">
        <v>168729.60000000001</v>
      </c>
      <c r="AA30" s="325">
        <v>168729.60000000001</v>
      </c>
      <c r="AB30" s="325">
        <v>168729.60000000001</v>
      </c>
      <c r="AC30" s="325">
        <v>168729.60000000001</v>
      </c>
      <c r="AD30" s="325">
        <v>168729.60000000001</v>
      </c>
      <c r="AE30" s="325">
        <v>168729.60000000001</v>
      </c>
      <c r="AF30" s="325">
        <v>168729.60000000001</v>
      </c>
      <c r="AG30" s="325">
        <v>168729.60000000001</v>
      </c>
      <c r="AH30" s="325">
        <v>168729.60000000001</v>
      </c>
      <c r="AI30" s="325">
        <v>168729.60000000001</v>
      </c>
      <c r="AJ30" s="325">
        <v>168729.60000000001</v>
      </c>
      <c r="AK30" s="325">
        <v>168729.60000000001</v>
      </c>
      <c r="AL30" s="325">
        <v>175478.78400000001</v>
      </c>
      <c r="AM30" s="325">
        <v>175478.78400000001</v>
      </c>
      <c r="AN30" s="325">
        <v>175478.78400000001</v>
      </c>
      <c r="AO30" s="325">
        <v>175478.78400000001</v>
      </c>
      <c r="AP30" s="325">
        <v>175478.78400000001</v>
      </c>
      <c r="AQ30" s="325">
        <v>175478.78400000001</v>
      </c>
      <c r="AR30" s="325">
        <v>175478.78400000001</v>
      </c>
      <c r="AS30" s="325">
        <v>175478.78400000001</v>
      </c>
      <c r="AT30" s="325">
        <v>175478.78400000001</v>
      </c>
      <c r="AU30" s="325">
        <v>175478.78400000001</v>
      </c>
      <c r="AV30" s="325">
        <v>175478.78400000001</v>
      </c>
      <c r="AW30" s="325">
        <v>175478.78400000001</v>
      </c>
      <c r="AX30" s="325">
        <v>182497.93536000003</v>
      </c>
      <c r="AY30" s="325">
        <v>182497.93536000003</v>
      </c>
      <c r="AZ30" s="325">
        <v>182497.93536000003</v>
      </c>
      <c r="BA30" s="325">
        <v>182497.93536000003</v>
      </c>
      <c r="BB30" s="325">
        <v>182497.93536000003</v>
      </c>
      <c r="BC30" s="325">
        <v>182497.93536000003</v>
      </c>
      <c r="BD30" s="325">
        <v>182497.93536000003</v>
      </c>
      <c r="BE30" s="325">
        <v>182497.93536000003</v>
      </c>
      <c r="BF30" s="325">
        <v>182497.93536000003</v>
      </c>
      <c r="BG30" s="325">
        <v>182497.93536000003</v>
      </c>
      <c r="BH30" s="325">
        <v>182497.93536000003</v>
      </c>
      <c r="BI30" s="325">
        <v>182497.93536000003</v>
      </c>
      <c r="BJ30" s="325">
        <v>189797.85277440003</v>
      </c>
      <c r="BK30" s="325">
        <v>189797.85277440003</v>
      </c>
      <c r="BL30" s="325">
        <v>189797.85277440003</v>
      </c>
      <c r="BM30" s="325">
        <v>189797.85277440003</v>
      </c>
      <c r="BN30" s="325">
        <v>189797.85277440003</v>
      </c>
      <c r="BO30" s="325">
        <v>189797.85277440003</v>
      </c>
      <c r="BP30" s="325">
        <v>189797.85277440003</v>
      </c>
      <c r="BQ30" s="325">
        <v>189797.85277440003</v>
      </c>
      <c r="BR30" s="325">
        <v>189797.85277440003</v>
      </c>
      <c r="BS30" s="325">
        <v>189797.85277440003</v>
      </c>
      <c r="BT30" s="325">
        <v>189797.85277440003</v>
      </c>
      <c r="BU30" s="325">
        <v>189797.85277440003</v>
      </c>
      <c r="BV30" s="325">
        <v>197389.76688537604</v>
      </c>
      <c r="BW30" s="325">
        <v>197389.76688537604</v>
      </c>
      <c r="BX30" s="325">
        <v>197389.76688537604</v>
      </c>
      <c r="BY30" s="325">
        <v>197389.76688537604</v>
      </c>
      <c r="BZ30" s="325">
        <v>197389.76688537604</v>
      </c>
      <c r="CA30" s="325">
        <v>197389.76688537604</v>
      </c>
      <c r="CB30" s="325">
        <v>197389.76688537604</v>
      </c>
      <c r="CC30" s="325">
        <v>197389.76688537604</v>
      </c>
      <c r="CD30" s="325">
        <v>197389.76688537604</v>
      </c>
      <c r="CE30" s="325">
        <v>197389.76688537604</v>
      </c>
      <c r="CF30" s="325">
        <v>197389.76688537604</v>
      </c>
      <c r="CG30" s="325">
        <v>197389.76688537604</v>
      </c>
      <c r="CH30" s="325">
        <v>205285.35756079108</v>
      </c>
      <c r="CI30" s="325">
        <v>205285.35756079108</v>
      </c>
      <c r="CJ30" s="325">
        <v>205285.35756079108</v>
      </c>
      <c r="CK30" s="325">
        <v>205285.35756079108</v>
      </c>
      <c r="CL30" s="325">
        <v>205285.35756079108</v>
      </c>
      <c r="CM30" s="325">
        <v>205285.35756079108</v>
      </c>
      <c r="CN30" s="325">
        <v>205285.35756079108</v>
      </c>
      <c r="CO30" s="325">
        <v>205285.35756079108</v>
      </c>
      <c r="CP30" s="325">
        <v>205285.35756079108</v>
      </c>
      <c r="CQ30" s="325">
        <v>205285.35756079108</v>
      </c>
      <c r="CR30" s="325">
        <v>205285.35756079108</v>
      </c>
      <c r="CS30" s="325">
        <v>205285.35756079108</v>
      </c>
      <c r="CT30" s="325">
        <v>213496.77186322273</v>
      </c>
      <c r="CU30" s="325">
        <v>213496.77186322273</v>
      </c>
      <c r="CV30" s="325">
        <v>213496.77186322273</v>
      </c>
      <c r="CW30" s="325">
        <v>213496.77186322273</v>
      </c>
      <c r="CX30" s="325">
        <v>213496.77186322273</v>
      </c>
      <c r="CY30" s="325">
        <v>213496.77186322273</v>
      </c>
    </row>
    <row r="31" spans="1:103" ht="15">
      <c r="A31" s="319" t="s">
        <v>651</v>
      </c>
      <c r="B31" s="384" t="s">
        <v>663</v>
      </c>
      <c r="C31" s="384" t="s">
        <v>665</v>
      </c>
      <c r="D31" s="325">
        <v>3120</v>
      </c>
      <c r="E31" s="325">
        <v>3120</v>
      </c>
      <c r="F31" s="325">
        <v>3120</v>
      </c>
      <c r="G31" s="325">
        <v>3120</v>
      </c>
      <c r="H31" s="325">
        <v>3120</v>
      </c>
      <c r="I31" s="325">
        <v>3120</v>
      </c>
      <c r="J31" s="325">
        <v>3120</v>
      </c>
      <c r="K31" s="325">
        <v>3120</v>
      </c>
      <c r="L31" s="325">
        <v>3120</v>
      </c>
      <c r="M31" s="325">
        <v>3120</v>
      </c>
      <c r="N31" s="325">
        <v>3244.8</v>
      </c>
      <c r="O31" s="325">
        <v>3244.8</v>
      </c>
      <c r="P31" s="325">
        <v>3244.8</v>
      </c>
      <c r="Q31" s="325">
        <v>3244.8</v>
      </c>
      <c r="R31" s="325">
        <v>3244.8</v>
      </c>
      <c r="S31" s="325">
        <v>3244.8</v>
      </c>
      <c r="T31" s="325">
        <v>3244.8</v>
      </c>
      <c r="U31" s="325">
        <v>3244.8</v>
      </c>
      <c r="V31" s="325">
        <v>3244.8</v>
      </c>
      <c r="W31" s="325">
        <v>3244.8</v>
      </c>
      <c r="X31" s="325">
        <v>3244.8</v>
      </c>
      <c r="Y31" s="325">
        <v>3244.8</v>
      </c>
      <c r="Z31" s="325">
        <v>3374.5920000000001</v>
      </c>
      <c r="AA31" s="325">
        <v>3374.5920000000001</v>
      </c>
      <c r="AB31" s="325">
        <v>3374.5920000000001</v>
      </c>
      <c r="AC31" s="325">
        <v>3374.5920000000001</v>
      </c>
      <c r="AD31" s="325">
        <v>3374.5920000000001</v>
      </c>
      <c r="AE31" s="325">
        <v>3374.5920000000001</v>
      </c>
      <c r="AF31" s="325">
        <v>3374.5920000000001</v>
      </c>
      <c r="AG31" s="325">
        <v>3374.5920000000001</v>
      </c>
      <c r="AH31" s="325">
        <v>3374.5920000000001</v>
      </c>
      <c r="AI31" s="325">
        <v>3374.5920000000001</v>
      </c>
      <c r="AJ31" s="325">
        <v>3374.5920000000001</v>
      </c>
      <c r="AK31" s="325">
        <v>3374.5920000000001</v>
      </c>
      <c r="AL31" s="325">
        <v>3509.5756800000004</v>
      </c>
      <c r="AM31" s="325">
        <v>3509.5756800000004</v>
      </c>
      <c r="AN31" s="325">
        <v>3509.5756800000004</v>
      </c>
      <c r="AO31" s="325">
        <v>3509.5756800000004</v>
      </c>
      <c r="AP31" s="325">
        <v>3509.5756800000004</v>
      </c>
      <c r="AQ31" s="325">
        <v>3509.5756800000004</v>
      </c>
      <c r="AR31" s="325">
        <v>3509.5756800000004</v>
      </c>
      <c r="AS31" s="325">
        <v>3509.5756800000004</v>
      </c>
      <c r="AT31" s="325">
        <v>3509.5756800000004</v>
      </c>
      <c r="AU31" s="325">
        <v>3509.5756800000004</v>
      </c>
      <c r="AV31" s="325">
        <v>3509.5756800000004</v>
      </c>
      <c r="AW31" s="325">
        <v>3509.5756800000004</v>
      </c>
      <c r="AX31" s="325">
        <v>3649.9587072000004</v>
      </c>
      <c r="AY31" s="325">
        <v>3649.9587072000004</v>
      </c>
      <c r="AZ31" s="325">
        <v>3649.9587072000004</v>
      </c>
      <c r="BA31" s="325">
        <v>3649.9587072000004</v>
      </c>
      <c r="BB31" s="325">
        <v>3649.9587072000004</v>
      </c>
      <c r="BC31" s="325">
        <v>3649.9587072000004</v>
      </c>
      <c r="BD31" s="325">
        <v>3649.9587072000004</v>
      </c>
      <c r="BE31" s="325">
        <v>3649.9587072000004</v>
      </c>
      <c r="BF31" s="325">
        <v>3649.9587072000004</v>
      </c>
      <c r="BG31" s="325">
        <v>3649.9587072000004</v>
      </c>
      <c r="BH31" s="325">
        <v>3649.9587072000004</v>
      </c>
      <c r="BI31" s="325">
        <v>3649.9587072000004</v>
      </c>
      <c r="BJ31" s="325">
        <v>3795.9570554880006</v>
      </c>
      <c r="BK31" s="325">
        <v>3795.9570554880006</v>
      </c>
      <c r="BL31" s="325">
        <v>3795.9570554880006</v>
      </c>
      <c r="BM31" s="325">
        <v>3795.9570554880006</v>
      </c>
      <c r="BN31" s="325">
        <v>3795.9570554880006</v>
      </c>
      <c r="BO31" s="325">
        <v>3795.9570554880006</v>
      </c>
      <c r="BP31" s="325">
        <v>3795.9570554880006</v>
      </c>
      <c r="BQ31" s="325">
        <v>3795.9570554880006</v>
      </c>
      <c r="BR31" s="325">
        <v>3795.9570554880006</v>
      </c>
      <c r="BS31" s="325">
        <v>3795.9570554880006</v>
      </c>
      <c r="BT31" s="325">
        <v>3795.9570554880006</v>
      </c>
      <c r="BU31" s="325">
        <v>3795.9570554880006</v>
      </c>
      <c r="BV31" s="325">
        <v>3947.795337707521</v>
      </c>
      <c r="BW31" s="325">
        <v>3947.795337707521</v>
      </c>
      <c r="BX31" s="325">
        <v>3947.795337707521</v>
      </c>
      <c r="BY31" s="325">
        <v>3947.795337707521</v>
      </c>
      <c r="BZ31" s="325">
        <v>3947.795337707521</v>
      </c>
      <c r="CA31" s="325">
        <v>3947.795337707521</v>
      </c>
      <c r="CB31" s="325">
        <v>3947.795337707521</v>
      </c>
      <c r="CC31" s="325">
        <v>3947.795337707521</v>
      </c>
      <c r="CD31" s="325">
        <v>3947.795337707521</v>
      </c>
      <c r="CE31" s="325">
        <v>3947.795337707521</v>
      </c>
      <c r="CF31" s="325">
        <v>3947.795337707521</v>
      </c>
      <c r="CG31" s="325">
        <v>3947.795337707521</v>
      </c>
      <c r="CH31" s="325">
        <v>4105.7071512158218</v>
      </c>
      <c r="CI31" s="325">
        <v>4105.7071512158218</v>
      </c>
      <c r="CJ31" s="325">
        <v>4105.7071512158218</v>
      </c>
      <c r="CK31" s="325">
        <v>4105.7071512158218</v>
      </c>
      <c r="CL31" s="325">
        <v>4105.7071512158218</v>
      </c>
      <c r="CM31" s="325">
        <v>4105.7071512158218</v>
      </c>
      <c r="CN31" s="325">
        <v>4105.7071512158218</v>
      </c>
      <c r="CO31" s="325">
        <v>4105.7071512158218</v>
      </c>
      <c r="CP31" s="325">
        <v>4105.7071512158218</v>
      </c>
      <c r="CQ31" s="325">
        <v>4105.7071512158218</v>
      </c>
      <c r="CR31" s="325">
        <v>4105.7071512158218</v>
      </c>
      <c r="CS31" s="325">
        <v>4105.7071512158218</v>
      </c>
      <c r="CT31" s="325">
        <v>4269.9354372644548</v>
      </c>
      <c r="CU31" s="325">
        <v>4269.9354372644548</v>
      </c>
      <c r="CV31" s="325">
        <v>4269.9354372644548</v>
      </c>
      <c r="CW31" s="325">
        <v>4269.9354372644548</v>
      </c>
      <c r="CX31" s="325">
        <v>4269.9354372644548</v>
      </c>
      <c r="CY31" s="325">
        <v>4269.9354372644548</v>
      </c>
    </row>
    <row r="32" spans="1:103" ht="15">
      <c r="A32" s="319" t="s">
        <v>652</v>
      </c>
      <c r="B32" s="384" t="s">
        <v>663</v>
      </c>
      <c r="C32" s="384" t="s">
        <v>665</v>
      </c>
      <c r="D32" s="325">
        <v>15600</v>
      </c>
      <c r="E32" s="325">
        <v>15600</v>
      </c>
      <c r="F32" s="325">
        <v>15600</v>
      </c>
      <c r="G32" s="325">
        <v>15600</v>
      </c>
      <c r="H32" s="325">
        <v>15600</v>
      </c>
      <c r="I32" s="325">
        <v>15600</v>
      </c>
      <c r="J32" s="325">
        <v>15600</v>
      </c>
      <c r="K32" s="325">
        <v>15600</v>
      </c>
      <c r="L32" s="325">
        <v>15600</v>
      </c>
      <c r="M32" s="325">
        <v>15600</v>
      </c>
      <c r="N32" s="325">
        <v>16224</v>
      </c>
      <c r="O32" s="325">
        <v>16224</v>
      </c>
      <c r="P32" s="325">
        <v>16224</v>
      </c>
      <c r="Q32" s="325">
        <v>16224</v>
      </c>
      <c r="R32" s="325">
        <v>16224</v>
      </c>
      <c r="S32" s="325">
        <v>16224</v>
      </c>
      <c r="T32" s="325">
        <v>16224</v>
      </c>
      <c r="U32" s="325">
        <v>16224</v>
      </c>
      <c r="V32" s="325">
        <v>16224</v>
      </c>
      <c r="W32" s="325">
        <v>16224</v>
      </c>
      <c r="X32" s="325">
        <v>16224</v>
      </c>
      <c r="Y32" s="325">
        <v>16224</v>
      </c>
      <c r="Z32" s="325">
        <v>16872.96</v>
      </c>
      <c r="AA32" s="325">
        <v>16872.96</v>
      </c>
      <c r="AB32" s="325">
        <v>16872.96</v>
      </c>
      <c r="AC32" s="325">
        <v>16872.96</v>
      </c>
      <c r="AD32" s="325">
        <v>16872.96</v>
      </c>
      <c r="AE32" s="325">
        <v>16872.96</v>
      </c>
      <c r="AF32" s="325">
        <v>16872.96</v>
      </c>
      <c r="AG32" s="325">
        <v>16872.96</v>
      </c>
      <c r="AH32" s="325">
        <v>16872.96</v>
      </c>
      <c r="AI32" s="325">
        <v>16872.96</v>
      </c>
      <c r="AJ32" s="325">
        <v>16872.96</v>
      </c>
      <c r="AK32" s="325">
        <v>16872.96</v>
      </c>
      <c r="AL32" s="325">
        <v>17547.878400000001</v>
      </c>
      <c r="AM32" s="325">
        <v>17547.878400000001</v>
      </c>
      <c r="AN32" s="325">
        <v>17547.878400000001</v>
      </c>
      <c r="AO32" s="325">
        <v>17547.878400000001</v>
      </c>
      <c r="AP32" s="325">
        <v>17547.878400000001</v>
      </c>
      <c r="AQ32" s="325">
        <v>17547.878400000001</v>
      </c>
      <c r="AR32" s="325">
        <v>17547.878400000001</v>
      </c>
      <c r="AS32" s="325">
        <v>17547.878400000001</v>
      </c>
      <c r="AT32" s="325">
        <v>17547.878400000001</v>
      </c>
      <c r="AU32" s="325">
        <v>17547.878400000001</v>
      </c>
      <c r="AV32" s="325">
        <v>17547.878400000001</v>
      </c>
      <c r="AW32" s="325">
        <v>17547.878400000001</v>
      </c>
      <c r="AX32" s="325">
        <v>18249.793536000001</v>
      </c>
      <c r="AY32" s="325">
        <v>18249.793536000001</v>
      </c>
      <c r="AZ32" s="325">
        <v>18249.793536000001</v>
      </c>
      <c r="BA32" s="325">
        <v>18249.793536000001</v>
      </c>
      <c r="BB32" s="325">
        <v>18249.793536000001</v>
      </c>
      <c r="BC32" s="325">
        <v>18249.793536000001</v>
      </c>
      <c r="BD32" s="325">
        <v>18249.793536000001</v>
      </c>
      <c r="BE32" s="325">
        <v>18249.793536000001</v>
      </c>
      <c r="BF32" s="325">
        <v>18249.793536000001</v>
      </c>
      <c r="BG32" s="325">
        <v>18249.793536000001</v>
      </c>
      <c r="BH32" s="325">
        <v>18249.793536000001</v>
      </c>
      <c r="BI32" s="325">
        <v>18249.793536000001</v>
      </c>
      <c r="BJ32" s="325">
        <v>18979.785277440002</v>
      </c>
      <c r="BK32" s="325">
        <v>18979.785277440002</v>
      </c>
      <c r="BL32" s="325">
        <v>18979.785277440002</v>
      </c>
      <c r="BM32" s="325">
        <v>18979.785277440002</v>
      </c>
      <c r="BN32" s="325">
        <v>18979.785277440002</v>
      </c>
      <c r="BO32" s="325">
        <v>18979.785277440002</v>
      </c>
      <c r="BP32" s="325">
        <v>18979.785277440002</v>
      </c>
      <c r="BQ32" s="325">
        <v>18979.785277440002</v>
      </c>
      <c r="BR32" s="325">
        <v>18979.785277440002</v>
      </c>
      <c r="BS32" s="325">
        <v>18979.785277440002</v>
      </c>
      <c r="BT32" s="325">
        <v>18979.785277440002</v>
      </c>
      <c r="BU32" s="325">
        <v>18979.785277440002</v>
      </c>
      <c r="BV32" s="325">
        <v>19738.976688537601</v>
      </c>
      <c r="BW32" s="325">
        <v>19738.976688537601</v>
      </c>
      <c r="BX32" s="325">
        <v>19738.976688537601</v>
      </c>
      <c r="BY32" s="325">
        <v>19738.976688537601</v>
      </c>
      <c r="BZ32" s="325">
        <v>19738.976688537601</v>
      </c>
      <c r="CA32" s="325">
        <v>19738.976688537601</v>
      </c>
      <c r="CB32" s="325">
        <v>19738.976688537601</v>
      </c>
      <c r="CC32" s="325">
        <v>19738.976688537601</v>
      </c>
      <c r="CD32" s="325">
        <v>19738.976688537601</v>
      </c>
      <c r="CE32" s="325">
        <v>19738.976688537601</v>
      </c>
      <c r="CF32" s="325">
        <v>19738.976688537601</v>
      </c>
      <c r="CG32" s="325">
        <v>19738.976688537601</v>
      </c>
      <c r="CH32" s="325">
        <v>20528.535756079105</v>
      </c>
      <c r="CI32" s="325">
        <v>20528.535756079105</v>
      </c>
      <c r="CJ32" s="325">
        <v>20528.535756079105</v>
      </c>
      <c r="CK32" s="325">
        <v>20528.535756079105</v>
      </c>
      <c r="CL32" s="325">
        <v>20528.535756079105</v>
      </c>
      <c r="CM32" s="325">
        <v>20528.535756079105</v>
      </c>
      <c r="CN32" s="325">
        <v>20528.535756079105</v>
      </c>
      <c r="CO32" s="325">
        <v>20528.535756079105</v>
      </c>
      <c r="CP32" s="325">
        <v>20528.535756079105</v>
      </c>
      <c r="CQ32" s="325">
        <v>20528.535756079105</v>
      </c>
      <c r="CR32" s="325">
        <v>20528.535756079105</v>
      </c>
      <c r="CS32" s="325">
        <v>20528.535756079105</v>
      </c>
      <c r="CT32" s="325">
        <v>21349.677186322271</v>
      </c>
      <c r="CU32" s="325">
        <v>21349.677186322271</v>
      </c>
      <c r="CV32" s="325">
        <v>21349.677186322271</v>
      </c>
      <c r="CW32" s="325">
        <v>21349.677186322271</v>
      </c>
      <c r="CX32" s="325">
        <v>21349.677186322271</v>
      </c>
      <c r="CY32" s="325">
        <v>21349.677186322271</v>
      </c>
    </row>
    <row r="33" spans="1:103" ht="15">
      <c r="A33" s="319" t="s">
        <v>655</v>
      </c>
      <c r="B33" s="384" t="s">
        <v>663</v>
      </c>
      <c r="C33" s="384" t="s">
        <v>665</v>
      </c>
      <c r="D33" s="325">
        <v>0</v>
      </c>
      <c r="E33" s="325">
        <v>0</v>
      </c>
      <c r="F33" s="325">
        <v>0</v>
      </c>
      <c r="G33" s="325">
        <v>150000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150000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325">
        <v>0</v>
      </c>
      <c r="AC33" s="325">
        <v>0</v>
      </c>
      <c r="AD33" s="325">
        <v>0</v>
      </c>
      <c r="AE33" s="325">
        <v>150000</v>
      </c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325">
        <v>0</v>
      </c>
      <c r="AQ33" s="325">
        <v>150000</v>
      </c>
      <c r="AR33" s="325">
        <v>0</v>
      </c>
      <c r="AS33" s="325">
        <v>0</v>
      </c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>
        <v>0</v>
      </c>
      <c r="BC33" s="325">
        <v>150000</v>
      </c>
      <c r="BD33" s="325">
        <v>0</v>
      </c>
      <c r="BE33" s="325">
        <v>0</v>
      </c>
      <c r="BF33" s="325">
        <v>0</v>
      </c>
      <c r="BG33" s="325">
        <v>0</v>
      </c>
      <c r="BH33" s="325">
        <v>0</v>
      </c>
      <c r="BI33" s="325">
        <v>0</v>
      </c>
      <c r="BJ33" s="325">
        <v>0</v>
      </c>
      <c r="BK33" s="325">
        <v>0</v>
      </c>
      <c r="BL33" s="325">
        <v>0</v>
      </c>
      <c r="BM33" s="325">
        <v>0</v>
      </c>
      <c r="BN33" s="325">
        <v>0</v>
      </c>
      <c r="BO33" s="325">
        <v>150000</v>
      </c>
      <c r="BP33" s="325">
        <v>0</v>
      </c>
      <c r="BQ33" s="325">
        <v>0</v>
      </c>
      <c r="BR33" s="325">
        <v>0</v>
      </c>
      <c r="BS33" s="325">
        <v>0</v>
      </c>
      <c r="BT33" s="325">
        <v>0</v>
      </c>
      <c r="BU33" s="325">
        <v>0</v>
      </c>
      <c r="BV33" s="325">
        <v>0</v>
      </c>
      <c r="BW33" s="325">
        <v>0</v>
      </c>
      <c r="BX33" s="325">
        <v>0</v>
      </c>
      <c r="BY33" s="325">
        <v>0</v>
      </c>
      <c r="BZ33" s="325">
        <v>0</v>
      </c>
      <c r="CA33" s="325">
        <v>150000</v>
      </c>
      <c r="CB33" s="325">
        <v>0</v>
      </c>
      <c r="CC33" s="325">
        <v>0</v>
      </c>
      <c r="CD33" s="325">
        <v>0</v>
      </c>
      <c r="CE33" s="325">
        <v>0</v>
      </c>
      <c r="CF33" s="325">
        <v>0</v>
      </c>
      <c r="CG33" s="325">
        <v>0</v>
      </c>
      <c r="CH33" s="325">
        <v>0</v>
      </c>
      <c r="CI33" s="325">
        <v>0</v>
      </c>
      <c r="CJ33" s="325">
        <v>0</v>
      </c>
      <c r="CK33" s="325">
        <v>0</v>
      </c>
      <c r="CL33" s="325">
        <v>0</v>
      </c>
      <c r="CM33" s="325">
        <v>150000</v>
      </c>
      <c r="CN33" s="325">
        <v>0</v>
      </c>
      <c r="CO33" s="325">
        <v>0</v>
      </c>
      <c r="CP33" s="325">
        <v>0</v>
      </c>
      <c r="CQ33" s="325">
        <v>0</v>
      </c>
      <c r="CR33" s="325">
        <v>0</v>
      </c>
      <c r="CS33" s="325">
        <v>0</v>
      </c>
      <c r="CT33" s="325">
        <v>0</v>
      </c>
      <c r="CU33" s="325">
        <v>0</v>
      </c>
      <c r="CV33" s="325">
        <v>0</v>
      </c>
      <c r="CW33" s="325">
        <v>0</v>
      </c>
      <c r="CX33" s="325">
        <v>0</v>
      </c>
      <c r="CY33" s="325">
        <v>150000</v>
      </c>
    </row>
    <row r="34" spans="1:103" ht="15">
      <c r="A34" s="319" t="s">
        <v>656</v>
      </c>
      <c r="B34" s="384" t="s">
        <v>663</v>
      </c>
      <c r="C34" s="384" t="s">
        <v>665</v>
      </c>
      <c r="D34" s="325">
        <v>0</v>
      </c>
      <c r="E34" s="325">
        <v>0</v>
      </c>
      <c r="F34" s="325">
        <v>0</v>
      </c>
      <c r="G34" s="325">
        <v>0</v>
      </c>
      <c r="H34" s="325">
        <v>0</v>
      </c>
      <c r="I34" s="325">
        <v>0</v>
      </c>
      <c r="J34" s="325">
        <v>270000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  <c r="T34" s="325">
        <v>0</v>
      </c>
      <c r="U34" s="325">
        <v>0</v>
      </c>
      <c r="V34" s="325">
        <v>270000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325">
        <v>0</v>
      </c>
      <c r="AC34" s="325">
        <v>0</v>
      </c>
      <c r="AD34" s="325">
        <v>0</v>
      </c>
      <c r="AE34" s="325">
        <v>0</v>
      </c>
      <c r="AF34" s="325">
        <v>0</v>
      </c>
      <c r="AG34" s="325">
        <v>0</v>
      </c>
      <c r="AH34" s="325">
        <v>270000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325">
        <v>0</v>
      </c>
      <c r="AQ34" s="325">
        <v>0</v>
      </c>
      <c r="AR34" s="325">
        <v>0</v>
      </c>
      <c r="AS34" s="325">
        <v>0</v>
      </c>
      <c r="AT34" s="325">
        <v>270000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>
        <v>0</v>
      </c>
      <c r="BC34" s="325">
        <v>0</v>
      </c>
      <c r="BD34" s="325">
        <v>0</v>
      </c>
      <c r="BE34" s="325">
        <v>0</v>
      </c>
      <c r="BF34" s="325">
        <v>270000</v>
      </c>
      <c r="BG34" s="325">
        <v>0</v>
      </c>
      <c r="BH34" s="325">
        <v>0</v>
      </c>
      <c r="BI34" s="325">
        <v>0</v>
      </c>
      <c r="BJ34" s="325">
        <v>0</v>
      </c>
      <c r="BK34" s="325">
        <v>0</v>
      </c>
      <c r="BL34" s="325">
        <v>0</v>
      </c>
      <c r="BM34" s="325">
        <v>0</v>
      </c>
      <c r="BN34" s="325">
        <v>0</v>
      </c>
      <c r="BO34" s="325">
        <v>0</v>
      </c>
      <c r="BP34" s="325">
        <v>0</v>
      </c>
      <c r="BQ34" s="325">
        <v>0</v>
      </c>
      <c r="BR34" s="325">
        <v>270000</v>
      </c>
      <c r="BS34" s="325">
        <v>0</v>
      </c>
      <c r="BT34" s="325">
        <v>0</v>
      </c>
      <c r="BU34" s="325">
        <v>0</v>
      </c>
      <c r="BV34" s="325">
        <v>0</v>
      </c>
      <c r="BW34" s="325">
        <v>0</v>
      </c>
      <c r="BX34" s="325">
        <v>0</v>
      </c>
      <c r="BY34" s="325">
        <v>0</v>
      </c>
      <c r="BZ34" s="325">
        <v>0</v>
      </c>
      <c r="CA34" s="325">
        <v>0</v>
      </c>
      <c r="CB34" s="325">
        <v>0</v>
      </c>
      <c r="CC34" s="325">
        <v>0</v>
      </c>
      <c r="CD34" s="325">
        <v>270000</v>
      </c>
      <c r="CE34" s="325">
        <v>0</v>
      </c>
      <c r="CF34" s="325">
        <v>0</v>
      </c>
      <c r="CG34" s="325">
        <v>0</v>
      </c>
      <c r="CH34" s="325">
        <v>0</v>
      </c>
      <c r="CI34" s="325">
        <v>0</v>
      </c>
      <c r="CJ34" s="325">
        <v>0</v>
      </c>
      <c r="CK34" s="325">
        <v>0</v>
      </c>
      <c r="CL34" s="325">
        <v>0</v>
      </c>
      <c r="CM34" s="325">
        <v>0</v>
      </c>
      <c r="CN34" s="325">
        <v>0</v>
      </c>
      <c r="CO34" s="325">
        <v>0</v>
      </c>
      <c r="CP34" s="325">
        <v>270000</v>
      </c>
      <c r="CQ34" s="325">
        <v>0</v>
      </c>
      <c r="CR34" s="325">
        <v>0</v>
      </c>
      <c r="CS34" s="325">
        <v>0</v>
      </c>
      <c r="CT34" s="325">
        <v>0</v>
      </c>
      <c r="CU34" s="325">
        <v>0</v>
      </c>
      <c r="CV34" s="325">
        <v>0</v>
      </c>
      <c r="CW34" s="325">
        <v>0</v>
      </c>
      <c r="CX34" s="325">
        <v>0</v>
      </c>
      <c r="CY34" s="325">
        <v>0</v>
      </c>
    </row>
    <row r="35" spans="1:103" ht="15">
      <c r="A35" s="319" t="s">
        <v>670</v>
      </c>
      <c r="B35" s="384" t="s">
        <v>663</v>
      </c>
      <c r="C35" s="384" t="s">
        <v>665</v>
      </c>
      <c r="D35" s="325">
        <v>25000</v>
      </c>
      <c r="E35" s="325">
        <v>0</v>
      </c>
      <c r="F35" s="325">
        <v>0</v>
      </c>
      <c r="G35" s="325">
        <v>25000</v>
      </c>
      <c r="H35" s="325">
        <v>1100000</v>
      </c>
      <c r="I35" s="325">
        <v>0</v>
      </c>
      <c r="J35" s="325">
        <v>0</v>
      </c>
      <c r="K35" s="325">
        <v>0</v>
      </c>
      <c r="L35" s="325">
        <v>0</v>
      </c>
      <c r="M35" s="325">
        <v>100000</v>
      </c>
      <c r="N35" s="325">
        <v>0</v>
      </c>
      <c r="O35" s="325">
        <v>0</v>
      </c>
      <c r="P35" s="325">
        <v>25000</v>
      </c>
      <c r="Q35" s="325">
        <v>0</v>
      </c>
      <c r="R35" s="325">
        <v>0</v>
      </c>
      <c r="S35" s="325">
        <v>25000</v>
      </c>
      <c r="T35" s="325">
        <v>1144000</v>
      </c>
      <c r="U35" s="325">
        <v>0</v>
      </c>
      <c r="V35" s="325">
        <v>0</v>
      </c>
      <c r="W35" s="325">
        <v>0</v>
      </c>
      <c r="X35" s="325">
        <v>0</v>
      </c>
      <c r="Y35" s="325">
        <v>100000</v>
      </c>
      <c r="Z35" s="325">
        <v>0</v>
      </c>
      <c r="AA35" s="325">
        <v>0</v>
      </c>
      <c r="AB35" s="325">
        <v>25000</v>
      </c>
      <c r="AC35" s="325">
        <v>0</v>
      </c>
      <c r="AD35" s="325">
        <v>0</v>
      </c>
      <c r="AE35" s="325">
        <v>25000</v>
      </c>
      <c r="AF35" s="325">
        <v>1189760</v>
      </c>
      <c r="AG35" s="325">
        <v>0</v>
      </c>
      <c r="AH35" s="325">
        <v>0</v>
      </c>
      <c r="AI35" s="325">
        <v>0</v>
      </c>
      <c r="AJ35" s="325">
        <v>0</v>
      </c>
      <c r="AK35" s="325">
        <v>100000</v>
      </c>
      <c r="AL35" s="325">
        <v>0</v>
      </c>
      <c r="AM35" s="325">
        <v>0</v>
      </c>
      <c r="AN35" s="325">
        <v>25000</v>
      </c>
      <c r="AO35" s="325">
        <v>0</v>
      </c>
      <c r="AP35" s="325">
        <v>0</v>
      </c>
      <c r="AQ35" s="325">
        <v>25000</v>
      </c>
      <c r="AR35" s="325">
        <v>1237350.4000000001</v>
      </c>
      <c r="AS35" s="325">
        <v>0</v>
      </c>
      <c r="AT35" s="325">
        <v>0</v>
      </c>
      <c r="AU35" s="325">
        <v>0</v>
      </c>
      <c r="AV35" s="325">
        <v>0</v>
      </c>
      <c r="AW35" s="325">
        <v>100000</v>
      </c>
      <c r="AX35" s="325">
        <v>0</v>
      </c>
      <c r="AY35" s="325">
        <v>0</v>
      </c>
      <c r="AZ35" s="325">
        <v>25000</v>
      </c>
      <c r="BA35" s="325">
        <v>0</v>
      </c>
      <c r="BB35" s="325">
        <v>0</v>
      </c>
      <c r="BC35" s="325">
        <v>25000</v>
      </c>
      <c r="BD35" s="325">
        <v>1286844.4160000002</v>
      </c>
      <c r="BE35" s="325">
        <v>0</v>
      </c>
      <c r="BF35" s="325">
        <v>0</v>
      </c>
      <c r="BG35" s="325">
        <v>0</v>
      </c>
      <c r="BH35" s="325">
        <v>0</v>
      </c>
      <c r="BI35" s="325">
        <v>100000</v>
      </c>
      <c r="BJ35" s="325">
        <v>0</v>
      </c>
      <c r="BK35" s="325">
        <v>0</v>
      </c>
      <c r="BL35" s="325">
        <v>25000</v>
      </c>
      <c r="BM35" s="325">
        <v>0</v>
      </c>
      <c r="BN35" s="325">
        <v>0</v>
      </c>
      <c r="BO35" s="325">
        <v>25000</v>
      </c>
      <c r="BP35" s="325">
        <v>1338318.1926400003</v>
      </c>
      <c r="BQ35" s="325">
        <v>0</v>
      </c>
      <c r="BR35" s="325">
        <v>0</v>
      </c>
      <c r="BS35" s="325">
        <v>0</v>
      </c>
      <c r="BT35" s="325">
        <v>0</v>
      </c>
      <c r="BU35" s="325">
        <v>100000</v>
      </c>
      <c r="BV35" s="325">
        <v>0</v>
      </c>
      <c r="BW35" s="325">
        <v>0</v>
      </c>
      <c r="BX35" s="325">
        <v>25000</v>
      </c>
      <c r="BY35" s="325">
        <v>0</v>
      </c>
      <c r="BZ35" s="325">
        <v>0</v>
      </c>
      <c r="CA35" s="325">
        <v>25000</v>
      </c>
      <c r="CB35" s="325">
        <v>1391850.9203456002</v>
      </c>
      <c r="CC35" s="325">
        <v>0</v>
      </c>
      <c r="CD35" s="325">
        <v>0</v>
      </c>
      <c r="CE35" s="325">
        <v>0</v>
      </c>
      <c r="CF35" s="325">
        <v>0</v>
      </c>
      <c r="CG35" s="325">
        <v>100000</v>
      </c>
      <c r="CH35" s="325">
        <v>0</v>
      </c>
      <c r="CI35" s="325">
        <v>0</v>
      </c>
      <c r="CJ35" s="325">
        <v>25000</v>
      </c>
      <c r="CK35" s="325">
        <v>0</v>
      </c>
      <c r="CL35" s="325">
        <v>0</v>
      </c>
      <c r="CM35" s="325">
        <v>25000</v>
      </c>
      <c r="CN35" s="325">
        <v>1447524.9571594242</v>
      </c>
      <c r="CO35" s="325">
        <v>0</v>
      </c>
      <c r="CP35" s="325">
        <v>0</v>
      </c>
      <c r="CQ35" s="325">
        <v>0</v>
      </c>
      <c r="CR35" s="325">
        <v>0</v>
      </c>
      <c r="CS35" s="325">
        <v>100000</v>
      </c>
      <c r="CT35" s="325">
        <v>0</v>
      </c>
      <c r="CU35" s="325">
        <v>0</v>
      </c>
      <c r="CV35" s="325">
        <v>25000</v>
      </c>
      <c r="CW35" s="325">
        <v>0</v>
      </c>
      <c r="CX35" s="325">
        <v>0</v>
      </c>
      <c r="CY35" s="325">
        <v>25000</v>
      </c>
    </row>
    <row r="36" spans="1:103" ht="15">
      <c r="A36" s="319" t="s">
        <v>653</v>
      </c>
      <c r="B36" s="384" t="s">
        <v>663</v>
      </c>
      <c r="C36" s="384" t="s">
        <v>665</v>
      </c>
      <c r="D36" s="325">
        <v>1040</v>
      </c>
      <c r="E36" s="325">
        <v>1040</v>
      </c>
      <c r="F36" s="325">
        <v>1040</v>
      </c>
      <c r="G36" s="325">
        <v>1040</v>
      </c>
      <c r="H36" s="325">
        <v>1040</v>
      </c>
      <c r="I36" s="325">
        <v>1040</v>
      </c>
      <c r="J36" s="325">
        <v>1040</v>
      </c>
      <c r="K36" s="325">
        <v>1040</v>
      </c>
      <c r="L36" s="325">
        <v>1040</v>
      </c>
      <c r="M36" s="325">
        <v>1040</v>
      </c>
      <c r="N36" s="325">
        <v>1081.6000000000001</v>
      </c>
      <c r="O36" s="325">
        <v>1081.6000000000001</v>
      </c>
      <c r="P36" s="325">
        <v>1081.6000000000001</v>
      </c>
      <c r="Q36" s="325">
        <v>1081.6000000000001</v>
      </c>
      <c r="R36" s="325">
        <v>1081.6000000000001</v>
      </c>
      <c r="S36" s="325">
        <v>1081.6000000000001</v>
      </c>
      <c r="T36" s="325">
        <v>1081.6000000000001</v>
      </c>
      <c r="U36" s="325">
        <v>1081.6000000000001</v>
      </c>
      <c r="V36" s="325">
        <v>1081.6000000000001</v>
      </c>
      <c r="W36" s="325">
        <v>1081.6000000000001</v>
      </c>
      <c r="X36" s="325">
        <v>1081.6000000000001</v>
      </c>
      <c r="Y36" s="325">
        <v>1081.6000000000001</v>
      </c>
      <c r="Z36" s="325">
        <v>1124.8640000000003</v>
      </c>
      <c r="AA36" s="325">
        <v>1124.8640000000003</v>
      </c>
      <c r="AB36" s="325">
        <v>1124.8640000000003</v>
      </c>
      <c r="AC36" s="325">
        <v>1124.8640000000003</v>
      </c>
      <c r="AD36" s="325">
        <v>1124.8640000000003</v>
      </c>
      <c r="AE36" s="325">
        <v>1124.8640000000003</v>
      </c>
      <c r="AF36" s="325">
        <v>1124.8640000000003</v>
      </c>
      <c r="AG36" s="325">
        <v>1124.8640000000003</v>
      </c>
      <c r="AH36" s="325">
        <v>1124.8640000000003</v>
      </c>
      <c r="AI36" s="325">
        <v>1124.8640000000003</v>
      </c>
      <c r="AJ36" s="325">
        <v>1124.8640000000003</v>
      </c>
      <c r="AK36" s="325">
        <v>1124.8640000000003</v>
      </c>
      <c r="AL36" s="325">
        <v>1169.8585600000004</v>
      </c>
      <c r="AM36" s="325">
        <v>1169.8585600000004</v>
      </c>
      <c r="AN36" s="325">
        <v>1169.8585600000004</v>
      </c>
      <c r="AO36" s="325">
        <v>1169.8585600000004</v>
      </c>
      <c r="AP36" s="325">
        <v>1169.8585600000004</v>
      </c>
      <c r="AQ36" s="325">
        <v>1169.8585600000004</v>
      </c>
      <c r="AR36" s="325">
        <v>1169.8585600000004</v>
      </c>
      <c r="AS36" s="325">
        <v>1169.8585600000004</v>
      </c>
      <c r="AT36" s="325">
        <v>1169.8585600000004</v>
      </c>
      <c r="AU36" s="325">
        <v>1169.8585600000004</v>
      </c>
      <c r="AV36" s="325">
        <v>1169.8585600000004</v>
      </c>
      <c r="AW36" s="325">
        <v>1169.8585600000004</v>
      </c>
      <c r="AX36" s="325">
        <v>1216.6529024000004</v>
      </c>
      <c r="AY36" s="325">
        <v>1216.6529024000004</v>
      </c>
      <c r="AZ36" s="325">
        <v>1216.6529024000004</v>
      </c>
      <c r="BA36" s="325">
        <v>1216.6529024000004</v>
      </c>
      <c r="BB36" s="325">
        <v>1216.6529024000004</v>
      </c>
      <c r="BC36" s="325">
        <v>1216.6529024000004</v>
      </c>
      <c r="BD36" s="325">
        <v>1216.6529024000004</v>
      </c>
      <c r="BE36" s="325">
        <v>1216.6529024000004</v>
      </c>
      <c r="BF36" s="325">
        <v>1216.6529024000004</v>
      </c>
      <c r="BG36" s="325">
        <v>1216.6529024000004</v>
      </c>
      <c r="BH36" s="325">
        <v>1216.6529024000004</v>
      </c>
      <c r="BI36" s="325">
        <v>1216.6529024000004</v>
      </c>
      <c r="BJ36" s="325">
        <v>1265.3190184960004</v>
      </c>
      <c r="BK36" s="325">
        <v>1265.3190184960004</v>
      </c>
      <c r="BL36" s="325">
        <v>1265.3190184960004</v>
      </c>
      <c r="BM36" s="325">
        <v>1265.3190184960004</v>
      </c>
      <c r="BN36" s="325">
        <v>1265.3190184960004</v>
      </c>
      <c r="BO36" s="325">
        <v>1265.3190184960004</v>
      </c>
      <c r="BP36" s="325">
        <v>1265.3190184960004</v>
      </c>
      <c r="BQ36" s="325">
        <v>1265.3190184960004</v>
      </c>
      <c r="BR36" s="325">
        <v>1265.3190184960004</v>
      </c>
      <c r="BS36" s="325">
        <v>1265.3190184960004</v>
      </c>
      <c r="BT36" s="325">
        <v>1265.3190184960004</v>
      </c>
      <c r="BU36" s="325">
        <v>1265.3190184960004</v>
      </c>
      <c r="BV36" s="325">
        <v>1315.9317792358404</v>
      </c>
      <c r="BW36" s="325">
        <v>1315.9317792358404</v>
      </c>
      <c r="BX36" s="325">
        <v>1315.9317792358404</v>
      </c>
      <c r="BY36" s="325">
        <v>1315.9317792358404</v>
      </c>
      <c r="BZ36" s="325">
        <v>1315.9317792358404</v>
      </c>
      <c r="CA36" s="325">
        <v>1315.9317792358404</v>
      </c>
      <c r="CB36" s="325">
        <v>1315.9317792358404</v>
      </c>
      <c r="CC36" s="325">
        <v>1315.9317792358404</v>
      </c>
      <c r="CD36" s="325">
        <v>1315.9317792358404</v>
      </c>
      <c r="CE36" s="325">
        <v>1315.9317792358404</v>
      </c>
      <c r="CF36" s="325">
        <v>1315.9317792358404</v>
      </c>
      <c r="CG36" s="325">
        <v>1315.9317792358404</v>
      </c>
      <c r="CH36" s="325">
        <v>1368.5690504052741</v>
      </c>
      <c r="CI36" s="325">
        <v>1368.5690504052741</v>
      </c>
      <c r="CJ36" s="325">
        <v>1368.5690504052741</v>
      </c>
      <c r="CK36" s="325">
        <v>1368.5690504052741</v>
      </c>
      <c r="CL36" s="325">
        <v>1368.5690504052741</v>
      </c>
      <c r="CM36" s="325">
        <v>1368.5690504052741</v>
      </c>
      <c r="CN36" s="325">
        <v>1368.5690504052741</v>
      </c>
      <c r="CO36" s="325">
        <v>1368.5690504052741</v>
      </c>
      <c r="CP36" s="325">
        <v>1368.5690504052741</v>
      </c>
      <c r="CQ36" s="325">
        <v>1368.5690504052741</v>
      </c>
      <c r="CR36" s="325">
        <v>1368.5690504052741</v>
      </c>
      <c r="CS36" s="325">
        <v>1368.5690504052741</v>
      </c>
      <c r="CT36" s="325">
        <v>1423.311812421485</v>
      </c>
      <c r="CU36" s="325">
        <v>1423.311812421485</v>
      </c>
      <c r="CV36" s="325">
        <v>1423.311812421485</v>
      </c>
      <c r="CW36" s="325">
        <v>1423.311812421485</v>
      </c>
      <c r="CX36" s="325">
        <v>1423.311812421485</v>
      </c>
      <c r="CY36" s="325">
        <v>1423.311812421485</v>
      </c>
    </row>
    <row r="37" spans="1:103" ht="15">
      <c r="A37" s="319" t="s">
        <v>654</v>
      </c>
      <c r="B37" s="384" t="s">
        <v>663</v>
      </c>
      <c r="C37" s="384" t="s">
        <v>671</v>
      </c>
      <c r="D37" s="325">
        <v>18408</v>
      </c>
      <c r="E37" s="325">
        <v>18408</v>
      </c>
      <c r="F37" s="325">
        <v>18408</v>
      </c>
      <c r="G37" s="325">
        <v>18408</v>
      </c>
      <c r="H37" s="325">
        <v>18408</v>
      </c>
      <c r="I37" s="325">
        <v>18408</v>
      </c>
      <c r="J37" s="325">
        <v>18408</v>
      </c>
      <c r="K37" s="325">
        <v>18408</v>
      </c>
      <c r="L37" s="325">
        <v>18408</v>
      </c>
      <c r="M37" s="325">
        <v>18408</v>
      </c>
      <c r="N37" s="325">
        <v>19144.32</v>
      </c>
      <c r="O37" s="325">
        <v>19144.32</v>
      </c>
      <c r="P37" s="325">
        <v>19144.32</v>
      </c>
      <c r="Q37" s="325">
        <v>19144.32</v>
      </c>
      <c r="R37" s="325">
        <v>19144.32</v>
      </c>
      <c r="S37" s="325">
        <v>19144.32</v>
      </c>
      <c r="T37" s="325">
        <v>19144.32</v>
      </c>
      <c r="U37" s="325">
        <v>19144.32</v>
      </c>
      <c r="V37" s="325">
        <v>19144.32</v>
      </c>
      <c r="W37" s="325">
        <v>19144.32</v>
      </c>
      <c r="X37" s="325">
        <v>19144.32</v>
      </c>
      <c r="Y37" s="325">
        <v>19144.32</v>
      </c>
      <c r="Z37" s="325">
        <v>19910.092800000002</v>
      </c>
      <c r="AA37" s="325">
        <v>19910.092800000002</v>
      </c>
      <c r="AB37" s="325">
        <v>19910.092800000002</v>
      </c>
      <c r="AC37" s="325">
        <v>19910.092800000002</v>
      </c>
      <c r="AD37" s="325">
        <v>19910.092800000002</v>
      </c>
      <c r="AE37" s="325">
        <v>19910.092800000002</v>
      </c>
      <c r="AF37" s="325">
        <v>19910.092800000002</v>
      </c>
      <c r="AG37" s="325">
        <v>19910.092800000002</v>
      </c>
      <c r="AH37" s="325">
        <v>19910.092800000002</v>
      </c>
      <c r="AI37" s="325">
        <v>19910.092800000002</v>
      </c>
      <c r="AJ37" s="325">
        <v>19910.092800000002</v>
      </c>
      <c r="AK37" s="325">
        <v>19910.092800000002</v>
      </c>
      <c r="AL37" s="325">
        <v>20706.496512000002</v>
      </c>
      <c r="AM37" s="325">
        <v>20706.496512000002</v>
      </c>
      <c r="AN37" s="325">
        <v>20706.496512000002</v>
      </c>
      <c r="AO37" s="325">
        <v>20706.496512000002</v>
      </c>
      <c r="AP37" s="325">
        <v>20706.496512000002</v>
      </c>
      <c r="AQ37" s="325">
        <v>20706.496512000002</v>
      </c>
      <c r="AR37" s="325">
        <v>20706.496512000002</v>
      </c>
      <c r="AS37" s="325">
        <v>20706.496512000002</v>
      </c>
      <c r="AT37" s="325">
        <v>20706.496512000002</v>
      </c>
      <c r="AU37" s="325">
        <v>20706.496512000002</v>
      </c>
      <c r="AV37" s="325">
        <v>20706.496512000002</v>
      </c>
      <c r="AW37" s="325">
        <v>20706.496512000002</v>
      </c>
      <c r="AX37" s="325">
        <v>21534.756372480002</v>
      </c>
      <c r="AY37" s="325">
        <v>21534.756372480002</v>
      </c>
      <c r="AZ37" s="325">
        <v>21534.756372480002</v>
      </c>
      <c r="BA37" s="325">
        <v>21534.756372480002</v>
      </c>
      <c r="BB37" s="325">
        <v>21534.756372480002</v>
      </c>
      <c r="BC37" s="325">
        <v>21534.756372480002</v>
      </c>
      <c r="BD37" s="325">
        <v>21534.756372480002</v>
      </c>
      <c r="BE37" s="325">
        <v>21534.756372480002</v>
      </c>
      <c r="BF37" s="325">
        <v>21534.756372480002</v>
      </c>
      <c r="BG37" s="325">
        <v>21534.756372480002</v>
      </c>
      <c r="BH37" s="325">
        <v>21534.756372480002</v>
      </c>
      <c r="BI37" s="325">
        <v>21534.756372480002</v>
      </c>
      <c r="BJ37" s="325">
        <v>22396.146627379203</v>
      </c>
      <c r="BK37" s="325">
        <v>22396.146627379203</v>
      </c>
      <c r="BL37" s="325">
        <v>22396.146627379203</v>
      </c>
      <c r="BM37" s="325">
        <v>22396.146627379203</v>
      </c>
      <c r="BN37" s="325">
        <v>22396.146627379203</v>
      </c>
      <c r="BO37" s="325">
        <v>22396.146627379203</v>
      </c>
      <c r="BP37" s="325">
        <v>22396.146627379203</v>
      </c>
      <c r="BQ37" s="325">
        <v>22396.146627379203</v>
      </c>
      <c r="BR37" s="325">
        <v>22396.146627379203</v>
      </c>
      <c r="BS37" s="325">
        <v>22396.146627379203</v>
      </c>
      <c r="BT37" s="325">
        <v>22396.146627379203</v>
      </c>
      <c r="BU37" s="325">
        <v>22396.146627379203</v>
      </c>
      <c r="BV37" s="325">
        <v>23291.992492474372</v>
      </c>
      <c r="BW37" s="325">
        <v>23291.992492474372</v>
      </c>
      <c r="BX37" s="325">
        <v>23291.992492474372</v>
      </c>
      <c r="BY37" s="325">
        <v>23291.992492474372</v>
      </c>
      <c r="BZ37" s="325">
        <v>23291.992492474372</v>
      </c>
      <c r="CA37" s="325">
        <v>23291.992492474372</v>
      </c>
      <c r="CB37" s="325">
        <v>23291.992492474372</v>
      </c>
      <c r="CC37" s="325">
        <v>23291.992492474372</v>
      </c>
      <c r="CD37" s="325">
        <v>23291.992492474372</v>
      </c>
      <c r="CE37" s="325">
        <v>23291.992492474372</v>
      </c>
      <c r="CF37" s="325">
        <v>23291.992492474372</v>
      </c>
      <c r="CG37" s="325">
        <v>23291.992492474372</v>
      </c>
      <c r="CH37" s="325">
        <v>24223.672192173348</v>
      </c>
      <c r="CI37" s="325">
        <v>24223.672192173348</v>
      </c>
      <c r="CJ37" s="325">
        <v>24223.672192173348</v>
      </c>
      <c r="CK37" s="325">
        <v>24223.672192173348</v>
      </c>
      <c r="CL37" s="325">
        <v>24223.672192173348</v>
      </c>
      <c r="CM37" s="325">
        <v>24223.672192173348</v>
      </c>
      <c r="CN37" s="325">
        <v>24223.672192173348</v>
      </c>
      <c r="CO37" s="325">
        <v>24223.672192173348</v>
      </c>
      <c r="CP37" s="325">
        <v>24223.672192173348</v>
      </c>
      <c r="CQ37" s="325">
        <v>24223.672192173348</v>
      </c>
      <c r="CR37" s="325">
        <v>24223.672192173348</v>
      </c>
      <c r="CS37" s="325">
        <v>24223.672192173348</v>
      </c>
      <c r="CT37" s="325">
        <v>25192.619079860284</v>
      </c>
      <c r="CU37" s="325">
        <v>25192.619079860284</v>
      </c>
      <c r="CV37" s="325">
        <v>25192.619079860284</v>
      </c>
      <c r="CW37" s="325">
        <v>25192.619079860284</v>
      </c>
      <c r="CX37" s="325">
        <v>25192.619079860284</v>
      </c>
      <c r="CY37" s="325">
        <v>25192.619079860284</v>
      </c>
    </row>
    <row r="38" spans="1:103" ht="15">
      <c r="A38" s="319" t="s">
        <v>658</v>
      </c>
      <c r="B38" s="384" t="s">
        <v>663</v>
      </c>
      <c r="C38" s="384" t="s">
        <v>665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4000000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325">
        <v>3000000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325">
        <v>0</v>
      </c>
      <c r="AF38" s="325">
        <v>0</v>
      </c>
      <c r="AG38" s="325">
        <v>0</v>
      </c>
      <c r="AH38" s="325">
        <v>3000000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325">
        <v>0</v>
      </c>
      <c r="AQ38" s="325">
        <v>0</v>
      </c>
      <c r="AR38" s="325">
        <v>0</v>
      </c>
      <c r="AS38" s="325">
        <v>0</v>
      </c>
      <c r="AT38" s="325">
        <v>3000000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>
        <v>0</v>
      </c>
      <c r="BC38" s="325">
        <v>0</v>
      </c>
      <c r="BD38" s="325">
        <v>0</v>
      </c>
      <c r="BE38" s="325">
        <v>0</v>
      </c>
      <c r="BF38" s="325">
        <v>3000000</v>
      </c>
      <c r="BG38" s="325">
        <v>0</v>
      </c>
      <c r="BH38" s="325">
        <v>0</v>
      </c>
      <c r="BI38" s="325">
        <v>0</v>
      </c>
      <c r="BJ38" s="325">
        <v>0</v>
      </c>
      <c r="BK38" s="325">
        <v>0</v>
      </c>
      <c r="BL38" s="325">
        <v>0</v>
      </c>
      <c r="BM38" s="325">
        <v>0</v>
      </c>
      <c r="BN38" s="325">
        <v>0</v>
      </c>
      <c r="BO38" s="325">
        <v>0</v>
      </c>
      <c r="BP38" s="325">
        <v>0</v>
      </c>
      <c r="BQ38" s="325">
        <v>0</v>
      </c>
      <c r="BR38" s="325">
        <v>3000000</v>
      </c>
      <c r="BS38" s="325">
        <v>0</v>
      </c>
      <c r="BT38" s="325">
        <v>0</v>
      </c>
      <c r="BU38" s="325">
        <v>0</v>
      </c>
      <c r="BV38" s="325">
        <v>0</v>
      </c>
      <c r="BW38" s="325">
        <v>0</v>
      </c>
      <c r="BX38" s="325">
        <v>0</v>
      </c>
      <c r="BY38" s="325">
        <v>0</v>
      </c>
      <c r="BZ38" s="325">
        <v>0</v>
      </c>
      <c r="CA38" s="325">
        <v>0</v>
      </c>
      <c r="CB38" s="325">
        <v>0</v>
      </c>
      <c r="CC38" s="325">
        <v>0</v>
      </c>
      <c r="CD38" s="325">
        <v>3000000</v>
      </c>
      <c r="CE38" s="325">
        <v>0</v>
      </c>
      <c r="CF38" s="325">
        <v>0</v>
      </c>
      <c r="CG38" s="325">
        <v>0</v>
      </c>
      <c r="CH38" s="325">
        <v>0</v>
      </c>
      <c r="CI38" s="325">
        <v>0</v>
      </c>
      <c r="CJ38" s="325">
        <v>0</v>
      </c>
      <c r="CK38" s="325">
        <v>0</v>
      </c>
      <c r="CL38" s="325">
        <v>0</v>
      </c>
      <c r="CM38" s="325">
        <v>0</v>
      </c>
      <c r="CN38" s="325">
        <v>0</v>
      </c>
      <c r="CO38" s="325">
        <v>0</v>
      </c>
      <c r="CP38" s="325">
        <v>3000000</v>
      </c>
      <c r="CQ38" s="325">
        <v>0</v>
      </c>
      <c r="CR38" s="325">
        <v>0</v>
      </c>
      <c r="CS38" s="325">
        <v>0</v>
      </c>
      <c r="CT38" s="325">
        <v>0</v>
      </c>
      <c r="CU38" s="325">
        <v>0</v>
      </c>
      <c r="CV38" s="325">
        <v>0</v>
      </c>
      <c r="CW38" s="325">
        <v>0</v>
      </c>
      <c r="CX38" s="325">
        <v>0</v>
      </c>
      <c r="CY38" s="325">
        <v>0</v>
      </c>
    </row>
    <row r="39" spans="1:103" ht="15">
      <c r="A39" s="319" t="s">
        <v>659</v>
      </c>
      <c r="B39" s="384" t="s">
        <v>663</v>
      </c>
      <c r="C39" s="384" t="s">
        <v>665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0</v>
      </c>
      <c r="S39" s="325">
        <v>0</v>
      </c>
      <c r="T39" s="325">
        <v>0</v>
      </c>
      <c r="U39" s="325">
        <v>0</v>
      </c>
      <c r="V39" s="325">
        <v>0</v>
      </c>
      <c r="W39" s="325">
        <v>0</v>
      </c>
      <c r="X39" s="325">
        <v>0</v>
      </c>
      <c r="Y39" s="325">
        <v>0</v>
      </c>
      <c r="Z39" s="325">
        <v>0</v>
      </c>
      <c r="AA39" s="325">
        <v>0</v>
      </c>
      <c r="AB39" s="325">
        <v>0</v>
      </c>
      <c r="AC39" s="325">
        <v>0</v>
      </c>
      <c r="AD39" s="325">
        <v>0</v>
      </c>
      <c r="AE39" s="325">
        <v>0</v>
      </c>
      <c r="AF39" s="325">
        <v>0</v>
      </c>
      <c r="AG39" s="325">
        <v>0</v>
      </c>
      <c r="AH39" s="325">
        <v>0</v>
      </c>
      <c r="AI39" s="325">
        <v>0</v>
      </c>
      <c r="AJ39" s="325">
        <v>0</v>
      </c>
      <c r="AK39" s="325">
        <v>0</v>
      </c>
      <c r="AL39" s="325">
        <v>0</v>
      </c>
      <c r="AM39" s="325">
        <v>0</v>
      </c>
      <c r="AN39" s="325">
        <v>0</v>
      </c>
      <c r="AO39" s="325">
        <v>0</v>
      </c>
      <c r="AP39" s="325">
        <v>0</v>
      </c>
      <c r="AQ39" s="325">
        <v>0</v>
      </c>
      <c r="AR39" s="325">
        <v>0</v>
      </c>
      <c r="AS39" s="325">
        <v>0</v>
      </c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>
        <v>0</v>
      </c>
      <c r="BC39" s="325">
        <v>0</v>
      </c>
      <c r="BD39" s="325">
        <v>0</v>
      </c>
      <c r="BE39" s="325">
        <v>0</v>
      </c>
      <c r="BF39" s="325">
        <v>0</v>
      </c>
      <c r="BG39" s="325">
        <v>0</v>
      </c>
      <c r="BH39" s="325">
        <v>0</v>
      </c>
      <c r="BI39" s="325">
        <v>0</v>
      </c>
      <c r="BJ39" s="325">
        <v>0</v>
      </c>
      <c r="BK39" s="325">
        <v>0</v>
      </c>
      <c r="BL39" s="325">
        <v>0</v>
      </c>
      <c r="BM39" s="325">
        <v>0</v>
      </c>
      <c r="BN39" s="325">
        <v>0</v>
      </c>
      <c r="BO39" s="325">
        <v>0</v>
      </c>
      <c r="BP39" s="325">
        <v>0</v>
      </c>
      <c r="BQ39" s="325">
        <v>0</v>
      </c>
      <c r="BR39" s="325">
        <v>0</v>
      </c>
      <c r="BS39" s="325">
        <v>0</v>
      </c>
      <c r="BT39" s="325">
        <v>0</v>
      </c>
      <c r="BU39" s="325">
        <v>0</v>
      </c>
      <c r="BV39" s="325">
        <v>0</v>
      </c>
      <c r="BW39" s="325">
        <v>0</v>
      </c>
      <c r="BX39" s="325">
        <v>0</v>
      </c>
      <c r="BY39" s="325">
        <v>0</v>
      </c>
      <c r="BZ39" s="325">
        <v>0</v>
      </c>
      <c r="CA39" s="325">
        <v>0</v>
      </c>
      <c r="CB39" s="325">
        <v>0</v>
      </c>
      <c r="CC39" s="325">
        <v>0</v>
      </c>
      <c r="CD39" s="325">
        <v>0</v>
      </c>
      <c r="CE39" s="325">
        <v>0</v>
      </c>
      <c r="CF39" s="325">
        <v>0</v>
      </c>
      <c r="CG39" s="325">
        <v>0</v>
      </c>
      <c r="CH39" s="325">
        <v>0</v>
      </c>
      <c r="CI39" s="325">
        <v>0</v>
      </c>
      <c r="CJ39" s="325">
        <v>0</v>
      </c>
      <c r="CK39" s="325">
        <v>0</v>
      </c>
      <c r="CL39" s="325">
        <v>0</v>
      </c>
      <c r="CM39" s="325">
        <v>0</v>
      </c>
      <c r="CN39" s="325">
        <v>0</v>
      </c>
      <c r="CO39" s="325">
        <v>0</v>
      </c>
      <c r="CP39" s="325">
        <v>0</v>
      </c>
      <c r="CQ39" s="325">
        <v>0</v>
      </c>
      <c r="CR39" s="325">
        <v>0</v>
      </c>
      <c r="CS39" s="325">
        <v>0</v>
      </c>
      <c r="CT39" s="325">
        <v>0</v>
      </c>
      <c r="CU39" s="325">
        <v>0</v>
      </c>
      <c r="CV39" s="325">
        <v>0</v>
      </c>
      <c r="CW39" s="325">
        <v>0</v>
      </c>
      <c r="CX39" s="325">
        <v>0</v>
      </c>
      <c r="CY39" s="325">
        <v>0</v>
      </c>
    </row>
    <row r="40" spans="1:103" ht="15">
      <c r="A40" s="319" t="s">
        <v>672</v>
      </c>
      <c r="B40" s="384" t="s">
        <v>663</v>
      </c>
      <c r="C40" s="384" t="s">
        <v>665</v>
      </c>
      <c r="D40" s="325">
        <v>0</v>
      </c>
      <c r="E40" s="325">
        <v>0</v>
      </c>
      <c r="F40" s="325">
        <v>0</v>
      </c>
      <c r="G40" s="325">
        <v>624000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648960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325">
        <v>674918.40000000002</v>
      </c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701915.13600000006</v>
      </c>
      <c r="AR40" s="325">
        <v>0</v>
      </c>
      <c r="AS40" s="325">
        <v>0</v>
      </c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>
        <v>0</v>
      </c>
      <c r="BC40" s="325">
        <v>729991.74144000013</v>
      </c>
      <c r="BD40" s="325">
        <v>0</v>
      </c>
      <c r="BE40" s="325">
        <v>0</v>
      </c>
      <c r="BF40" s="325">
        <v>0</v>
      </c>
      <c r="BG40" s="325">
        <v>0</v>
      </c>
      <c r="BH40" s="325">
        <v>0</v>
      </c>
      <c r="BI40" s="325">
        <v>0</v>
      </c>
      <c r="BJ40" s="325">
        <v>0</v>
      </c>
      <c r="BK40" s="325">
        <v>0</v>
      </c>
      <c r="BL40" s="325">
        <v>0</v>
      </c>
      <c r="BM40" s="325">
        <v>0</v>
      </c>
      <c r="BN40" s="325">
        <v>0</v>
      </c>
      <c r="BO40" s="325">
        <v>759191.41109760012</v>
      </c>
      <c r="BP40" s="325">
        <v>0</v>
      </c>
      <c r="BQ40" s="325">
        <v>0</v>
      </c>
      <c r="BR40" s="325">
        <v>0</v>
      </c>
      <c r="BS40" s="325">
        <v>0</v>
      </c>
      <c r="BT40" s="325">
        <v>0</v>
      </c>
      <c r="BU40" s="325">
        <v>0</v>
      </c>
      <c r="BV40" s="325">
        <v>0</v>
      </c>
      <c r="BW40" s="325">
        <v>0</v>
      </c>
      <c r="BX40" s="325">
        <v>0</v>
      </c>
      <c r="BY40" s="325">
        <v>0</v>
      </c>
      <c r="BZ40" s="325">
        <v>0</v>
      </c>
      <c r="CA40" s="325">
        <v>789559.06754150416</v>
      </c>
      <c r="CB40" s="325">
        <v>0</v>
      </c>
      <c r="CC40" s="325">
        <v>0</v>
      </c>
      <c r="CD40" s="325">
        <v>0</v>
      </c>
      <c r="CE40" s="325">
        <v>0</v>
      </c>
      <c r="CF40" s="325">
        <v>0</v>
      </c>
      <c r="CG40" s="325">
        <v>0</v>
      </c>
      <c r="CH40" s="325">
        <v>0</v>
      </c>
      <c r="CI40" s="325">
        <v>0</v>
      </c>
      <c r="CJ40" s="325">
        <v>0</v>
      </c>
      <c r="CK40" s="325">
        <v>0</v>
      </c>
      <c r="CL40" s="325">
        <v>0</v>
      </c>
      <c r="CM40" s="325">
        <v>821141.4302431643</v>
      </c>
      <c r="CN40" s="325">
        <v>0</v>
      </c>
      <c r="CO40" s="325">
        <v>0</v>
      </c>
      <c r="CP40" s="325">
        <v>0</v>
      </c>
      <c r="CQ40" s="325">
        <v>0</v>
      </c>
      <c r="CR40" s="325">
        <v>0</v>
      </c>
      <c r="CS40" s="325">
        <v>0</v>
      </c>
      <c r="CT40" s="325">
        <v>0</v>
      </c>
      <c r="CU40" s="325">
        <v>0</v>
      </c>
      <c r="CV40" s="325">
        <v>0</v>
      </c>
      <c r="CW40" s="325">
        <v>0</v>
      </c>
      <c r="CX40" s="325">
        <v>0</v>
      </c>
      <c r="CY40" s="325">
        <v>0</v>
      </c>
    </row>
    <row r="41" spans="1:103" ht="15">
      <c r="A41" s="319" t="s">
        <v>579</v>
      </c>
      <c r="B41" s="384" t="s">
        <v>548</v>
      </c>
      <c r="C41" s="384" t="s">
        <v>665</v>
      </c>
      <c r="D41" s="325">
        <v>897272</v>
      </c>
      <c r="E41" s="325">
        <v>0</v>
      </c>
      <c r="F41" s="325">
        <v>0</v>
      </c>
      <c r="G41" s="325">
        <v>12272</v>
      </c>
      <c r="H41" s="325">
        <v>0</v>
      </c>
      <c r="I41" s="325">
        <v>3894000</v>
      </c>
      <c r="J41" s="325">
        <v>12272</v>
      </c>
      <c r="K41" s="325">
        <v>0</v>
      </c>
      <c r="L41" s="325">
        <v>0</v>
      </c>
      <c r="M41" s="325">
        <v>12272</v>
      </c>
      <c r="N41" s="325">
        <v>0</v>
      </c>
      <c r="O41" s="325">
        <v>4248000</v>
      </c>
      <c r="P41" s="325">
        <v>897762.88</v>
      </c>
      <c r="Q41" s="325">
        <v>0</v>
      </c>
      <c r="R41" s="325">
        <v>0</v>
      </c>
      <c r="S41" s="325">
        <v>12762.880000000001</v>
      </c>
      <c r="T41" s="325">
        <v>0</v>
      </c>
      <c r="U41" s="325">
        <v>0</v>
      </c>
      <c r="V41" s="325">
        <v>12762.880000000001</v>
      </c>
      <c r="W41" s="325">
        <v>0</v>
      </c>
      <c r="X41" s="325">
        <v>0</v>
      </c>
      <c r="Y41" s="325">
        <v>12762.880000000001</v>
      </c>
      <c r="Z41" s="325">
        <v>0</v>
      </c>
      <c r="AA41" s="325">
        <v>4248000</v>
      </c>
      <c r="AB41" s="325">
        <v>898273.39520000003</v>
      </c>
      <c r="AC41" s="325">
        <v>0</v>
      </c>
      <c r="AD41" s="325">
        <v>0</v>
      </c>
      <c r="AE41" s="325">
        <v>13273.395200000001</v>
      </c>
      <c r="AF41" s="325">
        <v>0</v>
      </c>
      <c r="AG41" s="325">
        <v>0</v>
      </c>
      <c r="AH41" s="325">
        <v>13273.395200000001</v>
      </c>
      <c r="AI41" s="325">
        <v>0</v>
      </c>
      <c r="AJ41" s="325">
        <v>0</v>
      </c>
      <c r="AK41" s="325">
        <v>13273.395200000001</v>
      </c>
      <c r="AL41" s="325">
        <v>0</v>
      </c>
      <c r="AM41" s="325">
        <v>4248000</v>
      </c>
      <c r="AN41" s="325">
        <v>898804.33100799995</v>
      </c>
      <c r="AO41" s="325">
        <v>0</v>
      </c>
      <c r="AP41" s="325">
        <v>0</v>
      </c>
      <c r="AQ41" s="325">
        <v>13804.331008000001</v>
      </c>
      <c r="AR41" s="325">
        <v>0</v>
      </c>
      <c r="AS41" s="325">
        <v>0</v>
      </c>
      <c r="AT41" s="325">
        <v>13804.331008000001</v>
      </c>
      <c r="AU41" s="325">
        <v>0</v>
      </c>
      <c r="AV41" s="325">
        <v>0</v>
      </c>
      <c r="AW41" s="325">
        <v>13804.331008000001</v>
      </c>
      <c r="AX41" s="325">
        <v>0</v>
      </c>
      <c r="AY41" s="325">
        <v>4248000</v>
      </c>
      <c r="AZ41" s="325">
        <v>899356.50424832001</v>
      </c>
      <c r="BA41" s="325">
        <v>0</v>
      </c>
      <c r="BB41" s="325">
        <v>0</v>
      </c>
      <c r="BC41" s="325">
        <v>14356.504248320001</v>
      </c>
      <c r="BD41" s="325">
        <v>0</v>
      </c>
      <c r="BE41" s="325">
        <v>0</v>
      </c>
      <c r="BF41" s="325">
        <v>14356.504248320001</v>
      </c>
      <c r="BG41" s="325">
        <v>0</v>
      </c>
      <c r="BH41" s="325">
        <v>0</v>
      </c>
      <c r="BI41" s="325">
        <v>14356.504248320001</v>
      </c>
      <c r="BJ41" s="325">
        <v>0</v>
      </c>
      <c r="BK41" s="325">
        <v>4248000</v>
      </c>
      <c r="BL41" s="325">
        <v>899930.76441825274</v>
      </c>
      <c r="BM41" s="325">
        <v>0</v>
      </c>
      <c r="BN41" s="325">
        <v>0</v>
      </c>
      <c r="BO41" s="325">
        <v>14930.764418252802</v>
      </c>
      <c r="BP41" s="325">
        <v>0</v>
      </c>
      <c r="BQ41" s="325">
        <v>0</v>
      </c>
      <c r="BR41" s="325">
        <v>14930.764418252802</v>
      </c>
      <c r="BS41" s="325">
        <v>0</v>
      </c>
      <c r="BT41" s="325">
        <v>0</v>
      </c>
      <c r="BU41" s="325">
        <v>14930.764418252802</v>
      </c>
      <c r="BV41" s="325">
        <v>0</v>
      </c>
      <c r="BW41" s="325">
        <v>4248000</v>
      </c>
      <c r="BX41" s="325">
        <v>900527.99499498296</v>
      </c>
      <c r="BY41" s="325">
        <v>0</v>
      </c>
      <c r="BZ41" s="325">
        <v>0</v>
      </c>
      <c r="CA41" s="325">
        <v>15527.994994982915</v>
      </c>
      <c r="CB41" s="325">
        <v>0</v>
      </c>
      <c r="CC41" s="325">
        <v>0</v>
      </c>
      <c r="CD41" s="325">
        <v>15527.994994982915</v>
      </c>
      <c r="CE41" s="325">
        <v>0</v>
      </c>
      <c r="CF41" s="325">
        <v>0</v>
      </c>
      <c r="CG41" s="325">
        <v>0</v>
      </c>
      <c r="CH41" s="325">
        <v>0</v>
      </c>
      <c r="CI41" s="325">
        <v>4248000</v>
      </c>
      <c r="CJ41" s="325">
        <v>885000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2124000</v>
      </c>
      <c r="CV41" s="325">
        <v>0</v>
      </c>
      <c r="CW41" s="325">
        <v>0</v>
      </c>
      <c r="CX41" s="325">
        <v>0</v>
      </c>
      <c r="CY41" s="325">
        <v>0</v>
      </c>
    </row>
    <row r="42" spans="1:103" ht="15">
      <c r="A42" s="319" t="s">
        <v>580</v>
      </c>
      <c r="B42" s="384" t="s">
        <v>548</v>
      </c>
      <c r="C42" s="384" t="s">
        <v>671</v>
      </c>
      <c r="D42" s="325">
        <v>85904</v>
      </c>
      <c r="E42" s="325">
        <v>85904</v>
      </c>
      <c r="F42" s="325">
        <v>85904</v>
      </c>
      <c r="G42" s="325">
        <v>85904</v>
      </c>
      <c r="H42" s="325">
        <v>85904</v>
      </c>
      <c r="I42" s="325">
        <v>85904</v>
      </c>
      <c r="J42" s="325">
        <v>85904</v>
      </c>
      <c r="K42" s="325">
        <v>85904</v>
      </c>
      <c r="L42" s="325">
        <v>85904</v>
      </c>
      <c r="M42" s="325">
        <v>10085904</v>
      </c>
      <c r="N42" s="325">
        <v>589340.16000000003</v>
      </c>
      <c r="O42" s="325">
        <v>89340.160000000003</v>
      </c>
      <c r="P42" s="325">
        <v>89340.160000000003</v>
      </c>
      <c r="Q42" s="325">
        <v>89340.160000000003</v>
      </c>
      <c r="R42" s="325">
        <v>89340.160000000003</v>
      </c>
      <c r="S42" s="325">
        <v>89340.160000000003</v>
      </c>
      <c r="T42" s="325">
        <v>89340.160000000003</v>
      </c>
      <c r="U42" s="325">
        <v>89340.160000000003</v>
      </c>
      <c r="V42" s="325">
        <v>89340.160000000003</v>
      </c>
      <c r="W42" s="325">
        <v>89340.160000000003</v>
      </c>
      <c r="X42" s="325">
        <v>89340.160000000003</v>
      </c>
      <c r="Y42" s="325">
        <v>89340.160000000003</v>
      </c>
      <c r="Z42" s="325">
        <v>592913.76639999996</v>
      </c>
      <c r="AA42" s="325">
        <v>92913.766400000008</v>
      </c>
      <c r="AB42" s="325">
        <v>92913.766400000008</v>
      </c>
      <c r="AC42" s="325">
        <v>92913.766400000008</v>
      </c>
      <c r="AD42" s="325">
        <v>92913.766400000008</v>
      </c>
      <c r="AE42" s="325">
        <v>92913.766400000008</v>
      </c>
      <c r="AF42" s="325">
        <v>92913.766400000008</v>
      </c>
      <c r="AG42" s="325">
        <v>92913.766400000008</v>
      </c>
      <c r="AH42" s="325">
        <v>92913.766400000008</v>
      </c>
      <c r="AI42" s="325">
        <v>92913.766400000008</v>
      </c>
      <c r="AJ42" s="325">
        <v>92913.766400000008</v>
      </c>
      <c r="AK42" s="325">
        <v>92913.766400000008</v>
      </c>
      <c r="AL42" s="325">
        <v>596630.317056</v>
      </c>
      <c r="AM42" s="325">
        <v>96630.317056000014</v>
      </c>
      <c r="AN42" s="325">
        <v>96630.317056000014</v>
      </c>
      <c r="AO42" s="325">
        <v>96630.317056000014</v>
      </c>
      <c r="AP42" s="325">
        <v>96630.317056000014</v>
      </c>
      <c r="AQ42" s="325">
        <v>96630.317056000014</v>
      </c>
      <c r="AR42" s="325">
        <v>96630.317056000014</v>
      </c>
      <c r="AS42" s="325">
        <v>96630.317056000014</v>
      </c>
      <c r="AT42" s="325">
        <v>96630.317056000014</v>
      </c>
      <c r="AU42" s="325">
        <v>96630.317056000014</v>
      </c>
      <c r="AV42" s="325">
        <v>96630.317056000014</v>
      </c>
      <c r="AW42" s="325">
        <v>96630.317056000014</v>
      </c>
      <c r="AX42" s="325">
        <v>600495.52973824006</v>
      </c>
      <c r="AY42" s="325">
        <v>100495.52973824002</v>
      </c>
      <c r="AZ42" s="325">
        <v>100495.52973824002</v>
      </c>
      <c r="BA42" s="325">
        <v>100495.52973824002</v>
      </c>
      <c r="BB42" s="325">
        <v>100495.52973824002</v>
      </c>
      <c r="BC42" s="325">
        <v>100495.52973824002</v>
      </c>
      <c r="BD42" s="325">
        <v>100495.52973824002</v>
      </c>
      <c r="BE42" s="325">
        <v>100495.52973824002</v>
      </c>
      <c r="BF42" s="325">
        <v>100495.52973824002</v>
      </c>
      <c r="BG42" s="325">
        <v>100495.52973824002</v>
      </c>
      <c r="BH42" s="325">
        <v>100495.52973824002</v>
      </c>
      <c r="BI42" s="325">
        <v>100495.52973824002</v>
      </c>
      <c r="BJ42" s="325">
        <v>604515.35092776967</v>
      </c>
      <c r="BK42" s="325">
        <v>104515.35092776961</v>
      </c>
      <c r="BL42" s="325">
        <v>104515.35092776961</v>
      </c>
      <c r="BM42" s="325">
        <v>104515.35092776961</v>
      </c>
      <c r="BN42" s="325">
        <v>104515.35092776961</v>
      </c>
      <c r="BO42" s="325">
        <v>104515.35092776961</v>
      </c>
      <c r="BP42" s="325">
        <v>104515.35092776961</v>
      </c>
      <c r="BQ42" s="325">
        <v>104515.35092776961</v>
      </c>
      <c r="BR42" s="325">
        <v>104515.35092776961</v>
      </c>
      <c r="BS42" s="325">
        <v>104515.35092776961</v>
      </c>
      <c r="BT42" s="325">
        <v>104515.35092776961</v>
      </c>
      <c r="BU42" s="325">
        <v>104515.35092776961</v>
      </c>
      <c r="BV42" s="325">
        <v>608695.96496488038</v>
      </c>
      <c r="BW42" s="325">
        <v>108695.9649648804</v>
      </c>
      <c r="BX42" s="325">
        <v>108695.9649648804</v>
      </c>
      <c r="BY42" s="325">
        <v>108695.9649648804</v>
      </c>
      <c r="BZ42" s="325">
        <v>108695.9649648804</v>
      </c>
      <c r="CA42" s="325">
        <v>108695.9649648804</v>
      </c>
      <c r="CB42" s="325">
        <v>108695.9649648804</v>
      </c>
      <c r="CC42" s="325">
        <v>108695.9649648804</v>
      </c>
      <c r="CD42" s="325">
        <v>108695.9649648804</v>
      </c>
      <c r="CE42" s="325">
        <v>108695.9649648804</v>
      </c>
      <c r="CF42" s="325">
        <v>108695.9649648804</v>
      </c>
      <c r="CG42" s="325">
        <v>108695.9649648804</v>
      </c>
      <c r="CH42" s="325">
        <v>613043.80356347561</v>
      </c>
      <c r="CI42" s="325">
        <v>113043.80356347562</v>
      </c>
      <c r="CJ42" s="325">
        <v>113043.80356347562</v>
      </c>
      <c r="CK42" s="325">
        <v>113043.80356347562</v>
      </c>
      <c r="CL42" s="325">
        <v>113043.80356347562</v>
      </c>
      <c r="CM42" s="325">
        <v>113043.80356347562</v>
      </c>
      <c r="CN42" s="325">
        <v>113043.80356347562</v>
      </c>
      <c r="CO42" s="325">
        <v>113043.80356347562</v>
      </c>
      <c r="CP42" s="325">
        <v>113043.80356347562</v>
      </c>
      <c r="CQ42" s="325">
        <v>113043.80356347562</v>
      </c>
      <c r="CR42" s="325">
        <v>113043.80356347562</v>
      </c>
      <c r="CS42" s="325">
        <v>113043.80356347562</v>
      </c>
      <c r="CT42" s="325">
        <v>617565.55570601462</v>
      </c>
      <c r="CU42" s="325">
        <v>117565.55570601465</v>
      </c>
      <c r="CV42" s="325">
        <v>117565.55570601465</v>
      </c>
      <c r="CW42" s="325">
        <v>117565.55570601465</v>
      </c>
      <c r="CX42" s="325">
        <v>117565.55570601465</v>
      </c>
      <c r="CY42" s="325">
        <v>117565.55570601465</v>
      </c>
    </row>
    <row r="43" spans="1:103" ht="15">
      <c r="A43" s="319" t="s">
        <v>581</v>
      </c>
      <c r="B43" s="384" t="s">
        <v>548</v>
      </c>
      <c r="C43" s="384" t="s">
        <v>671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245440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255257.60000000001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265467.90400000004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276086.62016000005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287130.08496640006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298615.28836505604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310559.89989965828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322982.29589564464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</row>
    <row r="44" spans="1:103" ht="15">
      <c r="A44" s="319" t="s">
        <v>582</v>
      </c>
      <c r="B44" s="384" t="s">
        <v>548</v>
      </c>
      <c r="C44" s="384" t="s">
        <v>671</v>
      </c>
      <c r="D44" s="325">
        <v>30680</v>
      </c>
      <c r="E44" s="325">
        <v>244085</v>
      </c>
      <c r="F44" s="325">
        <v>30680</v>
      </c>
      <c r="G44" s="325">
        <v>620680</v>
      </c>
      <c r="H44" s="325">
        <v>244085</v>
      </c>
      <c r="I44" s="325">
        <v>30680</v>
      </c>
      <c r="J44" s="325">
        <v>30680</v>
      </c>
      <c r="K44" s="325">
        <v>244085</v>
      </c>
      <c r="L44" s="325">
        <v>30680</v>
      </c>
      <c r="M44" s="325">
        <v>30680</v>
      </c>
      <c r="N44" s="325">
        <v>221941.2</v>
      </c>
      <c r="O44" s="325">
        <v>228817.88800000004</v>
      </c>
      <c r="P44" s="325">
        <v>31907.200000000001</v>
      </c>
      <c r="Q44" s="325">
        <v>221941.2</v>
      </c>
      <c r="R44" s="325">
        <v>31907.200000000001</v>
      </c>
      <c r="S44" s="325">
        <v>621907.19999999995</v>
      </c>
      <c r="T44" s="325">
        <v>221941.2</v>
      </c>
      <c r="U44" s="325">
        <v>31907.200000000001</v>
      </c>
      <c r="V44" s="325">
        <v>31907.200000000001</v>
      </c>
      <c r="W44" s="325">
        <v>221941.2</v>
      </c>
      <c r="X44" s="325">
        <v>31907.200000000001</v>
      </c>
      <c r="Y44" s="325">
        <v>31907.200000000001</v>
      </c>
      <c r="Z44" s="325">
        <v>230818.84800000003</v>
      </c>
      <c r="AA44" s="325">
        <v>237970.60352000003</v>
      </c>
      <c r="AB44" s="325">
        <v>33183.488000000005</v>
      </c>
      <c r="AC44" s="325">
        <v>230818.84800000003</v>
      </c>
      <c r="AD44" s="325">
        <v>33183.488000000005</v>
      </c>
      <c r="AE44" s="325">
        <v>623183.48800000001</v>
      </c>
      <c r="AF44" s="325">
        <v>230818.84800000003</v>
      </c>
      <c r="AG44" s="325">
        <v>33183.488000000005</v>
      </c>
      <c r="AH44" s="325">
        <v>33183.488000000005</v>
      </c>
      <c r="AI44" s="325">
        <v>230818.84800000003</v>
      </c>
      <c r="AJ44" s="325">
        <v>33183.488000000005</v>
      </c>
      <c r="AK44" s="325">
        <v>33183.488000000005</v>
      </c>
      <c r="AL44" s="325">
        <v>240051.60192000004</v>
      </c>
      <c r="AM44" s="325">
        <v>247489.42766080005</v>
      </c>
      <c r="AN44" s="325">
        <v>34510.827520000006</v>
      </c>
      <c r="AO44" s="325">
        <v>240051.60192000004</v>
      </c>
      <c r="AP44" s="325">
        <v>34510.827520000006</v>
      </c>
      <c r="AQ44" s="325">
        <v>624510.82752000005</v>
      </c>
      <c r="AR44" s="325">
        <v>240051.60192000004</v>
      </c>
      <c r="AS44" s="325">
        <v>34510.827520000006</v>
      </c>
      <c r="AT44" s="325">
        <v>34510.827520000006</v>
      </c>
      <c r="AU44" s="325">
        <v>240051.60192000004</v>
      </c>
      <c r="AV44" s="325">
        <v>34510.827520000006</v>
      </c>
      <c r="AW44" s="325">
        <v>34510.827520000006</v>
      </c>
      <c r="AX44" s="325">
        <v>249653.66599680006</v>
      </c>
      <c r="AY44" s="325">
        <v>257389.00476723205</v>
      </c>
      <c r="AZ44" s="325">
        <v>35891.260620800007</v>
      </c>
      <c r="BA44" s="325">
        <v>249653.66599680006</v>
      </c>
      <c r="BB44" s="325">
        <v>35891.260620800007</v>
      </c>
      <c r="BC44" s="325">
        <v>625891.26062079996</v>
      </c>
      <c r="BD44" s="325">
        <v>249653.66599680006</v>
      </c>
      <c r="BE44" s="325">
        <v>35891.260620800007</v>
      </c>
      <c r="BF44" s="325">
        <v>35891.260620800007</v>
      </c>
      <c r="BG44" s="325">
        <v>249653.66599680006</v>
      </c>
      <c r="BH44" s="325">
        <v>35891.260620800007</v>
      </c>
      <c r="BI44" s="325">
        <v>35891.260620800007</v>
      </c>
      <c r="BJ44" s="325">
        <v>259639.81263667205</v>
      </c>
      <c r="BK44" s="325">
        <v>267684.56495792134</v>
      </c>
      <c r="BL44" s="325">
        <v>37326.911045632005</v>
      </c>
      <c r="BM44" s="325">
        <v>259639.81263667205</v>
      </c>
      <c r="BN44" s="325">
        <v>37326.911045632005</v>
      </c>
      <c r="BO44" s="325">
        <v>627326.91104563198</v>
      </c>
      <c r="BP44" s="325">
        <v>259639.81263667205</v>
      </c>
      <c r="BQ44" s="325">
        <v>37326.911045632005</v>
      </c>
      <c r="BR44" s="325">
        <v>37326.911045632005</v>
      </c>
      <c r="BS44" s="325">
        <v>259639.81263667205</v>
      </c>
      <c r="BT44" s="325">
        <v>37326.911045632005</v>
      </c>
      <c r="BU44" s="325">
        <v>37326.911045632005</v>
      </c>
      <c r="BV44" s="325">
        <v>270025.40514213894</v>
      </c>
      <c r="BW44" s="325">
        <v>278391.94755623816</v>
      </c>
      <c r="BX44" s="325">
        <v>38819.987487457285</v>
      </c>
      <c r="BY44" s="325">
        <v>270025.40514213894</v>
      </c>
      <c r="BZ44" s="325">
        <v>38819.987487457285</v>
      </c>
      <c r="CA44" s="325">
        <v>628819.98748745723</v>
      </c>
      <c r="CB44" s="325">
        <v>270025.40514213894</v>
      </c>
      <c r="CC44" s="325">
        <v>38819.987487457285</v>
      </c>
      <c r="CD44" s="325">
        <v>38819.987487457285</v>
      </c>
      <c r="CE44" s="325">
        <v>270025.40514213894</v>
      </c>
      <c r="CF44" s="325">
        <v>38819.987487457285</v>
      </c>
      <c r="CG44" s="325">
        <v>38819.987487457285</v>
      </c>
      <c r="CH44" s="325">
        <v>280826.42134782451</v>
      </c>
      <c r="CI44" s="325">
        <v>289527.62545848772</v>
      </c>
      <c r="CJ44" s="325">
        <v>40372.78698695558</v>
      </c>
      <c r="CK44" s="325">
        <v>280826.42134782451</v>
      </c>
      <c r="CL44" s="325">
        <v>40372.78698695558</v>
      </c>
      <c r="CM44" s="325">
        <v>630372.78698695556</v>
      </c>
      <c r="CN44" s="325">
        <v>280826.42134782451</v>
      </c>
      <c r="CO44" s="325">
        <v>40372.78698695558</v>
      </c>
      <c r="CP44" s="325">
        <v>40372.78698695558</v>
      </c>
      <c r="CQ44" s="325">
        <v>280826.42134782451</v>
      </c>
      <c r="CR44" s="325">
        <v>40372.78698695558</v>
      </c>
      <c r="CS44" s="325">
        <v>40372.78698695558</v>
      </c>
      <c r="CT44" s="325">
        <v>292059.47820173751</v>
      </c>
      <c r="CU44" s="325">
        <v>301108.73047682724</v>
      </c>
      <c r="CV44" s="325">
        <v>41987.698466433802</v>
      </c>
      <c r="CW44" s="325">
        <v>292059.47820173751</v>
      </c>
      <c r="CX44" s="325">
        <v>41987.698466433802</v>
      </c>
      <c r="CY44" s="325">
        <v>631987.69846643379</v>
      </c>
    </row>
    <row r="45" spans="1:103" ht="15">
      <c r="A45" s="319" t="s">
        <v>583</v>
      </c>
      <c r="B45" s="384" t="s">
        <v>548</v>
      </c>
      <c r="C45" s="384" t="s">
        <v>671</v>
      </c>
      <c r="D45" s="325">
        <v>0</v>
      </c>
      <c r="E45" s="325">
        <v>0</v>
      </c>
      <c r="F45" s="325">
        <v>0</v>
      </c>
      <c r="G45" s="325">
        <v>0</v>
      </c>
      <c r="H45" s="325">
        <v>55224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325">
        <v>0</v>
      </c>
      <c r="R45" s="325">
        <v>0</v>
      </c>
      <c r="S45" s="325">
        <v>0</v>
      </c>
      <c r="T45" s="325">
        <v>57432.959999999999</v>
      </c>
      <c r="U45" s="325">
        <v>0</v>
      </c>
      <c r="V45" s="325">
        <v>0</v>
      </c>
      <c r="W45" s="325">
        <v>0</v>
      </c>
      <c r="X45" s="325">
        <v>0</v>
      </c>
      <c r="Y45" s="325">
        <v>0</v>
      </c>
      <c r="Z45" s="325">
        <v>0</v>
      </c>
      <c r="AA45" s="325">
        <v>0</v>
      </c>
      <c r="AB45" s="325">
        <v>0</v>
      </c>
      <c r="AC45" s="325">
        <v>0</v>
      </c>
      <c r="AD45" s="325">
        <v>0</v>
      </c>
      <c r="AE45" s="325">
        <v>0</v>
      </c>
      <c r="AF45" s="325">
        <v>59730.278400000003</v>
      </c>
      <c r="AG45" s="325">
        <v>0</v>
      </c>
      <c r="AH45" s="325">
        <v>0</v>
      </c>
      <c r="AI45" s="325">
        <v>0</v>
      </c>
      <c r="AJ45" s="325">
        <v>0</v>
      </c>
      <c r="AK45" s="325">
        <v>0</v>
      </c>
      <c r="AL45" s="325">
        <v>0</v>
      </c>
      <c r="AM45" s="325">
        <v>0</v>
      </c>
      <c r="AN45" s="325">
        <v>0</v>
      </c>
      <c r="AO45" s="325">
        <v>0</v>
      </c>
      <c r="AP45" s="325">
        <v>0</v>
      </c>
      <c r="AQ45" s="325">
        <v>0</v>
      </c>
      <c r="AR45" s="325">
        <v>62119.489536000008</v>
      </c>
      <c r="AS45" s="325">
        <v>0</v>
      </c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>
        <v>0</v>
      </c>
      <c r="BC45" s="325">
        <v>0</v>
      </c>
      <c r="BD45" s="325">
        <v>64604.26911744001</v>
      </c>
      <c r="BE45" s="325">
        <v>0</v>
      </c>
      <c r="BF45" s="325">
        <v>0</v>
      </c>
      <c r="BG45" s="325">
        <v>0</v>
      </c>
      <c r="BH45" s="325">
        <v>0</v>
      </c>
      <c r="BI45" s="325">
        <v>0</v>
      </c>
      <c r="BJ45" s="325">
        <v>0</v>
      </c>
      <c r="BK45" s="325">
        <v>0</v>
      </c>
      <c r="BL45" s="325">
        <v>0</v>
      </c>
      <c r="BM45" s="325">
        <v>0</v>
      </c>
      <c r="BN45" s="325">
        <v>0</v>
      </c>
      <c r="BO45" s="325">
        <v>0</v>
      </c>
      <c r="BP45" s="325">
        <v>67188.439882137609</v>
      </c>
      <c r="BQ45" s="325">
        <v>0</v>
      </c>
      <c r="BR45" s="325">
        <v>0</v>
      </c>
      <c r="BS45" s="325">
        <v>0</v>
      </c>
      <c r="BT45" s="325">
        <v>0</v>
      </c>
      <c r="BU45" s="325">
        <v>0</v>
      </c>
      <c r="BV45" s="325">
        <v>0</v>
      </c>
      <c r="BW45" s="325">
        <v>0</v>
      </c>
      <c r="BX45" s="325">
        <v>0</v>
      </c>
      <c r="BY45" s="325">
        <v>0</v>
      </c>
      <c r="BZ45" s="325">
        <v>0</v>
      </c>
      <c r="CA45" s="325">
        <v>0</v>
      </c>
      <c r="CB45" s="325">
        <v>69875.977477423119</v>
      </c>
      <c r="CC45" s="325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325">
        <v>0</v>
      </c>
      <c r="CM45" s="325">
        <v>0</v>
      </c>
      <c r="CN45" s="325">
        <v>72671.016576520051</v>
      </c>
      <c r="CO45" s="325">
        <v>0</v>
      </c>
      <c r="CP45" s="325">
        <v>0</v>
      </c>
      <c r="CQ45" s="325">
        <v>0</v>
      </c>
      <c r="CR45" s="325">
        <v>0</v>
      </c>
      <c r="CS45" s="325">
        <v>0</v>
      </c>
      <c r="CT45" s="325">
        <v>0</v>
      </c>
      <c r="CU45" s="325">
        <v>0</v>
      </c>
      <c r="CV45" s="325">
        <v>0</v>
      </c>
      <c r="CW45" s="325">
        <v>0</v>
      </c>
      <c r="CX45" s="325">
        <v>0</v>
      </c>
      <c r="CY45" s="325">
        <v>0</v>
      </c>
    </row>
    <row r="46" spans="1:103" ht="15">
      <c r="A46" s="319" t="s">
        <v>584</v>
      </c>
      <c r="B46" s="384" t="s">
        <v>548</v>
      </c>
      <c r="C46" s="384" t="s">
        <v>671</v>
      </c>
      <c r="D46" s="325">
        <v>0</v>
      </c>
      <c r="E46" s="325">
        <v>0</v>
      </c>
      <c r="F46" s="325">
        <v>35400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35400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35400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35400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35400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35400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35400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35400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35400</v>
      </c>
      <c r="CY46" s="325">
        <v>0</v>
      </c>
    </row>
    <row r="47" spans="1:103" ht="15">
      <c r="A47" s="319" t="s">
        <v>585</v>
      </c>
      <c r="B47" s="384" t="s">
        <v>548</v>
      </c>
      <c r="C47" s="384" t="s">
        <v>665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11800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12272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12762.880000000001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13273.395200000001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13804.331008000001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14356.504248320001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14930.764418252802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15527.994994982915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</row>
    <row r="48" spans="1:103" ht="15">
      <c r="A48" s="319" t="s">
        <v>586</v>
      </c>
      <c r="B48" s="384" t="s">
        <v>548</v>
      </c>
      <c r="C48" s="384" t="s">
        <v>665</v>
      </c>
      <c r="D48" s="325">
        <v>0</v>
      </c>
      <c r="E48" s="325">
        <v>0</v>
      </c>
      <c r="F48" s="325">
        <v>0</v>
      </c>
      <c r="G48" s="325">
        <v>0</v>
      </c>
      <c r="H48" s="325">
        <v>0</v>
      </c>
      <c r="I48" s="325">
        <v>0</v>
      </c>
      <c r="J48" s="325">
        <v>177000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184080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191443.20000000001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199100.92800000001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207064.96512000001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215347.56372480001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223961.46627379203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232919.92492474371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</row>
    <row r="49" spans="1:103" ht="15">
      <c r="A49" s="319" t="s">
        <v>587</v>
      </c>
      <c r="B49" s="384" t="s">
        <v>548</v>
      </c>
      <c r="C49" s="384" t="s">
        <v>665</v>
      </c>
      <c r="D49" s="325">
        <v>0</v>
      </c>
      <c r="E49" s="325">
        <v>0</v>
      </c>
      <c r="F49" s="325">
        <v>0</v>
      </c>
      <c r="G49" s="325">
        <v>0</v>
      </c>
      <c r="H49" s="325">
        <v>1227200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1276288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1327339.52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1380433.1008000001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1435650.4248320002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1493076.4418252802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1552799.4994982914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1614911.479478223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</row>
    <row r="50" spans="1:103" ht="15">
      <c r="A50" s="319" t="s">
        <v>588</v>
      </c>
      <c r="B50" s="384" t="s">
        <v>548</v>
      </c>
      <c r="C50" s="384" t="s">
        <v>665</v>
      </c>
      <c r="D50" s="325">
        <v>981760</v>
      </c>
      <c r="E50" s="325">
        <v>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1021030.4</v>
      </c>
      <c r="Q50" s="325">
        <v>0</v>
      </c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325">
        <v>1061871.6160000002</v>
      </c>
      <c r="AC50" s="325">
        <v>0</v>
      </c>
      <c r="AD50" s="325">
        <v>0</v>
      </c>
      <c r="AE50" s="325">
        <v>0</v>
      </c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1104346.4806400002</v>
      </c>
      <c r="AO50" s="325">
        <v>0</v>
      </c>
      <c r="AP50" s="325">
        <v>0</v>
      </c>
      <c r="AQ50" s="325">
        <v>0</v>
      </c>
      <c r="AR50" s="325">
        <v>0</v>
      </c>
      <c r="AS50" s="325">
        <v>0</v>
      </c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1148520.3398656002</v>
      </c>
      <c r="BA50" s="325">
        <v>0</v>
      </c>
      <c r="BB50" s="325">
        <v>0</v>
      </c>
      <c r="BC50" s="325">
        <v>0</v>
      </c>
      <c r="BD50" s="325">
        <v>0</v>
      </c>
      <c r="BE50" s="325">
        <v>0</v>
      </c>
      <c r="BF50" s="325">
        <v>0</v>
      </c>
      <c r="BG50" s="325">
        <v>0</v>
      </c>
      <c r="BH50" s="325">
        <v>0</v>
      </c>
      <c r="BI50" s="325">
        <v>0</v>
      </c>
      <c r="BJ50" s="325">
        <v>0</v>
      </c>
      <c r="BK50" s="325">
        <v>0</v>
      </c>
      <c r="BL50" s="325">
        <v>1194461.1534602242</v>
      </c>
      <c r="BM50" s="325">
        <v>0</v>
      </c>
      <c r="BN50" s="325">
        <v>0</v>
      </c>
      <c r="BO50" s="325">
        <v>0</v>
      </c>
      <c r="BP50" s="325">
        <v>0</v>
      </c>
      <c r="BQ50" s="325">
        <v>0</v>
      </c>
      <c r="BR50" s="325">
        <v>0</v>
      </c>
      <c r="BS50" s="325">
        <v>0</v>
      </c>
      <c r="BT50" s="325">
        <v>0</v>
      </c>
      <c r="BU50" s="325">
        <v>0</v>
      </c>
      <c r="BV50" s="325">
        <v>0</v>
      </c>
      <c r="BW50" s="325">
        <v>0</v>
      </c>
      <c r="BX50" s="325">
        <v>1242239.5995986331</v>
      </c>
      <c r="BY50" s="325">
        <v>0</v>
      </c>
      <c r="BZ50" s="325">
        <v>0</v>
      </c>
      <c r="CA50" s="325">
        <v>0</v>
      </c>
      <c r="CB50" s="325">
        <v>0</v>
      </c>
      <c r="CC50" s="325">
        <v>0</v>
      </c>
      <c r="CD50" s="325">
        <v>0</v>
      </c>
      <c r="CE50" s="325">
        <v>0</v>
      </c>
      <c r="CF50" s="325">
        <v>0</v>
      </c>
      <c r="CG50" s="325">
        <v>0</v>
      </c>
      <c r="CH50" s="325">
        <v>0</v>
      </c>
      <c r="CI50" s="325">
        <v>0</v>
      </c>
      <c r="CJ50" s="325">
        <v>1291929.1835825786</v>
      </c>
      <c r="CK50" s="325">
        <v>0</v>
      </c>
      <c r="CL50" s="325">
        <v>0</v>
      </c>
      <c r="CM50" s="325">
        <v>0</v>
      </c>
      <c r="CN50" s="325">
        <v>0</v>
      </c>
      <c r="CO50" s="325">
        <v>0</v>
      </c>
      <c r="CP50" s="325">
        <v>0</v>
      </c>
      <c r="CQ50" s="325">
        <v>0</v>
      </c>
      <c r="CR50" s="325">
        <v>0</v>
      </c>
      <c r="CS50" s="325">
        <v>0</v>
      </c>
      <c r="CT50" s="325">
        <v>0</v>
      </c>
      <c r="CU50" s="325">
        <v>0</v>
      </c>
      <c r="CV50" s="325">
        <v>1343606.3509258816</v>
      </c>
      <c r="CW50" s="325">
        <v>0</v>
      </c>
      <c r="CX50" s="325">
        <v>0</v>
      </c>
      <c r="CY50" s="325">
        <v>0</v>
      </c>
    </row>
    <row r="51" spans="1:103" ht="15">
      <c r="A51" s="319" t="s">
        <v>589</v>
      </c>
      <c r="B51" s="384" t="s">
        <v>548</v>
      </c>
      <c r="C51" s="384" t="s">
        <v>665</v>
      </c>
      <c r="D51" s="325">
        <v>30680</v>
      </c>
      <c r="E51" s="325">
        <v>0</v>
      </c>
      <c r="F51" s="325">
        <v>0</v>
      </c>
      <c r="G51" s="325">
        <v>30680</v>
      </c>
      <c r="H51" s="325">
        <v>0</v>
      </c>
      <c r="I51" s="325">
        <v>0</v>
      </c>
      <c r="J51" s="325">
        <v>30680</v>
      </c>
      <c r="K51" s="325">
        <v>0</v>
      </c>
      <c r="L51" s="325">
        <v>0</v>
      </c>
      <c r="M51" s="325">
        <v>30680</v>
      </c>
      <c r="N51" s="325">
        <v>0</v>
      </c>
      <c r="O51" s="325">
        <v>0</v>
      </c>
      <c r="P51" s="325">
        <v>31907.200000000001</v>
      </c>
      <c r="Q51" s="325">
        <v>0</v>
      </c>
      <c r="R51" s="325">
        <v>0</v>
      </c>
      <c r="S51" s="325">
        <v>31907.200000000001</v>
      </c>
      <c r="T51" s="325">
        <v>0</v>
      </c>
      <c r="U51" s="325">
        <v>0</v>
      </c>
      <c r="V51" s="325">
        <v>31907.200000000001</v>
      </c>
      <c r="W51" s="325">
        <v>0</v>
      </c>
      <c r="X51" s="325">
        <v>0</v>
      </c>
      <c r="Y51" s="325">
        <v>31907.200000000001</v>
      </c>
      <c r="Z51" s="325">
        <v>0</v>
      </c>
      <c r="AA51" s="325">
        <v>0</v>
      </c>
      <c r="AB51" s="325">
        <v>33183.488000000005</v>
      </c>
      <c r="AC51" s="325">
        <v>0</v>
      </c>
      <c r="AD51" s="325">
        <v>0</v>
      </c>
      <c r="AE51" s="325">
        <v>33183.488000000005</v>
      </c>
      <c r="AF51" s="325">
        <v>0</v>
      </c>
      <c r="AG51" s="325">
        <v>0</v>
      </c>
      <c r="AH51" s="325">
        <v>33183.488000000005</v>
      </c>
      <c r="AI51" s="325">
        <v>0</v>
      </c>
      <c r="AJ51" s="325">
        <v>0</v>
      </c>
      <c r="AK51" s="325">
        <v>33183.488000000005</v>
      </c>
      <c r="AL51" s="325">
        <v>0</v>
      </c>
      <c r="AM51" s="325">
        <v>0</v>
      </c>
      <c r="AN51" s="325">
        <v>34510.827520000006</v>
      </c>
      <c r="AO51" s="325">
        <v>0</v>
      </c>
      <c r="AP51" s="325">
        <v>0</v>
      </c>
      <c r="AQ51" s="325">
        <v>34510.827520000006</v>
      </c>
      <c r="AR51" s="325">
        <v>0</v>
      </c>
      <c r="AS51" s="325">
        <v>0</v>
      </c>
      <c r="AT51" s="325">
        <v>34510.827520000006</v>
      </c>
      <c r="AU51" s="325">
        <v>0</v>
      </c>
      <c r="AV51" s="325">
        <v>0</v>
      </c>
      <c r="AW51" s="325">
        <v>34510.827520000006</v>
      </c>
      <c r="AX51" s="325">
        <v>0</v>
      </c>
      <c r="AY51" s="325">
        <v>0</v>
      </c>
      <c r="AZ51" s="325">
        <v>35891.260620800007</v>
      </c>
      <c r="BA51" s="325">
        <v>0</v>
      </c>
      <c r="BB51" s="325">
        <v>0</v>
      </c>
      <c r="BC51" s="325">
        <v>35891.260620800007</v>
      </c>
      <c r="BD51" s="325">
        <v>0</v>
      </c>
      <c r="BE51" s="325">
        <v>0</v>
      </c>
      <c r="BF51" s="325">
        <v>35891.260620800007</v>
      </c>
      <c r="BG51" s="325">
        <v>0</v>
      </c>
      <c r="BH51" s="325">
        <v>0</v>
      </c>
      <c r="BI51" s="325">
        <v>35891.260620800007</v>
      </c>
      <c r="BJ51" s="325">
        <v>0</v>
      </c>
      <c r="BK51" s="325">
        <v>0</v>
      </c>
      <c r="BL51" s="325">
        <v>37326.911045632005</v>
      </c>
      <c r="BM51" s="325">
        <v>0</v>
      </c>
      <c r="BN51" s="325">
        <v>0</v>
      </c>
      <c r="BO51" s="325">
        <v>37326.911045632005</v>
      </c>
      <c r="BP51" s="325">
        <v>0</v>
      </c>
      <c r="BQ51" s="325">
        <v>0</v>
      </c>
      <c r="BR51" s="325">
        <v>37326.911045632005</v>
      </c>
      <c r="BS51" s="325">
        <v>0</v>
      </c>
      <c r="BT51" s="325">
        <v>0</v>
      </c>
      <c r="BU51" s="325">
        <v>37326.911045632005</v>
      </c>
      <c r="BV51" s="325">
        <v>0</v>
      </c>
      <c r="BW51" s="325">
        <v>0</v>
      </c>
      <c r="BX51" s="325">
        <v>38819.987487457285</v>
      </c>
      <c r="BY51" s="325">
        <v>0</v>
      </c>
      <c r="BZ51" s="325">
        <v>0</v>
      </c>
      <c r="CA51" s="325">
        <v>38819.987487457285</v>
      </c>
      <c r="CB51" s="325">
        <v>0</v>
      </c>
      <c r="CC51" s="325">
        <v>0</v>
      </c>
      <c r="CD51" s="325">
        <v>38819.987487457285</v>
      </c>
      <c r="CE51" s="325">
        <v>0</v>
      </c>
      <c r="CF51" s="325">
        <v>0</v>
      </c>
      <c r="CG51" s="325">
        <v>38819.987487457285</v>
      </c>
      <c r="CH51" s="325">
        <v>0</v>
      </c>
      <c r="CI51" s="325">
        <v>0</v>
      </c>
      <c r="CJ51" s="325">
        <v>40372.78698695558</v>
      </c>
      <c r="CK51" s="325">
        <v>0</v>
      </c>
      <c r="CL51" s="325">
        <v>0</v>
      </c>
      <c r="CM51" s="325">
        <v>40372.78698695558</v>
      </c>
      <c r="CN51" s="325">
        <v>0</v>
      </c>
      <c r="CO51" s="325">
        <v>0</v>
      </c>
      <c r="CP51" s="325">
        <v>40372.78698695558</v>
      </c>
      <c r="CQ51" s="325">
        <v>0</v>
      </c>
      <c r="CR51" s="325">
        <v>0</v>
      </c>
      <c r="CS51" s="325">
        <v>40372.78698695558</v>
      </c>
      <c r="CT51" s="325">
        <v>0</v>
      </c>
      <c r="CU51" s="325">
        <v>0</v>
      </c>
      <c r="CV51" s="325">
        <v>41987.698466433802</v>
      </c>
      <c r="CW51" s="325">
        <v>0</v>
      </c>
      <c r="CX51" s="325">
        <v>0</v>
      </c>
      <c r="CY51" s="325">
        <v>41987.698466433802</v>
      </c>
    </row>
    <row r="52" spans="1:103" ht="15">
      <c r="A52" s="319" t="s">
        <v>525</v>
      </c>
      <c r="B52" s="384" t="s">
        <v>550</v>
      </c>
      <c r="C52" s="384" t="s">
        <v>665</v>
      </c>
      <c r="D52" s="325">
        <v>52000</v>
      </c>
      <c r="E52" s="325">
        <v>52000</v>
      </c>
      <c r="F52" s="325">
        <v>52000</v>
      </c>
      <c r="G52" s="325">
        <v>52000</v>
      </c>
      <c r="H52" s="325">
        <v>52000</v>
      </c>
      <c r="I52" s="325">
        <v>52000</v>
      </c>
      <c r="J52" s="325">
        <v>52000</v>
      </c>
      <c r="K52" s="325">
        <v>52000</v>
      </c>
      <c r="L52" s="325">
        <v>52000</v>
      </c>
      <c r="M52" s="325">
        <v>52000</v>
      </c>
      <c r="N52" s="325">
        <v>27040</v>
      </c>
      <c r="O52" s="325">
        <v>27040</v>
      </c>
      <c r="P52" s="325">
        <v>27040</v>
      </c>
      <c r="Q52" s="325">
        <v>27040</v>
      </c>
      <c r="R52" s="325">
        <v>27040</v>
      </c>
      <c r="S52" s="325">
        <v>27040</v>
      </c>
      <c r="T52" s="325">
        <v>27040</v>
      </c>
      <c r="U52" s="325">
        <v>27040</v>
      </c>
      <c r="V52" s="325">
        <v>27040</v>
      </c>
      <c r="W52" s="325">
        <v>27040</v>
      </c>
      <c r="X52" s="325">
        <v>27040</v>
      </c>
      <c r="Y52" s="325">
        <v>27040</v>
      </c>
      <c r="Z52" s="325">
        <v>28121.600000000002</v>
      </c>
      <c r="AA52" s="325">
        <v>28121.600000000002</v>
      </c>
      <c r="AB52" s="325">
        <v>28121.600000000002</v>
      </c>
      <c r="AC52" s="325">
        <v>28121.600000000002</v>
      </c>
      <c r="AD52" s="325">
        <v>28121.600000000002</v>
      </c>
      <c r="AE52" s="325">
        <v>28121.600000000002</v>
      </c>
      <c r="AF52" s="325">
        <v>28121.600000000002</v>
      </c>
      <c r="AG52" s="325">
        <v>28121.600000000002</v>
      </c>
      <c r="AH52" s="325">
        <v>28121.600000000002</v>
      </c>
      <c r="AI52" s="325">
        <v>28121.600000000002</v>
      </c>
      <c r="AJ52" s="325">
        <v>28121.600000000002</v>
      </c>
      <c r="AK52" s="325">
        <v>28121.600000000002</v>
      </c>
      <c r="AL52" s="325">
        <v>29246.464000000004</v>
      </c>
      <c r="AM52" s="325">
        <v>29246.464000000004</v>
      </c>
      <c r="AN52" s="325">
        <v>29246.464000000004</v>
      </c>
      <c r="AO52" s="325">
        <v>29246.464000000004</v>
      </c>
      <c r="AP52" s="325">
        <v>29246.464000000004</v>
      </c>
      <c r="AQ52" s="325">
        <v>29246.464000000004</v>
      </c>
      <c r="AR52" s="325">
        <v>29246.464000000004</v>
      </c>
      <c r="AS52" s="325">
        <v>29246.464000000004</v>
      </c>
      <c r="AT52" s="325">
        <v>29246.464000000004</v>
      </c>
      <c r="AU52" s="325">
        <v>29246.464000000004</v>
      </c>
      <c r="AV52" s="325">
        <v>29246.464000000004</v>
      </c>
      <c r="AW52" s="325">
        <v>29246.464000000004</v>
      </c>
      <c r="AX52" s="325">
        <v>30416.322560000004</v>
      </c>
      <c r="AY52" s="325">
        <v>30416.322560000004</v>
      </c>
      <c r="AZ52" s="325">
        <v>30416.322560000004</v>
      </c>
      <c r="BA52" s="325">
        <v>30416.322560000004</v>
      </c>
      <c r="BB52" s="325">
        <v>30416.322560000004</v>
      </c>
      <c r="BC52" s="325">
        <v>30416.322560000004</v>
      </c>
      <c r="BD52" s="325">
        <v>30416.322560000004</v>
      </c>
      <c r="BE52" s="325">
        <v>30416.322560000004</v>
      </c>
      <c r="BF52" s="325">
        <v>30416.322560000004</v>
      </c>
      <c r="BG52" s="325">
        <v>30416.322560000004</v>
      </c>
      <c r="BH52" s="325">
        <v>30416.322560000004</v>
      </c>
      <c r="BI52" s="325">
        <v>30416.322560000004</v>
      </c>
      <c r="BJ52" s="325">
        <v>31632.975462400005</v>
      </c>
      <c r="BK52" s="325">
        <v>31632.975462400005</v>
      </c>
      <c r="BL52" s="325">
        <v>31632.975462400005</v>
      </c>
      <c r="BM52" s="325">
        <v>31632.975462400005</v>
      </c>
      <c r="BN52" s="325">
        <v>31632.975462400005</v>
      </c>
      <c r="BO52" s="325">
        <v>31632.975462400005</v>
      </c>
      <c r="BP52" s="325">
        <v>31632.975462400005</v>
      </c>
      <c r="BQ52" s="325">
        <v>31632.975462400005</v>
      </c>
      <c r="BR52" s="325">
        <v>31632.975462400005</v>
      </c>
      <c r="BS52" s="325">
        <v>31632.975462400005</v>
      </c>
      <c r="BT52" s="325">
        <v>31632.975462400005</v>
      </c>
      <c r="BU52" s="325">
        <v>31632.975462400005</v>
      </c>
      <c r="BV52" s="325">
        <v>32898.294480896009</v>
      </c>
      <c r="BW52" s="325">
        <v>32898.294480896009</v>
      </c>
      <c r="BX52" s="325">
        <v>32898.294480896009</v>
      </c>
      <c r="BY52" s="325">
        <v>32898.294480896009</v>
      </c>
      <c r="BZ52" s="325">
        <v>32898.294480896009</v>
      </c>
      <c r="CA52" s="325">
        <v>32898.294480896009</v>
      </c>
      <c r="CB52" s="325">
        <v>32898.294480896009</v>
      </c>
      <c r="CC52" s="325">
        <v>32898.294480896009</v>
      </c>
      <c r="CD52" s="325">
        <v>32898.294480896009</v>
      </c>
      <c r="CE52" s="325">
        <v>32898.294480896009</v>
      </c>
      <c r="CF52" s="325">
        <v>32898.294480896009</v>
      </c>
      <c r="CG52" s="325">
        <v>32898.294480896009</v>
      </c>
      <c r="CH52" s="325">
        <v>34214.226260131851</v>
      </c>
      <c r="CI52" s="325">
        <v>34214.226260131851</v>
      </c>
      <c r="CJ52" s="325">
        <v>34214.226260131851</v>
      </c>
      <c r="CK52" s="325">
        <v>34214.226260131851</v>
      </c>
      <c r="CL52" s="325">
        <v>34214.226260131851</v>
      </c>
      <c r="CM52" s="325">
        <v>34214.226260131851</v>
      </c>
      <c r="CN52" s="325">
        <v>34214.226260131851</v>
      </c>
      <c r="CO52" s="325">
        <v>34214.226260131851</v>
      </c>
      <c r="CP52" s="325">
        <v>34214.226260131851</v>
      </c>
      <c r="CQ52" s="325">
        <v>34214.226260131851</v>
      </c>
      <c r="CR52" s="325">
        <v>34214.226260131851</v>
      </c>
      <c r="CS52" s="325">
        <v>34214.226260131851</v>
      </c>
      <c r="CT52" s="325">
        <v>35582.795310537127</v>
      </c>
      <c r="CU52" s="325">
        <v>35582.795310537127</v>
      </c>
      <c r="CV52" s="325">
        <v>35582.795310537127</v>
      </c>
      <c r="CW52" s="325">
        <v>35582.795310537127</v>
      </c>
      <c r="CX52" s="325">
        <v>35582.795310537127</v>
      </c>
      <c r="CY52" s="325">
        <v>35582.795310537127</v>
      </c>
    </row>
    <row r="53" spans="1:103" ht="15">
      <c r="A53" s="319" t="s">
        <v>526</v>
      </c>
      <c r="B53" s="384" t="s">
        <v>550</v>
      </c>
      <c r="C53" s="384" t="s">
        <v>665</v>
      </c>
      <c r="D53" s="325">
        <v>125449.34</v>
      </c>
      <c r="E53" s="325">
        <v>126140.77083333331</v>
      </c>
      <c r="F53" s="325">
        <v>126831.5625</v>
      </c>
      <c r="G53" s="325">
        <v>127522.20666666667</v>
      </c>
      <c r="H53" s="325">
        <v>128211.62166666666</v>
      </c>
      <c r="I53" s="325">
        <v>128899.95499999999</v>
      </c>
      <c r="J53" s="325">
        <v>129588.28833333332</v>
      </c>
      <c r="K53" s="325">
        <v>130276.62166666666</v>
      </c>
      <c r="L53" s="325">
        <v>130964.95499999999</v>
      </c>
      <c r="M53" s="325">
        <v>131653.28833333333</v>
      </c>
      <c r="N53" s="325">
        <v>131948.28833333333</v>
      </c>
      <c r="O53" s="325">
        <v>132243.28833333333</v>
      </c>
      <c r="P53" s="325">
        <v>132538.28833333333</v>
      </c>
      <c r="Q53" s="325">
        <v>132833.28833333333</v>
      </c>
      <c r="R53" s="325">
        <v>133128.28833333333</v>
      </c>
      <c r="S53" s="325">
        <v>133423.28833333333</v>
      </c>
      <c r="T53" s="325">
        <v>133718.28833333333</v>
      </c>
      <c r="U53" s="325">
        <v>134013.28833333333</v>
      </c>
      <c r="V53" s="325">
        <v>134308.28833333333</v>
      </c>
      <c r="W53" s="325">
        <v>134603.28833333333</v>
      </c>
      <c r="X53" s="325">
        <v>134898.28833333333</v>
      </c>
      <c r="Y53" s="325">
        <v>135193.28833333333</v>
      </c>
      <c r="Z53" s="325">
        <v>135340.78833333333</v>
      </c>
      <c r="AA53" s="325">
        <v>135488.28833333333</v>
      </c>
      <c r="AB53" s="325">
        <v>135635.78833333333</v>
      </c>
      <c r="AC53" s="325">
        <v>135783.28833333333</v>
      </c>
      <c r="AD53" s="325">
        <v>135930.78833333333</v>
      </c>
      <c r="AE53" s="325">
        <v>136078.28833333333</v>
      </c>
      <c r="AF53" s="325">
        <v>136225.78833333333</v>
      </c>
      <c r="AG53" s="325">
        <v>136373.28833333333</v>
      </c>
      <c r="AH53" s="325">
        <v>136520.78833333333</v>
      </c>
      <c r="AI53" s="325">
        <v>136668.28833333333</v>
      </c>
      <c r="AJ53" s="325">
        <v>136815.78833333333</v>
      </c>
      <c r="AK53" s="325">
        <v>136963.28833333333</v>
      </c>
      <c r="AL53" s="325">
        <v>137061.62166666667</v>
      </c>
      <c r="AM53" s="325">
        <v>137159.95499999999</v>
      </c>
      <c r="AN53" s="325">
        <v>137258.28833333333</v>
      </c>
      <c r="AO53" s="325">
        <v>137356.62166666667</v>
      </c>
      <c r="AP53" s="325">
        <v>137454.95499999999</v>
      </c>
      <c r="AQ53" s="325">
        <v>137553.28833333333</v>
      </c>
      <c r="AR53" s="325">
        <v>137651.62166666667</v>
      </c>
      <c r="AS53" s="325">
        <v>137749.95499999999</v>
      </c>
      <c r="AT53" s="325">
        <v>137848.28833333333</v>
      </c>
      <c r="AU53" s="325">
        <v>137946.62166666667</v>
      </c>
      <c r="AV53" s="325">
        <v>138044.95499999999</v>
      </c>
      <c r="AW53" s="325">
        <v>138143.28833333333</v>
      </c>
      <c r="AX53" s="325">
        <v>138192.45499999999</v>
      </c>
      <c r="AY53" s="325">
        <v>138241.62166666667</v>
      </c>
      <c r="AZ53" s="325">
        <v>138290.78833333333</v>
      </c>
      <c r="BA53" s="325">
        <v>138339.95499999999</v>
      </c>
      <c r="BB53" s="325">
        <v>138389.12166666667</v>
      </c>
      <c r="BC53" s="325">
        <v>138438.28833333333</v>
      </c>
      <c r="BD53" s="325">
        <v>138487.45499999999</v>
      </c>
      <c r="BE53" s="325">
        <v>138536.62166666667</v>
      </c>
      <c r="BF53" s="325">
        <v>138585.78833333333</v>
      </c>
      <c r="BG53" s="325">
        <v>138634.95499999999</v>
      </c>
      <c r="BH53" s="325">
        <v>138684.12166666667</v>
      </c>
      <c r="BI53" s="325">
        <v>138733.28833333333</v>
      </c>
      <c r="BJ53" s="325">
        <v>138782.45499999999</v>
      </c>
      <c r="BK53" s="325">
        <v>138831.62166666667</v>
      </c>
      <c r="BL53" s="325">
        <v>138880.78833333333</v>
      </c>
      <c r="BM53" s="325">
        <v>138929.95499999999</v>
      </c>
      <c r="BN53" s="325">
        <v>138979.12166666667</v>
      </c>
      <c r="BO53" s="325">
        <v>139028.28833333333</v>
      </c>
      <c r="BP53" s="325">
        <v>139077.45499999999</v>
      </c>
      <c r="BQ53" s="325">
        <v>139126.62166666667</v>
      </c>
      <c r="BR53" s="325">
        <v>139175.78833333333</v>
      </c>
      <c r="BS53" s="325">
        <v>139224.95499999999</v>
      </c>
      <c r="BT53" s="325">
        <v>139274.12166666667</v>
      </c>
      <c r="BU53" s="325">
        <v>139323.28833333333</v>
      </c>
      <c r="BV53" s="325">
        <v>139372.45499999999</v>
      </c>
      <c r="BW53" s="325">
        <v>139421.62166666667</v>
      </c>
      <c r="BX53" s="325">
        <v>139470.78833333333</v>
      </c>
      <c r="BY53" s="325">
        <v>139519.95499999999</v>
      </c>
      <c r="BZ53" s="325">
        <v>139569.12166666667</v>
      </c>
      <c r="CA53" s="325">
        <v>139618.28833333333</v>
      </c>
      <c r="CB53" s="325">
        <v>139667.45499999999</v>
      </c>
      <c r="CC53" s="325">
        <v>139716.62166666667</v>
      </c>
      <c r="CD53" s="325">
        <v>139765.78833333333</v>
      </c>
      <c r="CE53" s="325">
        <v>139814.95499999999</v>
      </c>
      <c r="CF53" s="325">
        <v>139864.12166666667</v>
      </c>
      <c r="CG53" s="325">
        <v>139913.28833333333</v>
      </c>
      <c r="CH53" s="325">
        <v>139962.45499999999</v>
      </c>
      <c r="CI53" s="325">
        <v>140011.62166666667</v>
      </c>
      <c r="CJ53" s="325">
        <v>140060.78833333333</v>
      </c>
      <c r="CK53" s="325">
        <v>140109.95499999999</v>
      </c>
      <c r="CL53" s="325">
        <v>140159.12166666667</v>
      </c>
      <c r="CM53" s="325">
        <v>140208.28833333333</v>
      </c>
      <c r="CN53" s="325">
        <v>140257.45499999999</v>
      </c>
      <c r="CO53" s="325">
        <v>140306.62166666667</v>
      </c>
      <c r="CP53" s="325">
        <v>140355.78833333333</v>
      </c>
      <c r="CQ53" s="325">
        <v>140404.95499999999</v>
      </c>
      <c r="CR53" s="325">
        <v>140454.12166666667</v>
      </c>
      <c r="CS53" s="325">
        <v>140503.28833333333</v>
      </c>
      <c r="CT53" s="325">
        <v>140552.45499999999</v>
      </c>
      <c r="CU53" s="325">
        <v>140601.62166666667</v>
      </c>
      <c r="CV53" s="325">
        <v>140650.78833333333</v>
      </c>
      <c r="CW53" s="325">
        <v>140699.95499999999</v>
      </c>
      <c r="CX53" s="325">
        <v>140749.12166666667</v>
      </c>
      <c r="CY53" s="325">
        <v>140813.33333333331</v>
      </c>
    </row>
    <row r="54" spans="1:103" ht="15">
      <c r="A54" s="319" t="s">
        <v>527</v>
      </c>
      <c r="B54" s="384" t="s">
        <v>550</v>
      </c>
      <c r="C54" s="384" t="s">
        <v>667</v>
      </c>
      <c r="D54" s="325">
        <v>95584.923495370371</v>
      </c>
      <c r="E54" s="325">
        <v>95983.194009934421</v>
      </c>
      <c r="F54" s="325">
        <v>96383.123984975799</v>
      </c>
      <c r="G54" s="325">
        <v>96784.720334913203</v>
      </c>
      <c r="H54" s="325">
        <v>97187.990002975333</v>
      </c>
      <c r="I54" s="325">
        <v>97592.93996132107</v>
      </c>
      <c r="J54" s="325">
        <v>97999.577211159907</v>
      </c>
      <c r="K54" s="325">
        <v>98407.90878287307</v>
      </c>
      <c r="L54" s="325">
        <v>98817.941736135035</v>
      </c>
      <c r="M54" s="325">
        <v>99229.683160035594</v>
      </c>
      <c r="N54" s="325">
        <v>99643.14017320241</v>
      </c>
      <c r="O54" s="325">
        <v>100058.31992392409</v>
      </c>
      <c r="P54" s="325">
        <v>100475.22959027377</v>
      </c>
      <c r="Q54" s="325">
        <v>100893.87638023324</v>
      </c>
      <c r="R54" s="325">
        <v>101314.26753181755</v>
      </c>
      <c r="S54" s="325">
        <v>101736.4103132001</v>
      </c>
      <c r="T54" s="325">
        <v>102160.31202283845</v>
      </c>
      <c r="U54" s="325">
        <v>102585.97998960027</v>
      </c>
      <c r="V54" s="325">
        <v>103013.42157289026</v>
      </c>
      <c r="W54" s="325">
        <v>103442.6441627773</v>
      </c>
      <c r="X54" s="325">
        <v>103873.65518012221</v>
      </c>
      <c r="Y54" s="325">
        <v>104306.46207670606</v>
      </c>
      <c r="Z54" s="325">
        <v>104741.072335359</v>
      </c>
      <c r="AA54" s="325">
        <v>105177.49347008966</v>
      </c>
      <c r="AB54" s="325">
        <v>105615.73302621502</v>
      </c>
      <c r="AC54" s="325">
        <v>106055.79858049093</v>
      </c>
      <c r="AD54" s="325">
        <v>106497.69774124297</v>
      </c>
      <c r="AE54" s="325">
        <v>106941.43814849814</v>
      </c>
      <c r="AF54" s="325">
        <v>107387.02747411688</v>
      </c>
      <c r="AG54" s="325">
        <v>107834.47342192571</v>
      </c>
      <c r="AH54" s="325">
        <v>108283.7837278504</v>
      </c>
      <c r="AI54" s="325">
        <v>108734.96616004978</v>
      </c>
      <c r="AJ54" s="325">
        <v>109188.02851904999</v>
      </c>
      <c r="AK54" s="325">
        <v>109642.97863787937</v>
      </c>
      <c r="AL54" s="325">
        <v>110099.82438220386</v>
      </c>
      <c r="AM54" s="325">
        <v>110558.57365046305</v>
      </c>
      <c r="AN54" s="325">
        <v>111019.23437400663</v>
      </c>
      <c r="AO54" s="325">
        <v>111481.81451723166</v>
      </c>
      <c r="AP54" s="325">
        <v>111946.32207772013</v>
      </c>
      <c r="AQ54" s="325">
        <v>112412.7650863773</v>
      </c>
      <c r="AR54" s="325">
        <v>112881.15160757054</v>
      </c>
      <c r="AS54" s="325">
        <v>113351.48973926874</v>
      </c>
      <c r="AT54" s="325">
        <v>113823.78761318236</v>
      </c>
      <c r="AU54" s="325">
        <v>114298.05339490395</v>
      </c>
      <c r="AV54" s="325">
        <v>114774.29528404938</v>
      </c>
      <c r="AW54" s="325">
        <v>115252.52151439959</v>
      </c>
      <c r="AX54" s="325">
        <v>115732.74035404292</v>
      </c>
      <c r="AY54" s="325">
        <v>116214.9601055181</v>
      </c>
      <c r="AZ54" s="325">
        <v>116699.18910595775</v>
      </c>
      <c r="BA54" s="325">
        <v>117185.43572723259</v>
      </c>
      <c r="BB54" s="325">
        <v>117673.70837609605</v>
      </c>
      <c r="BC54" s="325">
        <v>118164.0154943298</v>
      </c>
      <c r="BD54" s="325">
        <v>118656.36555888949</v>
      </c>
      <c r="BE54" s="325">
        <v>119150.76708205152</v>
      </c>
      <c r="BF54" s="325">
        <v>119647.22861156006</v>
      </c>
      <c r="BG54" s="325">
        <v>120145.75873077489</v>
      </c>
      <c r="BH54" s="325">
        <v>120646.3660588198</v>
      </c>
      <c r="BI54" s="325">
        <v>121149.05925073155</v>
      </c>
      <c r="BJ54" s="325">
        <v>121653.84699760958</v>
      </c>
      <c r="BK54" s="325">
        <v>122160.73802676628</v>
      </c>
      <c r="BL54" s="325">
        <v>122669.74110187779</v>
      </c>
      <c r="BM54" s="325">
        <v>123180.86502313562</v>
      </c>
      <c r="BN54" s="325">
        <v>123694.11862739868</v>
      </c>
      <c r="BO54" s="325">
        <v>124209.51078834616</v>
      </c>
      <c r="BP54" s="325">
        <v>124727.05041663093</v>
      </c>
      <c r="BQ54" s="325">
        <v>125246.74646003357</v>
      </c>
      <c r="BR54" s="325">
        <v>125768.60790361704</v>
      </c>
      <c r="BS54" s="325">
        <v>126292.64376988211</v>
      </c>
      <c r="BT54" s="325">
        <v>126818.86311892327</v>
      </c>
      <c r="BU54" s="325">
        <v>127347.27504858545</v>
      </c>
      <c r="BV54" s="325">
        <v>127877.88869462123</v>
      </c>
      <c r="BW54" s="325">
        <v>128410.71323084884</v>
      </c>
      <c r="BX54" s="325">
        <v>128945.75786931071</v>
      </c>
      <c r="BY54" s="325">
        <v>129483.03186043282</v>
      </c>
      <c r="BZ54" s="325">
        <v>130022.54449318461</v>
      </c>
      <c r="CA54" s="325">
        <v>130564.30509523954</v>
      </c>
      <c r="CB54" s="325">
        <v>131108.32303313637</v>
      </c>
      <c r="CC54" s="325">
        <v>131654.60771244109</v>
      </c>
      <c r="CD54" s="325">
        <v>132203.16857790962</v>
      </c>
      <c r="CE54" s="325">
        <v>132754.01511365091</v>
      </c>
      <c r="CF54" s="325">
        <v>133307.1568432911</v>
      </c>
      <c r="CG54" s="325">
        <v>133862.60333013814</v>
      </c>
      <c r="CH54" s="325">
        <v>134420.36417734704</v>
      </c>
      <c r="CI54" s="325">
        <v>134980.449028086</v>
      </c>
      <c r="CJ54" s="325">
        <v>135542.86756570303</v>
      </c>
      <c r="CK54" s="325">
        <v>136107.62951389345</v>
      </c>
      <c r="CL54" s="325">
        <v>136674.74463686798</v>
      </c>
      <c r="CM54" s="325">
        <v>137244.22273952162</v>
      </c>
      <c r="CN54" s="325">
        <v>137816.07366760293</v>
      </c>
      <c r="CO54" s="325">
        <v>138390.30730788462</v>
      </c>
      <c r="CP54" s="325">
        <v>138966.93358833413</v>
      </c>
      <c r="CQ54" s="325">
        <v>139545.96247828551</v>
      </c>
      <c r="CR54" s="325">
        <v>140127.40398861171</v>
      </c>
      <c r="CS54" s="325">
        <v>140711.26817189759</v>
      </c>
      <c r="CT54" s="325">
        <v>141297.56512261383</v>
      </c>
      <c r="CU54" s="325">
        <v>141886.30497729138</v>
      </c>
      <c r="CV54" s="325">
        <v>142477.49791469678</v>
      </c>
      <c r="CW54" s="325">
        <v>143071.15415600801</v>
      </c>
      <c r="CX54" s="325">
        <v>143667.28396499137</v>
      </c>
      <c r="CY54" s="325">
        <v>144265.89764817883</v>
      </c>
    </row>
    <row r="55" spans="1:103" ht="15">
      <c r="A55" s="319" t="s">
        <v>528</v>
      </c>
      <c r="B55" s="384" t="s">
        <v>550</v>
      </c>
      <c r="C55" s="384" t="s">
        <v>673</v>
      </c>
      <c r="D55" s="325">
        <v>346666.66666666669</v>
      </c>
      <c r="E55" s="325">
        <v>208000</v>
      </c>
      <c r="F55" s="325">
        <v>208000</v>
      </c>
      <c r="G55" s="325">
        <v>208000</v>
      </c>
      <c r="H55" s="325">
        <v>208000</v>
      </c>
      <c r="I55" s="325">
        <v>208000</v>
      </c>
      <c r="J55" s="325">
        <v>208000</v>
      </c>
      <c r="K55" s="325">
        <v>208000</v>
      </c>
      <c r="L55" s="325">
        <v>208000</v>
      </c>
      <c r="M55" s="325">
        <v>208000</v>
      </c>
      <c r="N55" s="325">
        <v>0</v>
      </c>
      <c r="O55" s="325">
        <v>0</v>
      </c>
      <c r="P55" s="325">
        <v>0</v>
      </c>
      <c r="Q55" s="325">
        <v>0</v>
      </c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325">
        <v>0</v>
      </c>
      <c r="AC55" s="325">
        <v>0</v>
      </c>
      <c r="AD55" s="325">
        <v>0</v>
      </c>
      <c r="AE55" s="325">
        <v>0</v>
      </c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325">
        <v>0</v>
      </c>
      <c r="AQ55" s="325">
        <v>0</v>
      </c>
      <c r="AR55" s="325">
        <v>0</v>
      </c>
      <c r="AS55" s="325">
        <v>0</v>
      </c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>
        <v>0</v>
      </c>
      <c r="BC55" s="325">
        <v>0</v>
      </c>
      <c r="BD55" s="325">
        <v>0</v>
      </c>
      <c r="BE55" s="325">
        <v>0</v>
      </c>
      <c r="BF55" s="325">
        <v>0</v>
      </c>
      <c r="BG55" s="325">
        <v>0</v>
      </c>
      <c r="BH55" s="325">
        <v>0</v>
      </c>
      <c r="BI55" s="325">
        <v>0</v>
      </c>
      <c r="BJ55" s="325">
        <v>0</v>
      </c>
      <c r="BK55" s="325">
        <v>0</v>
      </c>
      <c r="BL55" s="325">
        <v>0</v>
      </c>
      <c r="BM55" s="325">
        <v>0</v>
      </c>
      <c r="BN55" s="325">
        <v>0</v>
      </c>
      <c r="BO55" s="325">
        <v>0</v>
      </c>
      <c r="BP55" s="325">
        <v>0</v>
      </c>
      <c r="BQ55" s="325">
        <v>0</v>
      </c>
      <c r="BR55" s="325">
        <v>0</v>
      </c>
      <c r="BS55" s="325">
        <v>0</v>
      </c>
      <c r="BT55" s="325">
        <v>0</v>
      </c>
      <c r="BU55" s="325">
        <v>0</v>
      </c>
      <c r="BV55" s="325">
        <v>0</v>
      </c>
      <c r="BW55" s="325">
        <v>0</v>
      </c>
      <c r="BX55" s="325">
        <v>0</v>
      </c>
      <c r="BY55" s="325">
        <v>0</v>
      </c>
      <c r="BZ55" s="325">
        <v>0</v>
      </c>
      <c r="CA55" s="325">
        <v>0</v>
      </c>
      <c r="CB55" s="325">
        <v>0</v>
      </c>
      <c r="CC55" s="325">
        <v>0</v>
      </c>
      <c r="CD55" s="325">
        <v>0</v>
      </c>
      <c r="CE55" s="325">
        <v>0</v>
      </c>
      <c r="CF55" s="325">
        <v>0</v>
      </c>
      <c r="CG55" s="325">
        <v>0</v>
      </c>
      <c r="CH55" s="325">
        <v>0</v>
      </c>
      <c r="CI55" s="325">
        <v>0</v>
      </c>
      <c r="CJ55" s="325">
        <v>0</v>
      </c>
      <c r="CK55" s="325">
        <v>0</v>
      </c>
      <c r="CL55" s="325">
        <v>0</v>
      </c>
      <c r="CM55" s="325">
        <v>0</v>
      </c>
      <c r="CN55" s="325">
        <v>0</v>
      </c>
      <c r="CO55" s="325">
        <v>0</v>
      </c>
      <c r="CP55" s="325">
        <v>0</v>
      </c>
      <c r="CQ55" s="325">
        <v>0</v>
      </c>
      <c r="CR55" s="325">
        <v>0</v>
      </c>
      <c r="CS55" s="325">
        <v>0</v>
      </c>
      <c r="CT55" s="325">
        <v>0</v>
      </c>
      <c r="CU55" s="325">
        <v>0</v>
      </c>
      <c r="CV55" s="325">
        <v>0</v>
      </c>
      <c r="CW55" s="325">
        <v>0</v>
      </c>
      <c r="CX55" s="325">
        <v>0</v>
      </c>
      <c r="CY55" s="325">
        <v>0</v>
      </c>
    </row>
    <row r="56" spans="1:103" ht="15">
      <c r="A56" s="319" t="s">
        <v>529</v>
      </c>
      <c r="B56" s="384" t="s">
        <v>550</v>
      </c>
      <c r="C56" s="384" t="s">
        <v>674</v>
      </c>
      <c r="D56" s="325">
        <v>571875.19999999995</v>
      </c>
      <c r="E56" s="325">
        <v>571875.19999999995</v>
      </c>
      <c r="F56" s="325">
        <v>571875.19999999995</v>
      </c>
      <c r="G56" s="325">
        <v>571875.19999999995</v>
      </c>
      <c r="H56" s="325">
        <v>571875.19999999995</v>
      </c>
      <c r="I56" s="325">
        <v>571875.19999999995</v>
      </c>
      <c r="J56" s="325">
        <v>571875.19999999995</v>
      </c>
      <c r="K56" s="325">
        <v>571875.19999999995</v>
      </c>
      <c r="L56" s="325">
        <v>571875.19999999995</v>
      </c>
      <c r="M56" s="325">
        <v>571875.19999999995</v>
      </c>
      <c r="N56" s="325">
        <v>413517.31200000003</v>
      </c>
      <c r="O56" s="325">
        <v>413517.31200000003</v>
      </c>
      <c r="P56" s="325">
        <v>413517.31200000003</v>
      </c>
      <c r="Q56" s="325">
        <v>413517.31200000003</v>
      </c>
      <c r="R56" s="325">
        <v>413517.31200000003</v>
      </c>
      <c r="S56" s="325">
        <v>413517.31200000003</v>
      </c>
      <c r="T56" s="325">
        <v>413517.31200000003</v>
      </c>
      <c r="U56" s="325">
        <v>413517.31200000003</v>
      </c>
      <c r="V56" s="325">
        <v>413517.31200000003</v>
      </c>
      <c r="W56" s="325">
        <v>413517.31200000003</v>
      </c>
      <c r="X56" s="325">
        <v>413517.31200000003</v>
      </c>
      <c r="Y56" s="325">
        <v>413517.31200000003</v>
      </c>
      <c r="Z56" s="325">
        <v>430058.00448</v>
      </c>
      <c r="AA56" s="325">
        <v>430058.00448</v>
      </c>
      <c r="AB56" s="325">
        <v>430058.00448</v>
      </c>
      <c r="AC56" s="325">
        <v>430058.00448</v>
      </c>
      <c r="AD56" s="325">
        <v>430058.00448</v>
      </c>
      <c r="AE56" s="325">
        <v>430058.00448</v>
      </c>
      <c r="AF56" s="325">
        <v>430058.00448</v>
      </c>
      <c r="AG56" s="325">
        <v>430058.00448</v>
      </c>
      <c r="AH56" s="325">
        <v>430058.00448</v>
      </c>
      <c r="AI56" s="325">
        <v>430058.00448</v>
      </c>
      <c r="AJ56" s="325">
        <v>430058.00448</v>
      </c>
      <c r="AK56" s="325">
        <v>430058.00448</v>
      </c>
      <c r="AL56" s="325">
        <v>447260.32465920004</v>
      </c>
      <c r="AM56" s="325">
        <v>447260.32465920004</v>
      </c>
      <c r="AN56" s="325">
        <v>447260.32465920004</v>
      </c>
      <c r="AO56" s="325">
        <v>447260.32465920004</v>
      </c>
      <c r="AP56" s="325">
        <v>447260.32465920004</v>
      </c>
      <c r="AQ56" s="325">
        <v>447260.32465920004</v>
      </c>
      <c r="AR56" s="325">
        <v>447260.32465920004</v>
      </c>
      <c r="AS56" s="325">
        <v>447260.32465920004</v>
      </c>
      <c r="AT56" s="325">
        <v>447260.32465920004</v>
      </c>
      <c r="AU56" s="325">
        <v>447260.32465920004</v>
      </c>
      <c r="AV56" s="325">
        <v>447260.32465920004</v>
      </c>
      <c r="AW56" s="325">
        <v>447260.32465920004</v>
      </c>
      <c r="AX56" s="325">
        <v>465150.73764556798</v>
      </c>
      <c r="AY56" s="325">
        <v>465150.73764556798</v>
      </c>
      <c r="AZ56" s="325">
        <v>465150.73764556798</v>
      </c>
      <c r="BA56" s="325">
        <v>465150.73764556798</v>
      </c>
      <c r="BB56" s="325">
        <v>465150.73764556798</v>
      </c>
      <c r="BC56" s="325">
        <v>465150.73764556798</v>
      </c>
      <c r="BD56" s="325">
        <v>465150.73764556798</v>
      </c>
      <c r="BE56" s="325">
        <v>465150.73764556798</v>
      </c>
      <c r="BF56" s="325">
        <v>465150.73764556798</v>
      </c>
      <c r="BG56" s="325">
        <v>465150.73764556798</v>
      </c>
      <c r="BH56" s="325">
        <v>465150.73764556798</v>
      </c>
      <c r="BI56" s="325">
        <v>465150.73764556798</v>
      </c>
      <c r="BJ56" s="325">
        <v>483756.76715139073</v>
      </c>
      <c r="BK56" s="325">
        <v>483756.76715139073</v>
      </c>
      <c r="BL56" s="325">
        <v>483756.76715139073</v>
      </c>
      <c r="BM56" s="325">
        <v>483756.76715139073</v>
      </c>
      <c r="BN56" s="325">
        <v>483756.76715139073</v>
      </c>
      <c r="BO56" s="325">
        <v>483756.76715139073</v>
      </c>
      <c r="BP56" s="325">
        <v>483756.76715139073</v>
      </c>
      <c r="BQ56" s="325">
        <v>483756.76715139073</v>
      </c>
      <c r="BR56" s="325">
        <v>483756.76715139073</v>
      </c>
      <c r="BS56" s="325">
        <v>483756.76715139073</v>
      </c>
      <c r="BT56" s="325">
        <v>483756.76715139073</v>
      </c>
      <c r="BU56" s="325">
        <v>483756.76715139073</v>
      </c>
      <c r="BV56" s="325">
        <v>503107.03783744638</v>
      </c>
      <c r="BW56" s="325">
        <v>503107.03783744638</v>
      </c>
      <c r="BX56" s="325">
        <v>503107.03783744638</v>
      </c>
      <c r="BY56" s="325">
        <v>503107.03783744638</v>
      </c>
      <c r="BZ56" s="325">
        <v>503107.03783744638</v>
      </c>
      <c r="CA56" s="325">
        <v>503107.03783744638</v>
      </c>
      <c r="CB56" s="325">
        <v>503107.03783744638</v>
      </c>
      <c r="CC56" s="325">
        <v>503107.03783744638</v>
      </c>
      <c r="CD56" s="325">
        <v>503107.03783744638</v>
      </c>
      <c r="CE56" s="325">
        <v>503107.03783744638</v>
      </c>
      <c r="CF56" s="325">
        <v>503107.03783744638</v>
      </c>
      <c r="CG56" s="325">
        <v>503107.03783744638</v>
      </c>
      <c r="CH56" s="325">
        <v>523231.31935094425</v>
      </c>
      <c r="CI56" s="325">
        <v>523231.31935094425</v>
      </c>
      <c r="CJ56" s="325">
        <v>523231.31935094425</v>
      </c>
      <c r="CK56" s="325">
        <v>523231.31935094425</v>
      </c>
      <c r="CL56" s="325">
        <v>523231.31935094425</v>
      </c>
      <c r="CM56" s="325">
        <v>523231.31935094425</v>
      </c>
      <c r="CN56" s="325">
        <v>523231.31935094425</v>
      </c>
      <c r="CO56" s="325">
        <v>523231.31935094425</v>
      </c>
      <c r="CP56" s="325">
        <v>523231.31935094425</v>
      </c>
      <c r="CQ56" s="325">
        <v>523231.31935094425</v>
      </c>
      <c r="CR56" s="325">
        <v>523231.31935094425</v>
      </c>
      <c r="CS56" s="325">
        <v>523231.31935094425</v>
      </c>
      <c r="CT56" s="325">
        <v>544160.57212498202</v>
      </c>
      <c r="CU56" s="325">
        <v>544160.57212498202</v>
      </c>
      <c r="CV56" s="325">
        <v>544160.57212498202</v>
      </c>
      <c r="CW56" s="325">
        <v>544160.57212498202</v>
      </c>
      <c r="CX56" s="325">
        <v>544160.57212498202</v>
      </c>
      <c r="CY56" s="325">
        <v>544160.57212498202</v>
      </c>
    </row>
    <row r="57" spans="1:103" ht="15">
      <c r="A57" s="319" t="s">
        <v>530</v>
      </c>
      <c r="B57" s="384" t="s">
        <v>550</v>
      </c>
      <c r="C57" s="384" t="s">
        <v>674</v>
      </c>
      <c r="D57" s="325">
        <v>46800</v>
      </c>
      <c r="E57" s="325">
        <v>46800</v>
      </c>
      <c r="F57" s="325">
        <v>46800</v>
      </c>
      <c r="G57" s="325">
        <v>46800</v>
      </c>
      <c r="H57" s="325">
        <v>46800</v>
      </c>
      <c r="I57" s="325">
        <v>46800</v>
      </c>
      <c r="J57" s="325">
        <v>46800</v>
      </c>
      <c r="K57" s="325">
        <v>46800</v>
      </c>
      <c r="L57" s="325">
        <v>46800</v>
      </c>
      <c r="M57" s="325">
        <v>46800</v>
      </c>
      <c r="N57" s="325">
        <v>48672</v>
      </c>
      <c r="O57" s="325">
        <v>48672</v>
      </c>
      <c r="P57" s="325">
        <v>48672</v>
      </c>
      <c r="Q57" s="325">
        <v>48672</v>
      </c>
      <c r="R57" s="325">
        <v>48672</v>
      </c>
      <c r="S57" s="325">
        <v>48672</v>
      </c>
      <c r="T57" s="325">
        <v>48672</v>
      </c>
      <c r="U57" s="325">
        <v>48672</v>
      </c>
      <c r="V57" s="325">
        <v>48672</v>
      </c>
      <c r="W57" s="325">
        <v>48672</v>
      </c>
      <c r="X57" s="325">
        <v>48672</v>
      </c>
      <c r="Y57" s="325">
        <v>48672</v>
      </c>
      <c r="Z57" s="325">
        <v>50618.880000000005</v>
      </c>
      <c r="AA57" s="325">
        <v>50618.880000000005</v>
      </c>
      <c r="AB57" s="325">
        <v>50618.880000000005</v>
      </c>
      <c r="AC57" s="325">
        <v>50618.880000000005</v>
      </c>
      <c r="AD57" s="325">
        <v>50618.880000000005</v>
      </c>
      <c r="AE57" s="325">
        <v>50618.880000000005</v>
      </c>
      <c r="AF57" s="325">
        <v>50618.880000000005</v>
      </c>
      <c r="AG57" s="325">
        <v>50618.880000000005</v>
      </c>
      <c r="AH57" s="325">
        <v>50618.880000000005</v>
      </c>
      <c r="AI57" s="325">
        <v>50618.880000000005</v>
      </c>
      <c r="AJ57" s="325">
        <v>50618.880000000005</v>
      </c>
      <c r="AK57" s="325">
        <v>50618.880000000005</v>
      </c>
      <c r="AL57" s="325">
        <v>52643.635200000004</v>
      </c>
      <c r="AM57" s="325">
        <v>52643.635200000004</v>
      </c>
      <c r="AN57" s="325">
        <v>52643.635200000004</v>
      </c>
      <c r="AO57" s="325">
        <v>52643.635200000004</v>
      </c>
      <c r="AP57" s="325">
        <v>52643.635200000004</v>
      </c>
      <c r="AQ57" s="325">
        <v>52643.635200000004</v>
      </c>
      <c r="AR57" s="325">
        <v>52643.635200000004</v>
      </c>
      <c r="AS57" s="325">
        <v>52643.635200000004</v>
      </c>
      <c r="AT57" s="325">
        <v>52643.635200000004</v>
      </c>
      <c r="AU57" s="325">
        <v>52643.635200000004</v>
      </c>
      <c r="AV57" s="325">
        <v>52643.635200000004</v>
      </c>
      <c r="AW57" s="325">
        <v>52643.635200000004</v>
      </c>
      <c r="AX57" s="325">
        <v>54749.380608000007</v>
      </c>
      <c r="AY57" s="325">
        <v>54749.380608000007</v>
      </c>
      <c r="AZ57" s="325">
        <v>54749.380608000007</v>
      </c>
      <c r="BA57" s="325">
        <v>54749.380608000007</v>
      </c>
      <c r="BB57" s="325">
        <v>54749.380608000007</v>
      </c>
      <c r="BC57" s="325">
        <v>54749.380608000007</v>
      </c>
      <c r="BD57" s="325">
        <v>54749.380608000007</v>
      </c>
      <c r="BE57" s="325">
        <v>54749.380608000007</v>
      </c>
      <c r="BF57" s="325">
        <v>54749.380608000007</v>
      </c>
      <c r="BG57" s="325">
        <v>54749.380608000007</v>
      </c>
      <c r="BH57" s="325">
        <v>54749.380608000007</v>
      </c>
      <c r="BI57" s="325">
        <v>54749.380608000007</v>
      </c>
      <c r="BJ57" s="325">
        <v>56939.355832320012</v>
      </c>
      <c r="BK57" s="325">
        <v>56939.355832320012</v>
      </c>
      <c r="BL57" s="325">
        <v>56939.355832320012</v>
      </c>
      <c r="BM57" s="325">
        <v>56939.355832320012</v>
      </c>
      <c r="BN57" s="325">
        <v>56939.355832320012</v>
      </c>
      <c r="BO57" s="325">
        <v>56939.355832320012</v>
      </c>
      <c r="BP57" s="325">
        <v>56939.355832320012</v>
      </c>
      <c r="BQ57" s="325">
        <v>56939.355832320012</v>
      </c>
      <c r="BR57" s="325">
        <v>56939.355832320012</v>
      </c>
      <c r="BS57" s="325">
        <v>56939.355832320012</v>
      </c>
      <c r="BT57" s="325">
        <v>56939.355832320012</v>
      </c>
      <c r="BU57" s="325">
        <v>56939.355832320012</v>
      </c>
      <c r="BV57" s="325">
        <v>59216.930065612818</v>
      </c>
      <c r="BW57" s="325">
        <v>59216.930065612818</v>
      </c>
      <c r="BX57" s="325">
        <v>59216.930065612818</v>
      </c>
      <c r="BY57" s="325">
        <v>59216.930065612818</v>
      </c>
      <c r="BZ57" s="325">
        <v>59216.930065612818</v>
      </c>
      <c r="CA57" s="325">
        <v>59216.930065612818</v>
      </c>
      <c r="CB57" s="325">
        <v>59216.930065612818</v>
      </c>
      <c r="CC57" s="325">
        <v>59216.930065612818</v>
      </c>
      <c r="CD57" s="325">
        <v>59216.930065612818</v>
      </c>
      <c r="CE57" s="325">
        <v>59216.930065612818</v>
      </c>
      <c r="CF57" s="325">
        <v>59216.930065612818</v>
      </c>
      <c r="CG57" s="325">
        <v>59216.930065612818</v>
      </c>
      <c r="CH57" s="325">
        <v>61585.607268237334</v>
      </c>
      <c r="CI57" s="325">
        <v>61585.607268237334</v>
      </c>
      <c r="CJ57" s="325">
        <v>61585.607268237334</v>
      </c>
      <c r="CK57" s="325">
        <v>61585.607268237334</v>
      </c>
      <c r="CL57" s="325">
        <v>61585.607268237334</v>
      </c>
      <c r="CM57" s="325">
        <v>61585.607268237334</v>
      </c>
      <c r="CN57" s="325">
        <v>61585.607268237334</v>
      </c>
      <c r="CO57" s="325">
        <v>61585.607268237334</v>
      </c>
      <c r="CP57" s="325">
        <v>61585.607268237334</v>
      </c>
      <c r="CQ57" s="325">
        <v>61585.607268237334</v>
      </c>
      <c r="CR57" s="325">
        <v>61585.607268237334</v>
      </c>
      <c r="CS57" s="325">
        <v>61585.607268237334</v>
      </c>
      <c r="CT57" s="325">
        <v>64049.031558966832</v>
      </c>
      <c r="CU57" s="325">
        <v>64049.031558966832</v>
      </c>
      <c r="CV57" s="325">
        <v>64049.031558966832</v>
      </c>
      <c r="CW57" s="325">
        <v>64049.031558966832</v>
      </c>
      <c r="CX57" s="325">
        <v>64049.031558966832</v>
      </c>
      <c r="CY57" s="325">
        <v>64049.031558966832</v>
      </c>
    </row>
    <row r="58" spans="1:103" ht="15">
      <c r="A58" s="319" t="s">
        <v>531</v>
      </c>
      <c r="B58" s="384" t="s">
        <v>550</v>
      </c>
      <c r="C58" s="384" t="s">
        <v>673</v>
      </c>
      <c r="D58" s="325">
        <v>364000</v>
      </c>
      <c r="E58" s="325">
        <v>364000</v>
      </c>
      <c r="F58" s="325">
        <v>364000</v>
      </c>
      <c r="G58" s="325">
        <v>364000</v>
      </c>
      <c r="H58" s="325">
        <v>364000</v>
      </c>
      <c r="I58" s="325">
        <v>364000</v>
      </c>
      <c r="J58" s="325">
        <v>364000</v>
      </c>
      <c r="K58" s="325">
        <v>364000</v>
      </c>
      <c r="L58" s="325">
        <v>364000</v>
      </c>
      <c r="M58" s="325">
        <v>364000</v>
      </c>
      <c r="N58" s="325">
        <v>378560</v>
      </c>
      <c r="O58" s="325">
        <v>378560</v>
      </c>
      <c r="P58" s="325">
        <v>378560</v>
      </c>
      <c r="Q58" s="325">
        <v>378560</v>
      </c>
      <c r="R58" s="325">
        <v>378560</v>
      </c>
      <c r="S58" s="325">
        <v>378560</v>
      </c>
      <c r="T58" s="325">
        <v>378560</v>
      </c>
      <c r="U58" s="325">
        <v>378560</v>
      </c>
      <c r="V58" s="325">
        <v>378560</v>
      </c>
      <c r="W58" s="325">
        <v>378560</v>
      </c>
      <c r="X58" s="325">
        <v>378560</v>
      </c>
      <c r="Y58" s="325">
        <v>378560</v>
      </c>
      <c r="Z58" s="325">
        <v>393702.40000000002</v>
      </c>
      <c r="AA58" s="325">
        <v>393702.40000000002</v>
      </c>
      <c r="AB58" s="325">
        <v>393702.40000000002</v>
      </c>
      <c r="AC58" s="325">
        <v>393702.40000000002</v>
      </c>
      <c r="AD58" s="325">
        <v>393702.40000000002</v>
      </c>
      <c r="AE58" s="325">
        <v>393702.40000000002</v>
      </c>
      <c r="AF58" s="325">
        <v>393702.40000000002</v>
      </c>
      <c r="AG58" s="325">
        <v>393702.40000000002</v>
      </c>
      <c r="AH58" s="325">
        <v>393702.40000000002</v>
      </c>
      <c r="AI58" s="325">
        <v>393702.40000000002</v>
      </c>
      <c r="AJ58" s="325">
        <v>393702.40000000002</v>
      </c>
      <c r="AK58" s="325">
        <v>393702.40000000002</v>
      </c>
      <c r="AL58" s="325">
        <v>409450.49600000004</v>
      </c>
      <c r="AM58" s="325">
        <v>409450.49600000004</v>
      </c>
      <c r="AN58" s="325">
        <v>409450.49600000004</v>
      </c>
      <c r="AO58" s="325">
        <v>409450.49600000004</v>
      </c>
      <c r="AP58" s="325">
        <v>409450.49600000004</v>
      </c>
      <c r="AQ58" s="325">
        <v>409450.49600000004</v>
      </c>
      <c r="AR58" s="325">
        <v>409450.49600000004</v>
      </c>
      <c r="AS58" s="325">
        <v>409450.49600000004</v>
      </c>
      <c r="AT58" s="325">
        <v>409450.49600000004</v>
      </c>
      <c r="AU58" s="325">
        <v>409450.49600000004</v>
      </c>
      <c r="AV58" s="325">
        <v>409450.49600000004</v>
      </c>
      <c r="AW58" s="325">
        <v>409450.49600000004</v>
      </c>
      <c r="AX58" s="325">
        <v>425828.51584000007</v>
      </c>
      <c r="AY58" s="325">
        <v>425828.51584000007</v>
      </c>
      <c r="AZ58" s="325">
        <v>425828.51584000007</v>
      </c>
      <c r="BA58" s="325">
        <v>425828.51584000007</v>
      </c>
      <c r="BB58" s="325">
        <v>425828.51584000007</v>
      </c>
      <c r="BC58" s="325">
        <v>425828.51584000007</v>
      </c>
      <c r="BD58" s="325">
        <v>425828.51584000007</v>
      </c>
      <c r="BE58" s="325">
        <v>425828.51584000007</v>
      </c>
      <c r="BF58" s="325">
        <v>425828.51584000007</v>
      </c>
      <c r="BG58" s="325">
        <v>425828.51584000007</v>
      </c>
      <c r="BH58" s="325">
        <v>425828.51584000007</v>
      </c>
      <c r="BI58" s="325">
        <v>425828.51584000007</v>
      </c>
      <c r="BJ58" s="325">
        <v>442861.65647360007</v>
      </c>
      <c r="BK58" s="325">
        <v>442861.65647360007</v>
      </c>
      <c r="BL58" s="325">
        <v>442861.65647360007</v>
      </c>
      <c r="BM58" s="325">
        <v>442861.65647360007</v>
      </c>
      <c r="BN58" s="325">
        <v>442861.65647360007</v>
      </c>
      <c r="BO58" s="325">
        <v>442861.65647360007</v>
      </c>
      <c r="BP58" s="325">
        <v>442861.65647360007</v>
      </c>
      <c r="BQ58" s="325">
        <v>442861.65647360007</v>
      </c>
      <c r="BR58" s="325">
        <v>442861.65647360007</v>
      </c>
      <c r="BS58" s="325">
        <v>442861.65647360007</v>
      </c>
      <c r="BT58" s="325">
        <v>442861.65647360007</v>
      </c>
      <c r="BU58" s="325">
        <v>442861.65647360007</v>
      </c>
      <c r="BV58" s="325">
        <v>460576.12273254409</v>
      </c>
      <c r="BW58" s="325">
        <v>460576.12273254409</v>
      </c>
      <c r="BX58" s="325">
        <v>460576.12273254409</v>
      </c>
      <c r="BY58" s="325">
        <v>460576.12273254409</v>
      </c>
      <c r="BZ58" s="325">
        <v>460576.12273254409</v>
      </c>
      <c r="CA58" s="325">
        <v>460576.12273254409</v>
      </c>
      <c r="CB58" s="325">
        <v>460576.12273254409</v>
      </c>
      <c r="CC58" s="325">
        <v>460576.12273254409</v>
      </c>
      <c r="CD58" s="325">
        <v>460576.12273254409</v>
      </c>
      <c r="CE58" s="325">
        <v>460576.12273254409</v>
      </c>
      <c r="CF58" s="325">
        <v>460576.12273254409</v>
      </c>
      <c r="CG58" s="325">
        <v>460576.12273254409</v>
      </c>
      <c r="CH58" s="325">
        <v>478999.16764184588</v>
      </c>
      <c r="CI58" s="325">
        <v>478999.16764184588</v>
      </c>
      <c r="CJ58" s="325">
        <v>478999.16764184588</v>
      </c>
      <c r="CK58" s="325">
        <v>478999.16764184588</v>
      </c>
      <c r="CL58" s="325">
        <v>478999.16764184588</v>
      </c>
      <c r="CM58" s="325">
        <v>478999.16764184588</v>
      </c>
      <c r="CN58" s="325">
        <v>478999.16764184588</v>
      </c>
      <c r="CO58" s="325">
        <v>478999.16764184588</v>
      </c>
      <c r="CP58" s="325">
        <v>478999.16764184588</v>
      </c>
      <c r="CQ58" s="325">
        <v>478999.16764184588</v>
      </c>
      <c r="CR58" s="325">
        <v>478999.16764184588</v>
      </c>
      <c r="CS58" s="325">
        <v>478999.16764184588</v>
      </c>
      <c r="CT58" s="325">
        <v>498159.13434751972</v>
      </c>
      <c r="CU58" s="325">
        <v>498159.13434751972</v>
      </c>
      <c r="CV58" s="325">
        <v>498159.13434751972</v>
      </c>
      <c r="CW58" s="325">
        <v>498159.13434751972</v>
      </c>
      <c r="CX58" s="325">
        <v>498159.13434751972</v>
      </c>
      <c r="CY58" s="325">
        <v>498159.13434751972</v>
      </c>
    </row>
    <row r="59" spans="1:103" ht="15">
      <c r="A59" s="319" t="s">
        <v>532</v>
      </c>
      <c r="B59" s="384" t="s">
        <v>550</v>
      </c>
      <c r="C59" s="384" t="s">
        <v>673</v>
      </c>
      <c r="D59" s="325">
        <v>0</v>
      </c>
      <c r="E59" s="325">
        <v>0</v>
      </c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325">
        <v>500000</v>
      </c>
      <c r="O59" s="325">
        <v>500000</v>
      </c>
      <c r="P59" s="325">
        <v>500000</v>
      </c>
      <c r="Q59" s="325">
        <v>500000</v>
      </c>
      <c r="R59" s="325">
        <v>500000</v>
      </c>
      <c r="S59" s="325">
        <v>500000</v>
      </c>
      <c r="T59" s="325">
        <v>500000</v>
      </c>
      <c r="U59" s="325">
        <v>500000</v>
      </c>
      <c r="V59" s="325">
        <v>500000</v>
      </c>
      <c r="W59" s="325">
        <v>500000</v>
      </c>
      <c r="X59" s="325">
        <v>500000</v>
      </c>
      <c r="Y59" s="325">
        <v>500000</v>
      </c>
      <c r="Z59" s="325">
        <v>520000</v>
      </c>
      <c r="AA59" s="325">
        <v>520000</v>
      </c>
      <c r="AB59" s="325">
        <v>520000</v>
      </c>
      <c r="AC59" s="325">
        <v>520000</v>
      </c>
      <c r="AD59" s="325">
        <v>520000</v>
      </c>
      <c r="AE59" s="325">
        <v>520000</v>
      </c>
      <c r="AF59" s="325">
        <v>520000</v>
      </c>
      <c r="AG59" s="325">
        <v>520000</v>
      </c>
      <c r="AH59" s="325">
        <v>520000</v>
      </c>
      <c r="AI59" s="325">
        <v>520000</v>
      </c>
      <c r="AJ59" s="325">
        <v>520000</v>
      </c>
      <c r="AK59" s="325">
        <v>520000</v>
      </c>
      <c r="AL59" s="325">
        <v>540800</v>
      </c>
      <c r="AM59" s="325">
        <v>540800</v>
      </c>
      <c r="AN59" s="325">
        <v>540800</v>
      </c>
      <c r="AO59" s="325">
        <v>540800</v>
      </c>
      <c r="AP59" s="325">
        <v>540800</v>
      </c>
      <c r="AQ59" s="325">
        <v>540800</v>
      </c>
      <c r="AR59" s="325">
        <v>540800</v>
      </c>
      <c r="AS59" s="325">
        <v>540800</v>
      </c>
      <c r="AT59" s="325">
        <v>540800</v>
      </c>
      <c r="AU59" s="325">
        <v>540800</v>
      </c>
      <c r="AV59" s="325">
        <v>540800</v>
      </c>
      <c r="AW59" s="325">
        <v>540800</v>
      </c>
      <c r="AX59" s="325">
        <v>562432</v>
      </c>
      <c r="AY59" s="325">
        <v>562432</v>
      </c>
      <c r="AZ59" s="325">
        <v>562432</v>
      </c>
      <c r="BA59" s="325">
        <v>562432</v>
      </c>
      <c r="BB59" s="325">
        <v>562432</v>
      </c>
      <c r="BC59" s="325">
        <v>562432</v>
      </c>
      <c r="BD59" s="325">
        <v>562432</v>
      </c>
      <c r="BE59" s="325">
        <v>562432</v>
      </c>
      <c r="BF59" s="325">
        <v>562432</v>
      </c>
      <c r="BG59" s="325">
        <v>562432</v>
      </c>
      <c r="BH59" s="325">
        <v>562432</v>
      </c>
      <c r="BI59" s="325">
        <v>562432</v>
      </c>
      <c r="BJ59" s="325">
        <v>584929.28000000003</v>
      </c>
      <c r="BK59" s="325">
        <v>584929.28000000003</v>
      </c>
      <c r="BL59" s="325">
        <v>584929.28000000003</v>
      </c>
      <c r="BM59" s="325">
        <v>584929.28000000003</v>
      </c>
      <c r="BN59" s="325">
        <v>584929.28000000003</v>
      </c>
      <c r="BO59" s="325">
        <v>584929.28000000003</v>
      </c>
      <c r="BP59" s="325">
        <v>584929.28000000003</v>
      </c>
      <c r="BQ59" s="325">
        <v>584929.28000000003</v>
      </c>
      <c r="BR59" s="325">
        <v>584929.28000000003</v>
      </c>
      <c r="BS59" s="325">
        <v>584929.28000000003</v>
      </c>
      <c r="BT59" s="325">
        <v>584929.28000000003</v>
      </c>
      <c r="BU59" s="325">
        <v>584929.28000000003</v>
      </c>
      <c r="BV59" s="325">
        <v>608326.45120000001</v>
      </c>
      <c r="BW59" s="325">
        <v>608326.45120000001</v>
      </c>
      <c r="BX59" s="325">
        <v>608326.45120000001</v>
      </c>
      <c r="BY59" s="325">
        <v>608326.45120000001</v>
      </c>
      <c r="BZ59" s="325">
        <v>608326.45120000001</v>
      </c>
      <c r="CA59" s="325">
        <v>608326.45120000001</v>
      </c>
      <c r="CB59" s="325">
        <v>608326.45120000001</v>
      </c>
      <c r="CC59" s="325">
        <v>608326.45120000001</v>
      </c>
      <c r="CD59" s="325">
        <v>608326.45120000001</v>
      </c>
      <c r="CE59" s="325">
        <v>608326.45120000001</v>
      </c>
      <c r="CF59" s="325">
        <v>608326.45120000001</v>
      </c>
      <c r="CG59" s="325">
        <v>608326.45120000001</v>
      </c>
      <c r="CH59" s="325">
        <v>632659.50924799999</v>
      </c>
      <c r="CI59" s="325">
        <v>632659.50924799999</v>
      </c>
      <c r="CJ59" s="325">
        <v>632659.50924799999</v>
      </c>
      <c r="CK59" s="325">
        <v>632659.50924799999</v>
      </c>
      <c r="CL59" s="325">
        <v>632659.50924799999</v>
      </c>
      <c r="CM59" s="325">
        <v>632659.50924799999</v>
      </c>
      <c r="CN59" s="325">
        <v>632659.50924799999</v>
      </c>
      <c r="CO59" s="325">
        <v>632659.50924799999</v>
      </c>
      <c r="CP59" s="325">
        <v>632659.50924799999</v>
      </c>
      <c r="CQ59" s="325">
        <v>632659.50924799999</v>
      </c>
      <c r="CR59" s="325">
        <v>632659.50924799999</v>
      </c>
      <c r="CS59" s="325">
        <v>632659.50924799999</v>
      </c>
      <c r="CT59" s="325">
        <v>657965.88961792004</v>
      </c>
      <c r="CU59" s="325">
        <v>657965.88961792004</v>
      </c>
      <c r="CV59" s="325">
        <v>657965.88961792004</v>
      </c>
      <c r="CW59" s="325">
        <v>657965.88961792004</v>
      </c>
      <c r="CX59" s="325">
        <v>657965.88961792004</v>
      </c>
      <c r="CY59" s="325">
        <v>657965.88961792004</v>
      </c>
    </row>
    <row r="60" spans="1:103" ht="15">
      <c r="A60" s="319" t="s">
        <v>533</v>
      </c>
      <c r="B60" s="384" t="s">
        <v>550</v>
      </c>
      <c r="C60" s="384" t="s">
        <v>673</v>
      </c>
      <c r="D60" s="325">
        <v>28080</v>
      </c>
      <c r="E60" s="325">
        <v>28080</v>
      </c>
      <c r="F60" s="325">
        <v>28080</v>
      </c>
      <c r="G60" s="325">
        <v>28080</v>
      </c>
      <c r="H60" s="325">
        <v>28080</v>
      </c>
      <c r="I60" s="325">
        <v>28080</v>
      </c>
      <c r="J60" s="325">
        <v>28080</v>
      </c>
      <c r="K60" s="325">
        <v>28080</v>
      </c>
      <c r="L60" s="325">
        <v>28080</v>
      </c>
      <c r="M60" s="325">
        <v>28080</v>
      </c>
      <c r="N60" s="325">
        <v>29203.200000000001</v>
      </c>
      <c r="O60" s="325">
        <v>29203.200000000001</v>
      </c>
      <c r="P60" s="325">
        <v>29203.200000000001</v>
      </c>
      <c r="Q60" s="325">
        <v>29203.200000000001</v>
      </c>
      <c r="R60" s="325">
        <v>29203.200000000001</v>
      </c>
      <c r="S60" s="325">
        <v>29203.200000000001</v>
      </c>
      <c r="T60" s="325">
        <v>29203.200000000001</v>
      </c>
      <c r="U60" s="325">
        <v>29203.200000000001</v>
      </c>
      <c r="V60" s="325">
        <v>29203.200000000001</v>
      </c>
      <c r="W60" s="325">
        <v>29203.200000000001</v>
      </c>
      <c r="X60" s="325">
        <v>29203.200000000001</v>
      </c>
      <c r="Y60" s="325">
        <v>29203.200000000001</v>
      </c>
      <c r="Z60" s="325">
        <v>30371.328000000001</v>
      </c>
      <c r="AA60" s="325">
        <v>30371.328000000001</v>
      </c>
      <c r="AB60" s="325">
        <v>30371.328000000001</v>
      </c>
      <c r="AC60" s="325">
        <v>30371.328000000001</v>
      </c>
      <c r="AD60" s="325">
        <v>30371.328000000001</v>
      </c>
      <c r="AE60" s="325">
        <v>30371.328000000001</v>
      </c>
      <c r="AF60" s="325">
        <v>30371.328000000001</v>
      </c>
      <c r="AG60" s="325">
        <v>30371.328000000001</v>
      </c>
      <c r="AH60" s="325">
        <v>30371.328000000001</v>
      </c>
      <c r="AI60" s="325">
        <v>30371.328000000001</v>
      </c>
      <c r="AJ60" s="325">
        <v>30371.328000000001</v>
      </c>
      <c r="AK60" s="325">
        <v>30371.328000000001</v>
      </c>
      <c r="AL60" s="325">
        <v>31586.181120000001</v>
      </c>
      <c r="AM60" s="325">
        <v>31586.181120000001</v>
      </c>
      <c r="AN60" s="325">
        <v>31586.181120000001</v>
      </c>
      <c r="AO60" s="325">
        <v>31586.181120000001</v>
      </c>
      <c r="AP60" s="325">
        <v>31586.181120000001</v>
      </c>
      <c r="AQ60" s="325">
        <v>31586.181120000001</v>
      </c>
      <c r="AR60" s="325">
        <v>31586.181120000001</v>
      </c>
      <c r="AS60" s="325">
        <v>31586.181120000001</v>
      </c>
      <c r="AT60" s="325">
        <v>31586.181120000001</v>
      </c>
      <c r="AU60" s="325">
        <v>31586.181120000001</v>
      </c>
      <c r="AV60" s="325">
        <v>31586.181120000001</v>
      </c>
      <c r="AW60" s="325">
        <v>31586.181120000001</v>
      </c>
      <c r="AX60" s="325">
        <v>32849.628364800003</v>
      </c>
      <c r="AY60" s="325">
        <v>32849.628364800003</v>
      </c>
      <c r="AZ60" s="325">
        <v>32849.628364800003</v>
      </c>
      <c r="BA60" s="325">
        <v>32849.628364800003</v>
      </c>
      <c r="BB60" s="325">
        <v>32849.628364800003</v>
      </c>
      <c r="BC60" s="325">
        <v>32849.628364800003</v>
      </c>
      <c r="BD60" s="325">
        <v>32849.628364800003</v>
      </c>
      <c r="BE60" s="325">
        <v>32849.628364800003</v>
      </c>
      <c r="BF60" s="325">
        <v>32849.628364800003</v>
      </c>
      <c r="BG60" s="325">
        <v>32849.628364800003</v>
      </c>
      <c r="BH60" s="325">
        <v>32849.628364800003</v>
      </c>
      <c r="BI60" s="325">
        <v>32849.628364800003</v>
      </c>
      <c r="BJ60" s="325">
        <v>34163.613499392006</v>
      </c>
      <c r="BK60" s="325">
        <v>34163.613499392006</v>
      </c>
      <c r="BL60" s="325">
        <v>34163.613499392006</v>
      </c>
      <c r="BM60" s="325">
        <v>34163.613499392006</v>
      </c>
      <c r="BN60" s="325">
        <v>34163.613499392006</v>
      </c>
      <c r="BO60" s="325">
        <v>34163.613499392006</v>
      </c>
      <c r="BP60" s="325">
        <v>34163.613499392006</v>
      </c>
      <c r="BQ60" s="325">
        <v>34163.613499392006</v>
      </c>
      <c r="BR60" s="325">
        <v>34163.613499392006</v>
      </c>
      <c r="BS60" s="325">
        <v>34163.613499392006</v>
      </c>
      <c r="BT60" s="325">
        <v>34163.613499392006</v>
      </c>
      <c r="BU60" s="325">
        <v>34163.613499392006</v>
      </c>
      <c r="BV60" s="325">
        <v>35530.158039367685</v>
      </c>
      <c r="BW60" s="325">
        <v>35530.158039367685</v>
      </c>
      <c r="BX60" s="325">
        <v>35530.158039367685</v>
      </c>
      <c r="BY60" s="325">
        <v>35530.158039367685</v>
      </c>
      <c r="BZ60" s="325">
        <v>35530.158039367685</v>
      </c>
      <c r="CA60" s="325">
        <v>35530.158039367685</v>
      </c>
      <c r="CB60" s="325">
        <v>35530.158039367685</v>
      </c>
      <c r="CC60" s="325">
        <v>35530.158039367685</v>
      </c>
      <c r="CD60" s="325">
        <v>35530.158039367685</v>
      </c>
      <c r="CE60" s="325">
        <v>35530.158039367685</v>
      </c>
      <c r="CF60" s="325">
        <v>35530.158039367685</v>
      </c>
      <c r="CG60" s="325">
        <v>35530.158039367685</v>
      </c>
      <c r="CH60" s="325">
        <v>36951.364360942396</v>
      </c>
      <c r="CI60" s="325">
        <v>36951.364360942396</v>
      </c>
      <c r="CJ60" s="325">
        <v>36951.364360942396</v>
      </c>
      <c r="CK60" s="325">
        <v>36951.364360942396</v>
      </c>
      <c r="CL60" s="325">
        <v>36951.364360942396</v>
      </c>
      <c r="CM60" s="325">
        <v>36951.364360942396</v>
      </c>
      <c r="CN60" s="325">
        <v>36951.364360942396</v>
      </c>
      <c r="CO60" s="325">
        <v>36951.364360942396</v>
      </c>
      <c r="CP60" s="325">
        <v>36951.364360942396</v>
      </c>
      <c r="CQ60" s="325">
        <v>36951.364360942396</v>
      </c>
      <c r="CR60" s="325">
        <v>36951.364360942396</v>
      </c>
      <c r="CS60" s="325">
        <v>36951.364360942396</v>
      </c>
      <c r="CT60" s="325">
        <v>38429.41893538009</v>
      </c>
      <c r="CU60" s="325">
        <v>38429.41893538009</v>
      </c>
      <c r="CV60" s="325">
        <v>38429.41893538009</v>
      </c>
      <c r="CW60" s="325">
        <v>38429.41893538009</v>
      </c>
      <c r="CX60" s="325">
        <v>38429.41893538009</v>
      </c>
      <c r="CY60" s="325">
        <v>38429.41893538009</v>
      </c>
    </row>
    <row r="61" spans="1:103" ht="15">
      <c r="A61" s="319" t="s">
        <v>534</v>
      </c>
      <c r="B61" s="384" t="s">
        <v>550</v>
      </c>
      <c r="C61" s="384" t="s">
        <v>673</v>
      </c>
      <c r="D61" s="325">
        <v>16640</v>
      </c>
      <c r="E61" s="325">
        <v>16640</v>
      </c>
      <c r="F61" s="325">
        <v>16640</v>
      </c>
      <c r="G61" s="325">
        <v>16640</v>
      </c>
      <c r="H61" s="325">
        <v>16640</v>
      </c>
      <c r="I61" s="325">
        <v>16640</v>
      </c>
      <c r="J61" s="325">
        <v>16640</v>
      </c>
      <c r="K61" s="325">
        <v>16640</v>
      </c>
      <c r="L61" s="325">
        <v>16640</v>
      </c>
      <c r="M61" s="325">
        <v>16640</v>
      </c>
      <c r="N61" s="325">
        <v>17305.600000000002</v>
      </c>
      <c r="O61" s="325">
        <v>17305.600000000002</v>
      </c>
      <c r="P61" s="325">
        <v>17305.600000000002</v>
      </c>
      <c r="Q61" s="325">
        <v>17305.600000000002</v>
      </c>
      <c r="R61" s="325">
        <v>17305.600000000002</v>
      </c>
      <c r="S61" s="325">
        <v>17305.600000000002</v>
      </c>
      <c r="T61" s="325">
        <v>17305.600000000002</v>
      </c>
      <c r="U61" s="325">
        <v>17305.600000000002</v>
      </c>
      <c r="V61" s="325">
        <v>17305.600000000002</v>
      </c>
      <c r="W61" s="325">
        <v>17305.600000000002</v>
      </c>
      <c r="X61" s="325">
        <v>17305.600000000002</v>
      </c>
      <c r="Y61" s="325">
        <v>17305.600000000002</v>
      </c>
      <c r="Z61" s="325">
        <v>17997.824000000004</v>
      </c>
      <c r="AA61" s="325">
        <v>17997.824000000004</v>
      </c>
      <c r="AB61" s="325">
        <v>17997.824000000004</v>
      </c>
      <c r="AC61" s="325">
        <v>17997.824000000004</v>
      </c>
      <c r="AD61" s="325">
        <v>17997.824000000004</v>
      </c>
      <c r="AE61" s="325">
        <v>17997.824000000004</v>
      </c>
      <c r="AF61" s="325">
        <v>17997.824000000004</v>
      </c>
      <c r="AG61" s="325">
        <v>17997.824000000004</v>
      </c>
      <c r="AH61" s="325">
        <v>17997.824000000004</v>
      </c>
      <c r="AI61" s="325">
        <v>17997.824000000004</v>
      </c>
      <c r="AJ61" s="325">
        <v>17997.824000000004</v>
      </c>
      <c r="AK61" s="325">
        <v>17997.824000000004</v>
      </c>
      <c r="AL61" s="325">
        <v>18717.736960000006</v>
      </c>
      <c r="AM61" s="325">
        <v>18717.736960000006</v>
      </c>
      <c r="AN61" s="325">
        <v>18717.736960000006</v>
      </c>
      <c r="AO61" s="325">
        <v>18717.736960000006</v>
      </c>
      <c r="AP61" s="325">
        <v>18717.736960000006</v>
      </c>
      <c r="AQ61" s="325">
        <v>18717.736960000006</v>
      </c>
      <c r="AR61" s="325">
        <v>18717.736960000006</v>
      </c>
      <c r="AS61" s="325">
        <v>18717.736960000006</v>
      </c>
      <c r="AT61" s="325">
        <v>18717.736960000006</v>
      </c>
      <c r="AU61" s="325">
        <v>18717.736960000006</v>
      </c>
      <c r="AV61" s="325">
        <v>18717.736960000006</v>
      </c>
      <c r="AW61" s="325">
        <v>18717.736960000006</v>
      </c>
      <c r="AX61" s="325">
        <v>19466.446438400006</v>
      </c>
      <c r="AY61" s="325">
        <v>19466.446438400006</v>
      </c>
      <c r="AZ61" s="325">
        <v>19466.446438400006</v>
      </c>
      <c r="BA61" s="325">
        <v>19466.446438400006</v>
      </c>
      <c r="BB61" s="325">
        <v>19466.446438400006</v>
      </c>
      <c r="BC61" s="325">
        <v>19466.446438400006</v>
      </c>
      <c r="BD61" s="325">
        <v>19466.446438400006</v>
      </c>
      <c r="BE61" s="325">
        <v>19466.446438400006</v>
      </c>
      <c r="BF61" s="325">
        <v>19466.446438400006</v>
      </c>
      <c r="BG61" s="325">
        <v>19466.446438400006</v>
      </c>
      <c r="BH61" s="325">
        <v>19466.446438400006</v>
      </c>
      <c r="BI61" s="325">
        <v>19466.446438400006</v>
      </c>
      <c r="BJ61" s="325">
        <v>20245.104295936006</v>
      </c>
      <c r="BK61" s="325">
        <v>20245.104295936006</v>
      </c>
      <c r="BL61" s="325">
        <v>20245.104295936006</v>
      </c>
      <c r="BM61" s="325">
        <v>20245.104295936006</v>
      </c>
      <c r="BN61" s="325">
        <v>20245.104295936006</v>
      </c>
      <c r="BO61" s="325">
        <v>20245.104295936006</v>
      </c>
      <c r="BP61" s="325">
        <v>20245.104295936006</v>
      </c>
      <c r="BQ61" s="325">
        <v>20245.104295936006</v>
      </c>
      <c r="BR61" s="325">
        <v>20245.104295936006</v>
      </c>
      <c r="BS61" s="325">
        <v>20245.104295936006</v>
      </c>
      <c r="BT61" s="325">
        <v>20245.104295936006</v>
      </c>
      <c r="BU61" s="325">
        <v>20245.104295936006</v>
      </c>
      <c r="BV61" s="325">
        <v>21054.908467773446</v>
      </c>
      <c r="BW61" s="325">
        <v>21054.908467773446</v>
      </c>
      <c r="BX61" s="325">
        <v>21054.908467773446</v>
      </c>
      <c r="BY61" s="325">
        <v>21054.908467773446</v>
      </c>
      <c r="BZ61" s="325">
        <v>21054.908467773446</v>
      </c>
      <c r="CA61" s="325">
        <v>21054.908467773446</v>
      </c>
      <c r="CB61" s="325">
        <v>21054.908467773446</v>
      </c>
      <c r="CC61" s="325">
        <v>21054.908467773446</v>
      </c>
      <c r="CD61" s="325">
        <v>21054.908467773446</v>
      </c>
      <c r="CE61" s="325">
        <v>21054.908467773446</v>
      </c>
      <c r="CF61" s="325">
        <v>21054.908467773446</v>
      </c>
      <c r="CG61" s="325">
        <v>21054.908467773446</v>
      </c>
      <c r="CH61" s="325">
        <v>21897.104806484385</v>
      </c>
      <c r="CI61" s="325">
        <v>21897.104806484385</v>
      </c>
      <c r="CJ61" s="325">
        <v>21897.104806484385</v>
      </c>
      <c r="CK61" s="325">
        <v>21897.104806484385</v>
      </c>
      <c r="CL61" s="325">
        <v>21897.104806484385</v>
      </c>
      <c r="CM61" s="325">
        <v>21897.104806484385</v>
      </c>
      <c r="CN61" s="325">
        <v>21897.104806484385</v>
      </c>
      <c r="CO61" s="325">
        <v>21897.104806484385</v>
      </c>
      <c r="CP61" s="325">
        <v>21897.104806484385</v>
      </c>
      <c r="CQ61" s="325">
        <v>21897.104806484385</v>
      </c>
      <c r="CR61" s="325">
        <v>21897.104806484385</v>
      </c>
      <c r="CS61" s="325">
        <v>21897.104806484385</v>
      </c>
      <c r="CT61" s="325">
        <v>22772.98899874376</v>
      </c>
      <c r="CU61" s="325">
        <v>22772.98899874376</v>
      </c>
      <c r="CV61" s="325">
        <v>22772.98899874376</v>
      </c>
      <c r="CW61" s="325">
        <v>22772.98899874376</v>
      </c>
      <c r="CX61" s="325">
        <v>22772.98899874376</v>
      </c>
      <c r="CY61" s="325">
        <v>22772.98899874376</v>
      </c>
    </row>
    <row r="62" spans="1:103" ht="15">
      <c r="A62" s="319" t="s">
        <v>535</v>
      </c>
      <c r="B62" s="384" t="s">
        <v>550</v>
      </c>
      <c r="C62" s="384" t="s">
        <v>673</v>
      </c>
      <c r="D62" s="325">
        <v>416000</v>
      </c>
      <c r="E62" s="325">
        <v>416000</v>
      </c>
      <c r="F62" s="325">
        <v>416000</v>
      </c>
      <c r="G62" s="325">
        <v>416000</v>
      </c>
      <c r="H62" s="325">
        <v>416000</v>
      </c>
      <c r="I62" s="325">
        <v>416000</v>
      </c>
      <c r="J62" s="325">
        <v>416000</v>
      </c>
      <c r="K62" s="325">
        <v>416000</v>
      </c>
      <c r="L62" s="325">
        <v>416000</v>
      </c>
      <c r="M62" s="325">
        <v>416000</v>
      </c>
      <c r="N62" s="325">
        <v>432640</v>
      </c>
      <c r="O62" s="325">
        <v>432640</v>
      </c>
      <c r="P62" s="325">
        <v>432640</v>
      </c>
      <c r="Q62" s="325">
        <v>432640</v>
      </c>
      <c r="R62" s="325">
        <v>432640</v>
      </c>
      <c r="S62" s="325">
        <v>432640</v>
      </c>
      <c r="T62" s="325">
        <v>432640</v>
      </c>
      <c r="U62" s="325">
        <v>432640</v>
      </c>
      <c r="V62" s="325">
        <v>432640</v>
      </c>
      <c r="W62" s="325">
        <v>432640</v>
      </c>
      <c r="X62" s="325">
        <v>432640</v>
      </c>
      <c r="Y62" s="325">
        <v>432640</v>
      </c>
      <c r="Z62" s="325">
        <v>449945.60000000003</v>
      </c>
      <c r="AA62" s="325">
        <v>449945.60000000003</v>
      </c>
      <c r="AB62" s="325">
        <v>449945.60000000003</v>
      </c>
      <c r="AC62" s="325">
        <v>449945.60000000003</v>
      </c>
      <c r="AD62" s="325">
        <v>449945.60000000003</v>
      </c>
      <c r="AE62" s="325">
        <v>449945.60000000003</v>
      </c>
      <c r="AF62" s="325">
        <v>449945.60000000003</v>
      </c>
      <c r="AG62" s="325">
        <v>449945.60000000003</v>
      </c>
      <c r="AH62" s="325">
        <v>449945.60000000003</v>
      </c>
      <c r="AI62" s="325">
        <v>449945.60000000003</v>
      </c>
      <c r="AJ62" s="325">
        <v>449945.60000000003</v>
      </c>
      <c r="AK62" s="325">
        <v>449945.60000000003</v>
      </c>
      <c r="AL62" s="325">
        <v>467943.42400000006</v>
      </c>
      <c r="AM62" s="325">
        <v>467943.42400000006</v>
      </c>
      <c r="AN62" s="325">
        <v>467943.42400000006</v>
      </c>
      <c r="AO62" s="325">
        <v>467943.42400000006</v>
      </c>
      <c r="AP62" s="325">
        <v>467943.42400000006</v>
      </c>
      <c r="AQ62" s="325">
        <v>467943.42400000006</v>
      </c>
      <c r="AR62" s="325">
        <v>467943.42400000006</v>
      </c>
      <c r="AS62" s="325">
        <v>467943.42400000006</v>
      </c>
      <c r="AT62" s="325">
        <v>467943.42400000006</v>
      </c>
      <c r="AU62" s="325">
        <v>467943.42400000006</v>
      </c>
      <c r="AV62" s="325">
        <v>467943.42400000006</v>
      </c>
      <c r="AW62" s="325">
        <v>467943.42400000006</v>
      </c>
      <c r="AX62" s="325">
        <v>486661.16096000007</v>
      </c>
      <c r="AY62" s="325">
        <v>486661.16096000007</v>
      </c>
      <c r="AZ62" s="325">
        <v>486661.16096000007</v>
      </c>
      <c r="BA62" s="325">
        <v>486661.16096000007</v>
      </c>
      <c r="BB62" s="325">
        <v>486661.16096000007</v>
      </c>
      <c r="BC62" s="325">
        <v>486661.16096000007</v>
      </c>
      <c r="BD62" s="325">
        <v>486661.16096000007</v>
      </c>
      <c r="BE62" s="325">
        <v>486661.16096000007</v>
      </c>
      <c r="BF62" s="325">
        <v>486661.16096000007</v>
      </c>
      <c r="BG62" s="325">
        <v>486661.16096000007</v>
      </c>
      <c r="BH62" s="325">
        <v>486661.16096000007</v>
      </c>
      <c r="BI62" s="325">
        <v>486661.16096000007</v>
      </c>
      <c r="BJ62" s="325">
        <v>506127.60739840008</v>
      </c>
      <c r="BK62" s="325">
        <v>506127.60739840008</v>
      </c>
      <c r="BL62" s="325">
        <v>506127.60739840008</v>
      </c>
      <c r="BM62" s="325">
        <v>506127.60739840008</v>
      </c>
      <c r="BN62" s="325">
        <v>506127.60739840008</v>
      </c>
      <c r="BO62" s="325">
        <v>506127.60739840008</v>
      </c>
      <c r="BP62" s="325">
        <v>506127.60739840008</v>
      </c>
      <c r="BQ62" s="325">
        <v>506127.60739840008</v>
      </c>
      <c r="BR62" s="325">
        <v>506127.60739840008</v>
      </c>
      <c r="BS62" s="325">
        <v>506127.60739840008</v>
      </c>
      <c r="BT62" s="325">
        <v>506127.60739840008</v>
      </c>
      <c r="BU62" s="325">
        <v>506127.60739840008</v>
      </c>
      <c r="BV62" s="325">
        <v>526372.71169433615</v>
      </c>
      <c r="BW62" s="325">
        <v>526372.71169433615</v>
      </c>
      <c r="BX62" s="325">
        <v>526372.71169433615</v>
      </c>
      <c r="BY62" s="325">
        <v>526372.71169433615</v>
      </c>
      <c r="BZ62" s="325">
        <v>526372.71169433615</v>
      </c>
      <c r="CA62" s="325">
        <v>526372.71169433615</v>
      </c>
      <c r="CB62" s="325">
        <v>526372.71169433615</v>
      </c>
      <c r="CC62" s="325">
        <v>526372.71169433615</v>
      </c>
      <c r="CD62" s="325">
        <v>526372.71169433615</v>
      </c>
      <c r="CE62" s="325">
        <v>526372.71169433615</v>
      </c>
      <c r="CF62" s="325">
        <v>526372.71169433615</v>
      </c>
      <c r="CG62" s="325">
        <v>526372.71169433615</v>
      </c>
      <c r="CH62" s="325">
        <v>547427.62016210961</v>
      </c>
      <c r="CI62" s="325">
        <v>547427.62016210961</v>
      </c>
      <c r="CJ62" s="325">
        <v>547427.62016210961</v>
      </c>
      <c r="CK62" s="325">
        <v>547427.62016210961</v>
      </c>
      <c r="CL62" s="325">
        <v>547427.62016210961</v>
      </c>
      <c r="CM62" s="325">
        <v>547427.62016210961</v>
      </c>
      <c r="CN62" s="325">
        <v>547427.62016210961</v>
      </c>
      <c r="CO62" s="325">
        <v>547427.62016210961</v>
      </c>
      <c r="CP62" s="325">
        <v>547427.62016210961</v>
      </c>
      <c r="CQ62" s="325">
        <v>547427.62016210961</v>
      </c>
      <c r="CR62" s="325">
        <v>547427.62016210961</v>
      </c>
      <c r="CS62" s="325">
        <v>547427.62016210961</v>
      </c>
      <c r="CT62" s="325">
        <v>569324.72496859403</v>
      </c>
      <c r="CU62" s="325">
        <v>569324.72496859403</v>
      </c>
      <c r="CV62" s="325">
        <v>569324.72496859403</v>
      </c>
      <c r="CW62" s="325">
        <v>569324.72496859403</v>
      </c>
      <c r="CX62" s="325">
        <v>569324.72496859403</v>
      </c>
      <c r="CY62" s="325">
        <v>569324.72496859403</v>
      </c>
    </row>
    <row r="63" spans="1:103" ht="15">
      <c r="A63" s="319" t="s">
        <v>536</v>
      </c>
      <c r="B63" s="384" t="s">
        <v>550</v>
      </c>
      <c r="C63" s="384" t="s">
        <v>673</v>
      </c>
      <c r="D63" s="325">
        <v>312000</v>
      </c>
      <c r="E63" s="325">
        <v>312000</v>
      </c>
      <c r="F63" s="325">
        <v>312000</v>
      </c>
      <c r="G63" s="325">
        <v>312000</v>
      </c>
      <c r="H63" s="325">
        <v>312000</v>
      </c>
      <c r="I63" s="325">
        <v>312000</v>
      </c>
      <c r="J63" s="325">
        <v>312000</v>
      </c>
      <c r="K63" s="325">
        <v>312000</v>
      </c>
      <c r="L63" s="325">
        <v>312000</v>
      </c>
      <c r="M63" s="325">
        <v>312000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</row>
    <row r="64" spans="1:103" ht="15">
      <c r="A64" s="319" t="s">
        <v>537</v>
      </c>
      <c r="B64" s="384" t="s">
        <v>550</v>
      </c>
      <c r="C64" s="384" t="s">
        <v>675</v>
      </c>
      <c r="D64" s="325">
        <v>1560000</v>
      </c>
      <c r="E64" s="325">
        <v>1560000</v>
      </c>
      <c r="F64" s="325">
        <v>1560000</v>
      </c>
      <c r="G64" s="325">
        <v>1560000</v>
      </c>
      <c r="H64" s="325">
        <v>1560000</v>
      </c>
      <c r="I64" s="325">
        <v>1560000</v>
      </c>
      <c r="J64" s="325">
        <v>1560000</v>
      </c>
      <c r="K64" s="325">
        <v>1560000</v>
      </c>
      <c r="L64" s="325">
        <v>1560000</v>
      </c>
      <c r="M64" s="325">
        <v>1560000</v>
      </c>
      <c r="N64" s="325">
        <v>1622400</v>
      </c>
      <c r="O64" s="325">
        <v>1622400</v>
      </c>
      <c r="P64" s="325">
        <v>1622400</v>
      </c>
      <c r="Q64" s="325">
        <v>1622400</v>
      </c>
      <c r="R64" s="325">
        <v>1622400</v>
      </c>
      <c r="S64" s="325">
        <v>1622400</v>
      </c>
      <c r="T64" s="325">
        <v>1622400</v>
      </c>
      <c r="U64" s="325">
        <v>1622400</v>
      </c>
      <c r="V64" s="325">
        <v>1622400</v>
      </c>
      <c r="W64" s="325">
        <v>1622400</v>
      </c>
      <c r="X64" s="325">
        <v>1622400</v>
      </c>
      <c r="Y64" s="325">
        <v>1622400</v>
      </c>
      <c r="Z64" s="325">
        <v>1687296</v>
      </c>
      <c r="AA64" s="325">
        <v>1687296</v>
      </c>
      <c r="AB64" s="325">
        <v>1687296</v>
      </c>
      <c r="AC64" s="325">
        <v>1687296</v>
      </c>
      <c r="AD64" s="325">
        <v>1687296</v>
      </c>
      <c r="AE64" s="325">
        <v>1687296</v>
      </c>
      <c r="AF64" s="325">
        <v>1687296</v>
      </c>
      <c r="AG64" s="325">
        <v>1687296</v>
      </c>
      <c r="AH64" s="325">
        <v>1687296</v>
      </c>
      <c r="AI64" s="325">
        <v>1687296</v>
      </c>
      <c r="AJ64" s="325">
        <v>1687296</v>
      </c>
      <c r="AK64" s="325">
        <v>1687296</v>
      </c>
      <c r="AL64" s="325">
        <v>1754787.8400000001</v>
      </c>
      <c r="AM64" s="325">
        <v>1754787.8400000001</v>
      </c>
      <c r="AN64" s="325">
        <v>1754787.8400000001</v>
      </c>
      <c r="AO64" s="325">
        <v>1754787.8400000001</v>
      </c>
      <c r="AP64" s="325">
        <v>1754787.8400000001</v>
      </c>
      <c r="AQ64" s="325">
        <v>1754787.8400000001</v>
      </c>
      <c r="AR64" s="325">
        <v>1754787.8400000001</v>
      </c>
      <c r="AS64" s="325">
        <v>1754787.8400000001</v>
      </c>
      <c r="AT64" s="325">
        <v>1754787.8400000001</v>
      </c>
      <c r="AU64" s="325">
        <v>1754787.8400000001</v>
      </c>
      <c r="AV64" s="325">
        <v>1754787.8400000001</v>
      </c>
      <c r="AW64" s="325">
        <v>1754787.8400000001</v>
      </c>
      <c r="AX64" s="325">
        <v>1824979.3536000003</v>
      </c>
      <c r="AY64" s="325">
        <v>1824979.3536000003</v>
      </c>
      <c r="AZ64" s="325">
        <v>1824979.3536000003</v>
      </c>
      <c r="BA64" s="325">
        <v>1824979.3536000003</v>
      </c>
      <c r="BB64" s="325">
        <v>1824979.3536000003</v>
      </c>
      <c r="BC64" s="325">
        <v>1824979.3536000003</v>
      </c>
      <c r="BD64" s="325">
        <v>1824979.3536000003</v>
      </c>
      <c r="BE64" s="325">
        <v>1824979.3536000003</v>
      </c>
      <c r="BF64" s="325">
        <v>1824979.3536000003</v>
      </c>
      <c r="BG64" s="325">
        <v>1824979.3536000003</v>
      </c>
      <c r="BH64" s="325">
        <v>1824979.3536000003</v>
      </c>
      <c r="BI64" s="325">
        <v>1824979.3536000003</v>
      </c>
      <c r="BJ64" s="325">
        <v>1897978.5277440003</v>
      </c>
      <c r="BK64" s="325">
        <v>1897978.5277440003</v>
      </c>
      <c r="BL64" s="325">
        <v>1897978.5277440003</v>
      </c>
      <c r="BM64" s="325">
        <v>1897978.5277440003</v>
      </c>
      <c r="BN64" s="325">
        <v>1897978.5277440003</v>
      </c>
      <c r="BO64" s="325">
        <v>1897978.5277440003</v>
      </c>
      <c r="BP64" s="325">
        <v>1897978.5277440003</v>
      </c>
      <c r="BQ64" s="325">
        <v>1897978.5277440003</v>
      </c>
      <c r="BR64" s="325">
        <v>1897978.5277440003</v>
      </c>
      <c r="BS64" s="325">
        <v>1897978.5277440003</v>
      </c>
      <c r="BT64" s="325">
        <v>1897978.5277440003</v>
      </c>
      <c r="BU64" s="325">
        <v>1897978.5277440003</v>
      </c>
      <c r="BV64" s="325">
        <v>1973897.6688537605</v>
      </c>
      <c r="BW64" s="325">
        <v>1973897.6688537605</v>
      </c>
      <c r="BX64" s="325">
        <v>1973897.6688537605</v>
      </c>
      <c r="BY64" s="325">
        <v>1973897.6688537605</v>
      </c>
      <c r="BZ64" s="325">
        <v>1973897.6688537605</v>
      </c>
      <c r="CA64" s="325">
        <v>1973897.6688537605</v>
      </c>
      <c r="CB64" s="325">
        <v>1973897.6688537605</v>
      </c>
      <c r="CC64" s="325">
        <v>1973897.6688537605</v>
      </c>
      <c r="CD64" s="325">
        <v>1973897.6688537605</v>
      </c>
      <c r="CE64" s="325">
        <v>1973897.6688537605</v>
      </c>
      <c r="CF64" s="325">
        <v>1973897.6688537605</v>
      </c>
      <c r="CG64" s="325">
        <v>1973897.6688537605</v>
      </c>
      <c r="CH64" s="325">
        <v>2052853.575607911</v>
      </c>
      <c r="CI64" s="325">
        <v>2052853.575607911</v>
      </c>
      <c r="CJ64" s="325">
        <v>2052853.575607911</v>
      </c>
      <c r="CK64" s="325">
        <v>2052853.575607911</v>
      </c>
      <c r="CL64" s="325">
        <v>2052853.575607911</v>
      </c>
      <c r="CM64" s="325">
        <v>2052853.575607911</v>
      </c>
      <c r="CN64" s="325">
        <v>2052853.575607911</v>
      </c>
      <c r="CO64" s="325">
        <v>2052853.575607911</v>
      </c>
      <c r="CP64" s="325">
        <v>2052853.575607911</v>
      </c>
      <c r="CQ64" s="325">
        <v>2052853.575607911</v>
      </c>
      <c r="CR64" s="325">
        <v>2052853.575607911</v>
      </c>
      <c r="CS64" s="325">
        <v>2052853.575607911</v>
      </c>
      <c r="CT64" s="325">
        <v>2134967.7186322273</v>
      </c>
      <c r="CU64" s="325">
        <v>2134967.7186322273</v>
      </c>
      <c r="CV64" s="325">
        <v>2134967.7186322273</v>
      </c>
      <c r="CW64" s="325">
        <v>2134967.7186322273</v>
      </c>
      <c r="CX64" s="325">
        <v>2134967.7186322273</v>
      </c>
      <c r="CY64" s="325">
        <v>2134967.7186322273</v>
      </c>
    </row>
    <row r="65" spans="1:103" ht="15">
      <c r="A65" s="319" t="s">
        <v>676</v>
      </c>
      <c r="B65" s="384" t="s">
        <v>550</v>
      </c>
      <c r="C65" s="384" t="s">
        <v>674</v>
      </c>
      <c r="D65" s="325">
        <v>5928000</v>
      </c>
      <c r="E65" s="325">
        <v>5928000</v>
      </c>
      <c r="F65" s="325">
        <v>5928000</v>
      </c>
      <c r="G65" s="325">
        <v>5928000</v>
      </c>
      <c r="H65" s="325">
        <v>5928000</v>
      </c>
      <c r="I65" s="325">
        <v>5928000</v>
      </c>
      <c r="J65" s="325">
        <v>5928000</v>
      </c>
      <c r="K65" s="325">
        <v>5070000</v>
      </c>
      <c r="L65" s="325">
        <v>5070000</v>
      </c>
      <c r="M65" s="325">
        <v>5070000</v>
      </c>
      <c r="N65" s="325">
        <v>5272800</v>
      </c>
      <c r="O65" s="325">
        <v>5272800</v>
      </c>
      <c r="P65" s="325">
        <v>5272800</v>
      </c>
      <c r="Q65" s="325">
        <v>5272800</v>
      </c>
      <c r="R65" s="325">
        <v>5272800</v>
      </c>
      <c r="S65" s="325">
        <v>5272800</v>
      </c>
      <c r="T65" s="325">
        <v>4056000</v>
      </c>
      <c r="U65" s="325">
        <v>4056000</v>
      </c>
      <c r="V65" s="325">
        <v>3244800</v>
      </c>
      <c r="W65" s="325">
        <v>3244800</v>
      </c>
      <c r="X65" s="325">
        <v>3244800</v>
      </c>
      <c r="Y65" s="325">
        <v>3244800</v>
      </c>
      <c r="Z65" s="325">
        <v>3374592</v>
      </c>
      <c r="AA65" s="325">
        <v>3374592</v>
      </c>
      <c r="AB65" s="325">
        <v>3374592</v>
      </c>
      <c r="AC65" s="325">
        <v>3374592</v>
      </c>
      <c r="AD65" s="325">
        <v>3374592</v>
      </c>
      <c r="AE65" s="325">
        <v>3374592</v>
      </c>
      <c r="AF65" s="325">
        <v>3374592</v>
      </c>
      <c r="AG65" s="325">
        <v>2530944</v>
      </c>
      <c r="AH65" s="325">
        <v>2530944</v>
      </c>
      <c r="AI65" s="325">
        <v>2530944</v>
      </c>
      <c r="AJ65" s="325">
        <v>2530944</v>
      </c>
      <c r="AK65" s="325">
        <v>2530944</v>
      </c>
      <c r="AL65" s="325">
        <v>2632181.7600000002</v>
      </c>
      <c r="AM65" s="325">
        <v>2632181.7600000002</v>
      </c>
      <c r="AN65" s="325">
        <v>2632181.7600000002</v>
      </c>
      <c r="AO65" s="325">
        <v>2632181.7600000002</v>
      </c>
      <c r="AP65" s="325">
        <v>2632181.7600000002</v>
      </c>
      <c r="AQ65" s="325">
        <v>2632181.7600000002</v>
      </c>
      <c r="AR65" s="325">
        <v>1754787.8400000001</v>
      </c>
      <c r="AS65" s="325">
        <v>1754787.8400000001</v>
      </c>
      <c r="AT65" s="325">
        <v>1754787.8400000001</v>
      </c>
      <c r="AU65" s="325">
        <v>1754787.8400000001</v>
      </c>
      <c r="AV65" s="325">
        <v>1754787.8400000001</v>
      </c>
      <c r="AW65" s="325">
        <v>1754787.8400000001</v>
      </c>
      <c r="AX65" s="325">
        <v>1824979.3536000003</v>
      </c>
      <c r="AY65" s="325">
        <v>1824979.3536000003</v>
      </c>
      <c r="AZ65" s="325">
        <v>1824979.3536000003</v>
      </c>
      <c r="BA65" s="325">
        <v>1824979.3536000003</v>
      </c>
      <c r="BB65" s="325">
        <v>1824979.3536000003</v>
      </c>
      <c r="BC65" s="325">
        <v>1824979.3536000003</v>
      </c>
      <c r="BD65" s="325">
        <v>1824979.3536000003</v>
      </c>
      <c r="BE65" s="325">
        <v>1824979.3536000003</v>
      </c>
      <c r="BF65" s="325">
        <v>1824979.3536000003</v>
      </c>
      <c r="BG65" s="325">
        <v>1824979.3536000003</v>
      </c>
      <c r="BH65" s="325">
        <v>1824979.3536000003</v>
      </c>
      <c r="BI65" s="325">
        <v>1824979.3536000003</v>
      </c>
      <c r="BJ65" s="325">
        <v>1897978.5277440003</v>
      </c>
      <c r="BK65" s="325">
        <v>1897978.5277440003</v>
      </c>
      <c r="BL65" s="325">
        <v>1897978.5277440003</v>
      </c>
      <c r="BM65" s="325">
        <v>1897978.5277440003</v>
      </c>
      <c r="BN65" s="325">
        <v>1897978.5277440003</v>
      </c>
      <c r="BO65" s="325">
        <v>1897978.5277440003</v>
      </c>
      <c r="BP65" s="325">
        <v>1897978.5277440003</v>
      </c>
      <c r="BQ65" s="325">
        <v>1897978.5277440003</v>
      </c>
      <c r="BR65" s="325">
        <v>1897978.5277440003</v>
      </c>
      <c r="BS65" s="325">
        <v>1897978.5277440003</v>
      </c>
      <c r="BT65" s="325">
        <v>1897978.5277440003</v>
      </c>
      <c r="BU65" s="325">
        <v>1897978.5277440003</v>
      </c>
      <c r="BV65" s="325">
        <v>1973897.6688537605</v>
      </c>
      <c r="BW65" s="325">
        <v>1973897.6688537605</v>
      </c>
      <c r="BX65" s="325">
        <v>1973897.6688537605</v>
      </c>
      <c r="BY65" s="325">
        <v>1973897.6688537605</v>
      </c>
      <c r="BZ65" s="325">
        <v>1973897.6688537605</v>
      </c>
      <c r="CA65" s="325">
        <v>1973897.6688537605</v>
      </c>
      <c r="CB65" s="325">
        <v>1973897.6688537605</v>
      </c>
      <c r="CC65" s="325">
        <v>1973897.6688537605</v>
      </c>
      <c r="CD65" s="325">
        <v>1973897.6688537605</v>
      </c>
      <c r="CE65" s="325">
        <v>1579118.1350830083</v>
      </c>
      <c r="CF65" s="325">
        <v>1579118.1350830083</v>
      </c>
      <c r="CG65" s="325">
        <v>1579118.1350830083</v>
      </c>
      <c r="CH65" s="325">
        <v>1642282.8604863286</v>
      </c>
      <c r="CI65" s="325">
        <v>1642282.8604863286</v>
      </c>
      <c r="CJ65" s="325">
        <v>1642282.8604863286</v>
      </c>
      <c r="CK65" s="325">
        <v>1642282.8604863286</v>
      </c>
      <c r="CL65" s="325">
        <v>1642282.8604863286</v>
      </c>
      <c r="CM65" s="325">
        <v>1642282.8604863286</v>
      </c>
      <c r="CN65" s="325">
        <v>1642282.8604863286</v>
      </c>
      <c r="CO65" s="325">
        <v>1642282.8604863286</v>
      </c>
      <c r="CP65" s="325">
        <v>1642282.8604863286</v>
      </c>
      <c r="CQ65" s="325">
        <v>1642282.8604863286</v>
      </c>
      <c r="CR65" s="325">
        <v>1642282.8604863286</v>
      </c>
      <c r="CS65" s="325">
        <v>1642282.8604863286</v>
      </c>
      <c r="CT65" s="325">
        <v>1707974.1749057819</v>
      </c>
      <c r="CU65" s="325">
        <v>1707974.1749057819</v>
      </c>
      <c r="CV65" s="325">
        <v>1707974.1749057819</v>
      </c>
      <c r="CW65" s="325">
        <v>1707974.1749057819</v>
      </c>
      <c r="CX65" s="325">
        <v>1707974.1749057819</v>
      </c>
      <c r="CY65" s="325">
        <v>1707974.1749057819</v>
      </c>
    </row>
    <row r="66" spans="1:103" ht="15">
      <c r="A66" s="319" t="s">
        <v>539</v>
      </c>
      <c r="B66" s="384" t="s">
        <v>550</v>
      </c>
      <c r="C66" s="384" t="s">
        <v>539</v>
      </c>
      <c r="D66" s="325">
        <v>0</v>
      </c>
      <c r="E66" s="325">
        <v>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2608390.8975600004</v>
      </c>
      <c r="O66" s="325">
        <v>2608390.8975600004</v>
      </c>
      <c r="P66" s="325">
        <v>2608390.8975600004</v>
      </c>
      <c r="Q66" s="325">
        <v>2608390.8975600004</v>
      </c>
      <c r="R66" s="325">
        <v>2608390.8975600004</v>
      </c>
      <c r="S66" s="325">
        <v>2608390.8975600004</v>
      </c>
      <c r="T66" s="325">
        <v>2608390.8975600004</v>
      </c>
      <c r="U66" s="325">
        <v>2608390.8975600004</v>
      </c>
      <c r="V66" s="325">
        <v>2608390.8975600004</v>
      </c>
      <c r="W66" s="325">
        <v>2608390.8975600004</v>
      </c>
      <c r="X66" s="325">
        <v>2608390.8975600004</v>
      </c>
      <c r="Y66" s="325">
        <v>2608390.8975600004</v>
      </c>
      <c r="Z66" s="325">
        <v>2660558.7155112005</v>
      </c>
      <c r="AA66" s="325">
        <v>2660558.7155112005</v>
      </c>
      <c r="AB66" s="325">
        <v>2660558.7155112005</v>
      </c>
      <c r="AC66" s="325">
        <v>2660558.7155112005</v>
      </c>
      <c r="AD66" s="325">
        <v>2660558.7155112005</v>
      </c>
      <c r="AE66" s="325">
        <v>2660558.7155112005</v>
      </c>
      <c r="AF66" s="325">
        <v>2660558.7155112005</v>
      </c>
      <c r="AG66" s="325">
        <v>2660558.7155112005</v>
      </c>
      <c r="AH66" s="325">
        <v>2660558.7155112005</v>
      </c>
      <c r="AI66" s="325">
        <v>2660558.7155112005</v>
      </c>
      <c r="AJ66" s="325">
        <v>2660558.7155112005</v>
      </c>
      <c r="AK66" s="325">
        <v>2660558.7155112005</v>
      </c>
      <c r="AL66" s="325">
        <v>2713769.8898214246</v>
      </c>
      <c r="AM66" s="325">
        <v>2713769.8898214246</v>
      </c>
      <c r="AN66" s="325">
        <v>2713769.8898214246</v>
      </c>
      <c r="AO66" s="325">
        <v>2713769.8898214246</v>
      </c>
      <c r="AP66" s="325">
        <v>2713769.8898214246</v>
      </c>
      <c r="AQ66" s="325">
        <v>2713769.8898214246</v>
      </c>
      <c r="AR66" s="325">
        <v>2713769.8898214246</v>
      </c>
      <c r="AS66" s="325">
        <v>2713769.8898214246</v>
      </c>
      <c r="AT66" s="325">
        <v>2713769.8898214246</v>
      </c>
      <c r="AU66" s="325">
        <v>2713769.8898214246</v>
      </c>
      <c r="AV66" s="325">
        <v>2713769.8898214246</v>
      </c>
      <c r="AW66" s="325">
        <v>2713769.8898214246</v>
      </c>
      <c r="AX66" s="325">
        <v>2768045.2876178529</v>
      </c>
      <c r="AY66" s="325">
        <v>2768045.2876178529</v>
      </c>
      <c r="AZ66" s="325">
        <v>2768045.2876178529</v>
      </c>
      <c r="BA66" s="325">
        <v>2768045.2876178529</v>
      </c>
      <c r="BB66" s="325">
        <v>2768045.2876178529</v>
      </c>
      <c r="BC66" s="325">
        <v>2768045.2876178529</v>
      </c>
      <c r="BD66" s="325">
        <v>2768045.2876178529</v>
      </c>
      <c r="BE66" s="325">
        <v>2768045.2876178529</v>
      </c>
      <c r="BF66" s="325">
        <v>2768045.2876178529</v>
      </c>
      <c r="BG66" s="325">
        <v>2768045.2876178529</v>
      </c>
      <c r="BH66" s="325">
        <v>2768045.2876178529</v>
      </c>
      <c r="BI66" s="325">
        <v>2768045.2876178529</v>
      </c>
      <c r="BJ66" s="325">
        <v>2823406.19337021</v>
      </c>
      <c r="BK66" s="325">
        <v>2823406.19337021</v>
      </c>
      <c r="BL66" s="325">
        <v>2823406.19337021</v>
      </c>
      <c r="BM66" s="325">
        <v>1254847.1970534266</v>
      </c>
      <c r="BN66" s="325">
        <v>1254847.1970534266</v>
      </c>
      <c r="BO66" s="325">
        <v>1254847.1970534266</v>
      </c>
      <c r="BP66" s="325">
        <v>1882270.7955801401</v>
      </c>
      <c r="BQ66" s="325">
        <v>1882270.7955801401</v>
      </c>
      <c r="BR66" s="325">
        <v>1882270.7955801401</v>
      </c>
      <c r="BS66" s="325">
        <v>1882270.7955801401</v>
      </c>
      <c r="BT66" s="325">
        <v>14556227.48581975</v>
      </c>
      <c r="BU66" s="325">
        <v>3137117.9926335667</v>
      </c>
      <c r="BV66" s="325">
        <v>7359678.8107183473</v>
      </c>
      <c r="BW66" s="325">
        <v>8959608.9869614672</v>
      </c>
      <c r="BX66" s="325">
        <v>8959608.9869614672</v>
      </c>
      <c r="BY66" s="325">
        <v>8968568.5959484279</v>
      </c>
      <c r="BZ66" s="325">
        <v>8992887.534627324</v>
      </c>
      <c r="CA66" s="325">
        <v>8999927.2274027932</v>
      </c>
      <c r="CB66" s="325">
        <v>8991607.590486329</v>
      </c>
      <c r="CC66" s="325">
        <v>8989687.6742748376</v>
      </c>
      <c r="CD66" s="325">
        <v>8973688.3725124057</v>
      </c>
      <c r="CE66" s="325">
        <v>8959608.9869614672</v>
      </c>
      <c r="CF66" s="325">
        <v>8959608.9869614672</v>
      </c>
      <c r="CG66" s="325">
        <v>8959608.9869614672</v>
      </c>
      <c r="CH66" s="325">
        <v>9138801.1667006966</v>
      </c>
      <c r="CI66" s="325">
        <v>9138801.1667006966</v>
      </c>
      <c r="CJ66" s="325">
        <v>3916629.0714431554</v>
      </c>
      <c r="CK66" s="325">
        <v>3916629.0714431554</v>
      </c>
      <c r="CL66" s="325">
        <v>3916629.0714431554</v>
      </c>
      <c r="CM66" s="325">
        <v>3916629.0714431554</v>
      </c>
      <c r="CN66" s="325">
        <v>3916629.0714431554</v>
      </c>
      <c r="CO66" s="325">
        <v>3916629.0714431554</v>
      </c>
      <c r="CP66" s="325">
        <v>3916629.0714431554</v>
      </c>
      <c r="CQ66" s="325">
        <v>3916629.0714431554</v>
      </c>
      <c r="CR66" s="325">
        <v>3916629.0714431554</v>
      </c>
      <c r="CS66" s="325">
        <v>3916629.0714431554</v>
      </c>
      <c r="CT66" s="325">
        <v>3994961.652872019</v>
      </c>
      <c r="CU66" s="325">
        <v>3994961.652872019</v>
      </c>
      <c r="CV66" s="325">
        <v>1997480.8264360095</v>
      </c>
      <c r="CW66" s="325">
        <v>1997480.8264360095</v>
      </c>
      <c r="CX66" s="325">
        <v>1997480.8264360095</v>
      </c>
      <c r="CY66" s="325">
        <v>1997480.8264360095</v>
      </c>
    </row>
    <row r="67" spans="1:103" ht="15">
      <c r="A67" s="319" t="s">
        <v>555</v>
      </c>
      <c r="B67" s="384" t="s">
        <v>549</v>
      </c>
      <c r="C67" s="384" t="s">
        <v>665</v>
      </c>
      <c r="D67" s="325">
        <v>0</v>
      </c>
      <c r="E67" s="325">
        <v>0</v>
      </c>
      <c r="F67" s="325">
        <v>0</v>
      </c>
      <c r="G67" s="325">
        <v>0</v>
      </c>
      <c r="H67" s="325">
        <v>0</v>
      </c>
      <c r="I67" s="325">
        <v>0</v>
      </c>
      <c r="J67" s="325">
        <v>38288.639999999999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325">
        <v>0</v>
      </c>
      <c r="R67" s="325">
        <v>0</v>
      </c>
      <c r="S67" s="325">
        <v>0</v>
      </c>
      <c r="T67" s="325">
        <v>0</v>
      </c>
      <c r="U67" s="325">
        <v>0</v>
      </c>
      <c r="V67" s="325">
        <v>39820.185600000004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325">
        <v>0</v>
      </c>
      <c r="AF67" s="325">
        <v>0</v>
      </c>
      <c r="AG67" s="325">
        <v>0</v>
      </c>
      <c r="AH67" s="325">
        <v>41412.993024000003</v>
      </c>
      <c r="AI67" s="325">
        <v>0</v>
      </c>
      <c r="AJ67" s="325">
        <v>0</v>
      </c>
      <c r="AK67" s="325">
        <v>0</v>
      </c>
      <c r="AL67" s="325">
        <v>0</v>
      </c>
      <c r="AM67" s="325">
        <v>0</v>
      </c>
      <c r="AN67" s="325">
        <v>0</v>
      </c>
      <c r="AO67" s="325">
        <v>0</v>
      </c>
      <c r="AP67" s="325">
        <v>0</v>
      </c>
      <c r="AQ67" s="325">
        <v>0</v>
      </c>
      <c r="AR67" s="325">
        <v>0</v>
      </c>
      <c r="AS67" s="325">
        <v>0</v>
      </c>
      <c r="AT67" s="325">
        <v>43069.512744960004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>
        <v>0</v>
      </c>
      <c r="BC67" s="325">
        <v>0</v>
      </c>
      <c r="BD67" s="325">
        <v>0</v>
      </c>
      <c r="BE67" s="325">
        <v>0</v>
      </c>
      <c r="BF67" s="325">
        <v>44792.293254758406</v>
      </c>
      <c r="BG67" s="325">
        <v>0</v>
      </c>
      <c r="BH67" s="325">
        <v>0</v>
      </c>
      <c r="BI67" s="325">
        <v>0</v>
      </c>
      <c r="BJ67" s="325">
        <v>0</v>
      </c>
      <c r="BK67" s="325">
        <v>0</v>
      </c>
      <c r="BL67" s="325">
        <v>0</v>
      </c>
      <c r="BM67" s="325">
        <v>0</v>
      </c>
      <c r="BN67" s="325">
        <v>0</v>
      </c>
      <c r="BO67" s="325">
        <v>0</v>
      </c>
      <c r="BP67" s="325">
        <v>0</v>
      </c>
      <c r="BQ67" s="325">
        <v>0</v>
      </c>
      <c r="BR67" s="325">
        <v>46583.984984948744</v>
      </c>
      <c r="BS67" s="325">
        <v>0</v>
      </c>
      <c r="BT67" s="325">
        <v>0</v>
      </c>
      <c r="BU67" s="325">
        <v>0</v>
      </c>
      <c r="BV67" s="325">
        <v>0</v>
      </c>
      <c r="BW67" s="325">
        <v>0</v>
      </c>
      <c r="BX67" s="325">
        <v>0</v>
      </c>
      <c r="BY67" s="325">
        <v>0</v>
      </c>
      <c r="BZ67" s="325">
        <v>0</v>
      </c>
      <c r="CA67" s="325">
        <v>0</v>
      </c>
      <c r="CB67" s="325">
        <v>0</v>
      </c>
      <c r="CC67" s="325">
        <v>0</v>
      </c>
      <c r="CD67" s="325">
        <v>48447.344384346696</v>
      </c>
      <c r="CE67" s="325">
        <v>0</v>
      </c>
      <c r="CF67" s="325">
        <v>0</v>
      </c>
      <c r="CG67" s="325">
        <v>0</v>
      </c>
      <c r="CH67" s="325">
        <v>0</v>
      </c>
      <c r="CI67" s="325">
        <v>0</v>
      </c>
      <c r="CJ67" s="325">
        <v>0</v>
      </c>
      <c r="CK67" s="325">
        <v>0</v>
      </c>
      <c r="CL67" s="325">
        <v>0</v>
      </c>
      <c r="CM67" s="325">
        <v>0</v>
      </c>
      <c r="CN67" s="325">
        <v>0</v>
      </c>
      <c r="CO67" s="325">
        <v>0</v>
      </c>
      <c r="CP67" s="325">
        <v>0</v>
      </c>
      <c r="CQ67" s="325">
        <v>0</v>
      </c>
      <c r="CR67" s="325">
        <v>0</v>
      </c>
      <c r="CS67" s="325">
        <v>0</v>
      </c>
      <c r="CT67" s="325">
        <v>0</v>
      </c>
      <c r="CU67" s="325">
        <v>0</v>
      </c>
      <c r="CV67" s="325">
        <v>0</v>
      </c>
      <c r="CW67" s="325">
        <v>0</v>
      </c>
      <c r="CX67" s="325">
        <v>0</v>
      </c>
      <c r="CY67" s="325">
        <v>0</v>
      </c>
    </row>
    <row r="68" spans="1:103" ht="15">
      <c r="A68" s="319" t="s">
        <v>564</v>
      </c>
      <c r="B68" s="384" t="s">
        <v>549</v>
      </c>
      <c r="C68" s="384" t="s">
        <v>665</v>
      </c>
      <c r="D68" s="325">
        <v>20739.68</v>
      </c>
      <c r="E68" s="325">
        <v>20739.68</v>
      </c>
      <c r="F68" s="325">
        <v>20739.68</v>
      </c>
      <c r="G68" s="325">
        <v>20739.68</v>
      </c>
      <c r="H68" s="325">
        <v>20739.68</v>
      </c>
      <c r="I68" s="325">
        <v>20739.68</v>
      </c>
      <c r="J68" s="325">
        <v>20739.68</v>
      </c>
      <c r="K68" s="325">
        <v>20739.68</v>
      </c>
      <c r="L68" s="325">
        <v>21569.267199999998</v>
      </c>
      <c r="M68" s="325">
        <v>21569.267199999998</v>
      </c>
      <c r="N68" s="325">
        <v>21569.267199999998</v>
      </c>
      <c r="O68" s="325">
        <v>21569.267199999998</v>
      </c>
      <c r="P68" s="325">
        <v>21569.267199999998</v>
      </c>
      <c r="Q68" s="325">
        <v>21569.267199999998</v>
      </c>
      <c r="R68" s="325">
        <v>21569.267199999998</v>
      </c>
      <c r="S68" s="325">
        <v>21569.267199999998</v>
      </c>
      <c r="T68" s="325">
        <v>21569.267199999998</v>
      </c>
      <c r="U68" s="325">
        <v>21569.267199999998</v>
      </c>
      <c r="V68" s="325">
        <v>21569.267199999998</v>
      </c>
      <c r="W68" s="325">
        <v>21569.267199999998</v>
      </c>
      <c r="X68" s="325">
        <v>22432.037888000003</v>
      </c>
      <c r="Y68" s="325">
        <v>22432.037888000003</v>
      </c>
      <c r="Z68" s="325">
        <v>22432.037888000003</v>
      </c>
      <c r="AA68" s="325">
        <v>22432.037888000003</v>
      </c>
      <c r="AB68" s="325">
        <v>22432.037888000003</v>
      </c>
      <c r="AC68" s="325">
        <v>22432.037888000003</v>
      </c>
      <c r="AD68" s="325">
        <v>22432.037888000003</v>
      </c>
      <c r="AE68" s="325">
        <v>22432.037888000003</v>
      </c>
      <c r="AF68" s="325">
        <v>22432.037888000003</v>
      </c>
      <c r="AG68" s="325">
        <v>22432.037888000003</v>
      </c>
      <c r="AH68" s="325">
        <v>22432.037888000003</v>
      </c>
      <c r="AI68" s="325">
        <v>22432.037888000003</v>
      </c>
      <c r="AJ68" s="325">
        <v>23329.319403520003</v>
      </c>
      <c r="AK68" s="325">
        <v>23329.319403520003</v>
      </c>
      <c r="AL68" s="325">
        <v>23329.319403520003</v>
      </c>
      <c r="AM68" s="325">
        <v>23329.319403520003</v>
      </c>
      <c r="AN68" s="325">
        <v>23329.319403520003</v>
      </c>
      <c r="AO68" s="325">
        <v>23329.319403520003</v>
      </c>
      <c r="AP68" s="325">
        <v>23329.319403520003</v>
      </c>
      <c r="AQ68" s="325">
        <v>23329.319403520003</v>
      </c>
      <c r="AR68" s="325">
        <v>23329.319403520003</v>
      </c>
      <c r="AS68" s="325">
        <v>23329.319403520003</v>
      </c>
      <c r="AT68" s="325">
        <v>23329.319403520003</v>
      </c>
      <c r="AU68" s="325">
        <v>23329.319403520003</v>
      </c>
      <c r="AV68" s="325">
        <v>24262.492179660803</v>
      </c>
      <c r="AW68" s="325">
        <v>24262.492179660803</v>
      </c>
      <c r="AX68" s="325">
        <v>24262.492179660803</v>
      </c>
      <c r="AY68" s="325">
        <v>24262.492179660803</v>
      </c>
      <c r="AZ68" s="325">
        <v>24262.492179660803</v>
      </c>
      <c r="BA68" s="325">
        <v>24262.492179660803</v>
      </c>
      <c r="BB68" s="325">
        <v>24262.492179660803</v>
      </c>
      <c r="BC68" s="325">
        <v>24262.492179660803</v>
      </c>
      <c r="BD68" s="325">
        <v>24262.492179660803</v>
      </c>
      <c r="BE68" s="325">
        <v>24262.492179660803</v>
      </c>
      <c r="BF68" s="325">
        <v>24262.492179660803</v>
      </c>
      <c r="BG68" s="325">
        <v>24262.492179660803</v>
      </c>
      <c r="BH68" s="325">
        <v>25232.991866847235</v>
      </c>
      <c r="BI68" s="325">
        <v>25232.991866847235</v>
      </c>
      <c r="BJ68" s="325">
        <v>25232.991866847235</v>
      </c>
      <c r="BK68" s="325">
        <v>25232.991866847235</v>
      </c>
      <c r="BL68" s="325">
        <v>25232.991866847235</v>
      </c>
      <c r="BM68" s="325">
        <v>25232.991866847235</v>
      </c>
      <c r="BN68" s="325">
        <v>25232.991866847235</v>
      </c>
      <c r="BO68" s="325">
        <v>25232.991866847235</v>
      </c>
      <c r="BP68" s="325">
        <v>25232.991866847235</v>
      </c>
      <c r="BQ68" s="325">
        <v>25232.991866847235</v>
      </c>
      <c r="BR68" s="325">
        <v>25232.991866847235</v>
      </c>
      <c r="BS68" s="325">
        <v>25232.991866847235</v>
      </c>
      <c r="BT68" s="325">
        <v>26242.311541521125</v>
      </c>
      <c r="BU68" s="325">
        <v>26242.311541521125</v>
      </c>
      <c r="BV68" s="325">
        <v>26242.311541521125</v>
      </c>
      <c r="BW68" s="325">
        <v>26242.311541521125</v>
      </c>
      <c r="BX68" s="325">
        <v>26242.311541521125</v>
      </c>
      <c r="BY68" s="325">
        <v>26242.311541521125</v>
      </c>
      <c r="BZ68" s="325">
        <v>26242.311541521125</v>
      </c>
      <c r="CA68" s="325">
        <v>26242.311541521125</v>
      </c>
      <c r="CB68" s="325">
        <v>26242.311541521125</v>
      </c>
      <c r="CC68" s="325">
        <v>26242.311541521125</v>
      </c>
      <c r="CD68" s="325">
        <v>26242.311541521125</v>
      </c>
      <c r="CE68" s="325">
        <v>26242.311541521125</v>
      </c>
      <c r="CF68" s="325">
        <v>27292.00400318197</v>
      </c>
      <c r="CG68" s="325">
        <v>27292.00400318197</v>
      </c>
      <c r="CH68" s="325">
        <v>27292.00400318197</v>
      </c>
      <c r="CI68" s="325">
        <v>27292.00400318197</v>
      </c>
      <c r="CJ68" s="325">
        <v>27292.00400318197</v>
      </c>
      <c r="CK68" s="325">
        <v>27292.00400318197</v>
      </c>
      <c r="CL68" s="325">
        <v>27292.00400318197</v>
      </c>
      <c r="CM68" s="325">
        <v>27292.00400318197</v>
      </c>
      <c r="CN68" s="325">
        <v>0</v>
      </c>
      <c r="CO68" s="325">
        <v>0</v>
      </c>
      <c r="CP68" s="325">
        <v>0</v>
      </c>
      <c r="CQ68" s="325">
        <v>0</v>
      </c>
      <c r="CR68" s="325">
        <v>0</v>
      </c>
      <c r="CS68" s="325">
        <v>0</v>
      </c>
      <c r="CT68" s="325">
        <v>0</v>
      </c>
      <c r="CU68" s="325">
        <v>0</v>
      </c>
      <c r="CV68" s="325">
        <v>0</v>
      </c>
      <c r="CW68" s="325">
        <v>0</v>
      </c>
      <c r="CX68" s="325">
        <v>0</v>
      </c>
      <c r="CY68" s="325">
        <v>0</v>
      </c>
    </row>
    <row r="69" spans="1:103" ht="15">
      <c r="A69" s="319" t="s">
        <v>677</v>
      </c>
      <c r="B69" s="384" t="s">
        <v>549</v>
      </c>
      <c r="C69" s="384" t="s">
        <v>665</v>
      </c>
      <c r="D69" s="325">
        <v>12167.278933333331</v>
      </c>
      <c r="E69" s="325">
        <v>12167.278933333331</v>
      </c>
      <c r="F69" s="325">
        <v>12167.278933333331</v>
      </c>
      <c r="G69" s="325">
        <v>12167.278933333331</v>
      </c>
      <c r="H69" s="325">
        <v>12167.278933333331</v>
      </c>
      <c r="I69" s="325">
        <v>12167.278933333331</v>
      </c>
      <c r="J69" s="325">
        <v>12167.278933333331</v>
      </c>
      <c r="K69" s="325">
        <v>12167.278933333331</v>
      </c>
      <c r="L69" s="325">
        <v>12653.970090666666</v>
      </c>
      <c r="M69" s="325">
        <v>12653.970090666666</v>
      </c>
      <c r="N69" s="325">
        <v>12653.970090666666</v>
      </c>
      <c r="O69" s="325">
        <v>12653.970090666666</v>
      </c>
      <c r="P69" s="325">
        <v>12653.970090666666</v>
      </c>
      <c r="Q69" s="325">
        <v>12653.970090666666</v>
      </c>
      <c r="R69" s="325">
        <v>12653.970090666666</v>
      </c>
      <c r="S69" s="325">
        <v>12653.970090666666</v>
      </c>
      <c r="T69" s="325">
        <v>12653.970090666666</v>
      </c>
      <c r="U69" s="325">
        <v>12653.970090666666</v>
      </c>
      <c r="V69" s="325">
        <v>12653.970090666666</v>
      </c>
      <c r="W69" s="325">
        <v>12653.970090666666</v>
      </c>
      <c r="X69" s="325">
        <v>13160.128894293332</v>
      </c>
      <c r="Y69" s="325">
        <v>13160.128894293332</v>
      </c>
      <c r="Z69" s="325">
        <v>13160.128894293332</v>
      </c>
      <c r="AA69" s="325">
        <v>13160.128894293332</v>
      </c>
      <c r="AB69" s="325">
        <v>13160.128894293332</v>
      </c>
      <c r="AC69" s="325">
        <v>13160.128894293332</v>
      </c>
      <c r="AD69" s="325">
        <v>13160.128894293332</v>
      </c>
      <c r="AE69" s="325">
        <v>13160.128894293332</v>
      </c>
      <c r="AF69" s="325">
        <v>13160.128894293332</v>
      </c>
      <c r="AG69" s="325">
        <v>13160.128894293332</v>
      </c>
      <c r="AH69" s="325">
        <v>13160.128894293332</v>
      </c>
      <c r="AI69" s="325">
        <v>13160.128894293332</v>
      </c>
      <c r="AJ69" s="325">
        <v>13686.534050065065</v>
      </c>
      <c r="AK69" s="325">
        <v>13686.534050065065</v>
      </c>
      <c r="AL69" s="325">
        <v>13686.534050065065</v>
      </c>
      <c r="AM69" s="325">
        <v>13686.534050065065</v>
      </c>
      <c r="AN69" s="325">
        <v>13686.534050065065</v>
      </c>
      <c r="AO69" s="325">
        <v>13686.534050065065</v>
      </c>
      <c r="AP69" s="325">
        <v>13686.534050065065</v>
      </c>
      <c r="AQ69" s="325">
        <v>13686.534050065065</v>
      </c>
      <c r="AR69" s="325">
        <v>13686.534050065065</v>
      </c>
      <c r="AS69" s="325">
        <v>13686.534050065065</v>
      </c>
      <c r="AT69" s="325">
        <v>13686.534050065065</v>
      </c>
      <c r="AU69" s="325">
        <v>13686.534050065065</v>
      </c>
      <c r="AV69" s="325">
        <v>14233.995412067668</v>
      </c>
      <c r="AW69" s="325">
        <v>14233.995412067668</v>
      </c>
      <c r="AX69" s="325">
        <v>14233.995412067668</v>
      </c>
      <c r="AY69" s="325">
        <v>14233.995412067668</v>
      </c>
      <c r="AZ69" s="325">
        <v>14233.995412067668</v>
      </c>
      <c r="BA69" s="325">
        <v>14233.995412067668</v>
      </c>
      <c r="BB69" s="325">
        <v>14233.995412067668</v>
      </c>
      <c r="BC69" s="325">
        <v>14233.995412067668</v>
      </c>
      <c r="BD69" s="325">
        <v>14233.995412067668</v>
      </c>
      <c r="BE69" s="325">
        <v>14233.995412067668</v>
      </c>
      <c r="BF69" s="325">
        <v>14233.995412067668</v>
      </c>
      <c r="BG69" s="325">
        <v>14233.995412067668</v>
      </c>
      <c r="BH69" s="325">
        <v>14803.355228550376</v>
      </c>
      <c r="BI69" s="325">
        <v>14803.355228550376</v>
      </c>
      <c r="BJ69" s="325">
        <v>14803.355228550376</v>
      </c>
      <c r="BK69" s="325">
        <v>14803.355228550376</v>
      </c>
      <c r="BL69" s="325">
        <v>14803.355228550376</v>
      </c>
      <c r="BM69" s="325">
        <v>14803.355228550376</v>
      </c>
      <c r="BN69" s="325">
        <v>14803.355228550376</v>
      </c>
      <c r="BO69" s="325">
        <v>14803.355228550376</v>
      </c>
      <c r="BP69" s="325">
        <v>14803.355228550376</v>
      </c>
      <c r="BQ69" s="325">
        <v>14803.355228550376</v>
      </c>
      <c r="BR69" s="325">
        <v>14803.355228550376</v>
      </c>
      <c r="BS69" s="325">
        <v>14803.355228550376</v>
      </c>
      <c r="BT69" s="325">
        <v>15395.489437692391</v>
      </c>
      <c r="BU69" s="325">
        <v>15395.489437692391</v>
      </c>
      <c r="BV69" s="325">
        <v>15395.489437692391</v>
      </c>
      <c r="BW69" s="325">
        <v>15395.489437692391</v>
      </c>
      <c r="BX69" s="325">
        <v>15395.489437692391</v>
      </c>
      <c r="BY69" s="325">
        <v>15395.489437692391</v>
      </c>
      <c r="BZ69" s="325">
        <v>15395.489437692391</v>
      </c>
      <c r="CA69" s="325">
        <v>15395.489437692391</v>
      </c>
      <c r="CB69" s="325">
        <v>15395.489437692391</v>
      </c>
      <c r="CC69" s="325">
        <v>15395.489437692391</v>
      </c>
      <c r="CD69" s="325">
        <v>15395.489437692391</v>
      </c>
      <c r="CE69" s="325">
        <v>15395.489437692391</v>
      </c>
      <c r="CF69" s="325">
        <v>16011.309015200086</v>
      </c>
      <c r="CG69" s="325">
        <v>16011.309015200086</v>
      </c>
      <c r="CH69" s="325">
        <v>16011.309015200086</v>
      </c>
      <c r="CI69" s="325">
        <v>16011.309015200086</v>
      </c>
      <c r="CJ69" s="325">
        <v>16011.309015200086</v>
      </c>
      <c r="CK69" s="325">
        <v>16011.309015200086</v>
      </c>
      <c r="CL69" s="325">
        <v>16011.309015200086</v>
      </c>
      <c r="CM69" s="325">
        <v>16011.309015200086</v>
      </c>
      <c r="CN69" s="325">
        <v>0</v>
      </c>
      <c r="CO69" s="325">
        <v>0</v>
      </c>
      <c r="CP69" s="325">
        <v>0</v>
      </c>
      <c r="CQ69" s="325">
        <v>0</v>
      </c>
      <c r="CR69" s="325">
        <v>0</v>
      </c>
      <c r="CS69" s="325">
        <v>0</v>
      </c>
      <c r="CT69" s="325">
        <v>0</v>
      </c>
      <c r="CU69" s="325">
        <v>0</v>
      </c>
      <c r="CV69" s="325">
        <v>0</v>
      </c>
      <c r="CW69" s="325">
        <v>0</v>
      </c>
      <c r="CX69" s="325">
        <v>0</v>
      </c>
      <c r="CY69" s="325">
        <v>0</v>
      </c>
    </row>
    <row r="70" spans="1:103" ht="15">
      <c r="A70" s="319" t="s">
        <v>568</v>
      </c>
      <c r="B70" s="384" t="s">
        <v>549</v>
      </c>
      <c r="C70" s="384" t="s">
        <v>665</v>
      </c>
      <c r="D70" s="325">
        <v>0</v>
      </c>
      <c r="E70" s="325">
        <v>0</v>
      </c>
      <c r="F70" s="325">
        <v>0</v>
      </c>
      <c r="G70" s="325">
        <v>283379.20000000001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294714.36800000002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325">
        <v>306502.94272000005</v>
      </c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325">
        <v>0</v>
      </c>
      <c r="AQ70" s="325">
        <v>318763.06042880006</v>
      </c>
      <c r="AR70" s="325">
        <v>0</v>
      </c>
      <c r="AS70" s="325">
        <v>0</v>
      </c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>
        <v>0</v>
      </c>
      <c r="BC70" s="325">
        <v>331513.58284595207</v>
      </c>
      <c r="BD70" s="325">
        <v>0</v>
      </c>
      <c r="BE70" s="325">
        <v>0</v>
      </c>
      <c r="BF70" s="325">
        <v>0</v>
      </c>
      <c r="BG70" s="325">
        <v>0</v>
      </c>
      <c r="BH70" s="325">
        <v>0</v>
      </c>
      <c r="BI70" s="325">
        <v>0</v>
      </c>
      <c r="BJ70" s="325">
        <v>0</v>
      </c>
      <c r="BK70" s="325">
        <v>0</v>
      </c>
      <c r="BL70" s="325">
        <v>0</v>
      </c>
      <c r="BM70" s="325">
        <v>0</v>
      </c>
      <c r="BN70" s="325">
        <v>0</v>
      </c>
      <c r="BO70" s="325">
        <v>344774.12615979015</v>
      </c>
      <c r="BP70" s="325">
        <v>0</v>
      </c>
      <c r="BQ70" s="325">
        <v>0</v>
      </c>
      <c r="BR70" s="325">
        <v>0</v>
      </c>
      <c r="BS70" s="325">
        <v>0</v>
      </c>
      <c r="BT70" s="325">
        <v>0</v>
      </c>
      <c r="BU70" s="325">
        <v>0</v>
      </c>
      <c r="BV70" s="325">
        <v>0</v>
      </c>
      <c r="BW70" s="325">
        <v>0</v>
      </c>
      <c r="BX70" s="325">
        <v>0</v>
      </c>
      <c r="BY70" s="325">
        <v>0</v>
      </c>
      <c r="BZ70" s="325">
        <v>0</v>
      </c>
      <c r="CA70" s="325">
        <v>358565.09120618174</v>
      </c>
      <c r="CB70" s="325">
        <v>0</v>
      </c>
      <c r="CC70" s="325">
        <v>0</v>
      </c>
      <c r="CD70" s="325">
        <v>0</v>
      </c>
      <c r="CE70" s="325">
        <v>0</v>
      </c>
      <c r="CF70" s="325">
        <v>0</v>
      </c>
      <c r="CG70" s="325">
        <v>0</v>
      </c>
      <c r="CH70" s="325">
        <v>0</v>
      </c>
      <c r="CI70" s="325">
        <v>0</v>
      </c>
      <c r="CJ70" s="325">
        <v>0</v>
      </c>
      <c r="CK70" s="325">
        <v>0</v>
      </c>
      <c r="CL70" s="325">
        <v>0</v>
      </c>
      <c r="CM70" s="325">
        <v>372907.69485442899</v>
      </c>
      <c r="CN70" s="325">
        <v>0</v>
      </c>
      <c r="CO70" s="325">
        <v>0</v>
      </c>
      <c r="CP70" s="325">
        <v>0</v>
      </c>
      <c r="CQ70" s="325">
        <v>0</v>
      </c>
      <c r="CR70" s="325">
        <v>0</v>
      </c>
      <c r="CS70" s="325">
        <v>0</v>
      </c>
      <c r="CT70" s="325">
        <v>0</v>
      </c>
      <c r="CU70" s="325">
        <v>0</v>
      </c>
      <c r="CV70" s="325">
        <v>0</v>
      </c>
      <c r="CW70" s="325">
        <v>0</v>
      </c>
      <c r="CX70" s="325">
        <v>0</v>
      </c>
      <c r="CY70" s="325">
        <v>0</v>
      </c>
    </row>
    <row r="71" spans="1:103" ht="15">
      <c r="A71" s="319" t="s">
        <v>571</v>
      </c>
      <c r="B71" s="384" t="s">
        <v>549</v>
      </c>
      <c r="C71" s="384" t="s">
        <v>665</v>
      </c>
      <c r="D71" s="325">
        <v>7030.4</v>
      </c>
      <c r="E71" s="325">
        <v>7030.4</v>
      </c>
      <c r="F71" s="325">
        <v>7030.4</v>
      </c>
      <c r="G71" s="325">
        <v>7030.4</v>
      </c>
      <c r="H71" s="325">
        <v>7030.4</v>
      </c>
      <c r="I71" s="325">
        <v>7030.4</v>
      </c>
      <c r="J71" s="325">
        <v>7030.4</v>
      </c>
      <c r="K71" s="325">
        <v>7030.4</v>
      </c>
      <c r="L71" s="325">
        <v>7311.616</v>
      </c>
      <c r="M71" s="325">
        <v>7311.616</v>
      </c>
      <c r="N71" s="325">
        <v>7311.616</v>
      </c>
      <c r="O71" s="325">
        <v>7311.616</v>
      </c>
      <c r="P71" s="325">
        <v>7311.616</v>
      </c>
      <c r="Q71" s="325">
        <v>7311.616</v>
      </c>
      <c r="R71" s="325">
        <v>7311.616</v>
      </c>
      <c r="S71" s="325">
        <v>7311.616</v>
      </c>
      <c r="T71" s="325">
        <v>7311.616</v>
      </c>
      <c r="U71" s="325">
        <v>7311.616</v>
      </c>
      <c r="V71" s="325">
        <v>7311.616</v>
      </c>
      <c r="W71" s="325">
        <v>7311.616</v>
      </c>
      <c r="X71" s="325">
        <v>7604.080640000001</v>
      </c>
      <c r="Y71" s="325">
        <v>7604.080640000001</v>
      </c>
      <c r="Z71" s="325">
        <v>7604.080640000001</v>
      </c>
      <c r="AA71" s="325">
        <v>7604.080640000001</v>
      </c>
      <c r="AB71" s="325">
        <v>7604.080640000001</v>
      </c>
      <c r="AC71" s="325">
        <v>7604.080640000001</v>
      </c>
      <c r="AD71" s="325">
        <v>7604.080640000001</v>
      </c>
      <c r="AE71" s="325">
        <v>7604.080640000001</v>
      </c>
      <c r="AF71" s="325">
        <v>7604.080640000001</v>
      </c>
      <c r="AG71" s="325">
        <v>7604.080640000001</v>
      </c>
      <c r="AH71" s="325">
        <v>7604.080640000001</v>
      </c>
      <c r="AI71" s="325">
        <v>7604.080640000001</v>
      </c>
      <c r="AJ71" s="325">
        <v>7908.2438656000013</v>
      </c>
      <c r="AK71" s="325">
        <v>7908.2438656000013</v>
      </c>
      <c r="AL71" s="325">
        <v>7908.2438656000013</v>
      </c>
      <c r="AM71" s="325">
        <v>7908.2438656000013</v>
      </c>
      <c r="AN71" s="325">
        <v>7908.2438656000013</v>
      </c>
      <c r="AO71" s="325">
        <v>7908.2438656000013</v>
      </c>
      <c r="AP71" s="325">
        <v>7908.2438656000013</v>
      </c>
      <c r="AQ71" s="325">
        <v>7908.2438656000013</v>
      </c>
      <c r="AR71" s="325">
        <v>7908.2438656000013</v>
      </c>
      <c r="AS71" s="325">
        <v>7908.2438656000013</v>
      </c>
      <c r="AT71" s="325">
        <v>7908.2438656000013</v>
      </c>
      <c r="AU71" s="325">
        <v>7908.2438656000013</v>
      </c>
      <c r="AV71" s="325">
        <v>8224.5736202240005</v>
      </c>
      <c r="AW71" s="325">
        <v>8224.5736202240005</v>
      </c>
      <c r="AX71" s="325">
        <v>8224.5736202240005</v>
      </c>
      <c r="AY71" s="325">
        <v>8224.5736202240005</v>
      </c>
      <c r="AZ71" s="325">
        <v>8224.5736202240005</v>
      </c>
      <c r="BA71" s="325">
        <v>8224.5736202240005</v>
      </c>
      <c r="BB71" s="325">
        <v>8224.5736202240005</v>
      </c>
      <c r="BC71" s="325">
        <v>8224.5736202240005</v>
      </c>
      <c r="BD71" s="325">
        <v>8224.5736202240005</v>
      </c>
      <c r="BE71" s="325">
        <v>8224.5736202240005</v>
      </c>
      <c r="BF71" s="325">
        <v>8224.5736202240005</v>
      </c>
      <c r="BG71" s="325">
        <v>8224.5736202240005</v>
      </c>
      <c r="BH71" s="325">
        <v>8553.5565650329609</v>
      </c>
      <c r="BI71" s="325">
        <v>8553.5565650329609</v>
      </c>
      <c r="BJ71" s="325">
        <v>8553.5565650329609</v>
      </c>
      <c r="BK71" s="325">
        <v>8553.5565650329609</v>
      </c>
      <c r="BL71" s="325">
        <v>8553.5565650329609</v>
      </c>
      <c r="BM71" s="325">
        <v>8553.5565650329609</v>
      </c>
      <c r="BN71" s="325">
        <v>8553.5565650329609</v>
      </c>
      <c r="BO71" s="325">
        <v>8553.5565650329609</v>
      </c>
      <c r="BP71" s="325">
        <v>8553.5565650329609</v>
      </c>
      <c r="BQ71" s="325">
        <v>8553.5565650329609</v>
      </c>
      <c r="BR71" s="325">
        <v>8553.5565650329609</v>
      </c>
      <c r="BS71" s="325">
        <v>8553.5565650329609</v>
      </c>
      <c r="BT71" s="325">
        <v>8895.69882763428</v>
      </c>
      <c r="BU71" s="325">
        <v>8895.69882763428</v>
      </c>
      <c r="BV71" s="325">
        <v>8895.69882763428</v>
      </c>
      <c r="BW71" s="325">
        <v>8895.69882763428</v>
      </c>
      <c r="BX71" s="325">
        <v>8895.69882763428</v>
      </c>
      <c r="BY71" s="325">
        <v>8895.69882763428</v>
      </c>
      <c r="BZ71" s="325">
        <v>8895.69882763428</v>
      </c>
      <c r="CA71" s="325">
        <v>8895.69882763428</v>
      </c>
      <c r="CB71" s="325">
        <v>8895.69882763428</v>
      </c>
      <c r="CC71" s="325">
        <v>8895.69882763428</v>
      </c>
      <c r="CD71" s="325">
        <v>8895.69882763428</v>
      </c>
      <c r="CE71" s="325">
        <v>8895.69882763428</v>
      </c>
      <c r="CF71" s="325">
        <v>9251.5267807396522</v>
      </c>
      <c r="CG71" s="325">
        <v>9251.5267807396522</v>
      </c>
      <c r="CH71" s="325">
        <v>9251.5267807396522</v>
      </c>
      <c r="CI71" s="325">
        <v>9251.5267807396522</v>
      </c>
      <c r="CJ71" s="325">
        <v>9251.5267807396522</v>
      </c>
      <c r="CK71" s="325">
        <v>9251.5267807396522</v>
      </c>
      <c r="CL71" s="325">
        <v>9251.5267807396522</v>
      </c>
      <c r="CM71" s="325">
        <v>9251.5267807396522</v>
      </c>
      <c r="CN71" s="325">
        <v>0</v>
      </c>
      <c r="CO71" s="325">
        <v>0</v>
      </c>
      <c r="CP71" s="325">
        <v>0</v>
      </c>
      <c r="CQ71" s="325">
        <v>0</v>
      </c>
      <c r="CR71" s="325">
        <v>0</v>
      </c>
      <c r="CS71" s="325">
        <v>0</v>
      </c>
      <c r="CT71" s="325">
        <v>0</v>
      </c>
      <c r="CU71" s="325">
        <v>0</v>
      </c>
      <c r="CV71" s="325">
        <v>0</v>
      </c>
      <c r="CW71" s="325">
        <v>0</v>
      </c>
      <c r="CX71" s="325">
        <v>0</v>
      </c>
      <c r="CY71" s="325">
        <v>0</v>
      </c>
    </row>
    <row r="72" spans="1:103" ht="15">
      <c r="A72" s="319" t="s">
        <v>678</v>
      </c>
      <c r="B72" s="384" t="s">
        <v>549</v>
      </c>
      <c r="C72" s="384" t="s">
        <v>665</v>
      </c>
      <c r="D72" s="325">
        <v>12762.880000000001</v>
      </c>
      <c r="E72" s="325">
        <v>12762.880000000001</v>
      </c>
      <c r="F72" s="325">
        <v>12762.880000000001</v>
      </c>
      <c r="G72" s="325">
        <v>12762.880000000001</v>
      </c>
      <c r="H72" s="325">
        <v>12762.880000000001</v>
      </c>
      <c r="I72" s="325">
        <v>12762.880000000001</v>
      </c>
      <c r="J72" s="325">
        <v>12762.880000000001</v>
      </c>
      <c r="K72" s="325">
        <v>12762.880000000001</v>
      </c>
      <c r="L72" s="325">
        <v>13273.395200000001</v>
      </c>
      <c r="M72" s="325">
        <v>13273.395200000001</v>
      </c>
      <c r="N72" s="325">
        <v>13273.395200000001</v>
      </c>
      <c r="O72" s="325">
        <v>13273.395200000001</v>
      </c>
      <c r="P72" s="325">
        <v>13273.395200000001</v>
      </c>
      <c r="Q72" s="325">
        <v>13273.395200000001</v>
      </c>
      <c r="R72" s="325">
        <v>13273.395200000001</v>
      </c>
      <c r="S72" s="325">
        <v>13273.395200000001</v>
      </c>
      <c r="T72" s="325">
        <v>13273.395200000001</v>
      </c>
      <c r="U72" s="325">
        <v>13273.395200000001</v>
      </c>
      <c r="V72" s="325">
        <v>13273.395200000001</v>
      </c>
      <c r="W72" s="325">
        <v>13273.395200000001</v>
      </c>
      <c r="X72" s="325">
        <v>13804.331008000001</v>
      </c>
      <c r="Y72" s="325">
        <v>13804.331008000001</v>
      </c>
      <c r="Z72" s="325">
        <v>13804.331008000001</v>
      </c>
      <c r="AA72" s="325">
        <v>13804.331008000001</v>
      </c>
      <c r="AB72" s="325">
        <v>13804.331008000001</v>
      </c>
      <c r="AC72" s="325">
        <v>13804.331008000001</v>
      </c>
      <c r="AD72" s="325">
        <v>13804.331008000001</v>
      </c>
      <c r="AE72" s="325">
        <v>13804.331008000001</v>
      </c>
      <c r="AF72" s="325">
        <v>13804.331008000001</v>
      </c>
      <c r="AG72" s="325">
        <v>13804.331008000001</v>
      </c>
      <c r="AH72" s="325">
        <v>13804.331008000001</v>
      </c>
      <c r="AI72" s="325">
        <v>13804.331008000001</v>
      </c>
      <c r="AJ72" s="325">
        <v>14356.504248320001</v>
      </c>
      <c r="AK72" s="325">
        <v>14356.504248320001</v>
      </c>
      <c r="AL72" s="325">
        <v>14356.504248320001</v>
      </c>
      <c r="AM72" s="325">
        <v>14356.504248320001</v>
      </c>
      <c r="AN72" s="325">
        <v>14356.504248320001</v>
      </c>
      <c r="AO72" s="325">
        <v>14356.504248320001</v>
      </c>
      <c r="AP72" s="325">
        <v>14356.504248320001</v>
      </c>
      <c r="AQ72" s="325">
        <v>14356.504248320001</v>
      </c>
      <c r="AR72" s="325">
        <v>14356.504248320001</v>
      </c>
      <c r="AS72" s="325">
        <v>14356.504248320001</v>
      </c>
      <c r="AT72" s="325">
        <v>14356.504248320001</v>
      </c>
      <c r="AU72" s="325">
        <v>14356.504248320001</v>
      </c>
      <c r="AV72" s="325">
        <v>14930.764418252802</v>
      </c>
      <c r="AW72" s="325">
        <v>14930.764418252802</v>
      </c>
      <c r="AX72" s="325">
        <v>14930.764418252802</v>
      </c>
      <c r="AY72" s="325">
        <v>14930.764418252802</v>
      </c>
      <c r="AZ72" s="325">
        <v>14930.764418252802</v>
      </c>
      <c r="BA72" s="325">
        <v>14930.764418252802</v>
      </c>
      <c r="BB72" s="325">
        <v>14930.764418252802</v>
      </c>
      <c r="BC72" s="325">
        <v>14930.764418252802</v>
      </c>
      <c r="BD72" s="325">
        <v>14930.764418252802</v>
      </c>
      <c r="BE72" s="325">
        <v>14930.764418252802</v>
      </c>
      <c r="BF72" s="325">
        <v>14930.764418252802</v>
      </c>
      <c r="BG72" s="325">
        <v>14930.764418252802</v>
      </c>
      <c r="BH72" s="325">
        <v>15527.994994982915</v>
      </c>
      <c r="BI72" s="325">
        <v>15527.994994982915</v>
      </c>
      <c r="BJ72" s="325">
        <v>15527.994994982915</v>
      </c>
      <c r="BK72" s="325">
        <v>15527.994994982915</v>
      </c>
      <c r="BL72" s="325">
        <v>15527.994994982915</v>
      </c>
      <c r="BM72" s="325">
        <v>15527.994994982915</v>
      </c>
      <c r="BN72" s="325">
        <v>15527.994994982915</v>
      </c>
      <c r="BO72" s="325">
        <v>15527.994994982915</v>
      </c>
      <c r="BP72" s="325">
        <v>15527.994994982915</v>
      </c>
      <c r="BQ72" s="325">
        <v>15527.994994982915</v>
      </c>
      <c r="BR72" s="325">
        <v>15527.994994982915</v>
      </c>
      <c r="BS72" s="325">
        <v>15527.994994982915</v>
      </c>
      <c r="BT72" s="325">
        <v>16149.114794782232</v>
      </c>
      <c r="BU72" s="325">
        <v>16149.114794782232</v>
      </c>
      <c r="BV72" s="325">
        <v>16149.114794782232</v>
      </c>
      <c r="BW72" s="325">
        <v>16149.114794782232</v>
      </c>
      <c r="BX72" s="325">
        <v>16149.114794782232</v>
      </c>
      <c r="BY72" s="325">
        <v>16149.114794782232</v>
      </c>
      <c r="BZ72" s="325">
        <v>16149.114794782232</v>
      </c>
      <c r="CA72" s="325">
        <v>16149.114794782232</v>
      </c>
      <c r="CB72" s="325">
        <v>16149.114794782232</v>
      </c>
      <c r="CC72" s="325">
        <v>16149.114794782232</v>
      </c>
      <c r="CD72" s="325">
        <v>16149.114794782232</v>
      </c>
      <c r="CE72" s="325">
        <v>16149.114794782232</v>
      </c>
      <c r="CF72" s="325">
        <v>16795.079386573521</v>
      </c>
      <c r="CG72" s="325">
        <v>16795.079386573521</v>
      </c>
      <c r="CH72" s="325">
        <v>16795.079386573521</v>
      </c>
      <c r="CI72" s="325">
        <v>16795.079386573521</v>
      </c>
      <c r="CJ72" s="325">
        <v>16795.079386573521</v>
      </c>
      <c r="CK72" s="325">
        <v>16795.079386573521</v>
      </c>
      <c r="CL72" s="325">
        <v>16795.079386573521</v>
      </c>
      <c r="CM72" s="325">
        <v>16795.079386573521</v>
      </c>
      <c r="CN72" s="325">
        <v>0</v>
      </c>
      <c r="CO72" s="325">
        <v>0</v>
      </c>
      <c r="CP72" s="325">
        <v>0</v>
      </c>
      <c r="CQ72" s="325">
        <v>0</v>
      </c>
      <c r="CR72" s="325">
        <v>0</v>
      </c>
      <c r="CS72" s="325">
        <v>0</v>
      </c>
      <c r="CT72" s="325">
        <v>0</v>
      </c>
      <c r="CU72" s="325">
        <v>0</v>
      </c>
      <c r="CV72" s="325">
        <v>0</v>
      </c>
      <c r="CW72" s="325">
        <v>0</v>
      </c>
      <c r="CX72" s="325">
        <v>0</v>
      </c>
      <c r="CY72" s="325">
        <v>0</v>
      </c>
    </row>
    <row r="73" spans="1:103" ht="15">
      <c r="A73" s="319" t="s">
        <v>679</v>
      </c>
      <c r="B73" s="384" t="s">
        <v>549</v>
      </c>
      <c r="C73" s="384" t="s">
        <v>665</v>
      </c>
      <c r="D73" s="325">
        <v>23408.639999999999</v>
      </c>
      <c r="E73" s="325">
        <v>23408.639999999999</v>
      </c>
      <c r="F73" s="325">
        <v>23408.639999999999</v>
      </c>
      <c r="G73" s="325">
        <v>23408.639999999999</v>
      </c>
      <c r="H73" s="325">
        <v>23408.639999999999</v>
      </c>
      <c r="I73" s="325">
        <v>23408.639999999999</v>
      </c>
      <c r="J73" s="325">
        <v>23408.639999999999</v>
      </c>
      <c r="K73" s="325">
        <v>23408.639999999999</v>
      </c>
      <c r="L73" s="325">
        <v>24344.9856</v>
      </c>
      <c r="M73" s="325">
        <v>24344.9856</v>
      </c>
      <c r="N73" s="325">
        <v>24344.9856</v>
      </c>
      <c r="O73" s="325">
        <v>24344.9856</v>
      </c>
      <c r="P73" s="325">
        <v>24344.9856</v>
      </c>
      <c r="Q73" s="325">
        <v>24344.9856</v>
      </c>
      <c r="R73" s="325">
        <v>24344.9856</v>
      </c>
      <c r="S73" s="325">
        <v>24344.9856</v>
      </c>
      <c r="T73" s="325">
        <v>24344.9856</v>
      </c>
      <c r="U73" s="325">
        <v>24344.9856</v>
      </c>
      <c r="V73" s="325">
        <v>24344.9856</v>
      </c>
      <c r="W73" s="325">
        <v>24344.9856</v>
      </c>
      <c r="X73" s="325">
        <v>25318.785024000001</v>
      </c>
      <c r="Y73" s="325">
        <v>25318.785024000001</v>
      </c>
      <c r="Z73" s="325">
        <v>25318.785024000001</v>
      </c>
      <c r="AA73" s="325">
        <v>25318.785024000001</v>
      </c>
      <c r="AB73" s="325">
        <v>25318.785024000001</v>
      </c>
      <c r="AC73" s="325">
        <v>25318.785024000001</v>
      </c>
      <c r="AD73" s="325">
        <v>25318.785024000001</v>
      </c>
      <c r="AE73" s="325">
        <v>25318.785024000001</v>
      </c>
      <c r="AF73" s="325">
        <v>25318.785024000001</v>
      </c>
      <c r="AG73" s="325">
        <v>25318.785024000001</v>
      </c>
      <c r="AH73" s="325">
        <v>25318.785024000001</v>
      </c>
      <c r="AI73" s="325">
        <v>25318.785024000001</v>
      </c>
      <c r="AJ73" s="325">
        <v>26331.536424960002</v>
      </c>
      <c r="AK73" s="325">
        <v>26331.536424960002</v>
      </c>
      <c r="AL73" s="325">
        <v>26331.536424960002</v>
      </c>
      <c r="AM73" s="325">
        <v>26331.536424960002</v>
      </c>
      <c r="AN73" s="325">
        <v>26331.536424960002</v>
      </c>
      <c r="AO73" s="325">
        <v>26331.536424960002</v>
      </c>
      <c r="AP73" s="325">
        <v>26331.536424960002</v>
      </c>
      <c r="AQ73" s="325">
        <v>26331.536424960002</v>
      </c>
      <c r="AR73" s="325">
        <v>26331.536424960002</v>
      </c>
      <c r="AS73" s="325">
        <v>26331.536424960002</v>
      </c>
      <c r="AT73" s="325">
        <v>26331.536424960002</v>
      </c>
      <c r="AU73" s="325">
        <v>26331.536424960002</v>
      </c>
      <c r="AV73" s="325">
        <v>27384.797881958402</v>
      </c>
      <c r="AW73" s="325">
        <v>27384.797881958402</v>
      </c>
      <c r="AX73" s="325">
        <v>27384.797881958402</v>
      </c>
      <c r="AY73" s="325">
        <v>27384.797881958402</v>
      </c>
      <c r="AZ73" s="325">
        <v>27384.797881958402</v>
      </c>
      <c r="BA73" s="325">
        <v>27384.797881958402</v>
      </c>
      <c r="BB73" s="325">
        <v>27384.797881958402</v>
      </c>
      <c r="BC73" s="325">
        <v>27384.797881958402</v>
      </c>
      <c r="BD73" s="325">
        <v>27384.797881958402</v>
      </c>
      <c r="BE73" s="325">
        <v>27384.797881958402</v>
      </c>
      <c r="BF73" s="325">
        <v>27384.797881958402</v>
      </c>
      <c r="BG73" s="325">
        <v>27384.797881958402</v>
      </c>
      <c r="BH73" s="325">
        <v>28480.189797236741</v>
      </c>
      <c r="BI73" s="325">
        <v>28480.189797236741</v>
      </c>
      <c r="BJ73" s="325">
        <v>28480.189797236741</v>
      </c>
      <c r="BK73" s="325">
        <v>28480.189797236741</v>
      </c>
      <c r="BL73" s="325">
        <v>28480.189797236741</v>
      </c>
      <c r="BM73" s="325">
        <v>28480.189797236741</v>
      </c>
      <c r="BN73" s="325">
        <v>28480.189797236741</v>
      </c>
      <c r="BO73" s="325">
        <v>28480.189797236741</v>
      </c>
      <c r="BP73" s="325">
        <v>28480.189797236741</v>
      </c>
      <c r="BQ73" s="325">
        <v>28480.189797236741</v>
      </c>
      <c r="BR73" s="325">
        <v>28480.189797236741</v>
      </c>
      <c r="BS73" s="325">
        <v>28480.189797236741</v>
      </c>
      <c r="BT73" s="325">
        <v>29619.39738912621</v>
      </c>
      <c r="BU73" s="325">
        <v>29619.39738912621</v>
      </c>
      <c r="BV73" s="325">
        <v>29619.39738912621</v>
      </c>
      <c r="BW73" s="325">
        <v>29619.39738912621</v>
      </c>
      <c r="BX73" s="325">
        <v>29619.39738912621</v>
      </c>
      <c r="BY73" s="325">
        <v>29619.39738912621</v>
      </c>
      <c r="BZ73" s="325">
        <v>29619.39738912621</v>
      </c>
      <c r="CA73" s="325">
        <v>29619.39738912621</v>
      </c>
      <c r="CB73" s="325">
        <v>29619.39738912621</v>
      </c>
      <c r="CC73" s="325">
        <v>29619.39738912621</v>
      </c>
      <c r="CD73" s="325">
        <v>29619.39738912621</v>
      </c>
      <c r="CE73" s="325">
        <v>29619.39738912621</v>
      </c>
      <c r="CF73" s="325">
        <v>30804.17328469126</v>
      </c>
      <c r="CG73" s="325">
        <v>30804.17328469126</v>
      </c>
      <c r="CH73" s="325">
        <v>30804.17328469126</v>
      </c>
      <c r="CI73" s="325">
        <v>30804.17328469126</v>
      </c>
      <c r="CJ73" s="325">
        <v>30804.17328469126</v>
      </c>
      <c r="CK73" s="325">
        <v>30804.17328469126</v>
      </c>
      <c r="CL73" s="325">
        <v>30804.17328469126</v>
      </c>
      <c r="CM73" s="325">
        <v>30804.17328469126</v>
      </c>
      <c r="CN73" s="325">
        <v>0</v>
      </c>
      <c r="CO73" s="325">
        <v>0</v>
      </c>
      <c r="CP73" s="325">
        <v>0</v>
      </c>
      <c r="CQ73" s="325">
        <v>0</v>
      </c>
      <c r="CR73" s="325">
        <v>0</v>
      </c>
      <c r="CS73" s="325">
        <v>0</v>
      </c>
      <c r="CT73" s="325">
        <v>0</v>
      </c>
      <c r="CU73" s="325">
        <v>0</v>
      </c>
      <c r="CV73" s="325">
        <v>0</v>
      </c>
      <c r="CW73" s="325">
        <v>0</v>
      </c>
      <c r="CX73" s="325">
        <v>0</v>
      </c>
      <c r="CY73" s="325">
        <v>0</v>
      </c>
    </row>
    <row r="74" spans="1:103" ht="15">
      <c r="A74" s="319" t="s">
        <v>680</v>
      </c>
      <c r="B74" s="384" t="s">
        <v>681</v>
      </c>
      <c r="C74" s="384" t="s">
        <v>665</v>
      </c>
      <c r="D74" s="325">
        <f>'Monthly PL'!B28*10000000</f>
        <v>0</v>
      </c>
      <c r="E74" s="325">
        <f>'Monthly PL'!C28*10000000</f>
        <v>0</v>
      </c>
      <c r="F74" s="325">
        <f>'Monthly PL'!D28*10000000</f>
        <v>1813000.0000000002</v>
      </c>
      <c r="G74" s="325">
        <f>'Monthly PL'!E28*10000000</f>
        <v>1600377.0245842373</v>
      </c>
      <c r="H74" s="325">
        <f>'Monthly PL'!F28*10000000</f>
        <v>1600377.0245842373</v>
      </c>
      <c r="I74" s="325">
        <f>'Monthly PL'!G28*10000000</f>
        <v>1600377.0245842373</v>
      </c>
      <c r="J74" s="325">
        <f>'Monthly PL'!H28*10000000</f>
        <v>1600377.0245842373</v>
      </c>
      <c r="K74" s="325">
        <f>'Monthly PL'!I28*10000000</f>
        <v>0</v>
      </c>
      <c r="L74" s="325">
        <f>'Monthly PL'!J28*10000000</f>
        <v>0</v>
      </c>
      <c r="M74" s="325">
        <f>'Monthly PL'!K28*10000000</f>
        <v>0</v>
      </c>
      <c r="N74" s="325">
        <f>'Monthly PL'!L28*10000000</f>
        <v>0</v>
      </c>
      <c r="O74" s="325">
        <f>'Monthly PL'!M28*10000000</f>
        <v>0</v>
      </c>
      <c r="P74" s="325">
        <f>'Monthly PL'!N28*10000000</f>
        <v>0</v>
      </c>
      <c r="Q74" s="325">
        <f>'Monthly PL'!O28*10000000</f>
        <v>0</v>
      </c>
      <c r="R74" s="325">
        <f>'Monthly PL'!P28*10000000</f>
        <v>0</v>
      </c>
      <c r="S74" s="325">
        <f>'Monthly PL'!Q28*10000000</f>
        <v>0</v>
      </c>
      <c r="T74" s="325">
        <f>'Monthly PL'!R28*10000000</f>
        <v>0</v>
      </c>
      <c r="U74" s="325">
        <f>'Monthly PL'!S28*10000000</f>
        <v>0</v>
      </c>
      <c r="V74" s="325">
        <f>'Monthly PL'!T28*10000000</f>
        <v>0</v>
      </c>
      <c r="W74" s="325">
        <f>'Monthly PL'!U28*10000000</f>
        <v>0</v>
      </c>
      <c r="X74" s="325">
        <f>'Monthly PL'!V28*10000000</f>
        <v>0</v>
      </c>
      <c r="Y74" s="325">
        <f>'Monthly PL'!W28*10000000</f>
        <v>0</v>
      </c>
      <c r="Z74" s="325">
        <f>'Monthly PL'!X28*10000000</f>
        <v>0</v>
      </c>
      <c r="AA74" s="325">
        <f>'Monthly PL'!Y28*10000000</f>
        <v>0</v>
      </c>
      <c r="AB74" s="325">
        <f>'Monthly PL'!Z28*10000000</f>
        <v>0</v>
      </c>
      <c r="AC74" s="325">
        <f>'Monthly PL'!AA28*10000000</f>
        <v>0</v>
      </c>
      <c r="AD74" s="325">
        <f>'Monthly PL'!AB28*10000000</f>
        <v>0</v>
      </c>
      <c r="AE74" s="325">
        <f>'Monthly PL'!AC28*10000000</f>
        <v>0</v>
      </c>
      <c r="AF74" s="325">
        <f>'Monthly PL'!AD28*10000000</f>
        <v>0</v>
      </c>
      <c r="AG74" s="325">
        <f>'Monthly PL'!AE28*10000000</f>
        <v>0</v>
      </c>
      <c r="AH74" s="325">
        <f>'Monthly PL'!AF28*10000000</f>
        <v>0</v>
      </c>
      <c r="AI74" s="325">
        <f>'Monthly PL'!AG28*10000000</f>
        <v>0</v>
      </c>
      <c r="AJ74" s="325">
        <f>'Monthly PL'!AH28*10000000</f>
        <v>0</v>
      </c>
      <c r="AK74" s="325">
        <f>'Monthly PL'!AI28*10000000</f>
        <v>0</v>
      </c>
      <c r="AL74" s="325">
        <f>'Monthly PL'!AJ28*10000000</f>
        <v>0</v>
      </c>
      <c r="AM74" s="325">
        <f>'Monthly PL'!AK28*10000000</f>
        <v>0</v>
      </c>
      <c r="AN74" s="325">
        <f>'Monthly PL'!AL28*10000000</f>
        <v>0</v>
      </c>
      <c r="AO74" s="325">
        <f>'Monthly PL'!AM28*10000000</f>
        <v>0</v>
      </c>
      <c r="AP74" s="325">
        <f>'Monthly PL'!AN28*10000000</f>
        <v>0</v>
      </c>
      <c r="AQ74" s="325">
        <f>'Monthly PL'!AO28*10000000</f>
        <v>0</v>
      </c>
      <c r="AR74" s="325">
        <f>'Monthly PL'!AP28*10000000</f>
        <v>0</v>
      </c>
      <c r="AS74" s="325">
        <f>'Monthly PL'!AQ28*10000000</f>
        <v>0</v>
      </c>
      <c r="AT74" s="325">
        <f>'Monthly PL'!AR28*10000000</f>
        <v>0</v>
      </c>
      <c r="AU74" s="325">
        <f>'Monthly PL'!AS28*10000000</f>
        <v>0</v>
      </c>
      <c r="AV74" s="325">
        <f>'Monthly PL'!AT28*10000000</f>
        <v>0</v>
      </c>
      <c r="AW74" s="325">
        <f>'Monthly PL'!AU28*10000000</f>
        <v>0</v>
      </c>
      <c r="AX74" s="325">
        <f>'Monthly PL'!AV28*10000000</f>
        <v>0</v>
      </c>
      <c r="AY74" s="325">
        <f>'Monthly PL'!AW28*10000000</f>
        <v>0</v>
      </c>
      <c r="AZ74" s="325">
        <f>'Monthly PL'!AX28*10000000</f>
        <v>0</v>
      </c>
      <c r="BA74" s="325">
        <f>'Monthly PL'!AY28*10000000</f>
        <v>0</v>
      </c>
      <c r="BB74" s="325">
        <f>'Monthly PL'!AZ28*10000000</f>
        <v>0</v>
      </c>
      <c r="BC74" s="325">
        <f>'Monthly PL'!BA28*10000000</f>
        <v>0</v>
      </c>
      <c r="BD74" s="325">
        <f>'Monthly PL'!BB28*10000000</f>
        <v>0</v>
      </c>
      <c r="BE74" s="325">
        <f>'Monthly PL'!BC28*10000000</f>
        <v>0</v>
      </c>
      <c r="BF74" s="325">
        <f>'Monthly PL'!BD28*10000000</f>
        <v>0</v>
      </c>
      <c r="BG74" s="325">
        <f>'Monthly PL'!BE28*10000000</f>
        <v>0</v>
      </c>
      <c r="BH74" s="325">
        <f>'Monthly PL'!BF28*10000000</f>
        <v>0</v>
      </c>
      <c r="BI74" s="325">
        <f>'Monthly PL'!BG28*10000000</f>
        <v>0</v>
      </c>
      <c r="BJ74" s="325">
        <f>'Monthly PL'!BH28*10000000</f>
        <v>0</v>
      </c>
      <c r="BK74" s="325">
        <f>'Monthly PL'!BI28*10000000</f>
        <v>0</v>
      </c>
      <c r="BL74" s="325">
        <f>'Monthly PL'!BJ28*10000000</f>
        <v>0</v>
      </c>
      <c r="BM74" s="325">
        <f>'Monthly PL'!BK28*10000000</f>
        <v>0</v>
      </c>
      <c r="BN74" s="325">
        <f>'Monthly PL'!BL28*10000000</f>
        <v>0</v>
      </c>
      <c r="BO74" s="325">
        <f>'Monthly PL'!BM28*10000000</f>
        <v>0</v>
      </c>
      <c r="BP74" s="325">
        <f>'Monthly PL'!BN28*10000000</f>
        <v>0</v>
      </c>
      <c r="BQ74" s="325">
        <f>'Monthly PL'!BO28*10000000</f>
        <v>0</v>
      </c>
      <c r="BR74" s="325">
        <f>'Monthly PL'!BP28*10000000</f>
        <v>0</v>
      </c>
      <c r="BS74" s="325">
        <f>'Monthly PL'!BQ28*10000000</f>
        <v>0</v>
      </c>
      <c r="BT74" s="325">
        <f>'Monthly PL'!BR28*10000000</f>
        <v>0</v>
      </c>
      <c r="BU74" s="325">
        <f>'Monthly PL'!BS28*10000000</f>
        <v>0</v>
      </c>
      <c r="BV74" s="325">
        <f>'Monthly PL'!BT28*10000000</f>
        <v>0</v>
      </c>
      <c r="BW74" s="325">
        <f>'Monthly PL'!BU28*10000000</f>
        <v>0</v>
      </c>
      <c r="BX74" s="325">
        <f>'Monthly PL'!BV28*10000000</f>
        <v>0</v>
      </c>
      <c r="BY74" s="325">
        <f>'Monthly PL'!BW28*10000000</f>
        <v>0</v>
      </c>
      <c r="BZ74" s="325">
        <f>'Monthly PL'!BX28*10000000</f>
        <v>0</v>
      </c>
      <c r="CA74" s="325">
        <f>'Monthly PL'!BY28*10000000</f>
        <v>0</v>
      </c>
      <c r="CB74" s="325">
        <f>'Monthly PL'!BZ28*10000000</f>
        <v>0</v>
      </c>
      <c r="CC74" s="325">
        <f>'Monthly PL'!CA28*10000000</f>
        <v>0</v>
      </c>
      <c r="CD74" s="325">
        <f>'Monthly PL'!CB28*10000000</f>
        <v>0</v>
      </c>
      <c r="CE74" s="325">
        <f>'Monthly PL'!CC28*10000000</f>
        <v>0</v>
      </c>
      <c r="CF74" s="325">
        <f>'Monthly PL'!CD28*10000000</f>
        <v>0</v>
      </c>
      <c r="CG74" s="325">
        <f>'Monthly PL'!CE28*10000000</f>
        <v>0</v>
      </c>
      <c r="CH74" s="325">
        <f>'Monthly PL'!CF28*10000000</f>
        <v>0</v>
      </c>
      <c r="CI74" s="325">
        <f>'Monthly PL'!CG28*10000000</f>
        <v>0</v>
      </c>
      <c r="CJ74" s="325">
        <f>'Monthly PL'!CH28*10000000</f>
        <v>0</v>
      </c>
      <c r="CK74" s="325">
        <f>'Monthly PL'!CI28*10000000</f>
        <v>0</v>
      </c>
      <c r="CL74" s="325">
        <f>'Monthly PL'!CJ28*10000000</f>
        <v>0</v>
      </c>
      <c r="CM74" s="325">
        <f>'Monthly PL'!CK28*10000000</f>
        <v>0</v>
      </c>
      <c r="CN74" s="325">
        <f>'Monthly PL'!CL28*10000000</f>
        <v>0</v>
      </c>
      <c r="CO74" s="325">
        <f>'Monthly PL'!CM28*10000000</f>
        <v>0</v>
      </c>
      <c r="CP74" s="325">
        <f>'Monthly PL'!CN28*10000000</f>
        <v>0</v>
      </c>
      <c r="CQ74" s="325">
        <f>'Monthly PL'!CO28*10000000</f>
        <v>0</v>
      </c>
      <c r="CR74" s="325">
        <f>'Monthly PL'!CP28*10000000</f>
        <v>0</v>
      </c>
      <c r="CS74" s="325">
        <f>'Monthly PL'!CQ28*10000000</f>
        <v>0</v>
      </c>
      <c r="CT74" s="325">
        <f>'Monthly PL'!CR28*10000000</f>
        <v>0</v>
      </c>
      <c r="CU74" s="325">
        <f>'Monthly PL'!CS28*10000000</f>
        <v>0</v>
      </c>
      <c r="CV74" s="325">
        <f>'Monthly PL'!CT28*10000000</f>
        <v>0</v>
      </c>
      <c r="CW74" s="325">
        <f>'Monthly PL'!CU28*10000000</f>
        <v>0</v>
      </c>
      <c r="CX74" s="325">
        <f>'Monthly PL'!CV28*10000000</f>
        <v>0</v>
      </c>
      <c r="CY74" s="325">
        <f>'Monthly PL'!CW28*10000000</f>
        <v>0</v>
      </c>
    </row>
    <row r="75" spans="1:103" ht="15">
      <c r="A75" s="319" t="s">
        <v>682</v>
      </c>
      <c r="B75" s="384" t="s">
        <v>681</v>
      </c>
      <c r="C75" s="384" t="s">
        <v>682</v>
      </c>
      <c r="D75" s="325">
        <v>5968943.0090000005</v>
      </c>
      <c r="E75" s="325">
        <v>5968974.0090000005</v>
      </c>
      <c r="F75" s="325">
        <v>5969005.0090000005</v>
      </c>
      <c r="G75" s="325">
        <v>5969035.0090000005</v>
      </c>
      <c r="H75" s="325">
        <v>5969066.0090000005</v>
      </c>
      <c r="I75" s="325">
        <v>5969096.0090000005</v>
      </c>
      <c r="J75" s="325">
        <v>5969127.0090000005</v>
      </c>
      <c r="K75" s="325">
        <v>5969158.0090000005</v>
      </c>
      <c r="L75" s="325">
        <v>5969186.0090000005</v>
      </c>
      <c r="M75" s="325">
        <v>5969217.0090000005</v>
      </c>
      <c r="N75" s="325">
        <v>6383992.1796300011</v>
      </c>
      <c r="O75" s="325">
        <v>6384023.1796300011</v>
      </c>
      <c r="P75" s="325">
        <v>6384053.1796300011</v>
      </c>
      <c r="Q75" s="325">
        <v>6384084.1796300011</v>
      </c>
      <c r="R75" s="325">
        <v>6384115.1796300011</v>
      </c>
      <c r="S75" s="325">
        <v>6384145.1796300011</v>
      </c>
      <c r="T75" s="325">
        <v>6384176.1796300011</v>
      </c>
      <c r="U75" s="325">
        <v>6384206.1796300011</v>
      </c>
      <c r="V75" s="325">
        <v>6384237.1796300011</v>
      </c>
      <c r="W75" s="325">
        <v>6384268.1796300011</v>
      </c>
      <c r="X75" s="325">
        <v>6384296.1796300011</v>
      </c>
      <c r="Y75" s="325">
        <v>6384327.1796300011</v>
      </c>
      <c r="Z75" s="325">
        <v>6828134.5122041022</v>
      </c>
      <c r="AA75" s="325">
        <v>6828165.5122041022</v>
      </c>
      <c r="AB75" s="325">
        <v>6828195.5122041022</v>
      </c>
      <c r="AC75" s="325">
        <v>6828226.5122041022</v>
      </c>
      <c r="AD75" s="325">
        <v>6828257.5122041022</v>
      </c>
      <c r="AE75" s="325">
        <v>6828287.5122041022</v>
      </c>
      <c r="AF75" s="325">
        <v>6828318.5122041022</v>
      </c>
      <c r="AG75" s="325">
        <v>6828348.5122041022</v>
      </c>
      <c r="AH75" s="325">
        <v>6828379.5122041022</v>
      </c>
      <c r="AI75" s="325">
        <v>6828410.5122041022</v>
      </c>
      <c r="AJ75" s="325">
        <v>6828438.5122041022</v>
      </c>
      <c r="AK75" s="325">
        <v>6828469.5122041022</v>
      </c>
      <c r="AL75" s="325">
        <v>7167672.1878143065</v>
      </c>
      <c r="AM75" s="325">
        <v>7167703.1878143065</v>
      </c>
      <c r="AN75" s="325">
        <v>7167733.1878143065</v>
      </c>
      <c r="AO75" s="325">
        <v>7167764.1878143065</v>
      </c>
      <c r="AP75" s="325">
        <v>7167795.1878143065</v>
      </c>
      <c r="AQ75" s="325">
        <v>7167825.1878143065</v>
      </c>
      <c r="AR75" s="325">
        <v>7167856.1878143065</v>
      </c>
      <c r="AS75" s="325">
        <v>7167886.1878143065</v>
      </c>
      <c r="AT75" s="325">
        <v>7167917.1878143065</v>
      </c>
      <c r="AU75" s="325">
        <v>7167948.1878143065</v>
      </c>
      <c r="AV75" s="325">
        <v>7167977.1878143065</v>
      </c>
      <c r="AW75" s="325">
        <v>7168008.1878143065</v>
      </c>
      <c r="AX75" s="325">
        <v>7524169.4972050227</v>
      </c>
      <c r="AY75" s="325">
        <v>7524200.4972050227</v>
      </c>
      <c r="AZ75" s="325">
        <v>7524230.4972050227</v>
      </c>
      <c r="BA75" s="325">
        <v>7524261.4972050227</v>
      </c>
      <c r="BB75" s="325">
        <v>7524292.4972050227</v>
      </c>
      <c r="BC75" s="325">
        <v>7524322.4972050227</v>
      </c>
      <c r="BD75" s="325">
        <v>7524353.4972050227</v>
      </c>
      <c r="BE75" s="325">
        <v>7524383.4972050227</v>
      </c>
      <c r="BF75" s="325">
        <v>7524414.4972050227</v>
      </c>
      <c r="BG75" s="325">
        <v>7524445.4972050227</v>
      </c>
      <c r="BH75" s="325">
        <v>7524473.4972050227</v>
      </c>
      <c r="BI75" s="325">
        <v>7524504.4972050227</v>
      </c>
      <c r="BJ75" s="325">
        <v>7898472.372065275</v>
      </c>
      <c r="BK75" s="325">
        <v>7898503.372065275</v>
      </c>
      <c r="BL75" s="325">
        <v>7898533.372065275</v>
      </c>
      <c r="BM75" s="325">
        <v>7898564.372065275</v>
      </c>
      <c r="BN75" s="325">
        <v>7898595.372065275</v>
      </c>
      <c r="BO75" s="325">
        <v>7898625.372065275</v>
      </c>
      <c r="BP75" s="325">
        <v>7898656.372065275</v>
      </c>
      <c r="BQ75" s="325">
        <v>7898686.372065275</v>
      </c>
      <c r="BR75" s="325">
        <v>7898717.372065275</v>
      </c>
      <c r="BS75" s="325">
        <v>7898748.372065275</v>
      </c>
      <c r="BT75" s="325">
        <v>7898776.372065275</v>
      </c>
      <c r="BU75" s="325">
        <v>7898807.372065275</v>
      </c>
      <c r="BV75" s="325">
        <v>8291472.1406685384</v>
      </c>
      <c r="BW75" s="325">
        <v>8291503.1406685384</v>
      </c>
      <c r="BX75" s="325">
        <v>8291533.1406685384</v>
      </c>
      <c r="BY75" s="325">
        <v>8291564.1406685384</v>
      </c>
      <c r="BZ75" s="325">
        <v>8291595.1406685384</v>
      </c>
      <c r="CA75" s="325">
        <v>8291625.1406685384</v>
      </c>
      <c r="CB75" s="325">
        <v>8291656.1406685384</v>
      </c>
      <c r="CC75" s="325">
        <v>8291686.1406685384</v>
      </c>
      <c r="CD75" s="325">
        <v>8291717.1406685384</v>
      </c>
      <c r="CE75" s="325">
        <v>8291748.1406685384</v>
      </c>
      <c r="CF75" s="325">
        <v>8291776.1406685384</v>
      </c>
      <c r="CG75" s="325">
        <v>8291807.1406685384</v>
      </c>
      <c r="CH75" s="325">
        <v>8704103.6477019619</v>
      </c>
      <c r="CI75" s="325">
        <v>8704134.6477019619</v>
      </c>
      <c r="CJ75" s="325">
        <v>8704164.6477019619</v>
      </c>
      <c r="CK75" s="325">
        <v>8704195.6477019619</v>
      </c>
      <c r="CL75" s="325">
        <v>8704226.6477019619</v>
      </c>
      <c r="CM75" s="325">
        <v>8704256.6477019619</v>
      </c>
      <c r="CN75" s="325">
        <v>8704287.6477019619</v>
      </c>
      <c r="CO75" s="325">
        <v>8704317.6477019619</v>
      </c>
      <c r="CP75" s="325">
        <v>8704348.6477019619</v>
      </c>
      <c r="CQ75" s="325">
        <v>8704379.6477019619</v>
      </c>
      <c r="CR75" s="325">
        <v>8704408.6477019619</v>
      </c>
      <c r="CS75" s="325">
        <v>8704439.6477019619</v>
      </c>
      <c r="CT75" s="325">
        <v>9137349.4800870586</v>
      </c>
      <c r="CU75" s="325">
        <v>9137380.4800870586</v>
      </c>
      <c r="CV75" s="325">
        <v>9137410.4800870586</v>
      </c>
      <c r="CW75" s="325">
        <v>9137441.4800870586</v>
      </c>
      <c r="CX75" s="325">
        <v>9137472.4800870586</v>
      </c>
      <c r="CY75" s="325">
        <v>9137502.4800870586</v>
      </c>
    </row>
    <row r="76" spans="1:103" ht="15">
      <c r="A76" s="319" t="s">
        <v>683</v>
      </c>
      <c r="B76" s="384" t="s">
        <v>681</v>
      </c>
      <c r="C76" s="384" t="s">
        <v>683</v>
      </c>
      <c r="D76" s="325">
        <v>7638807.799999998</v>
      </c>
      <c r="E76" s="325">
        <v>7638838.799999998</v>
      </c>
      <c r="F76" s="325">
        <v>7638869.799999998</v>
      </c>
      <c r="G76" s="325">
        <v>7638899.799999998</v>
      </c>
      <c r="H76" s="325">
        <v>7638930.799999998</v>
      </c>
      <c r="I76" s="325">
        <v>7638960.799999998</v>
      </c>
      <c r="J76" s="325">
        <v>7638991.799999998</v>
      </c>
      <c r="K76" s="325">
        <v>7639022.799999998</v>
      </c>
      <c r="L76" s="325">
        <v>7639050.799999998</v>
      </c>
      <c r="M76" s="325">
        <v>7639081.799999998</v>
      </c>
      <c r="N76" s="325">
        <v>8170747.5059999991</v>
      </c>
      <c r="O76" s="325">
        <v>8170778.5059999991</v>
      </c>
      <c r="P76" s="325">
        <v>8170808.5059999991</v>
      </c>
      <c r="Q76" s="325">
        <v>8170839.5059999991</v>
      </c>
      <c r="R76" s="325">
        <v>8170870.5059999991</v>
      </c>
      <c r="S76" s="325">
        <v>8170900.5059999991</v>
      </c>
      <c r="T76" s="325">
        <v>8170931.5059999991</v>
      </c>
      <c r="U76" s="325">
        <v>8170961.5059999991</v>
      </c>
      <c r="V76" s="325">
        <v>8170992.5059999991</v>
      </c>
      <c r="W76" s="325">
        <v>8171023.5059999991</v>
      </c>
      <c r="X76" s="325">
        <v>8171051.5059999991</v>
      </c>
      <c r="Y76" s="325">
        <v>8171082.5059999991</v>
      </c>
      <c r="Z76" s="325">
        <v>8739962.7114199959</v>
      </c>
      <c r="AA76" s="325">
        <v>8739993.7114199959</v>
      </c>
      <c r="AB76" s="325">
        <v>8740023.7114199959</v>
      </c>
      <c r="AC76" s="325">
        <v>8740054.7114199959</v>
      </c>
      <c r="AD76" s="325">
        <v>8740085.7114199959</v>
      </c>
      <c r="AE76" s="325">
        <v>8740115.7114199959</v>
      </c>
      <c r="AF76" s="325">
        <v>8740146.7114199959</v>
      </c>
      <c r="AG76" s="325">
        <v>8740176.7114199959</v>
      </c>
      <c r="AH76" s="325">
        <v>8740207.7114199959</v>
      </c>
      <c r="AI76" s="325">
        <v>8740238.7114199959</v>
      </c>
      <c r="AJ76" s="325">
        <v>8740266.7114199959</v>
      </c>
      <c r="AK76" s="325">
        <v>8740297.7114199959</v>
      </c>
      <c r="AL76" s="325">
        <v>9175091.7969910018</v>
      </c>
      <c r="AM76" s="325">
        <v>9175122.7969910018</v>
      </c>
      <c r="AN76" s="325">
        <v>9175152.7969910018</v>
      </c>
      <c r="AO76" s="325">
        <v>9175183.7969910018</v>
      </c>
      <c r="AP76" s="325">
        <v>9175214.7969910018</v>
      </c>
      <c r="AQ76" s="325">
        <v>9175244.7969910018</v>
      </c>
      <c r="AR76" s="325">
        <v>9175275.7969910018</v>
      </c>
      <c r="AS76" s="325">
        <v>9175305.7969910018</v>
      </c>
      <c r="AT76" s="325">
        <v>9175336.7969910018</v>
      </c>
      <c r="AU76" s="325">
        <v>9175367.7969910018</v>
      </c>
      <c r="AV76" s="325">
        <v>9175396.7969910018</v>
      </c>
      <c r="AW76" s="325">
        <v>9175427.7969910018</v>
      </c>
      <c r="AX76" s="325">
        <v>9631960.0868405513</v>
      </c>
      <c r="AY76" s="325">
        <v>9631991.0868405513</v>
      </c>
      <c r="AZ76" s="325">
        <v>9632021.0868405513</v>
      </c>
      <c r="BA76" s="325">
        <v>9632052.0868405513</v>
      </c>
      <c r="BB76" s="325">
        <v>9632083.0868405513</v>
      </c>
      <c r="BC76" s="325">
        <v>9632113.0868405513</v>
      </c>
      <c r="BD76" s="325">
        <v>9632144.0868405513</v>
      </c>
      <c r="BE76" s="325">
        <v>9632174.0868405513</v>
      </c>
      <c r="BF76" s="325">
        <v>9632205.0868405513</v>
      </c>
      <c r="BG76" s="325">
        <v>9632236.0868405513</v>
      </c>
      <c r="BH76" s="325">
        <v>9632264.0868405513</v>
      </c>
      <c r="BI76" s="325">
        <v>9632295.0868405513</v>
      </c>
      <c r="BJ76" s="325">
        <v>10111652.491182577</v>
      </c>
      <c r="BK76" s="325">
        <v>10111683.491182577</v>
      </c>
      <c r="BL76" s="325">
        <v>10111713.491182577</v>
      </c>
      <c r="BM76" s="325">
        <v>10111744.491182577</v>
      </c>
      <c r="BN76" s="325">
        <v>10111775.491182577</v>
      </c>
      <c r="BO76" s="325">
        <v>10111805.491182577</v>
      </c>
      <c r="BP76" s="325">
        <v>10111836.491182577</v>
      </c>
      <c r="BQ76" s="325">
        <v>10111866.491182577</v>
      </c>
      <c r="BR76" s="325">
        <v>10111897.491182577</v>
      </c>
      <c r="BS76" s="325">
        <v>10111928.491182577</v>
      </c>
      <c r="BT76" s="325">
        <v>10111956.491182577</v>
      </c>
      <c r="BU76" s="325">
        <v>10111987.491182577</v>
      </c>
      <c r="BV76" s="325">
        <v>10615311.265741711</v>
      </c>
      <c r="BW76" s="325">
        <v>10615342.265741711</v>
      </c>
      <c r="BX76" s="325">
        <v>10615372.265741711</v>
      </c>
      <c r="BY76" s="325">
        <v>10615403.265741711</v>
      </c>
      <c r="BZ76" s="325">
        <v>10615434.265741711</v>
      </c>
      <c r="CA76" s="325">
        <v>10615464.265741711</v>
      </c>
      <c r="CB76" s="325">
        <v>10615495.265741711</v>
      </c>
      <c r="CC76" s="325">
        <v>10615525.265741711</v>
      </c>
      <c r="CD76" s="325">
        <v>10615556.265741711</v>
      </c>
      <c r="CE76" s="325">
        <v>10615587.265741711</v>
      </c>
      <c r="CF76" s="325">
        <v>10615615.265741711</v>
      </c>
      <c r="CG76" s="325">
        <v>10615646.265741711</v>
      </c>
      <c r="CH76" s="325">
        <v>11144134.729028793</v>
      </c>
      <c r="CI76" s="325">
        <v>11144165.729028793</v>
      </c>
      <c r="CJ76" s="325">
        <v>11144195.729028793</v>
      </c>
      <c r="CK76" s="325">
        <v>11144226.729028793</v>
      </c>
      <c r="CL76" s="325">
        <v>11144257.729028793</v>
      </c>
      <c r="CM76" s="325">
        <v>11144287.729028793</v>
      </c>
      <c r="CN76" s="325">
        <v>11144318.729028793</v>
      </c>
      <c r="CO76" s="325">
        <v>11144348.729028793</v>
      </c>
      <c r="CP76" s="325">
        <v>11144379.729028793</v>
      </c>
      <c r="CQ76" s="325">
        <v>11144410.729028793</v>
      </c>
      <c r="CR76" s="325">
        <v>11144439.729028793</v>
      </c>
      <c r="CS76" s="325">
        <v>11144470.729028793</v>
      </c>
      <c r="CT76" s="325">
        <v>11699382.115480226</v>
      </c>
      <c r="CU76" s="325">
        <v>11699413.115480226</v>
      </c>
      <c r="CV76" s="325">
        <v>11699443.115480226</v>
      </c>
      <c r="CW76" s="325">
        <v>11699474.115480226</v>
      </c>
      <c r="CX76" s="325">
        <v>11699505.115480226</v>
      </c>
      <c r="CY76" s="325">
        <v>11699535.115480226</v>
      </c>
    </row>
    <row r="77" spans="1:103" ht="15">
      <c r="A77" s="319" t="s">
        <v>244</v>
      </c>
      <c r="B77" s="384" t="s">
        <v>681</v>
      </c>
      <c r="C77" s="384" t="s">
        <v>244</v>
      </c>
      <c r="D77" s="325">
        <f>'Monthly PL'!B23*10000000</f>
        <v>900000</v>
      </c>
      <c r="E77" s="325">
        <f>'Monthly PL'!C23*10000000</f>
        <v>300000</v>
      </c>
      <c r="F77" s="325">
        <f>'Monthly PL'!D23*10000000</f>
        <v>400000</v>
      </c>
      <c r="G77" s="325">
        <f>'Monthly PL'!E23*10000000</f>
        <v>400000</v>
      </c>
      <c r="H77" s="325">
        <f>'Monthly PL'!F23*10000000</f>
        <v>400000</v>
      </c>
      <c r="I77" s="325">
        <f>'Monthly PL'!G23*10000000</f>
        <v>400000</v>
      </c>
      <c r="J77" s="325">
        <f>'Monthly PL'!H23*10000000</f>
        <v>400000</v>
      </c>
      <c r="K77" s="325">
        <f>'Monthly PL'!I23*10000000</f>
        <v>400000</v>
      </c>
      <c r="L77" s="325">
        <f>'Monthly PL'!J23*10000000</f>
        <v>400000</v>
      </c>
      <c r="M77" s="325">
        <f>'Monthly PL'!K23*10000000</f>
        <v>400000</v>
      </c>
      <c r="N77" s="325">
        <f>'Monthly PL'!L23*10000000</f>
        <v>0</v>
      </c>
      <c r="O77" s="325">
        <f>'Monthly PL'!M23*10000000</f>
        <v>0</v>
      </c>
      <c r="P77" s="325">
        <f>'Monthly PL'!N23*10000000</f>
        <v>0</v>
      </c>
      <c r="Q77" s="325">
        <f>'Monthly PL'!O23*10000000</f>
        <v>0</v>
      </c>
      <c r="R77" s="325">
        <f>'Monthly PL'!P23*10000000</f>
        <v>0</v>
      </c>
      <c r="S77" s="325">
        <f>'Monthly PL'!Q23*10000000</f>
        <v>0</v>
      </c>
      <c r="T77" s="325">
        <f>'Monthly PL'!R23*10000000</f>
        <v>0</v>
      </c>
      <c r="U77" s="325">
        <f>'Monthly PL'!S23*10000000</f>
        <v>0</v>
      </c>
      <c r="V77" s="325">
        <f>'Monthly PL'!T23*10000000</f>
        <v>0</v>
      </c>
      <c r="W77" s="325">
        <f>'Monthly PL'!U23*10000000</f>
        <v>0</v>
      </c>
      <c r="X77" s="325">
        <f>'Monthly PL'!V23*10000000</f>
        <v>0</v>
      </c>
      <c r="Y77" s="325">
        <f>'Monthly PL'!W23*10000000</f>
        <v>307500000</v>
      </c>
      <c r="Z77" s="325">
        <f>'Monthly PL'!X23*10000000</f>
        <v>0</v>
      </c>
      <c r="AA77" s="325">
        <f>'Monthly PL'!Y23*10000000</f>
        <v>0</v>
      </c>
      <c r="AB77" s="325">
        <f>'Monthly PL'!Z23*10000000</f>
        <v>0</v>
      </c>
      <c r="AC77" s="325">
        <f>'Monthly PL'!AA23*10000000</f>
        <v>0</v>
      </c>
      <c r="AD77" s="325">
        <f>'Monthly PL'!AB23*10000000</f>
        <v>0</v>
      </c>
      <c r="AE77" s="325">
        <f>'Monthly PL'!AC23*10000000</f>
        <v>0</v>
      </c>
      <c r="AF77" s="325">
        <f>'Monthly PL'!AD23*10000000</f>
        <v>0</v>
      </c>
      <c r="AG77" s="325">
        <f>'Monthly PL'!AE23*10000000</f>
        <v>0</v>
      </c>
      <c r="AH77" s="325">
        <f>'Monthly PL'!AF23*10000000</f>
        <v>0</v>
      </c>
      <c r="AI77" s="325">
        <f>'Monthly PL'!AG23*10000000</f>
        <v>0</v>
      </c>
      <c r="AJ77" s="325">
        <f>'Monthly PL'!AH23*10000000</f>
        <v>0</v>
      </c>
      <c r="AK77" s="325">
        <f>'Monthly PL'!AI23*10000000</f>
        <v>455000000</v>
      </c>
      <c r="AL77" s="325">
        <f>'Monthly PL'!AJ23*10000000</f>
        <v>0</v>
      </c>
      <c r="AM77" s="325">
        <f>'Monthly PL'!AK23*10000000</f>
        <v>0</v>
      </c>
      <c r="AN77" s="325">
        <f>'Monthly PL'!AL23*10000000</f>
        <v>0</v>
      </c>
      <c r="AO77" s="325">
        <f>'Monthly PL'!AM23*10000000</f>
        <v>0</v>
      </c>
      <c r="AP77" s="325">
        <f>'Monthly PL'!AN23*10000000</f>
        <v>0</v>
      </c>
      <c r="AQ77" s="325">
        <f>'Monthly PL'!AO23*10000000</f>
        <v>0</v>
      </c>
      <c r="AR77" s="325">
        <f>'Monthly PL'!AP23*10000000</f>
        <v>0</v>
      </c>
      <c r="AS77" s="325">
        <f>'Monthly PL'!AQ23*10000000</f>
        <v>0</v>
      </c>
      <c r="AT77" s="325">
        <f>'Monthly PL'!AR23*10000000</f>
        <v>0</v>
      </c>
      <c r="AU77" s="325">
        <f>'Monthly PL'!AS23*10000000</f>
        <v>0</v>
      </c>
      <c r="AV77" s="325">
        <f>'Monthly PL'!AT23*10000000</f>
        <v>0</v>
      </c>
      <c r="AW77" s="325">
        <f>'Monthly PL'!AU23*10000000</f>
        <v>455000000</v>
      </c>
      <c r="AX77" s="325">
        <f>'Monthly PL'!AV23*10000000</f>
        <v>0</v>
      </c>
      <c r="AY77" s="325">
        <f>'Monthly PL'!AW23*10000000</f>
        <v>0</v>
      </c>
      <c r="AZ77" s="325">
        <f>'Monthly PL'!AX23*10000000</f>
        <v>0</v>
      </c>
      <c r="BA77" s="325">
        <f>'Monthly PL'!AY23*10000000</f>
        <v>0</v>
      </c>
      <c r="BB77" s="325">
        <f>'Monthly PL'!AZ23*10000000</f>
        <v>0</v>
      </c>
      <c r="BC77" s="325">
        <f>'Monthly PL'!BA23*10000000</f>
        <v>0</v>
      </c>
      <c r="BD77" s="325">
        <f>'Monthly PL'!BB23*10000000</f>
        <v>0</v>
      </c>
      <c r="BE77" s="325">
        <f>'Monthly PL'!BC23*10000000</f>
        <v>0</v>
      </c>
      <c r="BF77" s="325">
        <f>'Monthly PL'!BD23*10000000</f>
        <v>0</v>
      </c>
      <c r="BG77" s="325">
        <f>'Monthly PL'!BE23*10000000</f>
        <v>0</v>
      </c>
      <c r="BH77" s="325">
        <f>'Monthly PL'!BF23*10000000</f>
        <v>0</v>
      </c>
      <c r="BI77" s="325">
        <f>'Monthly PL'!BG23*10000000</f>
        <v>455000000</v>
      </c>
      <c r="BJ77" s="325">
        <f>'Monthly PL'!BH23*10000000</f>
        <v>0</v>
      </c>
      <c r="BK77" s="325">
        <f>'Monthly PL'!BI23*10000000</f>
        <v>0</v>
      </c>
      <c r="BL77" s="325">
        <f>'Monthly PL'!BJ23*10000000</f>
        <v>0</v>
      </c>
      <c r="BM77" s="325">
        <f>'Monthly PL'!BK23*10000000</f>
        <v>0</v>
      </c>
      <c r="BN77" s="325">
        <f>'Monthly PL'!BL23*10000000</f>
        <v>0</v>
      </c>
      <c r="BO77" s="325">
        <f>'Monthly PL'!BM23*10000000</f>
        <v>0</v>
      </c>
      <c r="BP77" s="325">
        <f>'Monthly PL'!BN23*10000000</f>
        <v>0</v>
      </c>
      <c r="BQ77" s="325">
        <f>'Monthly PL'!BO23*10000000</f>
        <v>0</v>
      </c>
      <c r="BR77" s="325">
        <f>'Monthly PL'!BP23*10000000</f>
        <v>0</v>
      </c>
      <c r="BS77" s="325">
        <f>'Monthly PL'!BQ23*10000000</f>
        <v>0</v>
      </c>
      <c r="BT77" s="325">
        <f>'Monthly PL'!BR23*10000000</f>
        <v>0</v>
      </c>
      <c r="BU77" s="325">
        <f>'Monthly PL'!BS23*10000000</f>
        <v>455000000</v>
      </c>
      <c r="BV77" s="325">
        <f>'Monthly PL'!BT23*10000000</f>
        <v>0</v>
      </c>
      <c r="BW77" s="325">
        <f>'Monthly PL'!BU23*10000000</f>
        <v>0</v>
      </c>
      <c r="BX77" s="325">
        <f>'Monthly PL'!BV23*10000000</f>
        <v>0</v>
      </c>
      <c r="BY77" s="325">
        <f>'Monthly PL'!BW23*10000000</f>
        <v>0</v>
      </c>
      <c r="BZ77" s="325">
        <f>'Monthly PL'!BX23*10000000</f>
        <v>0</v>
      </c>
      <c r="CA77" s="325">
        <f>'Monthly PL'!BY23*10000000</f>
        <v>0</v>
      </c>
      <c r="CB77" s="325">
        <f>'Monthly PL'!BZ23*10000000</f>
        <v>0</v>
      </c>
      <c r="CC77" s="325">
        <f>'Monthly PL'!CA23*10000000</f>
        <v>0</v>
      </c>
      <c r="CD77" s="325">
        <f>'Monthly PL'!CB23*10000000</f>
        <v>0</v>
      </c>
      <c r="CE77" s="325">
        <f>'Monthly PL'!CC23*10000000</f>
        <v>0</v>
      </c>
      <c r="CF77" s="325">
        <f>'Monthly PL'!CD23*10000000</f>
        <v>0</v>
      </c>
      <c r="CG77" s="325">
        <f>'Monthly PL'!CE23*10000000</f>
        <v>455000000</v>
      </c>
      <c r="CH77" s="325">
        <f>'Monthly PL'!CF23*10000000</f>
        <v>0</v>
      </c>
      <c r="CI77" s="325">
        <f>'Monthly PL'!CG23*10000000</f>
        <v>0</v>
      </c>
      <c r="CJ77" s="325">
        <f>'Monthly PL'!CH23*10000000</f>
        <v>0</v>
      </c>
      <c r="CK77" s="325">
        <f>'Monthly PL'!CI23*10000000</f>
        <v>0</v>
      </c>
      <c r="CL77" s="325">
        <f>'Monthly PL'!CJ23*10000000</f>
        <v>0</v>
      </c>
      <c r="CM77" s="325">
        <f>'Monthly PL'!CK23*10000000</f>
        <v>0</v>
      </c>
      <c r="CN77" s="325">
        <f>'Monthly PL'!CL23*10000000</f>
        <v>0</v>
      </c>
      <c r="CO77" s="325">
        <f>'Monthly PL'!CM23*10000000</f>
        <v>0</v>
      </c>
      <c r="CP77" s="325">
        <f>'Monthly PL'!CN23*10000000</f>
        <v>0</v>
      </c>
      <c r="CQ77" s="325">
        <f>'Monthly PL'!CO23*10000000</f>
        <v>0</v>
      </c>
      <c r="CR77" s="325">
        <f>'Monthly PL'!CP23*10000000</f>
        <v>0</v>
      </c>
      <c r="CS77" s="325">
        <f>'Monthly PL'!CQ23*10000000</f>
        <v>460400000</v>
      </c>
      <c r="CT77" s="325">
        <f>'Monthly PL'!CR23*10000000</f>
        <v>0</v>
      </c>
      <c r="CU77" s="325">
        <f>'Monthly PL'!CS23*10000000</f>
        <v>0</v>
      </c>
      <c r="CV77" s="325">
        <f>'Monthly PL'!CT23*10000000</f>
        <v>0</v>
      </c>
      <c r="CW77" s="325">
        <f>'Monthly PL'!CU23*10000000</f>
        <v>0</v>
      </c>
      <c r="CX77" s="325">
        <f>'Monthly PL'!CV23*10000000</f>
        <v>0</v>
      </c>
      <c r="CY77" s="325">
        <f>'Monthly PL'!CW23*10000000</f>
        <v>0</v>
      </c>
    </row>
    <row r="78" spans="1:103" ht="15">
      <c r="A78" s="319" t="s">
        <v>384</v>
      </c>
      <c r="B78" s="384" t="s">
        <v>681</v>
      </c>
      <c r="C78" s="384" t="s">
        <v>684</v>
      </c>
      <c r="D78" s="325">
        <f>'Monthly PL'!B27*10000000</f>
        <v>300000</v>
      </c>
      <c r="E78" s="325">
        <f>'Monthly PL'!C27*10000000</f>
        <v>100000</v>
      </c>
      <c r="F78" s="325">
        <f>'Monthly PL'!D27*10000000</f>
        <v>261000.00000000003</v>
      </c>
      <c r="G78" s="325">
        <f>'Monthly PL'!E27*10000000</f>
        <v>261000.00000000003</v>
      </c>
      <c r="H78" s="325">
        <f>'Monthly PL'!F27*10000000</f>
        <v>261000.00000000003</v>
      </c>
      <c r="I78" s="325">
        <f>'Monthly PL'!G27*10000000</f>
        <v>261000.00000000003</v>
      </c>
      <c r="J78" s="325">
        <f>'Monthly PL'!H27*10000000</f>
        <v>261000.00000000003</v>
      </c>
      <c r="K78" s="325">
        <f>'Monthly PL'!I27*10000000</f>
        <v>261000.00000000003</v>
      </c>
      <c r="L78" s="325">
        <f>'Monthly PL'!J27*10000000</f>
        <v>261000.00000000003</v>
      </c>
      <c r="M78" s="325">
        <f>'Monthly PL'!K27*10000000</f>
        <v>261000.00000000003</v>
      </c>
      <c r="N78" s="325">
        <f>'Monthly PL'!L27*10000000</f>
        <v>261000.00000000003</v>
      </c>
      <c r="O78" s="325">
        <f>'Monthly PL'!M27*10000000</f>
        <v>261000.00000000003</v>
      </c>
      <c r="P78" s="325">
        <f>'Monthly PL'!N27*10000000</f>
        <v>261000.00000000003</v>
      </c>
      <c r="Q78" s="325">
        <f>'Monthly PL'!O27*10000000</f>
        <v>261000.00000000003</v>
      </c>
      <c r="R78" s="325">
        <f>'Monthly PL'!P27*10000000</f>
        <v>261000.00000000003</v>
      </c>
      <c r="S78" s="325">
        <f>'Monthly PL'!Q27*10000000</f>
        <v>261000.00000000003</v>
      </c>
      <c r="T78" s="325">
        <f>'Monthly PL'!R27*10000000</f>
        <v>261000.00000000003</v>
      </c>
      <c r="U78" s="325">
        <f>'Monthly PL'!S27*10000000</f>
        <v>261000.00000000003</v>
      </c>
      <c r="V78" s="325">
        <f>'Monthly PL'!T27*10000000</f>
        <v>0</v>
      </c>
      <c r="W78" s="325">
        <f>'Monthly PL'!U27*10000000</f>
        <v>0</v>
      </c>
      <c r="X78" s="325">
        <f>'Monthly PL'!V27*10000000</f>
        <v>0</v>
      </c>
      <c r="Y78" s="325">
        <f>'Monthly PL'!W27*10000000</f>
        <v>0</v>
      </c>
      <c r="Z78" s="325">
        <f>'Monthly PL'!X27*10000000</f>
        <v>0</v>
      </c>
      <c r="AA78" s="325">
        <f>'Monthly PL'!Y27*10000000</f>
        <v>0</v>
      </c>
      <c r="AB78" s="325">
        <f>'Monthly PL'!Z27*10000000</f>
        <v>0</v>
      </c>
      <c r="AC78" s="325">
        <f>'Monthly PL'!AA27*10000000</f>
        <v>0</v>
      </c>
      <c r="AD78" s="325">
        <f>'Monthly PL'!AB27*10000000</f>
        <v>0</v>
      </c>
      <c r="AE78" s="325">
        <f>'Monthly PL'!AC27*10000000</f>
        <v>0</v>
      </c>
      <c r="AF78" s="325">
        <f>'Monthly PL'!AD27*10000000</f>
        <v>0</v>
      </c>
      <c r="AG78" s="325">
        <f>'Monthly PL'!AE27*10000000</f>
        <v>0</v>
      </c>
      <c r="AH78" s="325">
        <f>'Monthly PL'!AF27*10000000</f>
        <v>0</v>
      </c>
      <c r="AI78" s="325">
        <f>'Monthly PL'!AG27*10000000</f>
        <v>0</v>
      </c>
      <c r="AJ78" s="325">
        <f>'Monthly PL'!AH27*10000000</f>
        <v>0</v>
      </c>
      <c r="AK78" s="325">
        <f>'Monthly PL'!AI27*10000000</f>
        <v>0</v>
      </c>
      <c r="AL78" s="325">
        <f>'Monthly PL'!AJ27*10000000</f>
        <v>0</v>
      </c>
      <c r="AM78" s="325">
        <f>'Monthly PL'!AK27*10000000</f>
        <v>0</v>
      </c>
      <c r="AN78" s="325">
        <f>'Monthly PL'!AL27*10000000</f>
        <v>0</v>
      </c>
      <c r="AO78" s="325">
        <f>'Monthly PL'!AM27*10000000</f>
        <v>0</v>
      </c>
      <c r="AP78" s="325">
        <f>'Monthly PL'!AN27*10000000</f>
        <v>0</v>
      </c>
      <c r="AQ78" s="325">
        <f>'Monthly PL'!AO27*10000000</f>
        <v>0</v>
      </c>
      <c r="AR78" s="325">
        <f>'Monthly PL'!AP27*10000000</f>
        <v>0</v>
      </c>
      <c r="AS78" s="325">
        <f>'Monthly PL'!AQ27*10000000</f>
        <v>0</v>
      </c>
      <c r="AT78" s="325">
        <f>'Monthly PL'!AR27*10000000</f>
        <v>0</v>
      </c>
      <c r="AU78" s="325">
        <f>'Monthly PL'!AS27*10000000</f>
        <v>0</v>
      </c>
      <c r="AV78" s="325">
        <f>'Monthly PL'!AT27*10000000</f>
        <v>0</v>
      </c>
      <c r="AW78" s="325">
        <f>'Monthly PL'!AU27*10000000</f>
        <v>0</v>
      </c>
      <c r="AX78" s="325">
        <f>'Monthly PL'!AV27*10000000</f>
        <v>0</v>
      </c>
      <c r="AY78" s="325">
        <f>'Monthly PL'!AW27*10000000</f>
        <v>0</v>
      </c>
      <c r="AZ78" s="325">
        <f>'Monthly PL'!AX27*10000000</f>
        <v>0</v>
      </c>
      <c r="BA78" s="325">
        <f>'Monthly PL'!AY27*10000000</f>
        <v>0</v>
      </c>
      <c r="BB78" s="325">
        <f>'Monthly PL'!AZ27*10000000</f>
        <v>0</v>
      </c>
      <c r="BC78" s="325">
        <f>'Monthly PL'!BA27*10000000</f>
        <v>0</v>
      </c>
      <c r="BD78" s="325">
        <f>'Monthly PL'!BB27*10000000</f>
        <v>0</v>
      </c>
      <c r="BE78" s="325">
        <f>'Monthly PL'!BC27*10000000</f>
        <v>0</v>
      </c>
      <c r="BF78" s="325">
        <f>'Monthly PL'!BD27*10000000</f>
        <v>0</v>
      </c>
      <c r="BG78" s="325">
        <f>'Monthly PL'!BE27*10000000</f>
        <v>0</v>
      </c>
      <c r="BH78" s="325">
        <f>'Monthly PL'!BF27*10000000</f>
        <v>0</v>
      </c>
      <c r="BI78" s="325">
        <f>'Monthly PL'!BG27*10000000</f>
        <v>0</v>
      </c>
      <c r="BJ78" s="325">
        <f>'Monthly PL'!BH27*10000000</f>
        <v>0</v>
      </c>
      <c r="BK78" s="325">
        <f>'Monthly PL'!BI27*10000000</f>
        <v>0</v>
      </c>
      <c r="BL78" s="325">
        <f>'Monthly PL'!BJ27*10000000</f>
        <v>0</v>
      </c>
      <c r="BM78" s="325">
        <f>'Monthly PL'!BK27*10000000</f>
        <v>0</v>
      </c>
      <c r="BN78" s="325">
        <f>'Monthly PL'!BL27*10000000</f>
        <v>0</v>
      </c>
      <c r="BO78" s="325">
        <f>'Monthly PL'!BM27*10000000</f>
        <v>0</v>
      </c>
      <c r="BP78" s="325">
        <f>'Monthly PL'!BN27*10000000</f>
        <v>0</v>
      </c>
      <c r="BQ78" s="325">
        <f>'Monthly PL'!BO27*10000000</f>
        <v>0</v>
      </c>
      <c r="BR78" s="325">
        <f>'Monthly PL'!BP27*10000000</f>
        <v>0</v>
      </c>
      <c r="BS78" s="325">
        <f>'Monthly PL'!BQ27*10000000</f>
        <v>0</v>
      </c>
      <c r="BT78" s="325">
        <f>'Monthly PL'!BR27*10000000</f>
        <v>0</v>
      </c>
      <c r="BU78" s="325">
        <f>'Monthly PL'!BS27*10000000</f>
        <v>0</v>
      </c>
      <c r="BV78" s="325">
        <f>'Monthly PL'!BT27*10000000</f>
        <v>0</v>
      </c>
      <c r="BW78" s="325">
        <f>'Monthly PL'!BU27*10000000</f>
        <v>0</v>
      </c>
      <c r="BX78" s="325">
        <f>'Monthly PL'!BV27*10000000</f>
        <v>0</v>
      </c>
      <c r="BY78" s="325">
        <f>'Monthly PL'!BW27*10000000</f>
        <v>0</v>
      </c>
      <c r="BZ78" s="325">
        <f>'Monthly PL'!BX27*10000000</f>
        <v>0</v>
      </c>
      <c r="CA78" s="325">
        <f>'Monthly PL'!BY27*10000000</f>
        <v>0</v>
      </c>
      <c r="CB78" s="325">
        <f>'Monthly PL'!BZ27*10000000</f>
        <v>0</v>
      </c>
      <c r="CC78" s="325">
        <f>'Monthly PL'!CA27*10000000</f>
        <v>0</v>
      </c>
      <c r="CD78" s="325">
        <f>'Monthly PL'!CB27*10000000</f>
        <v>0</v>
      </c>
      <c r="CE78" s="325">
        <f>'Monthly PL'!CC27*10000000</f>
        <v>0</v>
      </c>
      <c r="CF78" s="325">
        <f>'Monthly PL'!CD27*10000000</f>
        <v>0</v>
      </c>
      <c r="CG78" s="325">
        <f>'Monthly PL'!CE27*10000000</f>
        <v>0</v>
      </c>
      <c r="CH78" s="325">
        <f>'Monthly PL'!CF27*10000000</f>
        <v>0</v>
      </c>
      <c r="CI78" s="325">
        <f>'Monthly PL'!CG27*10000000</f>
        <v>0</v>
      </c>
      <c r="CJ78" s="325">
        <f>'Monthly PL'!CH27*10000000</f>
        <v>0</v>
      </c>
      <c r="CK78" s="325">
        <f>'Monthly PL'!CI27*10000000</f>
        <v>0</v>
      </c>
      <c r="CL78" s="325">
        <f>'Monthly PL'!CJ27*10000000</f>
        <v>0</v>
      </c>
      <c r="CM78" s="325">
        <f>'Monthly PL'!CK27*10000000</f>
        <v>0</v>
      </c>
      <c r="CN78" s="325">
        <f>'Monthly PL'!CL27*10000000</f>
        <v>0</v>
      </c>
      <c r="CO78" s="325">
        <f>'Monthly PL'!CM27*10000000</f>
        <v>0</v>
      </c>
      <c r="CP78" s="325">
        <f>'Monthly PL'!CN27*10000000</f>
        <v>0</v>
      </c>
      <c r="CQ78" s="325">
        <f>'Monthly PL'!CO27*10000000</f>
        <v>0</v>
      </c>
      <c r="CR78" s="325">
        <f>'Monthly PL'!CP27*10000000</f>
        <v>0</v>
      </c>
      <c r="CS78" s="325">
        <f>'Monthly PL'!CQ27*10000000</f>
        <v>0</v>
      </c>
      <c r="CT78" s="325">
        <f>'Monthly PL'!CR27*10000000</f>
        <v>0</v>
      </c>
      <c r="CU78" s="325">
        <f>'Monthly PL'!CS27*10000000</f>
        <v>0</v>
      </c>
      <c r="CV78" s="325">
        <f>'Monthly PL'!CT27*10000000</f>
        <v>0</v>
      </c>
      <c r="CW78" s="325">
        <f>'Monthly PL'!CU27*10000000</f>
        <v>0</v>
      </c>
      <c r="CX78" s="325">
        <f>'Monthly PL'!CV27*10000000</f>
        <v>0</v>
      </c>
      <c r="CY78" s="325">
        <f>'Monthly PL'!CW27*10000000</f>
        <v>0</v>
      </c>
    </row>
    <row r="79" spans="1:103" ht="15">
      <c r="A79" s="319" t="s">
        <v>685</v>
      </c>
      <c r="B79" s="384" t="s">
        <v>681</v>
      </c>
      <c r="C79" s="384" t="s">
        <v>686</v>
      </c>
      <c r="D79" s="325">
        <f>'Monthly PL'!B18*10000000</f>
        <v>2867500</v>
      </c>
      <c r="E79" s="325">
        <f>'Monthly PL'!C18*10000000</f>
        <v>1073975.1840430107</v>
      </c>
      <c r="F79" s="325">
        <f>'Monthly PL'!D18*10000000</f>
        <v>1835591.6010666667</v>
      </c>
      <c r="G79" s="325">
        <f>'Monthly PL'!E18*10000000</f>
        <v>3418425.4485333324</v>
      </c>
      <c r="H79" s="325">
        <f>'Monthly PL'!F18*10000000</f>
        <v>1913452.3583999998</v>
      </c>
      <c r="I79" s="325">
        <f>'Monthly PL'!G18*10000000</f>
        <v>2902635.6057600006</v>
      </c>
      <c r="J79" s="325">
        <f>'Monthly PL'!H18*10000000</f>
        <v>1991313.1157333336</v>
      </c>
      <c r="K79" s="325">
        <f>'Monthly PL'!I18*10000000</f>
        <v>3046631.4395733341</v>
      </c>
      <c r="L79" s="325">
        <f>'Monthly PL'!J18*10000000</f>
        <v>2394159.9498666665</v>
      </c>
      <c r="M79" s="325">
        <f>'Monthly PL'!K18*10000000</f>
        <v>3100079.082026667</v>
      </c>
      <c r="N79" s="325">
        <f>'Monthly PL'!L18*10000000</f>
        <v>1647759.52</v>
      </c>
      <c r="O79" s="325">
        <f>'Monthly PL'!M18*10000000</f>
        <v>3196980.8816000004</v>
      </c>
      <c r="P79" s="325">
        <f>'Monthly PL'!N18*10000000</f>
        <v>1674230.6239999998</v>
      </c>
      <c r="Q79" s="325">
        <f>'Monthly PL'!O18*10000000</f>
        <v>3495268.4272000003</v>
      </c>
      <c r="R79" s="325">
        <f>'Monthly PL'!P18*10000000</f>
        <v>1922675.8671999997</v>
      </c>
      <c r="S79" s="325">
        <f>'Monthly PL'!Q18*10000000</f>
        <v>3602667.9655999998</v>
      </c>
      <c r="T79" s="325">
        <f>'Monthly PL'!R18*10000000</f>
        <v>1901101.0480000002</v>
      </c>
      <c r="U79" s="325">
        <f>'Monthly PL'!S18*10000000</f>
        <v>3624248.0120000006</v>
      </c>
      <c r="V79" s="325">
        <f>'Monthly PL'!T18*10000000</f>
        <v>1901834.2287999997</v>
      </c>
      <c r="W79" s="325">
        <f>'Monthly PL'!U18*10000000</f>
        <v>3757371.5431999997</v>
      </c>
      <c r="X79" s="325">
        <f>'Monthly PL'!V18*10000000</f>
        <v>1780171.6416</v>
      </c>
      <c r="Y79" s="325">
        <f>'Monthly PL'!W18*10000000</f>
        <v>3809913.2015999998</v>
      </c>
      <c r="Z79" s="325">
        <f>'Monthly PL'!X18*10000000</f>
        <v>2108818.9440000001</v>
      </c>
      <c r="AA79" s="325">
        <f>'Monthly PL'!Y18*10000000</f>
        <v>4227231.3599999994</v>
      </c>
      <c r="AB79" s="325">
        <f>'Monthly PL'!Z18*10000000</f>
        <v>2149177.344</v>
      </c>
      <c r="AC79" s="325">
        <f>'Monthly PL'!AA18*10000000</f>
        <v>4309966.080000001</v>
      </c>
      <c r="AD79" s="325">
        <f>'Monthly PL'!AB18*10000000</f>
        <v>2250342.3999999999</v>
      </c>
      <c r="AE79" s="325">
        <f>'Monthly PL'!AC18*10000000</f>
        <v>4294360.8320000004</v>
      </c>
      <c r="AF79" s="325">
        <f>'Monthly PL'!AD18*10000000</f>
        <v>2267023.872</v>
      </c>
      <c r="AG79" s="325">
        <f>'Monthly PL'!AE18*10000000</f>
        <v>4276297.7279999992</v>
      </c>
      <c r="AH79" s="325">
        <f>'Monthly PL'!AF18*10000000</f>
        <v>2233086.4640000002</v>
      </c>
      <c r="AI79" s="325">
        <f>'Monthly PL'!AG18*10000000</f>
        <v>4414188.9279999994</v>
      </c>
      <c r="AJ79" s="325">
        <f>'Monthly PL'!AH18*10000000</f>
        <v>3838289.9199999999</v>
      </c>
      <c r="AK79" s="325">
        <f>'Monthly PL'!AI18*10000000</f>
        <v>4427359.2192000002</v>
      </c>
      <c r="AL79" s="325">
        <f>'Monthly PL'!AJ18*10000000</f>
        <v>2894415.7473600004</v>
      </c>
      <c r="AM79" s="325">
        <f>'Monthly PL'!AK18*10000000</f>
        <v>5326621.5842879992</v>
      </c>
      <c r="AN79" s="325">
        <f>'Monthly PL'!AL18*10000000</f>
        <v>2928994.82448</v>
      </c>
      <c r="AO79" s="325">
        <f>'Monthly PL'!AM18*10000000</f>
        <v>5397508.6923839999</v>
      </c>
      <c r="AP79" s="325">
        <f>'Monthly PL'!AN18*10000000</f>
        <v>3042241.302048</v>
      </c>
      <c r="AQ79" s="325">
        <f>'Monthly PL'!AO18*10000000</f>
        <v>5388863.9231039993</v>
      </c>
      <c r="AR79" s="325">
        <f>'Monthly PL'!AP18*10000000</f>
        <v>3035858.1069120001</v>
      </c>
      <c r="AS79" s="325">
        <f>'Monthly PL'!AQ18*10000000</f>
        <v>5416483.4871359989</v>
      </c>
      <c r="AT79" s="325">
        <f>'Monthly PL'!AR18*10000000</f>
        <v>3071589.8199359998</v>
      </c>
      <c r="AU79" s="325">
        <f>'Monthly PL'!AS18*10000000</f>
        <v>5634637.348760521</v>
      </c>
      <c r="AV79" s="325">
        <f>'Monthly PL'!AT18*10000000</f>
        <v>2943843.9030931196</v>
      </c>
      <c r="AW79" s="325">
        <f>'Monthly PL'!AU18*10000000</f>
        <v>5599505.499550079</v>
      </c>
      <c r="AX79" s="325">
        <f>'Monthly PL'!AV18*10000000</f>
        <v>2907736.3434883198</v>
      </c>
      <c r="AY79" s="325">
        <f>'Monthly PL'!AW18*10000000</f>
        <v>5667574.4516542563</v>
      </c>
      <c r="AZ79" s="325">
        <f>'Monthly PL'!AX18*10000000</f>
        <v>2925890.3589763204</v>
      </c>
      <c r="BA79" s="325">
        <f>'Monthly PL'!AY18*10000000</f>
        <v>5704790.1834046543</v>
      </c>
      <c r="BB79" s="325">
        <f>'Monthly PL'!AZ18*10000000</f>
        <v>3032421.9039464639</v>
      </c>
      <c r="BC79" s="325">
        <f>'Monthly PL'!BA18*10000000</f>
        <v>5653174.5352857122</v>
      </c>
      <c r="BD79" s="325">
        <f>'Monthly PL'!BB18*10000000</f>
        <v>3051181.0532840644</v>
      </c>
      <c r="BE79" s="325">
        <f>'Monthly PL'!BC18*10000000</f>
        <v>5689785.1331865117</v>
      </c>
      <c r="BF79" s="325">
        <f>'Monthly PL'!BD18*10000000</f>
        <v>3069940.2026216639</v>
      </c>
      <c r="BG79" s="325">
        <f>'Monthly PL'!BE18*10000000</f>
        <v>5861231.2772465283</v>
      </c>
      <c r="BH79" s="325">
        <f>'Monthly PL'!BF18*10000000</f>
        <v>2818120.5588664329</v>
      </c>
      <c r="BI79" s="325">
        <f>'Monthly PL'!BG18*10000000</f>
        <v>5763460.1793753114</v>
      </c>
      <c r="BJ79" s="325">
        <f>'Monthly PL'!BH18*10000000</f>
        <v>3419731.2955076448</v>
      </c>
      <c r="BK79" s="325">
        <f>'Monthly PL'!BI18*10000000</f>
        <v>6852608.6194825163</v>
      </c>
      <c r="BL79" s="325">
        <f>'Monthly PL'!BJ18*10000000</f>
        <v>3430617.3225293751</v>
      </c>
      <c r="BM79" s="325">
        <f>'Monthly PL'!BK18*10000000</f>
        <v>6874924.9748770595</v>
      </c>
      <c r="BN79" s="325">
        <f>'Monthly PL'!BL18*10000000</f>
        <v>3550941.4863694753</v>
      </c>
      <c r="BO79" s="325">
        <f>'Monthly PL'!BM18*10000000</f>
        <v>6787531.0427776938</v>
      </c>
      <c r="BP79" s="325">
        <f>'Monthly PL'!BN18*10000000</f>
        <v>3562190.3809585972</v>
      </c>
      <c r="BQ79" s="325">
        <f>'Monthly PL'!BO18*10000000</f>
        <v>6809484.5306048505</v>
      </c>
      <c r="BR79" s="325">
        <f>'Monthly PL'!BP18*10000000</f>
        <v>3573439.2755477177</v>
      </c>
      <c r="BS79" s="325">
        <f>'Monthly PL'!BQ18*10000000</f>
        <v>6996955.9770372761</v>
      </c>
      <c r="BT79" s="325">
        <f>'Monthly PL'!BR18*10000000</f>
        <v>3253107.9515752099</v>
      </c>
      <c r="BU79" s="325">
        <f>'Monthly PL'!BS18*10000000</f>
        <v>6853663.6569347028</v>
      </c>
      <c r="BV79" s="325">
        <f>'Monthly PL'!BT18*10000000</f>
        <v>3856853.7872858043</v>
      </c>
      <c r="BW79" s="325">
        <f>'Monthly PL'!BU18*10000000</f>
        <v>7749652.6496741837</v>
      </c>
      <c r="BX79" s="325">
        <f>'Monthly PL'!BV18*10000000</f>
        <v>3868956.4879158461</v>
      </c>
      <c r="BY79" s="325">
        <f>'Monthly PL'!BW18*10000000</f>
        <v>7774463.1859657662</v>
      </c>
      <c r="BZ79" s="325">
        <f>'Monthly PL'!BX18*10000000</f>
        <v>4005149.186664083</v>
      </c>
      <c r="CA79" s="325">
        <f>'Monthly PL'!BY18*10000000</f>
        <v>7674881.1566234035</v>
      </c>
      <c r="CB79" s="325">
        <f>'Monthly PL'!BZ18*10000000</f>
        <v>4017655.3106484599</v>
      </c>
      <c r="CC79" s="325">
        <f>'Monthly PL'!CA18*10000000</f>
        <v>7699288.2695606509</v>
      </c>
      <c r="CD79" s="325">
        <f>'Monthly PL'!CB18*10000000</f>
        <v>4030161.4346328345</v>
      </c>
      <c r="CE79" s="325">
        <f>'Monthly PL'!CC18*10000000</f>
        <v>7978983.7158288062</v>
      </c>
      <c r="CF79" s="325">
        <f>'Monthly PL'!CD18*10000000</f>
        <v>3707562.1902256282</v>
      </c>
      <c r="CG79" s="325">
        <f>'Monthly PL'!CE18*10000000</f>
        <v>7836661.409671261</v>
      </c>
      <c r="CH79" s="325">
        <f>'Monthly PL'!CF18*10000000</f>
        <v>4164068.1595713231</v>
      </c>
      <c r="CI79" s="325">
        <f>'Monthly PL'!CG18*10000000</f>
        <v>8380025.6107953917</v>
      </c>
      <c r="CJ79" s="325">
        <f>'Monthly PL'!CH18*10000000</f>
        <v>4176923.7607638142</v>
      </c>
      <c r="CK79" s="325">
        <f>'Monthly PL'!CI18*10000000</f>
        <v>8406379.5932400003</v>
      </c>
      <c r="CL79" s="325">
        <f>'Monthly PL'!CJ18*10000000</f>
        <v>4324160.0325215152</v>
      </c>
      <c r="CM79" s="325">
        <f>'Monthly PL'!CK18*10000000</f>
        <v>8298031.5150895836</v>
      </c>
      <c r="CN79" s="325">
        <f>'Monthly PL'!CL18*10000000</f>
        <v>4337444.1537537556</v>
      </c>
      <c r="CO79" s="325">
        <f>'Monthly PL'!CM18*10000000</f>
        <v>8323956.97749444</v>
      </c>
      <c r="CP79" s="325">
        <f>'Monthly PL'!CN18*10000000</f>
        <v>4350728.274985997</v>
      </c>
      <c r="CQ79" s="325">
        <f>'Monthly PL'!CO18*10000000</f>
        <v>8553060.3958961759</v>
      </c>
      <c r="CR79" s="325">
        <f>'Monthly PL'!CP18*10000000</f>
        <v>4092679.9348493209</v>
      </c>
      <c r="CS79" s="325">
        <f>'Monthly PL'!CQ18*10000000</f>
        <v>8443962.4076761976</v>
      </c>
      <c r="CT79" s="325">
        <f>'Monthly PL'!CR18*10000000</f>
        <v>4445343.8928125836</v>
      </c>
      <c r="CU79" s="325">
        <f>'Monthly PL'!CS18*10000000</f>
        <v>8957139.0184861869</v>
      </c>
      <c r="CV79" s="325">
        <f>'Monthly PL'!CT18*10000000</f>
        <v>4458842.2740647001</v>
      </c>
      <c r="CW79" s="325">
        <f>'Monthly PL'!CU18*10000000</f>
        <v>8984810.7000530213</v>
      </c>
      <c r="CX79" s="325">
        <f>'Monthly PL'!CV18*10000000</f>
        <v>4616140.0356607093</v>
      </c>
      <c r="CY79" s="325">
        <f>'Monthly PL'!CW18*10000000</f>
        <v>8868345.5417446624</v>
      </c>
    </row>
    <row r="80" spans="1:103" ht="15">
      <c r="A80" s="319" t="s">
        <v>687</v>
      </c>
      <c r="B80" s="384" t="s">
        <v>681</v>
      </c>
      <c r="C80" s="384" t="s">
        <v>686</v>
      </c>
      <c r="D80" s="325">
        <f>'Monthly PL'!B19*10000000</f>
        <v>2000000</v>
      </c>
      <c r="E80" s="325">
        <f>'Monthly PL'!C19*10000000</f>
        <v>700000.00000000012</v>
      </c>
      <c r="F80" s="325">
        <f>'Monthly PL'!D19*10000000</f>
        <v>0</v>
      </c>
      <c r="G80" s="325">
        <f>'Monthly PL'!E19*10000000</f>
        <v>0</v>
      </c>
      <c r="H80" s="325">
        <f>'Monthly PL'!F19*10000000</f>
        <v>0</v>
      </c>
      <c r="I80" s="325">
        <f>'Monthly PL'!G19*10000000</f>
        <v>0</v>
      </c>
      <c r="J80" s="325">
        <f>'Monthly PL'!H19*10000000</f>
        <v>0</v>
      </c>
      <c r="K80" s="325">
        <f>'Monthly PL'!I19*10000000</f>
        <v>0</v>
      </c>
      <c r="L80" s="325">
        <f>'Monthly PL'!J19*10000000</f>
        <v>0</v>
      </c>
      <c r="M80" s="325">
        <f>'Monthly PL'!K19*10000000</f>
        <v>0</v>
      </c>
      <c r="N80" s="325">
        <f>'Monthly PL'!L19*10000000</f>
        <v>0</v>
      </c>
      <c r="O80" s="325">
        <f>'Monthly PL'!M19*10000000</f>
        <v>0</v>
      </c>
      <c r="P80" s="325">
        <f>'Monthly PL'!N19*10000000</f>
        <v>0</v>
      </c>
      <c r="Q80" s="325">
        <f>'Monthly PL'!O19*10000000</f>
        <v>0</v>
      </c>
      <c r="R80" s="325">
        <f>'Monthly PL'!P19*10000000</f>
        <v>0</v>
      </c>
      <c r="S80" s="325">
        <f>'Monthly PL'!Q19*10000000</f>
        <v>667500</v>
      </c>
      <c r="T80" s="325">
        <f>'Monthly PL'!R19*10000000</f>
        <v>42500</v>
      </c>
      <c r="U80" s="325">
        <f>'Monthly PL'!S19*10000000</f>
        <v>298040</v>
      </c>
      <c r="V80" s="325">
        <f>'Monthly PL'!T19*10000000</f>
        <v>2144403.4084134884</v>
      </c>
      <c r="W80" s="325">
        <f>'Monthly PL'!U19*10000000</f>
        <v>2531824.203001</v>
      </c>
      <c r="X80" s="325">
        <f>'Monthly PL'!V19*10000000</f>
        <v>3262540.525225</v>
      </c>
      <c r="Y80" s="325">
        <f>'Monthly PL'!W19*10000000</f>
        <v>2673527.135923001</v>
      </c>
      <c r="Z80" s="325">
        <f>'Monthly PL'!X19*10000000</f>
        <v>0</v>
      </c>
      <c r="AA80" s="325">
        <f>'Monthly PL'!Y19*10000000</f>
        <v>0</v>
      </c>
      <c r="AB80" s="325">
        <f>'Monthly PL'!Z19*10000000</f>
        <v>0</v>
      </c>
      <c r="AC80" s="325">
        <f>'Monthly PL'!AA19*10000000</f>
        <v>667500</v>
      </c>
      <c r="AD80" s="325">
        <f>'Monthly PL'!AB19*10000000</f>
        <v>12542500</v>
      </c>
      <c r="AE80" s="325">
        <f>'Monthly PL'!AC19*10000000</f>
        <v>298040</v>
      </c>
      <c r="AF80" s="325">
        <f>'Monthly PL'!AD19*10000000</f>
        <v>2144403.4084134884</v>
      </c>
      <c r="AG80" s="325">
        <f>'Monthly PL'!AE19*10000000</f>
        <v>2531824.203001</v>
      </c>
      <c r="AH80" s="325">
        <f>'Monthly PL'!AF19*10000000</f>
        <v>3262540.525225</v>
      </c>
      <c r="AI80" s="325">
        <f>'Monthly PL'!AG19*10000000</f>
        <v>2673527.135923001</v>
      </c>
      <c r="AJ80" s="325">
        <f>'Monthly PL'!AH19*10000000</f>
        <v>2552897.314737</v>
      </c>
      <c r="AK80" s="325">
        <f>'Monthly PL'!AI19*10000000</f>
        <v>2514368.5436672671</v>
      </c>
      <c r="AL80" s="325">
        <f>'Monthly PL'!AJ19*10000000</f>
        <v>993308.17813200015</v>
      </c>
      <c r="AM80" s="325">
        <f>'Monthly PL'!AK19*10000000</f>
        <v>1207838.068219376</v>
      </c>
      <c r="AN80" s="325">
        <f>'Monthly PL'!AL19*10000000</f>
        <v>754349.03128800006</v>
      </c>
      <c r="AO80" s="325">
        <f>'Monthly PL'!AM19*10000000</f>
        <v>961674.56279772799</v>
      </c>
      <c r="AP80" s="325">
        <f>'Monthly PL'!AN19*10000000</f>
        <v>727671</v>
      </c>
      <c r="AQ80" s="325">
        <f>'Monthly PL'!AO19*10000000</f>
        <v>4506735.6000000006</v>
      </c>
      <c r="AR80" s="325">
        <f>'Monthly PL'!AP19*10000000</f>
        <v>271950.37500000006</v>
      </c>
      <c r="AS80" s="325">
        <f>'Monthly PL'!AQ19*10000000</f>
        <v>202414.5</v>
      </c>
      <c r="AT80" s="325">
        <f>'Monthly PL'!AR19*10000000</f>
        <v>711649.06825000013</v>
      </c>
      <c r="AU80" s="325">
        <f>'Monthly PL'!AS19*10000000</f>
        <v>0</v>
      </c>
      <c r="AV80" s="325">
        <f>'Monthly PL'!AT19*10000000</f>
        <v>0</v>
      </c>
      <c r="AW80" s="325">
        <f>'Monthly PL'!AU19*10000000</f>
        <v>0</v>
      </c>
      <c r="AX80" s="325">
        <f>'Monthly PL'!AV19*10000000</f>
        <v>0</v>
      </c>
      <c r="AY80" s="325">
        <f>'Monthly PL'!AW19*10000000</f>
        <v>0</v>
      </c>
      <c r="AZ80" s="325">
        <f>'Monthly PL'!AX19*10000000</f>
        <v>0</v>
      </c>
      <c r="BA80" s="325">
        <f>'Monthly PL'!AY19*10000000</f>
        <v>0</v>
      </c>
      <c r="BB80" s="325">
        <f>'Monthly PL'!AZ19*10000000</f>
        <v>0</v>
      </c>
      <c r="BC80" s="325">
        <f>'Monthly PL'!BA19*10000000</f>
        <v>0</v>
      </c>
      <c r="BD80" s="325">
        <f>'Monthly PL'!BB19*10000000</f>
        <v>0</v>
      </c>
      <c r="BE80" s="325">
        <f>'Monthly PL'!BC19*10000000</f>
        <v>0</v>
      </c>
      <c r="BF80" s="325">
        <f>'Monthly PL'!BD19*10000000</f>
        <v>0</v>
      </c>
      <c r="BG80" s="325">
        <f>'Monthly PL'!BE19*10000000</f>
        <v>0</v>
      </c>
      <c r="BH80" s="325">
        <f>'Monthly PL'!BF19*10000000</f>
        <v>0</v>
      </c>
      <c r="BI80" s="325">
        <f>'Monthly PL'!BG19*10000000</f>
        <v>0</v>
      </c>
      <c r="BJ80" s="325">
        <f>'Monthly PL'!BH19*10000000</f>
        <v>0</v>
      </c>
      <c r="BK80" s="325">
        <f>'Monthly PL'!BI19*10000000</f>
        <v>0</v>
      </c>
      <c r="BL80" s="325">
        <f>'Monthly PL'!BJ19*10000000</f>
        <v>0</v>
      </c>
      <c r="BM80" s="325">
        <f>'Monthly PL'!BK19*10000000</f>
        <v>0</v>
      </c>
      <c r="BN80" s="325">
        <f>'Monthly PL'!BL19*10000000</f>
        <v>0</v>
      </c>
      <c r="BO80" s="325">
        <f>'Monthly PL'!BM19*10000000</f>
        <v>0</v>
      </c>
      <c r="BP80" s="325">
        <f>'Monthly PL'!BN19*10000000</f>
        <v>0</v>
      </c>
      <c r="BQ80" s="325">
        <f>'Monthly PL'!BO19*10000000</f>
        <v>0</v>
      </c>
      <c r="BR80" s="325">
        <f>'Monthly PL'!BP19*10000000</f>
        <v>0</v>
      </c>
      <c r="BS80" s="325">
        <f>'Monthly PL'!BQ19*10000000</f>
        <v>0</v>
      </c>
      <c r="BT80" s="325">
        <f>'Monthly PL'!BR19*10000000</f>
        <v>0</v>
      </c>
      <c r="BU80" s="325">
        <f>'Monthly PL'!BS19*10000000</f>
        <v>0</v>
      </c>
      <c r="BV80" s="325">
        <f>'Monthly PL'!BT19*10000000</f>
        <v>0</v>
      </c>
      <c r="BW80" s="325">
        <f>'Monthly PL'!BU19*10000000</f>
        <v>0</v>
      </c>
      <c r="BX80" s="325">
        <f>'Monthly PL'!BV19*10000000</f>
        <v>0</v>
      </c>
      <c r="BY80" s="325">
        <f>'Monthly PL'!BW19*10000000</f>
        <v>0</v>
      </c>
      <c r="BZ80" s="325">
        <f>'Monthly PL'!BX19*10000000</f>
        <v>0</v>
      </c>
      <c r="CA80" s="325">
        <f>'Monthly PL'!BY19*10000000</f>
        <v>0</v>
      </c>
      <c r="CB80" s="325">
        <f>'Monthly PL'!BZ19*10000000</f>
        <v>0</v>
      </c>
      <c r="CC80" s="325">
        <f>'Monthly PL'!CA19*10000000</f>
        <v>0</v>
      </c>
      <c r="CD80" s="325">
        <f>'Monthly PL'!CB19*10000000</f>
        <v>0</v>
      </c>
      <c r="CE80" s="325">
        <f>'Monthly PL'!CC19*10000000</f>
        <v>0</v>
      </c>
      <c r="CF80" s="325">
        <f>'Monthly PL'!CD19*10000000</f>
        <v>0</v>
      </c>
      <c r="CG80" s="325">
        <f>'Monthly PL'!CE19*10000000</f>
        <v>0</v>
      </c>
      <c r="CH80" s="325">
        <f>'Monthly PL'!CF19*10000000</f>
        <v>0</v>
      </c>
      <c r="CI80" s="325">
        <f>'Monthly PL'!CG19*10000000</f>
        <v>0</v>
      </c>
      <c r="CJ80" s="325">
        <f>'Monthly PL'!CH19*10000000</f>
        <v>0</v>
      </c>
      <c r="CK80" s="325">
        <f>'Monthly PL'!CI19*10000000</f>
        <v>0</v>
      </c>
      <c r="CL80" s="325">
        <f>'Monthly PL'!CJ19*10000000</f>
        <v>0</v>
      </c>
      <c r="CM80" s="325">
        <f>'Monthly PL'!CK19*10000000</f>
        <v>0</v>
      </c>
      <c r="CN80" s="325">
        <f>'Monthly PL'!CL19*10000000</f>
        <v>0</v>
      </c>
      <c r="CO80" s="325">
        <f>'Monthly PL'!CM19*10000000</f>
        <v>0</v>
      </c>
      <c r="CP80" s="325">
        <f>'Monthly PL'!CN19*10000000</f>
        <v>0</v>
      </c>
      <c r="CQ80" s="325">
        <f>'Monthly PL'!CO19*10000000</f>
        <v>0</v>
      </c>
      <c r="CR80" s="325">
        <f>'Monthly PL'!CP19*10000000</f>
        <v>0</v>
      </c>
      <c r="CS80" s="325">
        <f>'Monthly PL'!CQ19*10000000</f>
        <v>0</v>
      </c>
      <c r="CT80" s="325">
        <f>'Monthly PL'!CR19*10000000</f>
        <v>0</v>
      </c>
      <c r="CU80" s="325">
        <f>'Monthly PL'!CS19*10000000</f>
        <v>0</v>
      </c>
      <c r="CV80" s="325">
        <f>'Monthly PL'!CT19*10000000</f>
        <v>0</v>
      </c>
      <c r="CW80" s="325">
        <f>'Monthly PL'!CU19*10000000</f>
        <v>0</v>
      </c>
      <c r="CX80" s="325">
        <f>'Monthly PL'!CV19*10000000</f>
        <v>0</v>
      </c>
      <c r="CY80" s="325">
        <f>'Monthly PL'!CW19*10000000</f>
        <v>0</v>
      </c>
    </row>
    <row r="81" spans="1:103" ht="15">
      <c r="A81" s="319" t="s">
        <v>381</v>
      </c>
      <c r="B81" s="384" t="s">
        <v>681</v>
      </c>
      <c r="C81" s="384" t="s">
        <v>381</v>
      </c>
      <c r="D81" s="325">
        <f>'Monthly PL'!B24*10000000</f>
        <v>0</v>
      </c>
      <c r="E81" s="325">
        <f>'Monthly PL'!C24*10000000</f>
        <v>0</v>
      </c>
      <c r="F81" s="325">
        <f>'Monthly PL'!D24*10000000</f>
        <v>0</v>
      </c>
      <c r="G81" s="325">
        <f>'Monthly PL'!E24*10000000</f>
        <v>0</v>
      </c>
      <c r="H81" s="325">
        <f>'Monthly PL'!F24*10000000</f>
        <v>0</v>
      </c>
      <c r="I81" s="325">
        <f>'Monthly PL'!G24*10000000</f>
        <v>0</v>
      </c>
      <c r="J81" s="325">
        <f>'Monthly PL'!H24*10000000</f>
        <v>0</v>
      </c>
      <c r="K81" s="325">
        <f>'Monthly PL'!I24*10000000</f>
        <v>0</v>
      </c>
      <c r="L81" s="325">
        <f>'Monthly PL'!J24*10000000</f>
        <v>0</v>
      </c>
      <c r="M81" s="325">
        <f>'Monthly PL'!K24*10000000</f>
        <v>0</v>
      </c>
      <c r="N81" s="325">
        <f>'Monthly PL'!L24*10000000</f>
        <v>15484758.33333333</v>
      </c>
      <c r="O81" s="325">
        <f>'Monthly PL'!M24*10000000</f>
        <v>15484758.33333333</v>
      </c>
      <c r="P81" s="325">
        <f>'Monthly PL'!N24*10000000</f>
        <v>15484758.33333333</v>
      </c>
      <c r="Q81" s="325">
        <f>'Monthly PL'!O24*10000000</f>
        <v>15484758.33333333</v>
      </c>
      <c r="R81" s="325">
        <f>'Monthly PL'!P24*10000000</f>
        <v>15484758.33333333</v>
      </c>
      <c r="S81" s="325">
        <f>'Monthly PL'!Q24*10000000</f>
        <v>15484758.33333333</v>
      </c>
      <c r="T81" s="325">
        <f>'Monthly PL'!R24*10000000</f>
        <v>15484758.33333333</v>
      </c>
      <c r="U81" s="325">
        <f>'Monthly PL'!S24*10000000</f>
        <v>15484758.33333333</v>
      </c>
      <c r="V81" s="325">
        <f>'Monthly PL'!T24*10000000</f>
        <v>15484758.33333333</v>
      </c>
      <c r="W81" s="325">
        <f>'Monthly PL'!U24*10000000</f>
        <v>20661036.607468676</v>
      </c>
      <c r="X81" s="325">
        <f>'Monthly PL'!V24*10000000</f>
        <v>20661036.607468676</v>
      </c>
      <c r="Y81" s="325">
        <f>'Monthly PL'!W24*10000000</f>
        <v>20661036.607468676</v>
      </c>
      <c r="Z81" s="325">
        <f>'Monthly PL'!X24*10000000</f>
        <v>22975608.469164338</v>
      </c>
      <c r="AA81" s="325">
        <f>'Monthly PL'!Y24*10000000</f>
        <v>22975608.469164338</v>
      </c>
      <c r="AB81" s="325">
        <f>'Monthly PL'!Z24*10000000</f>
        <v>22837706.276777629</v>
      </c>
      <c r="AC81" s="325">
        <f>'Monthly PL'!AA24*10000000</f>
        <v>22837706.276777629</v>
      </c>
      <c r="AD81" s="325">
        <f>'Monthly PL'!AB24*10000000</f>
        <v>10690674.40171005</v>
      </c>
      <c r="AE81" s="325">
        <f>'Monthly PL'!AC24*10000000</f>
        <v>16206762.097178293</v>
      </c>
      <c r="AF81" s="325">
        <f>'Monthly PL'!AD24*10000000</f>
        <v>16206762.097178293</v>
      </c>
      <c r="AG81" s="325">
        <f>'Monthly PL'!AE24*10000000</f>
        <v>16206762.097178293</v>
      </c>
      <c r="AH81" s="325">
        <f>'Monthly PL'!AF24*10000000</f>
        <v>16206762.097178293</v>
      </c>
      <c r="AI81" s="325">
        <f>'Monthly PL'!AG24*10000000</f>
        <v>12967391.197846973</v>
      </c>
      <c r="AJ81" s="325">
        <f>'Monthly PL'!AH24*10000000</f>
        <v>12967391.197846973</v>
      </c>
      <c r="AK81" s="325">
        <f>'Monthly PL'!AI24*10000000</f>
        <v>12967391.197846973</v>
      </c>
      <c r="AL81" s="325">
        <f>'Monthly PL'!AJ24*10000000</f>
        <v>12967391.197846973</v>
      </c>
      <c r="AM81" s="325">
        <f>'Monthly PL'!AK24*10000000</f>
        <v>12967391.197846973</v>
      </c>
      <c r="AN81" s="325">
        <f>'Monthly PL'!AL24*10000000</f>
        <v>12967391.197846973</v>
      </c>
      <c r="AO81" s="325">
        <f>'Monthly PL'!AM24*10000000</f>
        <v>12967391.197846973</v>
      </c>
      <c r="AP81" s="325">
        <f>'Monthly PL'!AN24*10000000</f>
        <v>12967391.197846973</v>
      </c>
      <c r="AQ81" s="325">
        <f>'Monthly PL'!AO24*10000000</f>
        <v>12967391.197846973</v>
      </c>
      <c r="AR81" s="325">
        <f>'Monthly PL'!AP24*10000000</f>
        <v>12967391.197846973</v>
      </c>
      <c r="AS81" s="325">
        <f>'Monthly PL'!AQ24*10000000</f>
        <v>12967391.197846973</v>
      </c>
      <c r="AT81" s="325">
        <f>'Monthly PL'!AR24*10000000</f>
        <v>12967391.197846973</v>
      </c>
      <c r="AU81" s="325">
        <f>'Monthly PL'!AS24*10000000</f>
        <v>12967391.197846973</v>
      </c>
      <c r="AV81" s="325">
        <f>'Monthly PL'!AT24*10000000</f>
        <v>12967391.197846973</v>
      </c>
      <c r="AW81" s="325">
        <f>'Monthly PL'!AU24*10000000</f>
        <v>12837717.285868509</v>
      </c>
      <c r="AX81" s="325">
        <f>'Monthly PL'!AV24*10000000</f>
        <v>12837717.285868509</v>
      </c>
      <c r="AY81" s="325">
        <f>'Monthly PL'!AW24*10000000</f>
        <v>12837717.285868509</v>
      </c>
      <c r="AZ81" s="325">
        <f>'Monthly PL'!AX24*10000000</f>
        <v>12448695.549933095</v>
      </c>
      <c r="BA81" s="325">
        <f>'Monthly PL'!AY24*10000000</f>
        <v>12448695.549933095</v>
      </c>
      <c r="BB81" s="325">
        <f>'Monthly PL'!AZ24*10000000</f>
        <v>12448695.549933095</v>
      </c>
      <c r="BC81" s="325">
        <f>'Monthly PL'!BA24*10000000</f>
        <v>12059673.813997684</v>
      </c>
      <c r="BD81" s="325">
        <f>'Monthly PL'!BB24*10000000</f>
        <v>12059673.813997684</v>
      </c>
      <c r="BE81" s="325">
        <f>'Monthly PL'!BC24*10000000</f>
        <v>12059673.813997684</v>
      </c>
      <c r="BF81" s="325">
        <f>'Monthly PL'!BD24*10000000</f>
        <v>11670652.078062275</v>
      </c>
      <c r="BG81" s="325">
        <f>'Monthly PL'!BE24*10000000</f>
        <v>11670652.078062275</v>
      </c>
      <c r="BH81" s="325">
        <f>'Monthly PL'!BF24*10000000</f>
        <v>11670652.078062275</v>
      </c>
      <c r="BI81" s="325">
        <f>'Monthly PL'!BG24*10000000</f>
        <v>11151956.430148397</v>
      </c>
      <c r="BJ81" s="325">
        <f>'Monthly PL'!BH24*10000000</f>
        <v>11151956.430148397</v>
      </c>
      <c r="BK81" s="325">
        <f>'Monthly PL'!BI24*10000000</f>
        <v>11151956.430148397</v>
      </c>
      <c r="BL81" s="325">
        <f>'Monthly PL'!BJ24*10000000</f>
        <v>10633260.782234518</v>
      </c>
      <c r="BM81" s="325">
        <f>'Monthly PL'!BK24*10000000</f>
        <v>10633260.782234518</v>
      </c>
      <c r="BN81" s="325">
        <f>'Monthly PL'!BL24*10000000</f>
        <v>10633260.782234518</v>
      </c>
      <c r="BO81" s="325">
        <f>'Monthly PL'!BM24*10000000</f>
        <v>10114565.134320637</v>
      </c>
      <c r="BP81" s="325">
        <f>'Monthly PL'!BN24*10000000</f>
        <v>10114565.134320637</v>
      </c>
      <c r="BQ81" s="325">
        <f>'Monthly PL'!BO24*10000000</f>
        <v>10114565.134320637</v>
      </c>
      <c r="BR81" s="325">
        <f>'Monthly PL'!BP24*10000000</f>
        <v>9595869.4864067566</v>
      </c>
      <c r="BS81" s="325">
        <f>'Monthly PL'!BQ24*10000000</f>
        <v>9595869.4864067566</v>
      </c>
      <c r="BT81" s="325">
        <f>'Monthly PL'!BR24*10000000</f>
        <v>9595869.4864067566</v>
      </c>
      <c r="BU81" s="325">
        <f>'Monthly PL'!BS24*10000000</f>
        <v>8979918.4045090266</v>
      </c>
      <c r="BV81" s="325">
        <f>'Monthly PL'!BT24*10000000</f>
        <v>8979918.4045090266</v>
      </c>
      <c r="BW81" s="325">
        <f>'Monthly PL'!BU24*10000000</f>
        <v>8979918.4045090266</v>
      </c>
      <c r="BX81" s="325">
        <f>'Monthly PL'!BV24*10000000</f>
        <v>8363967.3226112947</v>
      </c>
      <c r="BY81" s="325">
        <f>'Monthly PL'!BW24*10000000</f>
        <v>8363967.3226112947</v>
      </c>
      <c r="BZ81" s="325">
        <f>'Monthly PL'!BX24*10000000</f>
        <v>8363967.3226112947</v>
      </c>
      <c r="CA81" s="325">
        <f>'Monthly PL'!BY24*10000000</f>
        <v>7748016.2407135619</v>
      </c>
      <c r="CB81" s="325">
        <f>'Monthly PL'!BZ24*10000000</f>
        <v>7748016.2407135619</v>
      </c>
      <c r="CC81" s="325">
        <f>'Monthly PL'!CA24*10000000</f>
        <v>7748016.2407135619</v>
      </c>
      <c r="CD81" s="325">
        <f>'Monthly PL'!CB24*10000000</f>
        <v>7132065.1588158328</v>
      </c>
      <c r="CE81" s="325">
        <f>'Monthly PL'!CC24*10000000</f>
        <v>7132065.1588158328</v>
      </c>
      <c r="CF81" s="325">
        <f>'Monthly PL'!CD24*10000000</f>
        <v>7132065.1588158328</v>
      </c>
      <c r="CG81" s="325">
        <f>'Monthly PL'!CE24*10000000</f>
        <v>6516114.0769181</v>
      </c>
      <c r="CH81" s="325">
        <f>'Monthly PL'!CF24*10000000</f>
        <v>6516114.0769181</v>
      </c>
      <c r="CI81" s="325">
        <f>'Monthly PL'!CG24*10000000</f>
        <v>6516114.0769181</v>
      </c>
      <c r="CJ81" s="325">
        <f>'Monthly PL'!CH24*10000000</f>
        <v>5673233.6490580468</v>
      </c>
      <c r="CK81" s="325">
        <f>'Monthly PL'!CI24*10000000</f>
        <v>5673233.6490580468</v>
      </c>
      <c r="CL81" s="325">
        <f>'Monthly PL'!CJ24*10000000</f>
        <v>5673233.6490580468</v>
      </c>
      <c r="CM81" s="325">
        <f>'Monthly PL'!CK24*10000000</f>
        <v>4830353.2211979926</v>
      </c>
      <c r="CN81" s="325">
        <f>'Monthly PL'!CL24*10000000</f>
        <v>4830353.2211979926</v>
      </c>
      <c r="CO81" s="325">
        <f>'Monthly PL'!CM24*10000000</f>
        <v>4830353.2211979926</v>
      </c>
      <c r="CP81" s="325">
        <f>'Monthly PL'!CN24*10000000</f>
        <v>3663288.0133917658</v>
      </c>
      <c r="CQ81" s="325">
        <f>'Monthly PL'!CO24*10000000</f>
        <v>3663288.0133917658</v>
      </c>
      <c r="CR81" s="325">
        <f>'Monthly PL'!CP24*10000000</f>
        <v>3663288.0133917658</v>
      </c>
      <c r="CS81" s="325">
        <f>'Monthly PL'!CQ24*10000000</f>
        <v>2496222.805585538</v>
      </c>
      <c r="CT81" s="325">
        <f>'Monthly PL'!CR24*10000000</f>
        <v>2496222.805585538</v>
      </c>
      <c r="CU81" s="325">
        <f>'Monthly PL'!CS24*10000000</f>
        <v>2496222.805585538</v>
      </c>
      <c r="CV81" s="325">
        <f>'Monthly PL'!CT24*10000000</f>
        <v>1264320.6417900748</v>
      </c>
      <c r="CW81" s="325">
        <f>'Monthly PL'!CU24*10000000</f>
        <v>1264320.6417900748</v>
      </c>
      <c r="CX81" s="325">
        <f>'Monthly PL'!CV24*10000000</f>
        <v>1264320.6417900748</v>
      </c>
      <c r="CY81" s="325">
        <f>'Monthly PL'!CW24*10000000</f>
        <v>-5.1744198675646074E-9</v>
      </c>
    </row>
    <row r="82" spans="1:103" ht="15">
      <c r="A82" s="461" t="s">
        <v>688</v>
      </c>
      <c r="B82" s="384" t="s">
        <v>681</v>
      </c>
      <c r="C82" s="384" t="s">
        <v>688</v>
      </c>
      <c r="D82" s="325">
        <f>'Monthly PL'!B4*10000000</f>
        <v>98500000</v>
      </c>
      <c r="E82" s="325">
        <f>'Monthly PL'!C4*10000000</f>
        <v>37759007.361720428</v>
      </c>
      <c r="F82" s="325">
        <f>'Monthly PL'!D4*10000000</f>
        <v>29162392.746666666</v>
      </c>
      <c r="G82" s="325">
        <f>'Monthly PL'!E4*10000000</f>
        <v>57941189.973333322</v>
      </c>
      <c r="H82" s="325">
        <f>'Monthly PL'!F4*10000000</f>
        <v>30578042.879999999</v>
      </c>
      <c r="I82" s="325">
        <f>'Monthly PL'!G4*10000000</f>
        <v>48563192.83200001</v>
      </c>
      <c r="J82" s="325">
        <f>'Monthly PL'!H4*10000000</f>
        <v>31993693.013333339</v>
      </c>
      <c r="K82" s="325">
        <f>'Monthly PL'!I4*10000000</f>
        <v>52039298.901333347</v>
      </c>
      <c r="L82" s="325">
        <f>'Monthly PL'!J4*10000000</f>
        <v>30176180.906666666</v>
      </c>
      <c r="M82" s="325">
        <f>'Monthly PL'!K4*10000000</f>
        <v>53011074.21866668</v>
      </c>
      <c r="N82" s="325">
        <f>'Monthly PL'!L4*10000000</f>
        <v>26471104</v>
      </c>
      <c r="O82" s="325">
        <f>'Monthly PL'!M4*10000000</f>
        <v>54638765.120000005</v>
      </c>
      <c r="P82" s="325">
        <f>'Monthly PL'!N4*10000000</f>
        <v>26952396.799999997</v>
      </c>
      <c r="Q82" s="325">
        <f>'Monthly PL'!O4*10000000</f>
        <v>60062175.040000007</v>
      </c>
      <c r="R82" s="325">
        <f>'Monthly PL'!P4*10000000</f>
        <v>31469583.039999995</v>
      </c>
      <c r="S82" s="325">
        <f>'Monthly PL'!Q4*10000000</f>
        <v>62014893.920000002</v>
      </c>
      <c r="T82" s="325">
        <f>'Monthly PL'!R4*10000000</f>
        <v>32294113.599999998</v>
      </c>
      <c r="U82" s="325">
        <f>'Monthly PL'!S4*10000000</f>
        <v>63624058.400000013</v>
      </c>
      <c r="V82" s="325">
        <f>'Monthly PL'!T4*10000000</f>
        <v>33118644.159999996</v>
      </c>
      <c r="W82" s="325">
        <f>'Monthly PL'!U4*10000000</f>
        <v>66855686.239999995</v>
      </c>
      <c r="X82" s="325">
        <f>'Monthly PL'!V4*10000000</f>
        <v>30906597.119999997</v>
      </c>
      <c r="Y82" s="325">
        <f>'Monthly PL'!W4*10000000</f>
        <v>67810989.11999999</v>
      </c>
      <c r="Z82" s="325">
        <f>'Monthly PL'!X4*10000000</f>
        <v>33228416</v>
      </c>
      <c r="AA82" s="325">
        <f>'Monthly PL'!Y4*10000000</f>
        <v>68535289.599999994</v>
      </c>
      <c r="AB82" s="325">
        <f>'Monthly PL'!Z4*10000000</f>
        <v>33901056</v>
      </c>
      <c r="AC82" s="325">
        <f>'Monthly PL'!AA4*10000000</f>
        <v>69914201.599999994</v>
      </c>
      <c r="AD82" s="325">
        <f>'Monthly PL'!AB4*10000000</f>
        <v>35587140.266666666</v>
      </c>
      <c r="AE82" s="325">
        <f>'Monthly PL'!AC4*10000000</f>
        <v>69654114.13333334</v>
      </c>
      <c r="AF82" s="325">
        <f>'Monthly PL'!AD4*10000000</f>
        <v>35865164.799999997</v>
      </c>
      <c r="AG82" s="325">
        <f>'Monthly PL'!AE4*10000000</f>
        <v>70196710.399999991</v>
      </c>
      <c r="AH82" s="325">
        <f>'Monthly PL'!AF4*10000000</f>
        <v>36143189.333333336</v>
      </c>
      <c r="AI82" s="325">
        <f>'Monthly PL'!AG4*10000000</f>
        <v>72494897.066666663</v>
      </c>
      <c r="AJ82" s="325">
        <f>'Monthly PL'!AH4*10000000</f>
        <v>32896580.266666666</v>
      </c>
      <c r="AK82" s="325">
        <f>'Monthly PL'!AI4*10000000</f>
        <v>71288629.333333328</v>
      </c>
      <c r="AL82" s="325">
        <f>'Monthly PL'!AJ4*10000000</f>
        <v>37432416.000000007</v>
      </c>
      <c r="AM82" s="325">
        <f>'Monthly PL'!AK4*10000000</f>
        <v>77174341.439999998</v>
      </c>
      <c r="AN82" s="325">
        <f>'Monthly PL'!AL4*10000000</f>
        <v>37997433.600000001</v>
      </c>
      <c r="AO82" s="325">
        <f>'Monthly PL'!AM4*10000000</f>
        <v>78332627.520000011</v>
      </c>
      <c r="AP82" s="325">
        <f>'Monthly PL'!AN4*10000000</f>
        <v>39847866.240000002</v>
      </c>
      <c r="AQ82" s="325">
        <f>'Monthly PL'!AO4*10000000</f>
        <v>78191373.120000005</v>
      </c>
      <c r="AR82" s="325">
        <f>'Monthly PL'!AP4*10000000</f>
        <v>40431717.759999998</v>
      </c>
      <c r="AS82" s="325">
        <f>'Monthly PL'!AQ4*10000000</f>
        <v>79330825.280000001</v>
      </c>
      <c r="AT82" s="325">
        <f>'Monthly PL'!AR4*10000000</f>
        <v>41015569.280000001</v>
      </c>
      <c r="AU82" s="325">
        <f>'Monthly PL'!AS4*10000000</f>
        <v>82489279.549600005</v>
      </c>
      <c r="AV82" s="325">
        <f>'Monthly PL'!AT4*10000000</f>
        <v>38928217.6976</v>
      </c>
      <c r="AW82" s="325">
        <f>'Monthly PL'!AU4*10000000</f>
        <v>82321381.038399994</v>
      </c>
      <c r="AX82" s="325">
        <f>'Monthly PL'!AV4*10000000</f>
        <v>42729049.893599994</v>
      </c>
      <c r="AY82" s="325">
        <f>'Monthly PL'!AW4*10000000</f>
        <v>87824443.817880005</v>
      </c>
      <c r="AZ82" s="325">
        <f>'Monthly PL'!AX4*10000000</f>
        <v>43025684.133600004</v>
      </c>
      <c r="BA82" s="325">
        <f>'Monthly PL'!AY4*10000000</f>
        <v>88432544.009880006</v>
      </c>
      <c r="BB82" s="325">
        <f>'Monthly PL'!AZ4*10000000</f>
        <v>44766395.652720004</v>
      </c>
      <c r="BC82" s="325">
        <f>'Monthly PL'!BA4*10000000</f>
        <v>87589151.066759989</v>
      </c>
      <c r="BD82" s="325">
        <f>'Monthly PL'!BB4*10000000</f>
        <v>45072917.700720005</v>
      </c>
      <c r="BE82" s="325">
        <f>'Monthly PL'!BC4*10000000</f>
        <v>88187363.450760007</v>
      </c>
      <c r="BF82" s="325">
        <f>'Monthly PL'!BD4*10000000</f>
        <v>45379439.748719998</v>
      </c>
      <c r="BG82" s="325">
        <f>'Monthly PL'!BE4*10000000</f>
        <v>90988771.033439994</v>
      </c>
      <c r="BH82" s="325">
        <f>'Monthly PL'!BF4*10000000</f>
        <v>41264739.687360004</v>
      </c>
      <c r="BI82" s="325">
        <f>'Monthly PL'!BG4*10000000</f>
        <v>89391204.074760005</v>
      </c>
      <c r="BJ82" s="325">
        <f>'Monthly PL'!BH4*10000000</f>
        <v>53290392.982151069</v>
      </c>
      <c r="BK82" s="325">
        <f>'Monthly PL'!BI4*10000000</f>
        <v>109383159.7137666</v>
      </c>
      <c r="BL82" s="325">
        <f>'Monthly PL'!BJ4*10000000</f>
        <v>53468269.240676068</v>
      </c>
      <c r="BM82" s="325">
        <f>'Monthly PL'!BK4*10000000</f>
        <v>109747806.04374281</v>
      </c>
      <c r="BN82" s="325">
        <f>'Monthly PL'!BL4*10000000</f>
        <v>55434350.34917444</v>
      </c>
      <c r="BO82" s="325">
        <f>'Monthly PL'!BM4*10000000</f>
        <v>108319800.61728258</v>
      </c>
      <c r="BP82" s="325">
        <f>'Monthly PL'!BN4*10000000</f>
        <v>55618155.81631694</v>
      </c>
      <c r="BQ82" s="325">
        <f>'Monthly PL'!BO4*10000000</f>
        <v>108678517.73864135</v>
      </c>
      <c r="BR82" s="325">
        <f>'Monthly PL'!BP4*10000000</f>
        <v>55801961.283459447</v>
      </c>
      <c r="BS82" s="325">
        <f>'Monthly PL'!BQ4*10000000</f>
        <v>111741776.66727577</v>
      </c>
      <c r="BT82" s="325">
        <f>'Monthly PL'!BR4*10000000</f>
        <v>50567789.323124342</v>
      </c>
      <c r="BU82" s="325">
        <f>'Monthly PL'!BS4*10000000</f>
        <v>109400398.88782196</v>
      </c>
      <c r="BV82" s="325">
        <f>'Monthly PL'!BT4*10000000</f>
        <v>60432917.357611187</v>
      </c>
      <c r="BW82" s="325">
        <f>'Monthly PL'!BU4*10000000</f>
        <v>124040741.90644091</v>
      </c>
      <c r="BX82" s="325">
        <f>'Monthly PL'!BV4*10000000</f>
        <v>60630673.903853692</v>
      </c>
      <c r="BY82" s="325">
        <f>'Monthly PL'!BW4*10000000</f>
        <v>124446142.82623804</v>
      </c>
      <c r="BZ82" s="325">
        <f>'Monthly PL'!BX4*10000000</f>
        <v>62856044.798432738</v>
      </c>
      <c r="CA82" s="325">
        <f>'Monthly PL'!BY4*10000000</f>
        <v>122818985.48404256</v>
      </c>
      <c r="CB82" s="325">
        <f>'Monthly PL'!BZ4*10000000</f>
        <v>63060393.229549997</v>
      </c>
      <c r="CC82" s="325">
        <f>'Monthly PL'!CA4*10000000</f>
        <v>123217794.51896489</v>
      </c>
      <c r="CD82" s="325">
        <f>'Monthly PL'!CB4*10000000</f>
        <v>63264741.660667241</v>
      </c>
      <c r="CE82" s="325">
        <f>'Monthly PL'!CC4*10000000</f>
        <v>127787981.5494903</v>
      </c>
      <c r="CF82" s="325">
        <f>'Monthly PL'!CD4*10000000</f>
        <v>57993512.176889353</v>
      </c>
      <c r="CG82" s="325">
        <f>'Monthly PL'!CE4*10000000</f>
        <v>125462453.67109904</v>
      </c>
      <c r="CH82" s="325">
        <f>'Monthly PL'!CF4*10000000</f>
        <v>65452760.042015076</v>
      </c>
      <c r="CI82" s="325">
        <f>'Monthly PL'!CG4*10000000</f>
        <v>134340953.68946719</v>
      </c>
      <c r="CJ82" s="325">
        <f>'Monthly PL'!CH4*10000000</f>
        <v>65662818.885029644</v>
      </c>
      <c r="CK82" s="325">
        <f>'Monthly PL'!CI4*10000000</f>
        <v>134771574.31764707</v>
      </c>
      <c r="CL82" s="325">
        <f>'Monthly PL'!CJ4*10000000</f>
        <v>68068640.31897901</v>
      </c>
      <c r="CM82" s="325">
        <f>'Monthly PL'!CK4*10000000</f>
        <v>133001180.88381673</v>
      </c>
      <c r="CN82" s="325">
        <f>'Monthly PL'!CL4*10000000</f>
        <v>68285701.123427391</v>
      </c>
      <c r="CO82" s="325">
        <f>'Monthly PL'!CM4*10000000</f>
        <v>133424799.55056277</v>
      </c>
      <c r="CP82" s="325">
        <f>'Monthly PL'!CN4*10000000</f>
        <v>68502761.927875772</v>
      </c>
      <c r="CQ82" s="325">
        <f>'Monthly PL'!CO4*10000000</f>
        <v>137168319.45908785</v>
      </c>
      <c r="CR82" s="325">
        <f>'Monthly PL'!CP4*10000000</f>
        <v>64286285.781851642</v>
      </c>
      <c r="CS82" s="325">
        <f>'Monthly PL'!CQ4*10000000</f>
        <v>135385672.59274834</v>
      </c>
      <c r="CT82" s="325">
        <f>'Monthly PL'!CR4*10000000</f>
        <v>70048768.755107582</v>
      </c>
      <c r="CU82" s="325">
        <f>'Monthly PL'!CS4*10000000</f>
        <v>143770911.33147365</v>
      </c>
      <c r="CV82" s="325">
        <f>'Monthly PL'!CT4*10000000</f>
        <v>70269330.540272877</v>
      </c>
      <c r="CW82" s="325">
        <f>'Monthly PL'!CU4*10000000</f>
        <v>144223062.99106246</v>
      </c>
      <c r="CX82" s="325">
        <f>'Monthly PL'!CV4*10000000</f>
        <v>72839555.402952775</v>
      </c>
      <c r="CY82" s="325">
        <f>'Monthly PL'!CW4*10000000</f>
        <v>142320037.52850759</v>
      </c>
    </row>
    <row r="83" spans="1:103" ht="15">
      <c r="A83" s="461" t="s">
        <v>689</v>
      </c>
      <c r="B83" s="384" t="s">
        <v>681</v>
      </c>
      <c r="C83" s="384" t="s">
        <v>690</v>
      </c>
      <c r="D83" s="325">
        <f>'Monthly PL'!B6*10000000</f>
        <v>0</v>
      </c>
      <c r="E83" s="325">
        <f>'Monthly PL'!C6*10000000</f>
        <v>0</v>
      </c>
      <c r="F83" s="325">
        <f>'Monthly PL'!D6*10000000</f>
        <v>0</v>
      </c>
      <c r="G83" s="325">
        <f>'Monthly PL'!E6*10000000</f>
        <v>0</v>
      </c>
      <c r="H83" s="325">
        <f>'Monthly PL'!F6*10000000</f>
        <v>0</v>
      </c>
      <c r="I83" s="325">
        <f>'Monthly PL'!G6*10000000</f>
        <v>0</v>
      </c>
      <c r="J83" s="325">
        <f>'Monthly PL'!H6*10000000</f>
        <v>0</v>
      </c>
      <c r="K83" s="325">
        <f>'Monthly PL'!I6*10000000</f>
        <v>0</v>
      </c>
      <c r="L83" s="325">
        <f>'Monthly PL'!J6*10000000</f>
        <v>0</v>
      </c>
      <c r="M83" s="325">
        <f>'Monthly PL'!K6*10000000</f>
        <v>0</v>
      </c>
      <c r="N83" s="325">
        <f>'Monthly PL'!L6*10000000</f>
        <v>0</v>
      </c>
      <c r="O83" s="325">
        <f>'Monthly PL'!M6*10000000</f>
        <v>0</v>
      </c>
      <c r="P83" s="325">
        <f>'Monthly PL'!N6*10000000</f>
        <v>0</v>
      </c>
      <c r="Q83" s="325">
        <f>'Monthly PL'!O6*10000000</f>
        <v>0</v>
      </c>
      <c r="R83" s="325">
        <f>'Monthly PL'!P6*10000000</f>
        <v>0</v>
      </c>
      <c r="S83" s="325">
        <f>'Monthly PL'!Q6*10000000</f>
        <v>0</v>
      </c>
      <c r="T83" s="325">
        <f>'Monthly PL'!R6*10000000</f>
        <v>0</v>
      </c>
      <c r="U83" s="325">
        <f>'Monthly PL'!S6*10000000</f>
        <v>0</v>
      </c>
      <c r="V83" s="325">
        <f>'Monthly PL'!T6*10000000</f>
        <v>0</v>
      </c>
      <c r="W83" s="325">
        <f>'Monthly PL'!U6*10000000</f>
        <v>0</v>
      </c>
      <c r="X83" s="325">
        <f>'Monthly PL'!V6*10000000</f>
        <v>0</v>
      </c>
      <c r="Y83" s="325">
        <f>'Monthly PL'!W6*10000000</f>
        <v>0</v>
      </c>
      <c r="Z83" s="325">
        <f>'Monthly PL'!X6*10000000</f>
        <v>400000</v>
      </c>
      <c r="AA83" s="325">
        <f>'Monthly PL'!Y6*10000000</f>
        <v>400000</v>
      </c>
      <c r="AB83" s="325">
        <f>'Monthly PL'!Z6*10000000</f>
        <v>400000</v>
      </c>
      <c r="AC83" s="325">
        <f>'Monthly PL'!AA6*10000000</f>
        <v>400000</v>
      </c>
      <c r="AD83" s="325">
        <f>'Monthly PL'!AB6*10000000</f>
        <v>400000</v>
      </c>
      <c r="AE83" s="325">
        <f>'Monthly PL'!AC6*10000000</f>
        <v>400000</v>
      </c>
      <c r="AF83" s="325">
        <f>'Monthly PL'!AD6*10000000</f>
        <v>400000</v>
      </c>
      <c r="AG83" s="325">
        <f>'Monthly PL'!AE6*10000000</f>
        <v>400000</v>
      </c>
      <c r="AH83" s="325">
        <f>'Monthly PL'!AF6*10000000</f>
        <v>400000</v>
      </c>
      <c r="AI83" s="325">
        <f>'Monthly PL'!AG6*10000000</f>
        <v>400000</v>
      </c>
      <c r="AJ83" s="325">
        <f>'Monthly PL'!AH6*10000000</f>
        <v>400000</v>
      </c>
      <c r="AK83" s="325">
        <f>'Monthly PL'!AI6*10000000</f>
        <v>400000</v>
      </c>
      <c r="AL83" s="325">
        <f>'Monthly PL'!AJ6*10000000</f>
        <v>400000</v>
      </c>
      <c r="AM83" s="325">
        <f>'Monthly PL'!AK6*10000000</f>
        <v>400000</v>
      </c>
      <c r="AN83" s="325">
        <f>'Monthly PL'!AL6*10000000</f>
        <v>400000</v>
      </c>
      <c r="AO83" s="325">
        <f>'Monthly PL'!AM6*10000000</f>
        <v>400000</v>
      </c>
      <c r="AP83" s="325">
        <f>'Monthly PL'!AN6*10000000</f>
        <v>400000</v>
      </c>
      <c r="AQ83" s="325">
        <f>'Monthly PL'!AO6*10000000</f>
        <v>400000</v>
      </c>
      <c r="AR83" s="325">
        <f>'Monthly PL'!AP6*10000000</f>
        <v>400000</v>
      </c>
      <c r="AS83" s="325">
        <f>'Monthly PL'!AQ6*10000000</f>
        <v>400000</v>
      </c>
      <c r="AT83" s="325">
        <f>'Monthly PL'!AR6*10000000</f>
        <v>400000</v>
      </c>
      <c r="AU83" s="325">
        <f>'Monthly PL'!AS6*10000000</f>
        <v>400000</v>
      </c>
      <c r="AV83" s="325">
        <f>'Monthly PL'!AT6*10000000</f>
        <v>400000</v>
      </c>
      <c r="AW83" s="325">
        <f>'Monthly PL'!AU6*10000000</f>
        <v>400000</v>
      </c>
      <c r="AX83" s="325">
        <f>'Monthly PL'!AV6*10000000</f>
        <v>400000</v>
      </c>
      <c r="AY83" s="325">
        <f>'Monthly PL'!AW6*10000000</f>
        <v>400000</v>
      </c>
      <c r="AZ83" s="325">
        <f>'Monthly PL'!AX6*10000000</f>
        <v>400000</v>
      </c>
      <c r="BA83" s="325">
        <f>'Monthly PL'!AY6*10000000</f>
        <v>400000</v>
      </c>
      <c r="BB83" s="325">
        <f>'Monthly PL'!AZ6*10000000</f>
        <v>400000</v>
      </c>
      <c r="BC83" s="325">
        <f>'Monthly PL'!BA6*10000000</f>
        <v>400000</v>
      </c>
      <c r="BD83" s="325">
        <f>'Monthly PL'!BB6*10000000</f>
        <v>400000</v>
      </c>
      <c r="BE83" s="325">
        <f>'Monthly PL'!BC6*10000000</f>
        <v>400000</v>
      </c>
      <c r="BF83" s="325">
        <f>'Monthly PL'!BD6*10000000</f>
        <v>400000</v>
      </c>
      <c r="BG83" s="325">
        <f>'Monthly PL'!BE6*10000000</f>
        <v>400000</v>
      </c>
      <c r="BH83" s="325">
        <f>'Monthly PL'!BF6*10000000</f>
        <v>400000</v>
      </c>
      <c r="BI83" s="325">
        <f>'Monthly PL'!BG6*10000000</f>
        <v>400000</v>
      </c>
      <c r="BJ83" s="325">
        <f>'Monthly PL'!BH6*10000000</f>
        <v>400000</v>
      </c>
      <c r="BK83" s="325">
        <f>'Monthly PL'!BI6*10000000</f>
        <v>400000</v>
      </c>
      <c r="BL83" s="325">
        <f>'Monthly PL'!BJ6*10000000</f>
        <v>400000</v>
      </c>
      <c r="BM83" s="325">
        <f>'Monthly PL'!BK6*10000000</f>
        <v>400000</v>
      </c>
      <c r="BN83" s="325">
        <f>'Monthly PL'!BL6*10000000</f>
        <v>400000</v>
      </c>
      <c r="BO83" s="325">
        <f>'Monthly PL'!BM6*10000000</f>
        <v>400000</v>
      </c>
      <c r="BP83" s="325">
        <f>'Monthly PL'!BN6*10000000</f>
        <v>400000</v>
      </c>
      <c r="BQ83" s="325">
        <f>'Monthly PL'!BO6*10000000</f>
        <v>400000</v>
      </c>
      <c r="BR83" s="325">
        <f>'Monthly PL'!BP6*10000000</f>
        <v>400000</v>
      </c>
      <c r="BS83" s="325">
        <f>'Monthly PL'!BQ6*10000000</f>
        <v>400000</v>
      </c>
      <c r="BT83" s="325">
        <f>'Monthly PL'!BR6*10000000</f>
        <v>400000</v>
      </c>
      <c r="BU83" s="325">
        <f>'Monthly PL'!BS6*10000000</f>
        <v>400000</v>
      </c>
      <c r="BV83" s="325">
        <f>'Monthly PL'!BT6*10000000</f>
        <v>400000</v>
      </c>
      <c r="BW83" s="325">
        <f>'Monthly PL'!BU6*10000000</f>
        <v>400000</v>
      </c>
      <c r="BX83" s="325">
        <f>'Monthly PL'!BV6*10000000</f>
        <v>400000</v>
      </c>
      <c r="BY83" s="325">
        <f>'Monthly PL'!BW6*10000000</f>
        <v>400000</v>
      </c>
      <c r="BZ83" s="325">
        <f>'Monthly PL'!BX6*10000000</f>
        <v>400000</v>
      </c>
      <c r="CA83" s="325">
        <f>'Monthly PL'!BY6*10000000</f>
        <v>400000</v>
      </c>
      <c r="CB83" s="325">
        <f>'Monthly PL'!BZ6*10000000</f>
        <v>400000</v>
      </c>
      <c r="CC83" s="325">
        <f>'Monthly PL'!CA6*10000000</f>
        <v>400000</v>
      </c>
      <c r="CD83" s="325">
        <f>'Monthly PL'!CB6*10000000</f>
        <v>400000</v>
      </c>
      <c r="CE83" s="325">
        <f>'Monthly PL'!CC6*10000000</f>
        <v>400000</v>
      </c>
      <c r="CF83" s="325">
        <f>'Monthly PL'!CD6*10000000</f>
        <v>400000</v>
      </c>
      <c r="CG83" s="325">
        <f>'Monthly PL'!CE6*10000000</f>
        <v>400000</v>
      </c>
      <c r="CH83" s="325">
        <f>'Monthly PL'!CF6*10000000</f>
        <v>400000</v>
      </c>
      <c r="CI83" s="325">
        <f>'Monthly PL'!CG6*10000000</f>
        <v>400000</v>
      </c>
      <c r="CJ83" s="325">
        <f>'Monthly PL'!CH6*10000000</f>
        <v>400000</v>
      </c>
      <c r="CK83" s="325">
        <f>'Monthly PL'!CI6*10000000</f>
        <v>400000</v>
      </c>
      <c r="CL83" s="325">
        <f>'Monthly PL'!CJ6*10000000</f>
        <v>400000</v>
      </c>
      <c r="CM83" s="325">
        <f>'Monthly PL'!CK6*10000000</f>
        <v>400000</v>
      </c>
      <c r="CN83" s="325">
        <f>'Monthly PL'!CL6*10000000</f>
        <v>400000</v>
      </c>
      <c r="CO83" s="325">
        <f>'Monthly PL'!CM6*10000000</f>
        <v>400000</v>
      </c>
      <c r="CP83" s="325">
        <f>'Monthly PL'!CN6*10000000</f>
        <v>400000</v>
      </c>
      <c r="CQ83" s="325">
        <f>'Monthly PL'!CO6*10000000</f>
        <v>400000</v>
      </c>
      <c r="CR83" s="325">
        <f>'Monthly PL'!CP6*10000000</f>
        <v>400000</v>
      </c>
      <c r="CS83" s="325">
        <f>'Monthly PL'!CQ6*10000000</f>
        <v>400000</v>
      </c>
      <c r="CT83" s="325">
        <f>'Monthly PL'!CR6*10000000</f>
        <v>400000</v>
      </c>
      <c r="CU83" s="325">
        <f>'Monthly PL'!CS6*10000000</f>
        <v>400000</v>
      </c>
      <c r="CV83" s="325">
        <f>'Monthly PL'!CT6*10000000</f>
        <v>400000</v>
      </c>
      <c r="CW83" s="325">
        <f>'Monthly PL'!CU6*10000000</f>
        <v>400000</v>
      </c>
      <c r="CX83" s="325">
        <f>'Monthly PL'!CV6*10000000</f>
        <v>400000</v>
      </c>
      <c r="CY83" s="325">
        <f>'Monthly PL'!CW6*10000000</f>
        <v>400000</v>
      </c>
    </row>
    <row r="84" spans="1:103" ht="15">
      <c r="A84" s="461" t="s">
        <v>691</v>
      </c>
      <c r="B84" s="384" t="s">
        <v>681</v>
      </c>
      <c r="C84" s="384" t="s">
        <v>691</v>
      </c>
      <c r="D84" s="325">
        <f>'Monthly PL'!B7*10000000</f>
        <v>0</v>
      </c>
      <c r="E84" s="325">
        <f>'Monthly PL'!C7*10000000</f>
        <v>0</v>
      </c>
      <c r="F84" s="325">
        <f>'Monthly PL'!D7*10000000</f>
        <v>0</v>
      </c>
      <c r="G84" s="325">
        <f>'Monthly PL'!E7*10000000</f>
        <v>0</v>
      </c>
      <c r="H84" s="325">
        <f>'Monthly PL'!F7*10000000</f>
        <v>0</v>
      </c>
      <c r="I84" s="325">
        <f>'Monthly PL'!G7*10000000</f>
        <v>0</v>
      </c>
      <c r="J84" s="325">
        <f>'Monthly PL'!H7*10000000</f>
        <v>0</v>
      </c>
      <c r="K84" s="325">
        <f>'Monthly PL'!I7*10000000</f>
        <v>0</v>
      </c>
      <c r="L84" s="325">
        <f>'Monthly PL'!J7*10000000</f>
        <v>0</v>
      </c>
      <c r="M84" s="325">
        <f>'Monthly PL'!K7*10000000</f>
        <v>0</v>
      </c>
      <c r="N84" s="325">
        <f>'Monthly PL'!L7*10000000</f>
        <v>0</v>
      </c>
      <c r="O84" s="325">
        <f>'Monthly PL'!M7*10000000</f>
        <v>0</v>
      </c>
      <c r="P84" s="325">
        <f>'Monthly PL'!N7*10000000</f>
        <v>0</v>
      </c>
      <c r="Q84" s="325">
        <f>'Monthly PL'!O7*10000000</f>
        <v>0</v>
      </c>
      <c r="R84" s="325">
        <f>'Monthly PL'!P7*10000000</f>
        <v>0</v>
      </c>
      <c r="S84" s="325">
        <f>'Monthly PL'!Q7*10000000</f>
        <v>0</v>
      </c>
      <c r="T84" s="325">
        <f>'Monthly PL'!R7*10000000</f>
        <v>0</v>
      </c>
      <c r="U84" s="325">
        <f>'Monthly PL'!S7*10000000</f>
        <v>0</v>
      </c>
      <c r="V84" s="325">
        <f>'Monthly PL'!T7*10000000</f>
        <v>0</v>
      </c>
      <c r="W84" s="325">
        <f>'Monthly PL'!U7*10000000</f>
        <v>0</v>
      </c>
      <c r="X84" s="325">
        <f>'Monthly PL'!V7*10000000</f>
        <v>0</v>
      </c>
      <c r="Y84" s="325">
        <f>'Monthly PL'!W7*10000000</f>
        <v>0</v>
      </c>
      <c r="Z84" s="325">
        <f>'Monthly PL'!X7*10000000</f>
        <v>0</v>
      </c>
      <c r="AA84" s="325">
        <f>'Monthly PL'!Y7*10000000</f>
        <v>0</v>
      </c>
      <c r="AB84" s="325">
        <f>'Monthly PL'!Z7*10000000</f>
        <v>0</v>
      </c>
      <c r="AC84" s="325">
        <f>'Monthly PL'!AA7*10000000</f>
        <v>0</v>
      </c>
      <c r="AD84" s="325">
        <f>'Monthly PL'!AB7*10000000</f>
        <v>0</v>
      </c>
      <c r="AE84" s="325">
        <f>'Monthly PL'!AC7*10000000</f>
        <v>0</v>
      </c>
      <c r="AF84" s="325">
        <f>'Monthly PL'!AD7*10000000</f>
        <v>0</v>
      </c>
      <c r="AG84" s="325">
        <f>'Monthly PL'!AE7*10000000</f>
        <v>0</v>
      </c>
      <c r="AH84" s="325">
        <f>'Monthly PL'!AF7*10000000</f>
        <v>0</v>
      </c>
      <c r="AI84" s="325">
        <f>'Monthly PL'!AG7*10000000</f>
        <v>0</v>
      </c>
      <c r="AJ84" s="325">
        <f>'Monthly PL'!AH7*10000000</f>
        <v>0</v>
      </c>
      <c r="AK84" s="325">
        <f>'Monthly PL'!AI7*10000000</f>
        <v>0</v>
      </c>
      <c r="AL84" s="325">
        <f>'Monthly PL'!AJ7*10000000</f>
        <v>8957283</v>
      </c>
      <c r="AM84" s="325">
        <f>'Monthly PL'!AK7*10000000</f>
        <v>8957283</v>
      </c>
      <c r="AN84" s="325">
        <f>'Monthly PL'!AL7*10000000</f>
        <v>8957283</v>
      </c>
      <c r="AO84" s="325">
        <f>'Monthly PL'!AM7*10000000</f>
        <v>8957283</v>
      </c>
      <c r="AP84" s="325">
        <f>'Monthly PL'!AN7*10000000</f>
        <v>8957283</v>
      </c>
      <c r="AQ84" s="325">
        <f>'Monthly PL'!AO7*10000000</f>
        <v>8957283</v>
      </c>
      <c r="AR84" s="325">
        <f>'Monthly PL'!AP7*10000000</f>
        <v>8957283</v>
      </c>
      <c r="AS84" s="325">
        <f>'Monthly PL'!AQ7*10000000</f>
        <v>8957283</v>
      </c>
      <c r="AT84" s="325">
        <f>'Monthly PL'!AR7*10000000</f>
        <v>8957283</v>
      </c>
      <c r="AU84" s="325">
        <f>'Monthly PL'!AS7*10000000</f>
        <v>9371557.3387499992</v>
      </c>
      <c r="AV84" s="325">
        <f>'Monthly PL'!AT7*10000000</f>
        <v>8957283</v>
      </c>
      <c r="AW84" s="325">
        <f>'Monthly PL'!AU7*10000000</f>
        <v>8957283</v>
      </c>
      <c r="AX84" s="325">
        <f>'Monthly PL'!AV7*10000000</f>
        <v>4478641.5</v>
      </c>
      <c r="AY84" s="325">
        <f>'Monthly PL'!AW7*10000000</f>
        <v>4478641.5</v>
      </c>
      <c r="AZ84" s="325">
        <f>'Monthly PL'!AX7*10000000</f>
        <v>4478641.5</v>
      </c>
      <c r="BA84" s="325">
        <f>'Monthly PL'!AY7*10000000</f>
        <v>4478641.5</v>
      </c>
      <c r="BB84" s="325">
        <f>'Monthly PL'!AZ7*10000000</f>
        <v>4478641.5</v>
      </c>
      <c r="BC84" s="325">
        <f>'Monthly PL'!BA7*10000000</f>
        <v>4478641.5</v>
      </c>
      <c r="BD84" s="325">
        <f>'Monthly PL'!BB7*10000000</f>
        <v>4478641.5</v>
      </c>
      <c r="BE84" s="325">
        <f>'Monthly PL'!BC7*10000000</f>
        <v>4478641.5</v>
      </c>
      <c r="BF84" s="325">
        <f>'Monthly PL'!BD7*10000000</f>
        <v>4478641.5</v>
      </c>
      <c r="BG84" s="325">
        <f>'Monthly PL'!BE7*10000000</f>
        <v>4478641.5</v>
      </c>
      <c r="BH84" s="325">
        <f>'Monthly PL'!BF7*10000000</f>
        <v>4478641.5</v>
      </c>
      <c r="BI84" s="325">
        <f>'Monthly PL'!BG7*10000000</f>
        <v>4478641.5</v>
      </c>
      <c r="BJ84" s="325">
        <f>'Monthly PL'!BH7*10000000</f>
        <v>2239320.75</v>
      </c>
      <c r="BK84" s="325">
        <f>'Monthly PL'!BI7*10000000</f>
        <v>2239320.75</v>
      </c>
      <c r="BL84" s="325">
        <f>'Monthly PL'!BJ7*10000000</f>
        <v>2239320.75</v>
      </c>
      <c r="BM84" s="325">
        <f>'Monthly PL'!BK7*10000000</f>
        <v>2239320.75</v>
      </c>
      <c r="BN84" s="325">
        <f>'Monthly PL'!BL7*10000000</f>
        <v>2239320.75</v>
      </c>
      <c r="BO84" s="325">
        <f>'Monthly PL'!BM7*10000000</f>
        <v>2239320.75</v>
      </c>
      <c r="BP84" s="325">
        <f>'Monthly PL'!BN7*10000000</f>
        <v>2239320.75</v>
      </c>
      <c r="BQ84" s="325">
        <f>'Monthly PL'!BO7*10000000</f>
        <v>2239320.75</v>
      </c>
      <c r="BR84" s="325">
        <f>'Monthly PL'!BP7*10000000</f>
        <v>2239320.75</v>
      </c>
      <c r="BS84" s="325">
        <f>'Monthly PL'!BQ7*10000000</f>
        <v>2239320.75</v>
      </c>
      <c r="BT84" s="325">
        <f>'Monthly PL'!BR7*10000000</f>
        <v>2239320.75</v>
      </c>
      <c r="BU84" s="325">
        <f>'Monthly PL'!BS7*10000000</f>
        <v>2239320.75</v>
      </c>
      <c r="BV84" s="325">
        <f>'Monthly PL'!BT7*10000000</f>
        <v>2239320.75</v>
      </c>
      <c r="BW84" s="325">
        <f>'Monthly PL'!BU7*10000000</f>
        <v>2239320.75</v>
      </c>
      <c r="BX84" s="325">
        <f>'Monthly PL'!BV7*10000000</f>
        <v>2239320.75</v>
      </c>
      <c r="BY84" s="325">
        <f>'Monthly PL'!BW7*10000000</f>
        <v>2239320.75</v>
      </c>
      <c r="BZ84" s="325">
        <f>'Monthly PL'!BX7*10000000</f>
        <v>2239320.75</v>
      </c>
      <c r="CA84" s="325">
        <f>'Monthly PL'!BY7*10000000</f>
        <v>2239320.75</v>
      </c>
      <c r="CB84" s="325">
        <f>'Monthly PL'!BZ7*10000000</f>
        <v>2239320.75</v>
      </c>
      <c r="CC84" s="325">
        <f>'Monthly PL'!CA7*10000000</f>
        <v>2239320.75</v>
      </c>
      <c r="CD84" s="325">
        <f>'Monthly PL'!CB7*10000000</f>
        <v>2239320.75</v>
      </c>
      <c r="CE84" s="325">
        <f>'Monthly PL'!CC7*10000000</f>
        <v>2239320.75</v>
      </c>
      <c r="CF84" s="325">
        <f>'Monthly PL'!CD7*10000000</f>
        <v>2239320.75</v>
      </c>
      <c r="CG84" s="325">
        <f>'Monthly PL'!CE7*10000000</f>
        <v>2239320.75</v>
      </c>
      <c r="CH84" s="325">
        <f>'Monthly PL'!CF7*10000000</f>
        <v>2239320.75</v>
      </c>
      <c r="CI84" s="325">
        <f>'Monthly PL'!CG7*10000000</f>
        <v>2239320.75</v>
      </c>
      <c r="CJ84" s="325">
        <f>'Monthly PL'!CH7*10000000</f>
        <v>2239320.75</v>
      </c>
      <c r="CK84" s="325">
        <f>'Monthly PL'!CI7*10000000</f>
        <v>2239320.75</v>
      </c>
      <c r="CL84" s="325">
        <f>'Monthly PL'!CJ7*10000000</f>
        <v>2239320.75</v>
      </c>
      <c r="CM84" s="325">
        <f>'Monthly PL'!CK7*10000000</f>
        <v>2239320.75</v>
      </c>
      <c r="CN84" s="325">
        <f>'Monthly PL'!CL7*10000000</f>
        <v>2239320.75</v>
      </c>
      <c r="CO84" s="325">
        <f>'Monthly PL'!CM7*10000000</f>
        <v>2239320.75</v>
      </c>
      <c r="CP84" s="325">
        <f>'Monthly PL'!CN7*10000000</f>
        <v>2239320.75</v>
      </c>
      <c r="CQ84" s="325">
        <f>'Monthly PL'!CO7*10000000</f>
        <v>2239320.75</v>
      </c>
      <c r="CR84" s="325">
        <f>'Monthly PL'!CP7*10000000</f>
        <v>2239320.75</v>
      </c>
      <c r="CS84" s="325">
        <f>'Monthly PL'!CQ7*10000000</f>
        <v>2239320.75</v>
      </c>
      <c r="CT84" s="325">
        <f>'Monthly PL'!CR7*10000000</f>
        <v>2239320.75</v>
      </c>
      <c r="CU84" s="325">
        <f>'Monthly PL'!CS7*10000000</f>
        <v>2239320.75</v>
      </c>
      <c r="CV84" s="325">
        <f>'Monthly PL'!CT7*10000000</f>
        <v>2239320.75</v>
      </c>
      <c r="CW84" s="325">
        <f>'Monthly PL'!CU7*10000000</f>
        <v>2239320.75</v>
      </c>
      <c r="CX84" s="325">
        <f>'Monthly PL'!CV7*10000000</f>
        <v>2239320.75</v>
      </c>
      <c r="CY84" s="325">
        <f>'Monthly PL'!CW7*10000000</f>
        <v>2239320.75</v>
      </c>
    </row>
    <row r="85" spans="1:103" ht="15">
      <c r="A85" s="461" t="s">
        <v>692</v>
      </c>
      <c r="B85" s="384" t="s">
        <v>681</v>
      </c>
      <c r="C85" s="384" t="s">
        <v>693</v>
      </c>
      <c r="D85" s="325">
        <f>'Monthly PL'!B8*10000000</f>
        <v>16200000.000000002</v>
      </c>
      <c r="E85" s="325">
        <f>'Monthly PL'!C8*10000000</f>
        <v>5200000</v>
      </c>
      <c r="F85" s="325">
        <f>'Monthly PL'!D8*10000000</f>
        <v>4212000</v>
      </c>
      <c r="G85" s="325">
        <f>'Monthly PL'!E8*10000000</f>
        <v>4212000</v>
      </c>
      <c r="H85" s="325">
        <f>'Monthly PL'!F8*10000000</f>
        <v>4212000</v>
      </c>
      <c r="I85" s="325">
        <f>'Monthly PL'!G8*10000000</f>
        <v>4212000</v>
      </c>
      <c r="J85" s="325">
        <f>'Monthly PL'!H8*10000000</f>
        <v>4212000</v>
      </c>
      <c r="K85" s="325">
        <f>'Monthly PL'!I8*10000000</f>
        <v>3353999.9999999995</v>
      </c>
      <c r="L85" s="325">
        <f>'Monthly PL'!J8*10000000</f>
        <v>3353999.9999999995</v>
      </c>
      <c r="M85" s="325">
        <f>'Monthly PL'!K8*10000000</f>
        <v>3353999.9999999995</v>
      </c>
      <c r="N85" s="325">
        <f>'Monthly PL'!L8*10000000</f>
        <v>3488160</v>
      </c>
      <c r="O85" s="325">
        <f>'Monthly PL'!M8*10000000</f>
        <v>3488160</v>
      </c>
      <c r="P85" s="325">
        <f>'Monthly PL'!N8*10000000</f>
        <v>3488160</v>
      </c>
      <c r="Q85" s="325">
        <f>'Monthly PL'!O8*10000000</f>
        <v>3488160</v>
      </c>
      <c r="R85" s="325">
        <f>'Monthly PL'!P8*10000000</f>
        <v>3488160</v>
      </c>
      <c r="S85" s="325">
        <f>'Monthly PL'!Q8*10000000</f>
        <v>3488160</v>
      </c>
      <c r="T85" s="325">
        <f>'Monthly PL'!R8*10000000</f>
        <v>2271360</v>
      </c>
      <c r="U85" s="325">
        <f>'Monthly PL'!S8*10000000</f>
        <v>2271360</v>
      </c>
      <c r="V85" s="325">
        <f>'Monthly PL'!T8*10000000</f>
        <v>1460160</v>
      </c>
      <c r="W85" s="325">
        <f>'Monthly PL'!U8*10000000</f>
        <v>1460160</v>
      </c>
      <c r="X85" s="325">
        <f>'Monthly PL'!V8*10000000</f>
        <v>1460160</v>
      </c>
      <c r="Y85" s="325">
        <f>'Monthly PL'!W8*10000000</f>
        <v>1460160</v>
      </c>
      <c r="Z85" s="325">
        <f>'Monthly PL'!X8*10000000</f>
        <v>1518566.4000000001</v>
      </c>
      <c r="AA85" s="325">
        <f>'Monthly PL'!Y8*10000000</f>
        <v>1518566.4000000001</v>
      </c>
      <c r="AB85" s="325">
        <f>'Monthly PL'!Z8*10000000</f>
        <v>1518566.4000000001</v>
      </c>
      <c r="AC85" s="325">
        <f>'Monthly PL'!AA8*10000000</f>
        <v>1518566.4000000001</v>
      </c>
      <c r="AD85" s="325">
        <f>'Monthly PL'!AB8*10000000</f>
        <v>1518566.4000000001</v>
      </c>
      <c r="AE85" s="325">
        <f>'Monthly PL'!AC8*10000000</f>
        <v>1518566.4000000001</v>
      </c>
      <c r="AF85" s="325">
        <f>'Monthly PL'!AD8*10000000</f>
        <v>1518566.4000000001</v>
      </c>
      <c r="AG85" s="325">
        <f>'Monthly PL'!AE8*10000000</f>
        <v>674918.40000000002</v>
      </c>
      <c r="AH85" s="325">
        <f>'Monthly PL'!AF8*10000000</f>
        <v>674918.40000000002</v>
      </c>
      <c r="AI85" s="325">
        <f>'Monthly PL'!AG8*10000000</f>
        <v>674918.40000000002</v>
      </c>
      <c r="AJ85" s="325">
        <f>'Monthly PL'!AH8*10000000</f>
        <v>674918.40000000002</v>
      </c>
      <c r="AK85" s="325">
        <f>'Monthly PL'!AI8*10000000</f>
        <v>674918.40000000002</v>
      </c>
      <c r="AL85" s="325">
        <f>'Monthly PL'!AJ8*10000000</f>
        <v>701915.13600000006</v>
      </c>
      <c r="AM85" s="325">
        <f>'Monthly PL'!AK8*10000000</f>
        <v>701915.13600000006</v>
      </c>
      <c r="AN85" s="325">
        <f>'Monthly PL'!AL8*10000000</f>
        <v>701915.13600000006</v>
      </c>
      <c r="AO85" s="325">
        <f>'Monthly PL'!AM8*10000000</f>
        <v>701915.13600000006</v>
      </c>
      <c r="AP85" s="325">
        <f>'Monthly PL'!AN8*10000000</f>
        <v>701915.13600000006</v>
      </c>
      <c r="AQ85" s="325">
        <f>'Monthly PL'!AO8*10000000</f>
        <v>701915.13600000006</v>
      </c>
      <c r="AR85" s="325">
        <f>'Monthly PL'!AP8*10000000</f>
        <v>0</v>
      </c>
      <c r="AS85" s="325">
        <f>'Monthly PL'!AQ8*10000000</f>
        <v>0</v>
      </c>
      <c r="AT85" s="325">
        <f>'Monthly PL'!AR8*10000000</f>
        <v>0</v>
      </c>
      <c r="AU85" s="325">
        <f>'Monthly PL'!AS8*10000000</f>
        <v>0</v>
      </c>
      <c r="AV85" s="325">
        <f>'Monthly PL'!AT8*10000000</f>
        <v>0</v>
      </c>
      <c r="AW85" s="325">
        <f>'Monthly PL'!AU8*10000000</f>
        <v>0</v>
      </c>
      <c r="AX85" s="325">
        <f>'Monthly PL'!AV8*10000000</f>
        <v>0</v>
      </c>
      <c r="AY85" s="325">
        <f>'Monthly PL'!AW8*10000000</f>
        <v>0</v>
      </c>
      <c r="AZ85" s="325">
        <f>'Monthly PL'!AX8*10000000</f>
        <v>0</v>
      </c>
      <c r="BA85" s="325">
        <f>'Monthly PL'!AY8*10000000</f>
        <v>0</v>
      </c>
      <c r="BB85" s="325">
        <f>'Monthly PL'!AZ8*10000000</f>
        <v>0</v>
      </c>
      <c r="BC85" s="325">
        <f>'Monthly PL'!BA8*10000000</f>
        <v>0</v>
      </c>
      <c r="BD85" s="325">
        <f>'Monthly PL'!BB8*10000000</f>
        <v>0</v>
      </c>
      <c r="BE85" s="325">
        <f>'Monthly PL'!BC8*10000000</f>
        <v>0</v>
      </c>
      <c r="BF85" s="325">
        <f>'Monthly PL'!BD8*10000000</f>
        <v>0</v>
      </c>
      <c r="BG85" s="325">
        <f>'Monthly PL'!BE8*10000000</f>
        <v>0</v>
      </c>
      <c r="BH85" s="325">
        <f>'Monthly PL'!BF8*10000000</f>
        <v>0</v>
      </c>
      <c r="BI85" s="325">
        <f>'Monthly PL'!BG8*10000000</f>
        <v>0</v>
      </c>
      <c r="BJ85" s="325">
        <f>'Monthly PL'!BH8*10000000</f>
        <v>0</v>
      </c>
      <c r="BK85" s="325">
        <f>'Monthly PL'!BI8*10000000</f>
        <v>0</v>
      </c>
      <c r="BL85" s="325">
        <f>'Monthly PL'!BJ8*10000000</f>
        <v>0</v>
      </c>
      <c r="BM85" s="325">
        <f>'Monthly PL'!BK8*10000000</f>
        <v>0</v>
      </c>
      <c r="BN85" s="325">
        <f>'Monthly PL'!BL8*10000000</f>
        <v>0</v>
      </c>
      <c r="BO85" s="325">
        <f>'Monthly PL'!BM8*10000000</f>
        <v>0</v>
      </c>
      <c r="BP85" s="325">
        <f>'Monthly PL'!BN8*10000000</f>
        <v>0</v>
      </c>
      <c r="BQ85" s="325">
        <f>'Monthly PL'!BO8*10000000</f>
        <v>0</v>
      </c>
      <c r="BR85" s="325">
        <f>'Monthly PL'!BP8*10000000</f>
        <v>0</v>
      </c>
      <c r="BS85" s="325">
        <f>'Monthly PL'!BQ8*10000000</f>
        <v>0</v>
      </c>
      <c r="BT85" s="325">
        <f>'Monthly PL'!BR8*10000000</f>
        <v>0</v>
      </c>
      <c r="BU85" s="325">
        <f>'Monthly PL'!BS8*10000000</f>
        <v>0</v>
      </c>
      <c r="BV85" s="325">
        <f>'Monthly PL'!BT8*10000000</f>
        <v>0</v>
      </c>
      <c r="BW85" s="325">
        <f>'Monthly PL'!BU8*10000000</f>
        <v>0</v>
      </c>
      <c r="BX85" s="325">
        <f>'Monthly PL'!BV8*10000000</f>
        <v>0</v>
      </c>
      <c r="BY85" s="325">
        <f>'Monthly PL'!BW8*10000000</f>
        <v>0</v>
      </c>
      <c r="BZ85" s="325">
        <f>'Monthly PL'!BX8*10000000</f>
        <v>0</v>
      </c>
      <c r="CA85" s="325">
        <f>'Monthly PL'!BY8*10000000</f>
        <v>0</v>
      </c>
      <c r="CB85" s="325">
        <f>'Monthly PL'!BZ8*10000000</f>
        <v>0</v>
      </c>
      <c r="CC85" s="325">
        <f>'Monthly PL'!CA8*10000000</f>
        <v>0</v>
      </c>
      <c r="CD85" s="325">
        <f>'Monthly PL'!CB8*10000000</f>
        <v>0</v>
      </c>
      <c r="CE85" s="325">
        <f>'Monthly PL'!CC8*10000000</f>
        <v>0</v>
      </c>
      <c r="CF85" s="325">
        <f>'Monthly PL'!CD8*10000000</f>
        <v>0</v>
      </c>
      <c r="CG85" s="325">
        <f>'Monthly PL'!CE8*10000000</f>
        <v>0</v>
      </c>
      <c r="CH85" s="325">
        <f>'Monthly PL'!CF8*10000000</f>
        <v>0</v>
      </c>
      <c r="CI85" s="325">
        <f>'Monthly PL'!CG8*10000000</f>
        <v>0</v>
      </c>
      <c r="CJ85" s="325">
        <f>'Monthly PL'!CH8*10000000</f>
        <v>0</v>
      </c>
      <c r="CK85" s="325">
        <f>'Monthly PL'!CI8*10000000</f>
        <v>0</v>
      </c>
      <c r="CL85" s="325">
        <f>'Monthly PL'!CJ8*10000000</f>
        <v>0</v>
      </c>
      <c r="CM85" s="325">
        <f>'Monthly PL'!CK8*10000000</f>
        <v>0</v>
      </c>
      <c r="CN85" s="325">
        <f>'Monthly PL'!CL8*10000000</f>
        <v>0</v>
      </c>
      <c r="CO85" s="325">
        <f>'Monthly PL'!CM8*10000000</f>
        <v>0</v>
      </c>
      <c r="CP85" s="325">
        <f>'Monthly PL'!CN8*10000000</f>
        <v>0</v>
      </c>
      <c r="CQ85" s="325">
        <f>'Monthly PL'!CO8*10000000</f>
        <v>0</v>
      </c>
      <c r="CR85" s="325">
        <f>'Monthly PL'!CP8*10000000</f>
        <v>0</v>
      </c>
      <c r="CS85" s="325">
        <f>'Monthly PL'!CQ8*10000000</f>
        <v>0</v>
      </c>
      <c r="CT85" s="325">
        <f>'Monthly PL'!CR8*10000000</f>
        <v>0</v>
      </c>
      <c r="CU85" s="325">
        <f>'Monthly PL'!CS8*10000000</f>
        <v>0</v>
      </c>
      <c r="CV85" s="325">
        <f>'Monthly PL'!CT8*10000000</f>
        <v>0</v>
      </c>
      <c r="CW85" s="325">
        <f>'Monthly PL'!CU8*10000000</f>
        <v>0</v>
      </c>
      <c r="CX85" s="325">
        <f>'Monthly PL'!CV8*10000000</f>
        <v>0</v>
      </c>
      <c r="CY85" s="325">
        <f>'Monthly PL'!CW8*10000000</f>
        <v>0</v>
      </c>
    </row>
    <row r="86" spans="1:103" ht="15">
      <c r="A86" s="319" t="s">
        <v>372</v>
      </c>
      <c r="B86" s="384" t="s">
        <v>681</v>
      </c>
      <c r="C86" s="384" t="s">
        <v>372</v>
      </c>
      <c r="D86" s="325">
        <f>'Monthly PL'!B9*10000000</f>
        <v>0</v>
      </c>
      <c r="E86" s="325">
        <f>'Monthly PL'!C9*10000000</f>
        <v>0</v>
      </c>
      <c r="F86" s="325">
        <f>'Monthly PL'!D9*10000000</f>
        <v>0</v>
      </c>
      <c r="G86" s="325">
        <f>'Monthly PL'!E9*10000000</f>
        <v>0</v>
      </c>
      <c r="H86" s="325">
        <f>'Monthly PL'!F9*10000000</f>
        <v>0</v>
      </c>
      <c r="I86" s="325">
        <f>'Monthly PL'!G9*10000000</f>
        <v>0</v>
      </c>
      <c r="J86" s="325">
        <f>'Monthly PL'!H9*10000000</f>
        <v>0</v>
      </c>
      <c r="K86" s="325">
        <f>'Monthly PL'!I9*10000000</f>
        <v>0</v>
      </c>
      <c r="L86" s="325">
        <f>'Monthly PL'!J9*10000000</f>
        <v>0</v>
      </c>
      <c r="M86" s="325">
        <f>'Monthly PL'!K9*10000000</f>
        <v>0</v>
      </c>
      <c r="N86" s="325">
        <f>'Monthly PL'!L9*10000000</f>
        <v>0</v>
      </c>
      <c r="O86" s="325">
        <f>'Monthly PL'!M9*10000000</f>
        <v>0</v>
      </c>
      <c r="P86" s="325">
        <f>'Monthly PL'!N9*10000000</f>
        <v>0</v>
      </c>
      <c r="Q86" s="325">
        <f>'Monthly PL'!O9*10000000</f>
        <v>0</v>
      </c>
      <c r="R86" s="325">
        <f>'Monthly PL'!P9*10000000</f>
        <v>0</v>
      </c>
      <c r="S86" s="325">
        <f>'Monthly PL'!Q9*10000000</f>
        <v>0</v>
      </c>
      <c r="T86" s="325">
        <f>'Monthly PL'!R9*10000000</f>
        <v>0</v>
      </c>
      <c r="U86" s="325">
        <f>'Monthly PL'!S9*10000000</f>
        <v>0</v>
      </c>
      <c r="V86" s="325">
        <f>'Monthly PL'!T9*10000000</f>
        <v>0</v>
      </c>
      <c r="W86" s="325">
        <f>'Monthly PL'!U9*10000000</f>
        <v>0</v>
      </c>
      <c r="X86" s="325">
        <f>'Monthly PL'!V9*10000000</f>
        <v>0</v>
      </c>
      <c r="Y86" s="325">
        <f>'Monthly PL'!W9*10000000</f>
        <v>0</v>
      </c>
      <c r="Z86" s="325">
        <f>'Monthly PL'!X9*10000000</f>
        <v>0</v>
      </c>
      <c r="AA86" s="325">
        <f>'Monthly PL'!Y9*10000000</f>
        <v>0</v>
      </c>
      <c r="AB86" s="325">
        <f>'Monthly PL'!Z9*10000000</f>
        <v>0</v>
      </c>
      <c r="AC86" s="325">
        <f>'Monthly PL'!AA9*10000000</f>
        <v>0</v>
      </c>
      <c r="AD86" s="325">
        <f>'Monthly PL'!AB9*10000000</f>
        <v>0</v>
      </c>
      <c r="AE86" s="325">
        <f>'Monthly PL'!AC9*10000000</f>
        <v>0</v>
      </c>
      <c r="AF86" s="325">
        <f>'Monthly PL'!AD9*10000000</f>
        <v>0</v>
      </c>
      <c r="AG86" s="325">
        <f>'Monthly PL'!AE9*10000000</f>
        <v>0</v>
      </c>
      <c r="AH86" s="325">
        <f>'Monthly PL'!AF9*10000000</f>
        <v>0</v>
      </c>
      <c r="AI86" s="325">
        <f>'Monthly PL'!AG9*10000000</f>
        <v>0</v>
      </c>
      <c r="AJ86" s="325">
        <f>'Monthly PL'!AH9*10000000</f>
        <v>0</v>
      </c>
      <c r="AK86" s="325">
        <f>'Monthly PL'!AI9*10000000</f>
        <v>0</v>
      </c>
      <c r="AL86" s="325">
        <f>'Monthly PL'!AJ9*10000000</f>
        <v>0</v>
      </c>
      <c r="AM86" s="325">
        <f>'Monthly PL'!AK9*10000000</f>
        <v>0</v>
      </c>
      <c r="AN86" s="325">
        <f>'Monthly PL'!AL9*10000000</f>
        <v>0</v>
      </c>
      <c r="AO86" s="325">
        <f>'Monthly PL'!AM9*10000000</f>
        <v>0</v>
      </c>
      <c r="AP86" s="325">
        <f>'Monthly PL'!AN9*10000000</f>
        <v>0</v>
      </c>
      <c r="AQ86" s="325">
        <f>'Monthly PL'!AO9*10000000</f>
        <v>0</v>
      </c>
      <c r="AR86" s="325">
        <f>'Monthly PL'!AP9*10000000</f>
        <v>0</v>
      </c>
      <c r="AS86" s="325">
        <f>'Monthly PL'!AQ9*10000000</f>
        <v>0</v>
      </c>
      <c r="AT86" s="325">
        <f>'Monthly PL'!AR9*10000000</f>
        <v>0</v>
      </c>
      <c r="AU86" s="325">
        <f>'Monthly PL'!AS9*10000000</f>
        <v>0</v>
      </c>
      <c r="AV86" s="325">
        <f>'Monthly PL'!AT9*10000000</f>
        <v>0</v>
      </c>
      <c r="AW86" s="325">
        <f>'Monthly PL'!AU9*10000000</f>
        <v>0</v>
      </c>
      <c r="AX86" s="325">
        <f>'Monthly PL'!AV9*10000000</f>
        <v>0</v>
      </c>
      <c r="AY86" s="325">
        <f>'Monthly PL'!AW9*10000000</f>
        <v>0</v>
      </c>
      <c r="AZ86" s="325">
        <f>'Monthly PL'!AX9*10000000</f>
        <v>0</v>
      </c>
      <c r="BA86" s="325">
        <f>'Monthly PL'!AY9*10000000</f>
        <v>0</v>
      </c>
      <c r="BB86" s="325">
        <f>'Monthly PL'!AZ9*10000000</f>
        <v>0</v>
      </c>
      <c r="BC86" s="325">
        <f>'Monthly PL'!BA9*10000000</f>
        <v>0</v>
      </c>
      <c r="BD86" s="325">
        <f>'Monthly PL'!BB9*10000000</f>
        <v>0</v>
      </c>
      <c r="BE86" s="325">
        <f>'Monthly PL'!BC9*10000000</f>
        <v>0</v>
      </c>
      <c r="BF86" s="325">
        <f>'Monthly PL'!BD9*10000000</f>
        <v>0</v>
      </c>
      <c r="BG86" s="325">
        <f>'Monthly PL'!BE9*10000000</f>
        <v>0</v>
      </c>
      <c r="BH86" s="325">
        <f>'Monthly PL'!BF9*10000000</f>
        <v>0</v>
      </c>
      <c r="BI86" s="325">
        <f>'Monthly PL'!BG9*10000000</f>
        <v>0</v>
      </c>
      <c r="BJ86" s="325">
        <f>'Monthly PL'!BH9*10000000</f>
        <v>0</v>
      </c>
      <c r="BK86" s="325">
        <f>'Monthly PL'!BI9*10000000</f>
        <v>0</v>
      </c>
      <c r="BL86" s="325">
        <f>'Monthly PL'!BJ9*10000000</f>
        <v>0</v>
      </c>
      <c r="BM86" s="325">
        <f>'Monthly PL'!BK9*10000000</f>
        <v>0</v>
      </c>
      <c r="BN86" s="325">
        <f>'Monthly PL'!BL9*10000000</f>
        <v>0</v>
      </c>
      <c r="BO86" s="325">
        <f>'Monthly PL'!BM9*10000000</f>
        <v>0</v>
      </c>
      <c r="BP86" s="325">
        <f>'Monthly PL'!BN9*10000000</f>
        <v>0</v>
      </c>
      <c r="BQ86" s="325">
        <f>'Monthly PL'!BO9*10000000</f>
        <v>0</v>
      </c>
      <c r="BR86" s="325">
        <f>'Monthly PL'!BP9*10000000</f>
        <v>0</v>
      </c>
      <c r="BS86" s="325">
        <f>'Monthly PL'!BQ9*10000000</f>
        <v>0</v>
      </c>
      <c r="BT86" s="325">
        <f>'Monthly PL'!BR9*10000000</f>
        <v>0</v>
      </c>
      <c r="BU86" s="325">
        <f>'Monthly PL'!BS9*10000000</f>
        <v>0</v>
      </c>
      <c r="BV86" s="325">
        <f>'Monthly PL'!BT9*10000000</f>
        <v>0</v>
      </c>
      <c r="BW86" s="325">
        <f>'Monthly PL'!BU9*10000000</f>
        <v>0</v>
      </c>
      <c r="BX86" s="325">
        <f>'Monthly PL'!BV9*10000000</f>
        <v>0</v>
      </c>
      <c r="BY86" s="325">
        <f>'Monthly PL'!BW9*10000000</f>
        <v>0</v>
      </c>
      <c r="BZ86" s="325">
        <f>'Monthly PL'!BX9*10000000</f>
        <v>0</v>
      </c>
      <c r="CA86" s="325">
        <f>'Monthly PL'!BY9*10000000</f>
        <v>0</v>
      </c>
      <c r="CB86" s="325">
        <f>'Monthly PL'!BZ9*10000000</f>
        <v>0</v>
      </c>
      <c r="CC86" s="325">
        <f>'Monthly PL'!CA9*10000000</f>
        <v>0</v>
      </c>
      <c r="CD86" s="325">
        <f>'Monthly PL'!CB9*10000000</f>
        <v>0</v>
      </c>
      <c r="CE86" s="325">
        <f>'Monthly PL'!CC9*10000000</f>
        <v>0</v>
      </c>
      <c r="CF86" s="325">
        <f>'Monthly PL'!CD9*10000000</f>
        <v>0</v>
      </c>
      <c r="CG86" s="325">
        <f>'Monthly PL'!CE9*10000000</f>
        <v>0</v>
      </c>
      <c r="CH86" s="325">
        <f>'Monthly PL'!CF9*10000000</f>
        <v>0</v>
      </c>
      <c r="CI86" s="325">
        <f>'Monthly PL'!CG9*10000000</f>
        <v>0</v>
      </c>
      <c r="CJ86" s="325">
        <f>'Monthly PL'!CH9*10000000</f>
        <v>0</v>
      </c>
      <c r="CK86" s="325">
        <f>'Monthly PL'!CI9*10000000</f>
        <v>0</v>
      </c>
      <c r="CL86" s="325">
        <f>'Monthly PL'!CJ9*10000000</f>
        <v>0</v>
      </c>
      <c r="CM86" s="325">
        <f>'Monthly PL'!CK9*10000000</f>
        <v>0</v>
      </c>
      <c r="CN86" s="325">
        <f>'Monthly PL'!CL9*10000000</f>
        <v>0</v>
      </c>
      <c r="CO86" s="325">
        <f>'Monthly PL'!CM9*10000000</f>
        <v>0</v>
      </c>
      <c r="CP86" s="325">
        <f>'Monthly PL'!CN9*10000000</f>
        <v>0</v>
      </c>
      <c r="CQ86" s="325">
        <f>'Monthly PL'!CO9*10000000</f>
        <v>0</v>
      </c>
      <c r="CR86" s="325">
        <f>'Monthly PL'!CP9*10000000</f>
        <v>0</v>
      </c>
      <c r="CS86" s="325">
        <f>'Monthly PL'!CQ9*10000000</f>
        <v>0</v>
      </c>
      <c r="CT86" s="325">
        <f>'Monthly PL'!CR9*10000000</f>
        <v>0</v>
      </c>
      <c r="CU86" s="325">
        <f>'Monthly PL'!CS9*10000000</f>
        <v>0</v>
      </c>
      <c r="CV86" s="325">
        <f>'Monthly PL'!CT9*10000000</f>
        <v>0</v>
      </c>
      <c r="CW86" s="325">
        <f>'Monthly PL'!CU9*10000000</f>
        <v>0</v>
      </c>
      <c r="CX86" s="325">
        <f>'Monthly PL'!CV9*10000000</f>
        <v>0</v>
      </c>
      <c r="CY86" s="325">
        <f>'Monthly PL'!CW9*10000000</f>
        <v>0</v>
      </c>
    </row>
    <row r="87" spans="1:103" ht="12.75" thickBot="1">
      <c r="C87" s="384"/>
      <c r="D87" s="326">
        <f t="shared" ref="D87:I87" si="0">SUM(D82:D86)-SUM(D3:D81)</f>
        <v>79082408.181904629</v>
      </c>
      <c r="E87" s="326">
        <f t="shared" si="0"/>
        <v>13093762.324900813</v>
      </c>
      <c r="F87" s="326">
        <f t="shared" si="0"/>
        <v>1550383.5711816885</v>
      </c>
      <c r="G87" s="326">
        <f t="shared" si="0"/>
        <v>27254786.485280842</v>
      </c>
      <c r="H87" s="326">
        <f t="shared" si="0"/>
        <v>514959.99741278589</v>
      </c>
      <c r="I87" s="326">
        <f t="shared" si="0"/>
        <v>16199802.418761119</v>
      </c>
      <c r="J87" s="326">
        <f t="shared" ref="J87:AO87" si="1">SUM(J82:J86)-SUM(J3:J81)</f>
        <v>-81972.520462058485</v>
      </c>
      <c r="K87" s="326">
        <f t="shared" si="1"/>
        <v>24929489.043377142</v>
      </c>
      <c r="L87" s="326">
        <f t="shared" si="1"/>
        <v>3682608.8169731982</v>
      </c>
      <c r="M87" s="326">
        <f t="shared" si="1"/>
        <v>15912908.922055982</v>
      </c>
      <c r="N87" s="326">
        <f t="shared" si="1"/>
        <v>-17813967.291120537</v>
      </c>
      <c r="O87" s="326">
        <f t="shared" si="1"/>
        <v>5048823.5995287523</v>
      </c>
      <c r="P87" s="326">
        <f t="shared" si="1"/>
        <v>-18646356.164537601</v>
      </c>
      <c r="Q87" s="326">
        <f t="shared" si="1"/>
        <v>14427275.105472445</v>
      </c>
      <c r="R87" s="326">
        <f t="shared" si="1"/>
        <v>-12438867.725679159</v>
      </c>
      <c r="S87" s="326">
        <f t="shared" si="1"/>
        <v>14014819.465139478</v>
      </c>
      <c r="T87" s="326">
        <f t="shared" si="1"/>
        <v>-14245913.350970171</v>
      </c>
      <c r="U87" s="326">
        <f t="shared" si="1"/>
        <v>17760046.777063079</v>
      </c>
      <c r="V87" s="326">
        <f t="shared" si="1"/>
        <v>-16135399.795333713</v>
      </c>
      <c r="W87" s="326">
        <f t="shared" si="1"/>
        <v>13530155.944553539</v>
      </c>
      <c r="X87" s="326">
        <f t="shared" si="1"/>
        <v>-21241621.336451426</v>
      </c>
      <c r="Y87" s="326">
        <f t="shared" si="1"/>
        <v>-293168159.79404604</v>
      </c>
      <c r="Z87" s="326">
        <f t="shared" si="1"/>
        <v>-19769684.728102617</v>
      </c>
      <c r="AA87" s="326">
        <f t="shared" si="1"/>
        <v>9662978.7792426497</v>
      </c>
      <c r="AB87" s="326">
        <f t="shared" si="1"/>
        <v>-20321485.735606767</v>
      </c>
      <c r="AC87" s="326">
        <f t="shared" si="1"/>
        <v>14683414.702038959</v>
      </c>
      <c r="AD87" s="326">
        <f t="shared" si="1"/>
        <v>-17150407.115387551</v>
      </c>
      <c r="AE87" s="326">
        <f t="shared" si="1"/>
        <v>19814840.15748363</v>
      </c>
      <c r="AF87" s="326">
        <f t="shared" si="1"/>
        <v>-14775377.646068834</v>
      </c>
      <c r="AG87" s="326">
        <f t="shared" si="1"/>
        <v>19920520.635795847</v>
      </c>
      <c r="AH87" s="326">
        <f t="shared" si="1"/>
        <v>-16357714.495624736</v>
      </c>
      <c r="AI87" s="326">
        <f t="shared" si="1"/>
        <v>24992292.096133724</v>
      </c>
      <c r="AJ87" s="326">
        <f t="shared" si="1"/>
        <v>-13981277.755577452</v>
      </c>
      <c r="AK87" s="326">
        <f t="shared" si="1"/>
        <v>-431021422.64635986</v>
      </c>
      <c r="AL87" s="326">
        <f t="shared" si="1"/>
        <v>369420.9370457679</v>
      </c>
      <c r="AM87" s="326">
        <f t="shared" si="1"/>
        <v>33708553.741687991</v>
      </c>
      <c r="AN87" s="326">
        <f t="shared" si="1"/>
        <v>-219540.33465670049</v>
      </c>
      <c r="AO87" s="326">
        <f t="shared" si="1"/>
        <v>39296312.137221031</v>
      </c>
      <c r="AP87" s="326">
        <f t="shared" ref="AP87:CY87" si="2">SUM(AP82:AP86)-SUM(AP3:AP81)</f>
        <v>3570337.7438609153</v>
      </c>
      <c r="AQ87" s="326">
        <f t="shared" si="2"/>
        <v>33958193.171506137</v>
      </c>
      <c r="AR87" s="326">
        <f t="shared" si="2"/>
        <v>1909728.5070643947</v>
      </c>
      <c r="AS87" s="326">
        <f t="shared" si="2"/>
        <v>41369288.219911367</v>
      </c>
      <c r="AT87" s="326">
        <f t="shared" si="2"/>
        <v>1341846.483581163</v>
      </c>
      <c r="AU87" s="326">
        <f t="shared" si="2"/>
        <v>44732742.857114553</v>
      </c>
      <c r="AV87" s="326">
        <f t="shared" si="2"/>
        <v>3373597.2055297568</v>
      </c>
      <c r="AW87" s="326">
        <f t="shared" si="2"/>
        <v>-410632094.23608047</v>
      </c>
      <c r="AX87" s="326">
        <f t="shared" si="2"/>
        <v>1167701.1573684365</v>
      </c>
      <c r="AY87" s="326">
        <f t="shared" si="2"/>
        <v>39746928.248293951</v>
      </c>
      <c r="AZ87" s="326">
        <f t="shared" si="2"/>
        <v>439010.63637188822</v>
      </c>
      <c r="BA87" s="326">
        <f t="shared" si="2"/>
        <v>44961378.97429435</v>
      </c>
      <c r="BB87" s="326">
        <f t="shared" si="2"/>
        <v>4145361.8626530021</v>
      </c>
      <c r="BC87" s="326">
        <f t="shared" si="2"/>
        <v>42860613.108349167</v>
      </c>
      <c r="BD87" s="326">
        <f t="shared" si="2"/>
        <v>1821661.2814092413</v>
      </c>
      <c r="BE87" s="326">
        <f t="shared" si="2"/>
        <v>45283956.567674413</v>
      </c>
      <c r="BF87" s="326">
        <f t="shared" si="2"/>
        <v>1925991.2117026076</v>
      </c>
      <c r="BG87" s="326">
        <f t="shared" si="2"/>
        <v>48101764.342879735</v>
      </c>
      <c r="BH87" s="326">
        <f t="shared" si="2"/>
        <v>1343308.7966542393</v>
      </c>
      <c r="BI87" s="326">
        <f t="shared" si="2"/>
        <v>-407820602.32830203</v>
      </c>
      <c r="BJ87" s="326">
        <f t="shared" si="2"/>
        <v>9295255.6797558144</v>
      </c>
      <c r="BK87" s="326">
        <f t="shared" si="2"/>
        <v>58198482.277379408</v>
      </c>
      <c r="BL87" s="326">
        <f t="shared" si="2"/>
        <v>8545299.4044022858</v>
      </c>
      <c r="BM87" s="326">
        <f t="shared" si="2"/>
        <v>64882871.188183263</v>
      </c>
      <c r="BN87" s="326">
        <f t="shared" si="2"/>
        <v>14079687.463442594</v>
      </c>
      <c r="BO87" s="326">
        <f t="shared" si="2"/>
        <v>62323593.270507507</v>
      </c>
      <c r="BP87" s="326">
        <f t="shared" si="2"/>
        <v>11019564.063322119</v>
      </c>
      <c r="BQ87" s="326">
        <f t="shared" si="2"/>
        <v>63938542.444980346</v>
      </c>
      <c r="BR87" s="326">
        <f t="shared" si="2"/>
        <v>11246261.144733891</v>
      </c>
      <c r="BS87" s="326">
        <f t="shared" si="2"/>
        <v>67123800.947110325</v>
      </c>
      <c r="BT87" s="326">
        <f t="shared" si="2"/>
        <v>-3060932.7581464946</v>
      </c>
      <c r="BU87" s="326">
        <f t="shared" si="2"/>
        <v>-390648100.28941953</v>
      </c>
      <c r="BV87" s="326">
        <f t="shared" si="2"/>
        <v>12257318.404805444</v>
      </c>
      <c r="BW87" s="326">
        <f t="shared" si="2"/>
        <v>66615403.381386697</v>
      </c>
      <c r="BX87" s="326">
        <f t="shared" si="2"/>
        <v>9982322.7891381159</v>
      </c>
      <c r="BY87" s="326">
        <f t="shared" si="2"/>
        <v>71858059.128254175</v>
      </c>
      <c r="BZ87" s="326">
        <f t="shared" si="2"/>
        <v>14208110.89942693</v>
      </c>
      <c r="CA87" s="326">
        <f t="shared" si="2"/>
        <v>69136584.876600847</v>
      </c>
      <c r="CB87" s="326">
        <f t="shared" si="2"/>
        <v>11764623.246649265</v>
      </c>
      <c r="CC87" s="326">
        <f t="shared" si="2"/>
        <v>71472457.092575222</v>
      </c>
      <c r="CD87" s="326">
        <f t="shared" si="2"/>
        <v>12237995.696611091</v>
      </c>
      <c r="CE87" s="326">
        <f t="shared" si="2"/>
        <v>76586161.585843354</v>
      </c>
      <c r="CF87" s="326">
        <f t="shared" si="2"/>
        <v>10979248.867724672</v>
      </c>
      <c r="CG87" s="326">
        <f t="shared" si="2"/>
        <v>-379893884.47635484</v>
      </c>
      <c r="CH87" s="326">
        <f t="shared" si="2"/>
        <v>16616266.710170127</v>
      </c>
      <c r="CI87" s="326">
        <f t="shared" si="2"/>
        <v>77531130.45077011</v>
      </c>
      <c r="CJ87" s="326">
        <f t="shared" si="2"/>
        <v>21375331.302179441</v>
      </c>
      <c r="CK87" s="326">
        <f t="shared" si="2"/>
        <v>88255803.3099145</v>
      </c>
      <c r="CL87" s="326">
        <f t="shared" si="2"/>
        <v>25839464.224536143</v>
      </c>
      <c r="CM87" s="326">
        <f t="shared" si="2"/>
        <v>85631297.812801957</v>
      </c>
      <c r="CN87" s="326">
        <f t="shared" si="2"/>
        <v>23599737.313133612</v>
      </c>
      <c r="CO87" s="326">
        <f t="shared" si="2"/>
        <v>88111672.60880141</v>
      </c>
      <c r="CP87" s="326">
        <f t="shared" si="2"/>
        <v>24801476.386565261</v>
      </c>
      <c r="CQ87" s="326">
        <f t="shared" si="2"/>
        <v>92566850.67886138</v>
      </c>
      <c r="CR87" s="326">
        <f t="shared" si="2"/>
        <v>24061980.192960247</v>
      </c>
      <c r="CS87" s="326">
        <f t="shared" si="2"/>
        <v>-368240935.78310502</v>
      </c>
      <c r="CT87" s="326">
        <f t="shared" si="2"/>
        <v>28692737.297619708</v>
      </c>
      <c r="CU87" s="326">
        <f t="shared" si="2"/>
        <v>96269335.589515746</v>
      </c>
      <c r="CV87" s="326">
        <f t="shared" si="2"/>
        <v>31467261.155981936</v>
      </c>
      <c r="CW87" s="326">
        <f t="shared" si="2"/>
        <v>102054842.62753223</v>
      </c>
      <c r="CX87" s="326">
        <f t="shared" si="2"/>
        <v>35253970.187074505</v>
      </c>
      <c r="CY87" s="326">
        <f t="shared" si="2"/>
        <v>100924740.02300817</v>
      </c>
    </row>
    <row r="88" spans="1:103" ht="12.75" thickTop="1"/>
  </sheetData>
  <autoFilter ref="A2:CY87"/>
  <conditionalFormatting sqref="A67:A7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1" activePane="bottomRight" state="frozen"/>
      <selection activeCell="U8" sqref="U8"/>
      <selection pane="topRight" activeCell="U8" sqref="U8"/>
      <selection pane="bottomLeft" activeCell="U8" sqref="U8"/>
      <selection pane="bottomRight" activeCell="C11" sqref="C11:I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 t="s">
        <v>694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69">
        <v>46.126333073399998</v>
      </c>
      <c r="C3" s="470">
        <v>0</v>
      </c>
      <c r="D3" s="470">
        <v>0</v>
      </c>
      <c r="E3" s="470">
        <v>6.0180886133000007</v>
      </c>
      <c r="F3" s="470">
        <v>6.0180886133000007</v>
      </c>
      <c r="G3" s="470">
        <v>0</v>
      </c>
      <c r="H3" s="470">
        <v>0</v>
      </c>
      <c r="I3" s="470">
        <v>0</v>
      </c>
      <c r="J3" s="470">
        <v>0</v>
      </c>
      <c r="K3" s="470">
        <v>0</v>
      </c>
    </row>
    <row r="4" spans="1:11">
      <c r="A4" s="468" t="s">
        <v>696</v>
      </c>
      <c r="B4" s="469">
        <v>30.770981367000001</v>
      </c>
      <c r="C4" s="469">
        <v>0</v>
      </c>
      <c r="D4" s="469">
        <v>1.0531340109999991</v>
      </c>
      <c r="E4" s="469">
        <v>1.0531340109999991</v>
      </c>
      <c r="F4" s="469">
        <v>1.0531340109999991</v>
      </c>
      <c r="G4" s="469">
        <v>0</v>
      </c>
      <c r="H4" s="469">
        <v>0</v>
      </c>
      <c r="I4" s="469">
        <v>0</v>
      </c>
      <c r="J4" s="469">
        <v>0</v>
      </c>
      <c r="K4" s="469">
        <v>0</v>
      </c>
    </row>
    <row r="5" spans="1:11">
      <c r="A5" s="468" t="s">
        <v>697</v>
      </c>
      <c r="B5" s="469">
        <v>8.0908215576499991</v>
      </c>
      <c r="C5" s="470">
        <v>0</v>
      </c>
      <c r="D5" s="470">
        <v>0</v>
      </c>
      <c r="E5" s="470">
        <v>2.5129637211750002</v>
      </c>
      <c r="F5" s="470">
        <v>2.5129637211750002</v>
      </c>
      <c r="G5" s="470">
        <v>0</v>
      </c>
      <c r="H5" s="470">
        <v>0</v>
      </c>
      <c r="I5" s="470">
        <v>0</v>
      </c>
      <c r="J5" s="470">
        <v>0</v>
      </c>
      <c r="K5" s="470">
        <v>0</v>
      </c>
    </row>
    <row r="6" spans="1:11">
      <c r="A6" s="468" t="s">
        <v>698</v>
      </c>
      <c r="B6" s="469">
        <v>9.5173500000000004</v>
      </c>
      <c r="C6" s="470">
        <v>0</v>
      </c>
      <c r="D6" s="470">
        <v>0</v>
      </c>
      <c r="E6" s="470">
        <v>1.1206624999999999</v>
      </c>
      <c r="F6" s="470">
        <v>1.1206624999999999</v>
      </c>
      <c r="G6" s="470">
        <v>1.1206624999999999</v>
      </c>
      <c r="H6" s="470">
        <v>1.1206624999999999</v>
      </c>
      <c r="I6" s="470">
        <v>0</v>
      </c>
      <c r="J6" s="470">
        <v>0</v>
      </c>
      <c r="K6" s="470">
        <v>0</v>
      </c>
    </row>
    <row r="7" spans="1:11">
      <c r="A7" s="468" t="s">
        <v>699</v>
      </c>
      <c r="B7" s="471">
        <v>14.33926983093</v>
      </c>
      <c r="C7" s="471">
        <f>'Works Working'!C6</f>
        <v>0</v>
      </c>
      <c r="D7" s="471">
        <f>'Works Working'!D6</f>
        <v>0</v>
      </c>
      <c r="E7" s="471">
        <f>'Works Working'!E6</f>
        <v>0</v>
      </c>
      <c r="F7" s="471">
        <f>'Works Working'!F6</f>
        <v>0</v>
      </c>
      <c r="G7" s="471">
        <f>'Works Working'!G6</f>
        <v>0</v>
      </c>
      <c r="H7" s="471">
        <f>'Works Working'!H6</f>
        <v>0</v>
      </c>
      <c r="I7" s="471">
        <f>'Works Working'!I6</f>
        <v>0</v>
      </c>
      <c r="J7" s="471">
        <f>'Works Working'!J6</f>
        <v>0</v>
      </c>
      <c r="K7" s="471">
        <f>'Works Working'!K6</f>
        <v>0</v>
      </c>
    </row>
    <row r="8" spans="1:11">
      <c r="A8" s="468" t="s">
        <v>700</v>
      </c>
      <c r="B8" s="469">
        <v>7.8258041508699998</v>
      </c>
      <c r="C8" s="470">
        <f>'Works Working'!C18</f>
        <v>0</v>
      </c>
      <c r="D8" s="470">
        <f>'Works Working'!D18</f>
        <v>0</v>
      </c>
      <c r="E8" s="470">
        <f>'Works Working'!E18</f>
        <v>0</v>
      </c>
      <c r="F8" s="470">
        <f>'Works Working'!F18</f>
        <v>0</v>
      </c>
      <c r="G8" s="470">
        <f>'Works Working'!G18</f>
        <v>0</v>
      </c>
      <c r="H8" s="470">
        <f>'Works Working'!H18</f>
        <v>0</v>
      </c>
      <c r="I8" s="470">
        <f>'Works Working'!I18</f>
        <v>0</v>
      </c>
      <c r="J8" s="470">
        <f>'Works Working'!J18</f>
        <v>0</v>
      </c>
      <c r="K8" s="470">
        <f>'Works Working'!K18</f>
        <v>0</v>
      </c>
    </row>
    <row r="9" spans="1:11">
      <c r="A9" s="468" t="s">
        <v>701</v>
      </c>
      <c r="B9" s="469">
        <f>'Works Working'!B47</f>
        <v>262.43490516143606</v>
      </c>
      <c r="C9" s="470">
        <f>'Works Working'!C47</f>
        <v>5.9781783297942788</v>
      </c>
      <c r="D9" s="470">
        <f>'Works Working'!D47</f>
        <v>5.9781783297942788</v>
      </c>
      <c r="E9" s="470">
        <f>'Works Working'!E47</f>
        <v>5.9781783297942788</v>
      </c>
      <c r="F9" s="470">
        <f>'Works Working'!F47</f>
        <v>11.940574429751228</v>
      </c>
      <c r="G9" s="470">
        <f>'Works Working'!G47</f>
        <v>11.132093055828156</v>
      </c>
      <c r="H9" s="470">
        <f>'Works Working'!H47</f>
        <v>18.03832439040923</v>
      </c>
      <c r="I9" s="470">
        <f>'Works Working'!I47</f>
        <v>9.9492235573247925</v>
      </c>
      <c r="J9" s="470">
        <f>'Works Working'!J47</f>
        <v>0</v>
      </c>
      <c r="K9" s="470">
        <f>'Works Working'!K47</f>
        <v>0</v>
      </c>
    </row>
    <row r="10" spans="1:11">
      <c r="A10" s="468" t="s">
        <v>702</v>
      </c>
      <c r="B10" s="469">
        <f>'Works Working'!B75</f>
        <v>0</v>
      </c>
      <c r="C10" s="470">
        <f>'Works Working'!C75</f>
        <v>0.17</v>
      </c>
      <c r="D10" s="470">
        <f>'Works Working'!D75</f>
        <v>0.17</v>
      </c>
      <c r="E10" s="470">
        <f>'Works Working'!E75</f>
        <v>0.17</v>
      </c>
      <c r="F10" s="470">
        <f>'Works Working'!F75</f>
        <v>0.17</v>
      </c>
      <c r="G10" s="470">
        <f>'Works Working'!G75</f>
        <v>0.17</v>
      </c>
      <c r="H10" s="470">
        <f>'Works Working'!H75</f>
        <v>0.17</v>
      </c>
      <c r="I10" s="470">
        <f>'Works Working'!I75</f>
        <v>0.17</v>
      </c>
      <c r="J10" s="470">
        <f>'Works Working'!J75</f>
        <v>0</v>
      </c>
      <c r="K10" s="470">
        <f>'Works Working'!K75</f>
        <v>0</v>
      </c>
    </row>
    <row r="11" spans="1:11" ht="12.75" thickBot="1">
      <c r="A11" s="464" t="s">
        <v>104</v>
      </c>
      <c r="B11" s="472">
        <f>SUM(B3:B10)</f>
        <v>379.10546514128606</v>
      </c>
      <c r="C11" s="472">
        <f t="shared" ref="C11:K11" si="0">SUM(C3:C10)</f>
        <v>6.1481783297942787</v>
      </c>
      <c r="D11" s="472">
        <f t="shared" si="0"/>
        <v>7.2013123407942778</v>
      </c>
      <c r="E11" s="472">
        <f t="shared" si="0"/>
        <v>16.853027175269283</v>
      </c>
      <c r="F11" s="472">
        <f t="shared" si="0"/>
        <v>22.81542327522623</v>
      </c>
      <c r="G11" s="472">
        <f t="shared" si="0"/>
        <v>12.422755555828155</v>
      </c>
      <c r="H11" s="472">
        <f t="shared" si="0"/>
        <v>19.328986890409233</v>
      </c>
      <c r="I11" s="472">
        <f t="shared" si="0"/>
        <v>10.119223557324792</v>
      </c>
      <c r="J11" s="472">
        <f t="shared" si="0"/>
        <v>0</v>
      </c>
      <c r="K11" s="472">
        <f t="shared" si="0"/>
        <v>0</v>
      </c>
    </row>
    <row r="12" spans="1:11" ht="12.75" thickTop="1">
      <c r="B12" s="464"/>
      <c r="C12" s="464"/>
      <c r="D12" s="464"/>
      <c r="E12" s="464"/>
      <c r="F12" s="464"/>
      <c r="G12" s="464"/>
      <c r="H12" s="464"/>
      <c r="I12" s="464"/>
      <c r="J12" s="473"/>
      <c r="K12" s="464"/>
    </row>
    <row r="13" spans="1:11">
      <c r="A13" s="465" t="s">
        <v>188</v>
      </c>
      <c r="B13" s="466" t="str">
        <f>B2</f>
        <v>TTD</v>
      </c>
      <c r="C13" s="466">
        <f t="shared" ref="C13:K13" si="1">C2</f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69">
        <v>48.997227995414363</v>
      </c>
      <c r="C14" s="469">
        <v>0</v>
      </c>
      <c r="D14" s="469">
        <v>0</v>
      </c>
      <c r="E14" s="469">
        <v>3.6489895022928192</v>
      </c>
      <c r="F14" s="469">
        <v>3.6489895022928192</v>
      </c>
      <c r="G14" s="469">
        <v>0</v>
      </c>
      <c r="H14" s="469">
        <v>0</v>
      </c>
      <c r="I14" s="469">
        <v>0</v>
      </c>
      <c r="J14" s="469">
        <v>0</v>
      </c>
      <c r="K14" s="469">
        <v>0</v>
      </c>
    </row>
    <row r="15" spans="1:11">
      <c r="A15" s="468" t="s">
        <v>696</v>
      </c>
      <c r="B15" s="469">
        <v>39.846668053787127</v>
      </c>
      <c r="C15" s="469">
        <v>0</v>
      </c>
      <c r="D15" s="469">
        <v>2.0242325067424951</v>
      </c>
      <c r="E15" s="469">
        <v>2.0242325067424951</v>
      </c>
      <c r="F15" s="469">
        <v>2.0242325067424951</v>
      </c>
      <c r="G15" s="469">
        <v>0</v>
      </c>
      <c r="H15" s="469">
        <v>0</v>
      </c>
      <c r="I15" s="469">
        <v>0</v>
      </c>
      <c r="J15" s="469">
        <v>0</v>
      </c>
      <c r="K15" s="469">
        <v>0</v>
      </c>
    </row>
    <row r="16" spans="1:11">
      <c r="A16" s="468" t="s">
        <v>697</v>
      </c>
      <c r="B16" s="469">
        <v>10.394576466885857</v>
      </c>
      <c r="C16" s="469">
        <v>0</v>
      </c>
      <c r="D16" s="469">
        <v>0</v>
      </c>
      <c r="E16" s="469">
        <v>3.392732135557071</v>
      </c>
      <c r="F16" s="469">
        <v>3.392732135557071</v>
      </c>
      <c r="G16" s="469">
        <v>0</v>
      </c>
      <c r="H16" s="469">
        <v>0</v>
      </c>
      <c r="I16" s="469">
        <v>0</v>
      </c>
      <c r="J16" s="469">
        <v>0</v>
      </c>
      <c r="K16" s="469">
        <v>0</v>
      </c>
    </row>
    <row r="17" spans="1:11">
      <c r="A17" s="468" t="s">
        <v>698</v>
      </c>
      <c r="B17" s="469">
        <v>8.1275353204917575</v>
      </c>
      <c r="C17" s="470">
        <v>0</v>
      </c>
      <c r="D17" s="470">
        <v>0</v>
      </c>
      <c r="E17" s="470">
        <v>0.72258150550206046</v>
      </c>
      <c r="F17" s="470">
        <v>0.72258150550206046</v>
      </c>
      <c r="G17" s="470">
        <v>0.72258150550206046</v>
      </c>
      <c r="H17" s="470">
        <v>0.72258150550206046</v>
      </c>
      <c r="I17" s="469">
        <v>0</v>
      </c>
      <c r="J17" s="469">
        <v>0</v>
      </c>
      <c r="K17" s="470">
        <v>0</v>
      </c>
    </row>
    <row r="18" spans="1:11">
      <c r="A18" s="468" t="s">
        <v>699</v>
      </c>
      <c r="B18" s="474">
        <v>15.37</v>
      </c>
      <c r="C18" s="471">
        <f>'Works Working'!C11</f>
        <v>0</v>
      </c>
      <c r="D18" s="471">
        <f>'Works Working'!D11</f>
        <v>0</v>
      </c>
      <c r="E18" s="471">
        <f>'Works Working'!E11</f>
        <v>0</v>
      </c>
      <c r="F18" s="471">
        <f>'Works Working'!F11</f>
        <v>0</v>
      </c>
      <c r="G18" s="471">
        <f>'Works Working'!G11</f>
        <v>0</v>
      </c>
      <c r="H18" s="471">
        <f>'Works Working'!H11</f>
        <v>0</v>
      </c>
      <c r="I18" s="471">
        <f>'Works Working'!I11</f>
        <v>0</v>
      </c>
      <c r="J18" s="471">
        <f>'Works Working'!J11</f>
        <v>0</v>
      </c>
      <c r="K18" s="471">
        <f>'Works Working'!K11</f>
        <v>0</v>
      </c>
    </row>
    <row r="19" spans="1:11">
      <c r="A19" s="468" t="s">
        <v>700</v>
      </c>
      <c r="B19" s="469">
        <v>5.98</v>
      </c>
      <c r="C19" s="470">
        <f>'Works Working'!C23</f>
        <v>0</v>
      </c>
      <c r="D19" s="470">
        <f>'Works Working'!D23</f>
        <v>0</v>
      </c>
      <c r="E19" s="470">
        <f>'Works Working'!E23</f>
        <v>0</v>
      </c>
      <c r="F19" s="470">
        <f>'Works Working'!F23</f>
        <v>0</v>
      </c>
      <c r="G19" s="470">
        <f>'Works Working'!G23</f>
        <v>0</v>
      </c>
      <c r="H19" s="470">
        <f>'Works Working'!H23</f>
        <v>0</v>
      </c>
      <c r="I19" s="470">
        <f>'Works Working'!I23</f>
        <v>0</v>
      </c>
      <c r="J19" s="470">
        <f>'Works Working'!J23</f>
        <v>0</v>
      </c>
      <c r="K19" s="470">
        <f>'Works Working'!K23</f>
        <v>0</v>
      </c>
    </row>
    <row r="20" spans="1:11">
      <c r="A20" s="468" t="s">
        <v>701</v>
      </c>
      <c r="B20" s="469">
        <f>'Works Working'!B69</f>
        <v>196.57653101940494</v>
      </c>
      <c r="C20" s="470">
        <f>'Works Working'!C69</f>
        <v>6.3383745270357341</v>
      </c>
      <c r="D20" s="470">
        <f>'Works Working'!D69</f>
        <v>6.3383745270357341</v>
      </c>
      <c r="E20" s="470">
        <f>'Works Working'!E69</f>
        <v>6.3383745270357341</v>
      </c>
      <c r="F20" s="470">
        <f>'Works Working'!F69</f>
        <v>13.149511902527234</v>
      </c>
      <c r="G20" s="470">
        <f>'Works Working'!G69</f>
        <v>12.340790429940562</v>
      </c>
      <c r="H20" s="470">
        <f>'Works Working'!H69</f>
        <v>14.501549940551522</v>
      </c>
      <c r="I20" s="470">
        <f>'Works Working'!I69</f>
        <v>0</v>
      </c>
      <c r="J20" s="470">
        <f>'Works Working'!J69</f>
        <v>0</v>
      </c>
      <c r="K20" s="470">
        <f>'Works Working'!K69</f>
        <v>0</v>
      </c>
    </row>
    <row r="21" spans="1:11">
      <c r="A21" s="468" t="s">
        <v>702</v>
      </c>
      <c r="B21" s="469">
        <f>'Works Working'!B80</f>
        <v>0</v>
      </c>
      <c r="C21" s="470">
        <f>'Works Working'!C80</f>
        <v>0.22</v>
      </c>
      <c r="D21" s="470">
        <f>'Works Working'!D80</f>
        <v>0.22</v>
      </c>
      <c r="E21" s="470">
        <f>'Works Working'!E80</f>
        <v>0.22</v>
      </c>
      <c r="F21" s="470">
        <f>'Works Working'!F80</f>
        <v>0.22</v>
      </c>
      <c r="G21" s="470">
        <f>'Works Working'!G80</f>
        <v>0.22</v>
      </c>
      <c r="H21" s="470">
        <f>'Works Working'!H80</f>
        <v>0.22</v>
      </c>
      <c r="I21" s="470">
        <f>'Works Working'!I80</f>
        <v>0.22</v>
      </c>
      <c r="J21" s="470">
        <f>'Works Working'!J80</f>
        <v>0</v>
      </c>
      <c r="K21" s="470">
        <f>'Works Working'!K80</f>
        <v>0</v>
      </c>
    </row>
    <row r="22" spans="1:11" ht="12.75" thickBot="1">
      <c r="A22" s="464" t="s">
        <v>104</v>
      </c>
      <c r="B22" s="472">
        <f>SUM(B14:B21)</f>
        <v>325.29253885598405</v>
      </c>
      <c r="C22" s="472">
        <f t="shared" ref="C22:K22" si="2">SUM(C14:C21)</f>
        <v>6.5583745270357339</v>
      </c>
      <c r="D22" s="472">
        <f t="shared" si="2"/>
        <v>8.5826070337782294</v>
      </c>
      <c r="E22" s="472">
        <f t="shared" si="2"/>
        <v>16.346910177130177</v>
      </c>
      <c r="F22" s="472">
        <f t="shared" si="2"/>
        <v>23.158047552621678</v>
      </c>
      <c r="G22" s="472">
        <f t="shared" si="2"/>
        <v>13.283371935442622</v>
      </c>
      <c r="H22" s="472">
        <f t="shared" si="2"/>
        <v>15.444131446053582</v>
      </c>
      <c r="I22" s="472">
        <f t="shared" si="2"/>
        <v>0.22</v>
      </c>
      <c r="J22" s="472">
        <f t="shared" si="2"/>
        <v>0</v>
      </c>
      <c r="K22" s="472">
        <f t="shared" si="2"/>
        <v>0</v>
      </c>
    </row>
    <row r="23" spans="1:11" ht="12.75" thickTop="1">
      <c r="J23" s="473"/>
    </row>
    <row r="24" spans="1:11">
      <c r="A24" s="465" t="s">
        <v>703</v>
      </c>
      <c r="B24" s="466" t="str">
        <f>B13</f>
        <v>TTD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2.3690991110071815</v>
      </c>
      <c r="F25" s="469">
        <f t="shared" si="4"/>
        <v>2.3690991110071815</v>
      </c>
      <c r="G25" s="469">
        <f t="shared" si="4"/>
        <v>0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-0.97109849574249596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0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-0.87976841438207076</v>
      </c>
      <c r="F27" s="469">
        <f t="shared" si="5"/>
        <v>-0.87976841438207076</v>
      </c>
      <c r="G27" s="469">
        <f t="shared" si="5"/>
        <v>0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0.39808099449793943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-1.030730169069999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1.8458041508699994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-0.36019619724145535</v>
      </c>
      <c r="D31" s="469">
        <f t="shared" si="5"/>
        <v>-0.36019619724145535</v>
      </c>
      <c r="E31" s="469">
        <f t="shared" si="5"/>
        <v>-0.36019619724145535</v>
      </c>
      <c r="F31" s="469">
        <f t="shared" si="5"/>
        <v>-1.2089374727760056</v>
      </c>
      <c r="G31" s="469">
        <f t="shared" si="5"/>
        <v>-1.2086973741124059</v>
      </c>
      <c r="H31" s="469">
        <f t="shared" si="5"/>
        <v>3.5367744498577078</v>
      </c>
      <c r="I31" s="469">
        <f t="shared" si="5"/>
        <v>9.9492235573247925</v>
      </c>
      <c r="J31" s="469">
        <f t="shared" si="5"/>
        <v>0</v>
      </c>
      <c r="K31" s="469">
        <f t="shared" si="5"/>
        <v>0</v>
      </c>
    </row>
    <row r="32" spans="1:11">
      <c r="A32" s="468" t="s">
        <v>702</v>
      </c>
      <c r="B32" s="469">
        <f t="shared" si="5"/>
        <v>0</v>
      </c>
      <c r="C32" s="469">
        <f t="shared" si="5"/>
        <v>-4.9999999999999989E-2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0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53.812926285302019</v>
      </c>
      <c r="C33" s="472">
        <f t="shared" ref="C33:K33" si="6">SUM(C25:C32)</f>
        <v>-0.41019619724145534</v>
      </c>
      <c r="D33" s="472">
        <f t="shared" si="6"/>
        <v>-1.3812946929839514</v>
      </c>
      <c r="E33" s="472">
        <f t="shared" si="6"/>
        <v>0.50611699813909894</v>
      </c>
      <c r="F33" s="472">
        <f t="shared" si="6"/>
        <v>-0.34262427739545137</v>
      </c>
      <c r="G33" s="472">
        <f t="shared" si="6"/>
        <v>-0.86061637961446635</v>
      </c>
      <c r="H33" s="472">
        <f t="shared" si="6"/>
        <v>3.8848554443556473</v>
      </c>
      <c r="I33" s="472">
        <f t="shared" si="6"/>
        <v>9.8992235573247918</v>
      </c>
      <c r="J33" s="472">
        <f t="shared" si="6"/>
        <v>0</v>
      </c>
      <c r="K33" s="472">
        <f t="shared" si="6"/>
        <v>0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5.9781783297942788</v>
      </c>
      <c r="D35" s="470">
        <f t="shared" si="7"/>
        <v>7.0313123407942779</v>
      </c>
      <c r="E35" s="470">
        <f t="shared" si="7"/>
        <v>16.683027175269281</v>
      </c>
      <c r="F35" s="470">
        <f t="shared" si="7"/>
        <v>22.645423275226229</v>
      </c>
      <c r="G35" s="470">
        <f t="shared" si="7"/>
        <v>12.252755555828156</v>
      </c>
      <c r="H35" s="470">
        <f t="shared" si="7"/>
        <v>19.158986890409231</v>
      </c>
      <c r="I35" s="470">
        <f t="shared" si="7"/>
        <v>9.9492235573247925</v>
      </c>
      <c r="J35" s="470">
        <f t="shared" si="7"/>
        <v>0</v>
      </c>
      <c r="K35" s="470">
        <f t="shared" si="7"/>
        <v>0</v>
      </c>
    </row>
    <row r="36" spans="1:11" ht="15">
      <c r="A36" s="477" t="s">
        <v>705</v>
      </c>
      <c r="B36" s="469">
        <f>B22-B21</f>
        <v>325.29253885598405</v>
      </c>
      <c r="C36" s="469">
        <f t="shared" ref="C36:K36" si="8">C22-C21</f>
        <v>6.3383745270357341</v>
      </c>
      <c r="D36" s="469">
        <f t="shared" si="8"/>
        <v>8.3626070337782288</v>
      </c>
      <c r="E36" s="469">
        <f t="shared" si="8"/>
        <v>16.126910177130178</v>
      </c>
      <c r="F36" s="469">
        <f t="shared" si="8"/>
        <v>22.938047552621679</v>
      </c>
      <c r="G36" s="469">
        <f t="shared" si="8"/>
        <v>13.063371935442621</v>
      </c>
      <c r="H36" s="469">
        <f t="shared" si="8"/>
        <v>15.224131446053581</v>
      </c>
      <c r="I36" s="469">
        <f t="shared" si="8"/>
        <v>0</v>
      </c>
      <c r="J36" s="469">
        <f t="shared" si="8"/>
        <v>0</v>
      </c>
      <c r="K36" s="469">
        <f t="shared" si="8"/>
        <v>0</v>
      </c>
    </row>
    <row r="37" spans="1:11" ht="12.75" thickBot="1">
      <c r="A37" s="465" t="s">
        <v>104</v>
      </c>
      <c r="B37" s="478">
        <f t="shared" ref="B37:K37" si="9">B35-B36</f>
        <v>53.812926285302012</v>
      </c>
      <c r="C37" s="479">
        <f t="shared" si="9"/>
        <v>-0.36019619724145535</v>
      </c>
      <c r="D37" s="479">
        <f t="shared" si="9"/>
        <v>-1.3312946929839509</v>
      </c>
      <c r="E37" s="479">
        <f t="shared" si="9"/>
        <v>0.5561169981391032</v>
      </c>
      <c r="F37" s="479">
        <f t="shared" si="9"/>
        <v>-0.2926242773954506</v>
      </c>
      <c r="G37" s="479">
        <f t="shared" si="9"/>
        <v>-0.81061637961446564</v>
      </c>
      <c r="H37" s="479">
        <f t="shared" si="9"/>
        <v>3.9348554443556498</v>
      </c>
      <c r="I37" s="479">
        <f t="shared" si="9"/>
        <v>9.9492235573247925</v>
      </c>
      <c r="J37" s="479">
        <f t="shared" si="9"/>
        <v>0</v>
      </c>
      <c r="K37" s="479">
        <f t="shared" si="9"/>
        <v>0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274</v>
      </c>
      <c r="B39" s="471">
        <f>'Works Working'!B5+'Works Working'!B17+'Works Working'!B46</f>
        <v>40.25</v>
      </c>
      <c r="C39" s="471">
        <f>'Works Working'!C5+'Works Working'!C17+'Works Working'!C46</f>
        <v>0</v>
      </c>
      <c r="D39" s="471">
        <f>'Works Working'!D5+'Works Working'!D17+'Works Working'!D46</f>
        <v>0</v>
      </c>
      <c r="E39" s="471">
        <f>'Works Working'!E5+'Works Working'!E17+'Works Working'!E46</f>
        <v>0</v>
      </c>
      <c r="F39" s="471">
        <f>'Works Working'!F5+'Works Working'!F17+'Works Working'!F46</f>
        <v>0</v>
      </c>
      <c r="G39" s="471">
        <f>'Works Working'!G5+'Works Working'!G17+'Works Working'!G46</f>
        <v>0</v>
      </c>
      <c r="H39" s="471">
        <f>'Works Working'!H5+'Works Working'!H17+'Works Working'!H46</f>
        <v>4.9319971220802827</v>
      </c>
      <c r="I39" s="471">
        <f>'Works Working'!I5+'Works Working'!I17+'Works Working'!I46</f>
        <v>9.9492235573247925</v>
      </c>
      <c r="J39" s="471">
        <f>'Works Working'!J5+'Works Working'!J17+'Works Working'!J46</f>
        <v>0</v>
      </c>
      <c r="K39" s="471">
        <f>'Works Working'!K5+'Works Working'!K17+'Works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5.9781783297942788</v>
      </c>
      <c r="D40" s="347">
        <f t="shared" si="10"/>
        <v>7.0313123407942779</v>
      </c>
      <c r="E40" s="347">
        <f t="shared" si="10"/>
        <v>16.683027175269281</v>
      </c>
      <c r="F40" s="347">
        <f t="shared" si="10"/>
        <v>22.645423275226229</v>
      </c>
      <c r="G40" s="347">
        <f t="shared" si="10"/>
        <v>12.252755555828156</v>
      </c>
      <c r="H40" s="347">
        <f t="shared" si="10"/>
        <v>14.226989768328949</v>
      </c>
      <c r="I40" s="347">
        <f t="shared" si="10"/>
        <v>0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69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7" activePane="bottomRight" state="frozen"/>
      <selection activeCell="U8" sqref="U8"/>
      <selection pane="topRight" activeCell="U8" sqref="U8"/>
      <selection pane="bottomLeft" activeCell="U8" sqref="U8"/>
      <selection pane="bottomRight" activeCell="K11" sqref="C11:K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57031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>
        <f>'Works Working'!B2</f>
        <v>44713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70">
        <f>'Work Schedule'!B3</f>
        <v>46.126333073399998</v>
      </c>
      <c r="C3" s="470">
        <v>0</v>
      </c>
      <c r="D3" s="470">
        <f>'Work Schedule'!C3</f>
        <v>0</v>
      </c>
      <c r="E3" s="470">
        <f>'Work Schedule'!D3</f>
        <v>0</v>
      </c>
      <c r="F3" s="470">
        <f>'Work Schedule'!E3</f>
        <v>6.0180886133000007</v>
      </c>
      <c r="G3" s="470">
        <f>'Work Schedule'!F3</f>
        <v>6.0180886133000007</v>
      </c>
      <c r="H3" s="470">
        <f>'Work Schedule'!G3</f>
        <v>0</v>
      </c>
      <c r="I3" s="470">
        <f>'Work Schedule'!H3</f>
        <v>0</v>
      </c>
      <c r="J3" s="470">
        <f>'Work Schedule'!I3</f>
        <v>0</v>
      </c>
      <c r="K3" s="470">
        <f>'Work Schedule'!J3</f>
        <v>0</v>
      </c>
    </row>
    <row r="4" spans="1:11">
      <c r="A4" s="468" t="s">
        <v>696</v>
      </c>
      <c r="B4" s="470">
        <f>'Work Schedule'!B4</f>
        <v>30.770981367000001</v>
      </c>
      <c r="C4" s="470">
        <v>0</v>
      </c>
      <c r="D4" s="470">
        <f>'Work Schedule'!C4</f>
        <v>0</v>
      </c>
      <c r="E4" s="470">
        <f>'Work Schedule'!D4</f>
        <v>1.0531340109999991</v>
      </c>
      <c r="F4" s="470">
        <f>'Work Schedule'!E4</f>
        <v>1.0531340109999991</v>
      </c>
      <c r="G4" s="470">
        <f>'Work Schedule'!F4</f>
        <v>1.0531340109999991</v>
      </c>
      <c r="H4" s="470">
        <f>'Work Schedule'!G4</f>
        <v>0</v>
      </c>
      <c r="I4" s="470">
        <f>'Work Schedule'!H4</f>
        <v>0</v>
      </c>
      <c r="J4" s="470">
        <f>'Work Schedule'!I4</f>
        <v>0</v>
      </c>
      <c r="K4" s="470">
        <f>'Work Schedule'!J4</f>
        <v>0</v>
      </c>
    </row>
    <row r="5" spans="1:11">
      <c r="A5" s="468" t="s">
        <v>697</v>
      </c>
      <c r="B5" s="470">
        <f>'Work Schedule'!B5</f>
        <v>8.0908215576499991</v>
      </c>
      <c r="C5" s="470">
        <v>0</v>
      </c>
      <c r="D5" s="470">
        <f>'Work Schedule'!C5</f>
        <v>0</v>
      </c>
      <c r="E5" s="470">
        <f>'Work Schedule'!D5</f>
        <v>0</v>
      </c>
      <c r="F5" s="470">
        <f>'Work Schedule'!E5</f>
        <v>2.5129637211750002</v>
      </c>
      <c r="G5" s="470">
        <f>'Work Schedule'!F5</f>
        <v>2.5129637211750002</v>
      </c>
      <c r="H5" s="470">
        <f>'Work Schedule'!G5</f>
        <v>0</v>
      </c>
      <c r="I5" s="470">
        <f>'Work Schedule'!H5</f>
        <v>0</v>
      </c>
      <c r="J5" s="470">
        <f>'Work Schedule'!I5</f>
        <v>0</v>
      </c>
      <c r="K5" s="470">
        <f>'Work Schedule'!J5</f>
        <v>0</v>
      </c>
    </row>
    <row r="6" spans="1:11">
      <c r="A6" s="468" t="s">
        <v>698</v>
      </c>
      <c r="B6" s="341">
        <f>'Work Schedule'!B6</f>
        <v>9.5173500000000004</v>
      </c>
      <c r="C6" s="341">
        <v>0</v>
      </c>
      <c r="D6" s="341">
        <f>'Work Schedule'!C6</f>
        <v>0</v>
      </c>
      <c r="E6" s="341">
        <f>'Work Schedule'!D6</f>
        <v>0</v>
      </c>
      <c r="F6" s="341">
        <f>'Work Schedule'!E6</f>
        <v>1.1206624999999999</v>
      </c>
      <c r="G6" s="341">
        <f>'Work Schedule'!F6</f>
        <v>1.1206624999999999</v>
      </c>
      <c r="H6" s="341">
        <f>'Work Schedule'!G6</f>
        <v>1.1206624999999999</v>
      </c>
      <c r="I6" s="341">
        <f>'Work Schedule'!H6</f>
        <v>1.1206624999999999</v>
      </c>
      <c r="J6" s="341">
        <f>'Work Schedule'!I6</f>
        <v>0</v>
      </c>
      <c r="K6" s="341">
        <f>'Work Schedule'!J6</f>
        <v>0</v>
      </c>
    </row>
    <row r="7" spans="1:11">
      <c r="A7" s="468" t="s">
        <v>699</v>
      </c>
      <c r="B7" s="470">
        <v>14.33926983093</v>
      </c>
      <c r="C7" s="470">
        <f>'CF Working'!C6</f>
        <v>0</v>
      </c>
      <c r="D7" s="470">
        <f>'CF Working'!D6</f>
        <v>0</v>
      </c>
      <c r="E7" s="470">
        <f>'CF Working'!E6</f>
        <v>0</v>
      </c>
      <c r="F7" s="470">
        <f>'CF Working'!F6</f>
        <v>0</v>
      </c>
      <c r="G7" s="470">
        <f>'CF Working'!G6</f>
        <v>0</v>
      </c>
      <c r="H7" s="470">
        <f>'CF Working'!H6</f>
        <v>0</v>
      </c>
      <c r="I7" s="470">
        <f>'CF Working'!I6</f>
        <v>0</v>
      </c>
      <c r="J7" s="470">
        <f>'CF Working'!J6</f>
        <v>0</v>
      </c>
      <c r="K7" s="470">
        <f>'CF Working'!K6</f>
        <v>0</v>
      </c>
    </row>
    <row r="8" spans="1:11">
      <c r="A8" s="468" t="s">
        <v>700</v>
      </c>
      <c r="B8" s="341">
        <v>7.8258041508699998</v>
      </c>
      <c r="C8" s="470">
        <v>0</v>
      </c>
      <c r="D8" s="341">
        <f>'Work Schedule'!C8</f>
        <v>0</v>
      </c>
      <c r="E8" s="341">
        <f>'Work Schedule'!D8</f>
        <v>0</v>
      </c>
      <c r="F8" s="341">
        <f>'Work Schedule'!E8</f>
        <v>0</v>
      </c>
      <c r="G8" s="341">
        <f>'Work Schedule'!F8</f>
        <v>0</v>
      </c>
      <c r="H8" s="341">
        <f>'Work Schedule'!G8</f>
        <v>0</v>
      </c>
      <c r="I8" s="341">
        <f>'Work Schedule'!H8</f>
        <v>0</v>
      </c>
      <c r="J8" s="341">
        <f>'Work Schedule'!I8</f>
        <v>0</v>
      </c>
      <c r="K8" s="341">
        <f>'Work Schedule'!J8</f>
        <v>0</v>
      </c>
    </row>
    <row r="9" spans="1:11">
      <c r="A9" s="468" t="s">
        <v>701</v>
      </c>
      <c r="B9" s="341">
        <f>'CF Working'!B47</f>
        <v>262.43490516143606</v>
      </c>
      <c r="C9" s="341">
        <v>0</v>
      </c>
      <c r="D9" s="341">
        <f>'Work Schedule'!C9</f>
        <v>5.9781783297942788</v>
      </c>
      <c r="E9" s="341">
        <f>'Work Schedule'!D9</f>
        <v>5.9781783297942788</v>
      </c>
      <c r="F9" s="341">
        <f>'Work Schedule'!E9</f>
        <v>5.9781783297942788</v>
      </c>
      <c r="G9" s="341">
        <f>'Work Schedule'!F9</f>
        <v>11.940574429751228</v>
      </c>
      <c r="H9" s="341">
        <f>'Work Schedule'!G9</f>
        <v>11.132093055828156</v>
      </c>
      <c r="I9" s="341">
        <f>'Work Schedule'!H9</f>
        <v>18.03832439040923</v>
      </c>
      <c r="J9" s="341">
        <f>'Work Schedule'!I9</f>
        <v>9.9492235573247925</v>
      </c>
      <c r="K9" s="341">
        <f>'Work Schedule'!J9</f>
        <v>0</v>
      </c>
    </row>
    <row r="10" spans="1:11">
      <c r="A10" s="468" t="s">
        <v>702</v>
      </c>
      <c r="B10" s="470">
        <f>'CF Working'!B75</f>
        <v>0</v>
      </c>
      <c r="C10" s="470">
        <v>0</v>
      </c>
      <c r="D10" s="470">
        <f>'Work Schedule'!C10</f>
        <v>0.17</v>
      </c>
      <c r="E10" s="470">
        <f>'Work Schedule'!D10</f>
        <v>0.17</v>
      </c>
      <c r="F10" s="470">
        <f>'Work Schedule'!E10</f>
        <v>0.17</v>
      </c>
      <c r="G10" s="470">
        <f>'Work Schedule'!F10</f>
        <v>0.17</v>
      </c>
      <c r="H10" s="470">
        <f>'Work Schedule'!G10</f>
        <v>0.17</v>
      </c>
      <c r="I10" s="470">
        <f>'Work Schedule'!H10</f>
        <v>0.17</v>
      </c>
      <c r="J10" s="470">
        <f>'Work Schedule'!I10</f>
        <v>0.17</v>
      </c>
      <c r="K10" s="470">
        <f>'Work Schedule'!J10</f>
        <v>0</v>
      </c>
    </row>
    <row r="11" spans="1:11" ht="12.75" thickBot="1">
      <c r="A11" s="464" t="s">
        <v>104</v>
      </c>
      <c r="B11" s="472">
        <f t="shared" ref="B11:K11" si="0">SUM(B3:B10)</f>
        <v>379.10546514128606</v>
      </c>
      <c r="C11" s="472">
        <f t="shared" si="0"/>
        <v>0</v>
      </c>
      <c r="D11" s="472">
        <f t="shared" si="0"/>
        <v>6.1481783297942787</v>
      </c>
      <c r="E11" s="472">
        <f t="shared" si="0"/>
        <v>7.2013123407942778</v>
      </c>
      <c r="F11" s="472">
        <f t="shared" si="0"/>
        <v>16.853027175269283</v>
      </c>
      <c r="G11" s="472">
        <f t="shared" si="0"/>
        <v>22.81542327522623</v>
      </c>
      <c r="H11" s="472">
        <f t="shared" si="0"/>
        <v>12.422755555828155</v>
      </c>
      <c r="I11" s="472">
        <f t="shared" si="0"/>
        <v>19.328986890409233</v>
      </c>
      <c r="J11" s="472">
        <f t="shared" si="0"/>
        <v>10.119223557324792</v>
      </c>
      <c r="K11" s="472">
        <f t="shared" si="0"/>
        <v>0</v>
      </c>
    </row>
    <row r="12" spans="1:11" ht="12.75" thickTop="1">
      <c r="B12" s="463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1">
      <c r="A13" s="465" t="s">
        <v>188</v>
      </c>
      <c r="B13" s="466">
        <f t="shared" ref="B13:K13" si="1">B2</f>
        <v>44713</v>
      </c>
      <c r="C13" s="466">
        <f t="shared" si="1"/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70">
        <f>'Work Schedule'!B14</f>
        <v>48.997227995414363</v>
      </c>
      <c r="C14" s="470">
        <v>0</v>
      </c>
      <c r="D14" s="470">
        <f>'Work Schedule'!C14</f>
        <v>0</v>
      </c>
      <c r="E14" s="470">
        <f>'Work Schedule'!D14</f>
        <v>0</v>
      </c>
      <c r="F14" s="470">
        <f>'Work Schedule'!E14</f>
        <v>3.6489895022928192</v>
      </c>
      <c r="G14" s="470">
        <f>'Work Schedule'!F14</f>
        <v>3.6489895022928192</v>
      </c>
      <c r="H14" s="470">
        <f>'Work Schedule'!G14</f>
        <v>0</v>
      </c>
      <c r="I14" s="470">
        <f>'Work Schedule'!H14</f>
        <v>0</v>
      </c>
      <c r="J14" s="470">
        <f>'Work Schedule'!I14</f>
        <v>0</v>
      </c>
      <c r="K14" s="470">
        <f>'Work Schedule'!J14</f>
        <v>0</v>
      </c>
    </row>
    <row r="15" spans="1:11">
      <c r="A15" s="468" t="s">
        <v>696</v>
      </c>
      <c r="B15" s="470">
        <f>'Work Schedule'!B15</f>
        <v>39.846668053787127</v>
      </c>
      <c r="C15" s="470">
        <v>0</v>
      </c>
      <c r="D15" s="470">
        <f>'Work Schedule'!C15</f>
        <v>0</v>
      </c>
      <c r="E15" s="470">
        <f>'Work Schedule'!D15</f>
        <v>2.0242325067424951</v>
      </c>
      <c r="F15" s="470">
        <f>'Work Schedule'!E15</f>
        <v>2.0242325067424951</v>
      </c>
      <c r="G15" s="470">
        <f>'Work Schedule'!F15</f>
        <v>2.0242325067424951</v>
      </c>
      <c r="H15" s="470">
        <f>'Work Schedule'!G15</f>
        <v>0</v>
      </c>
      <c r="I15" s="470">
        <f>'Work Schedule'!H15</f>
        <v>0</v>
      </c>
      <c r="J15" s="470">
        <f>'Work Schedule'!I15</f>
        <v>0</v>
      </c>
      <c r="K15" s="470">
        <f>'Work Schedule'!J15</f>
        <v>0</v>
      </c>
    </row>
    <row r="16" spans="1:11">
      <c r="A16" s="468" t="s">
        <v>697</v>
      </c>
      <c r="B16" s="470">
        <f>'Work Schedule'!B16</f>
        <v>10.394576466885857</v>
      </c>
      <c r="C16" s="470">
        <v>0</v>
      </c>
      <c r="D16" s="470">
        <f>'Work Schedule'!C16</f>
        <v>0</v>
      </c>
      <c r="E16" s="470">
        <f>'Work Schedule'!D16</f>
        <v>0</v>
      </c>
      <c r="F16" s="470">
        <f>'Work Schedule'!E16</f>
        <v>3.392732135557071</v>
      </c>
      <c r="G16" s="470">
        <f>'Work Schedule'!F16</f>
        <v>3.392732135557071</v>
      </c>
      <c r="H16" s="470">
        <f>'Work Schedule'!G16</f>
        <v>0</v>
      </c>
      <c r="I16" s="470">
        <f>'Work Schedule'!H16</f>
        <v>0</v>
      </c>
      <c r="J16" s="470">
        <f>'Work Schedule'!I16</f>
        <v>0</v>
      </c>
      <c r="K16" s="470">
        <f>'Work Schedule'!J16</f>
        <v>0</v>
      </c>
    </row>
    <row r="17" spans="1:11">
      <c r="A17" s="468" t="s">
        <v>698</v>
      </c>
      <c r="B17" s="341">
        <f>'Work Schedule'!B17</f>
        <v>8.1275353204917575</v>
      </c>
      <c r="C17" s="341">
        <v>0</v>
      </c>
      <c r="D17" s="341">
        <f>'Work Schedule'!C17</f>
        <v>0</v>
      </c>
      <c r="E17" s="341">
        <f>'Work Schedule'!D17</f>
        <v>0</v>
      </c>
      <c r="F17" s="341">
        <f>'Work Schedule'!E17</f>
        <v>0.72258150550206046</v>
      </c>
      <c r="G17" s="341">
        <f>'Work Schedule'!F17</f>
        <v>0.72258150550206046</v>
      </c>
      <c r="H17" s="341">
        <f>'Work Schedule'!G17</f>
        <v>0.72258150550206046</v>
      </c>
      <c r="I17" s="341">
        <f>'Work Schedule'!H17</f>
        <v>0.72258150550206046</v>
      </c>
      <c r="J17" s="341">
        <f>'Work Schedule'!I17</f>
        <v>0</v>
      </c>
      <c r="K17" s="341">
        <f>'Work Schedule'!J17</f>
        <v>0</v>
      </c>
    </row>
    <row r="18" spans="1:11">
      <c r="A18" s="468" t="s">
        <v>699</v>
      </c>
      <c r="B18" s="470">
        <f>'CF Working'!B11</f>
        <v>16.388629378729998</v>
      </c>
      <c r="C18" s="470">
        <f>'CF Working'!C11</f>
        <v>0</v>
      </c>
      <c r="D18" s="470">
        <f>'CF Working'!D11</f>
        <v>0</v>
      </c>
      <c r="E18" s="470">
        <f>'CF Working'!E11</f>
        <v>0</v>
      </c>
      <c r="F18" s="470">
        <f>'CF Working'!F11</f>
        <v>0</v>
      </c>
      <c r="G18" s="470">
        <f>'CF Working'!G11</f>
        <v>0</v>
      </c>
      <c r="H18" s="470">
        <f>'CF Working'!H11</f>
        <v>0</v>
      </c>
      <c r="I18" s="470">
        <f>'CF Working'!I11</f>
        <v>0</v>
      </c>
      <c r="J18" s="470">
        <f>'CF Working'!J11</f>
        <v>0</v>
      </c>
      <c r="K18" s="470">
        <f>'CF Working'!K11</f>
        <v>0</v>
      </c>
    </row>
    <row r="19" spans="1:11">
      <c r="A19" s="468" t="s">
        <v>700</v>
      </c>
      <c r="B19" s="341">
        <f>'CF Working'!B23</f>
        <v>0</v>
      </c>
      <c r="C19" s="470">
        <v>0</v>
      </c>
      <c r="D19" s="341">
        <f>'Work Schedule'!C19</f>
        <v>0</v>
      </c>
      <c r="E19" s="341">
        <f>'Work Schedule'!D19</f>
        <v>0</v>
      </c>
      <c r="F19" s="341">
        <f>'Work Schedule'!E19</f>
        <v>0</v>
      </c>
      <c r="G19" s="341">
        <f>'Work Schedule'!F19</f>
        <v>0</v>
      </c>
      <c r="H19" s="341">
        <f>'Work Schedule'!G19</f>
        <v>0</v>
      </c>
      <c r="I19" s="341">
        <f>'Work Schedule'!H19</f>
        <v>0</v>
      </c>
      <c r="J19" s="341">
        <f>'Work Schedule'!I19</f>
        <v>0</v>
      </c>
      <c r="K19" s="341">
        <f>'Work Schedule'!J19</f>
        <v>0</v>
      </c>
    </row>
    <row r="20" spans="1:11">
      <c r="A20" s="468" t="s">
        <v>701</v>
      </c>
      <c r="B20" s="341">
        <f>'CF Working'!B69</f>
        <v>196.57653101940494</v>
      </c>
      <c r="C20" s="341">
        <f>'CF Working'!C69</f>
        <v>0</v>
      </c>
      <c r="D20" s="341">
        <f>'CF Working'!D69</f>
        <v>1.3378408337647363</v>
      </c>
      <c r="E20" s="341">
        <f>'CF Working'!E69</f>
        <v>1.4816861804447363</v>
      </c>
      <c r="F20" s="341">
        <f>'CF Working'!F69</f>
        <v>6.3383745270357341</v>
      </c>
      <c r="G20" s="341">
        <f>'CF Working'!G69</f>
        <v>8.9431067328169505</v>
      </c>
      <c r="H20" s="341">
        <f>'CF Working'!H69</f>
        <v>9.0758040893718537</v>
      </c>
      <c r="I20" s="341">
        <f>'CF Working'!I69</f>
        <v>12.206394215640822</v>
      </c>
      <c r="J20" s="341">
        <f>'CF Working'!J69</f>
        <v>8.4592301991597054</v>
      </c>
      <c r="K20" s="341">
        <f>'CF Working'!K69</f>
        <v>11.164539075891982</v>
      </c>
    </row>
    <row r="21" spans="1:11">
      <c r="A21" s="468" t="s">
        <v>702</v>
      </c>
      <c r="B21" s="470">
        <f>'CF Working'!B80</f>
        <v>0</v>
      </c>
      <c r="C21" s="470">
        <v>0</v>
      </c>
      <c r="D21" s="470">
        <f>'Work Schedule'!C21</f>
        <v>0.22</v>
      </c>
      <c r="E21" s="470">
        <f>'Work Schedule'!D21</f>
        <v>0.22</v>
      </c>
      <c r="F21" s="470">
        <f>'Work Schedule'!E21</f>
        <v>0.22</v>
      </c>
      <c r="G21" s="470">
        <f>'Work Schedule'!F21</f>
        <v>0.22</v>
      </c>
      <c r="H21" s="470">
        <f>'Work Schedule'!G21</f>
        <v>0.22</v>
      </c>
      <c r="I21" s="470">
        <f>'Work Schedule'!H21</f>
        <v>0.22</v>
      </c>
      <c r="J21" s="470">
        <f>'Work Schedule'!I21</f>
        <v>0.22</v>
      </c>
      <c r="K21" s="470">
        <f>'Work Schedule'!J21</f>
        <v>0</v>
      </c>
    </row>
    <row r="22" spans="1:11" ht="12.75" thickBot="1">
      <c r="A22" s="464" t="s">
        <v>104</v>
      </c>
      <c r="B22" s="472">
        <f t="shared" ref="B22:K22" si="2">SUM(B14:B21)</f>
        <v>320.33116823471403</v>
      </c>
      <c r="C22" s="472">
        <f t="shared" si="2"/>
        <v>0</v>
      </c>
      <c r="D22" s="472">
        <f t="shared" si="2"/>
        <v>1.5578408337647363</v>
      </c>
      <c r="E22" s="472">
        <f t="shared" si="2"/>
        <v>3.7259186871872316</v>
      </c>
      <c r="F22" s="472">
        <f t="shared" si="2"/>
        <v>16.346910177130177</v>
      </c>
      <c r="G22" s="472">
        <f t="shared" si="2"/>
        <v>18.951642382911395</v>
      </c>
      <c r="H22" s="472">
        <f t="shared" si="2"/>
        <v>10.018385594873914</v>
      </c>
      <c r="I22" s="472">
        <f t="shared" si="2"/>
        <v>13.148975721142882</v>
      </c>
      <c r="J22" s="472">
        <f t="shared" si="2"/>
        <v>8.6792301991597061</v>
      </c>
      <c r="K22" s="472">
        <f t="shared" si="2"/>
        <v>11.164539075891982</v>
      </c>
    </row>
    <row r="23" spans="1:11" ht="12.75" thickTop="1"/>
    <row r="24" spans="1:11">
      <c r="A24" s="465" t="s">
        <v>703</v>
      </c>
      <c r="B24" s="466">
        <f>B13</f>
        <v>44713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0</v>
      </c>
      <c r="F25" s="469">
        <f t="shared" si="4"/>
        <v>2.3690991110071815</v>
      </c>
      <c r="G25" s="469">
        <f t="shared" si="4"/>
        <v>2.3690991110071815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0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-0.97109849574249596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0</v>
      </c>
      <c r="F27" s="469">
        <f t="shared" si="5"/>
        <v>-0.87976841438207076</v>
      </c>
      <c r="G27" s="469">
        <f t="shared" si="5"/>
        <v>-0.87976841438207076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0.39808099449793943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-2.0493595477999982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7.8258041508699998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0</v>
      </c>
      <c r="D31" s="469">
        <f t="shared" si="5"/>
        <v>4.6403374960295425</v>
      </c>
      <c r="E31" s="469">
        <f t="shared" si="5"/>
        <v>4.4964921493495424</v>
      </c>
      <c r="F31" s="469">
        <f t="shared" si="5"/>
        <v>-0.36019619724145535</v>
      </c>
      <c r="G31" s="469">
        <f t="shared" si="5"/>
        <v>2.9974676969342777</v>
      </c>
      <c r="H31" s="469">
        <f t="shared" si="5"/>
        <v>2.056288966456302</v>
      </c>
      <c r="I31" s="469">
        <f t="shared" si="5"/>
        <v>5.8319301747684076</v>
      </c>
      <c r="J31" s="469">
        <f t="shared" si="5"/>
        <v>1.489993358165087</v>
      </c>
      <c r="K31" s="469">
        <f t="shared" si="5"/>
        <v>-11.164539075891982</v>
      </c>
    </row>
    <row r="32" spans="1:11">
      <c r="A32" s="468" t="s">
        <v>702</v>
      </c>
      <c r="B32" s="469">
        <f t="shared" si="5"/>
        <v>0</v>
      </c>
      <c r="C32" s="469">
        <f t="shared" si="5"/>
        <v>0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-4.9999999999999989E-2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58.774296906572019</v>
      </c>
      <c r="C33" s="472">
        <f t="shared" ref="C33:K33" si="6">SUM(C25:C32)</f>
        <v>0</v>
      </c>
      <c r="D33" s="472">
        <f t="shared" si="6"/>
        <v>4.5903374960295427</v>
      </c>
      <c r="E33" s="472">
        <f t="shared" si="6"/>
        <v>3.4753936536070467</v>
      </c>
      <c r="F33" s="472">
        <f t="shared" si="6"/>
        <v>0.50611699813909894</v>
      </c>
      <c r="G33" s="472">
        <f t="shared" si="6"/>
        <v>3.863780892314832</v>
      </c>
      <c r="H33" s="472">
        <f t="shared" si="6"/>
        <v>2.4043699609542415</v>
      </c>
      <c r="I33" s="472">
        <f t="shared" si="6"/>
        <v>6.1800111692663471</v>
      </c>
      <c r="J33" s="472">
        <f t="shared" si="6"/>
        <v>1.439993358165087</v>
      </c>
      <c r="K33" s="472">
        <f t="shared" si="6"/>
        <v>-11.164539075891982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0</v>
      </c>
      <c r="D35" s="470">
        <f t="shared" si="7"/>
        <v>5.9781783297942788</v>
      </c>
      <c r="E35" s="470">
        <f t="shared" si="7"/>
        <v>7.0313123407942779</v>
      </c>
      <c r="F35" s="470">
        <f t="shared" si="7"/>
        <v>16.683027175269281</v>
      </c>
      <c r="G35" s="470">
        <f t="shared" si="7"/>
        <v>22.645423275226229</v>
      </c>
      <c r="H35" s="470">
        <f t="shared" si="7"/>
        <v>12.252755555828156</v>
      </c>
      <c r="I35" s="470">
        <f t="shared" si="7"/>
        <v>19.158986890409231</v>
      </c>
      <c r="J35" s="470">
        <f t="shared" si="7"/>
        <v>9.9492235573247925</v>
      </c>
      <c r="K35" s="470">
        <f t="shared" si="7"/>
        <v>0</v>
      </c>
    </row>
    <row r="36" spans="1:11" ht="15">
      <c r="A36" s="477" t="s">
        <v>705</v>
      </c>
      <c r="B36" s="469">
        <f>B22-B21</f>
        <v>320.33116823471403</v>
      </c>
      <c r="C36" s="469">
        <f t="shared" ref="C36:K36" si="8">C22-C21</f>
        <v>0</v>
      </c>
      <c r="D36" s="469">
        <f t="shared" si="8"/>
        <v>1.3378408337647363</v>
      </c>
      <c r="E36" s="469">
        <f t="shared" si="8"/>
        <v>3.5059186871872314</v>
      </c>
      <c r="F36" s="469">
        <f t="shared" si="8"/>
        <v>16.126910177130178</v>
      </c>
      <c r="G36" s="469">
        <f t="shared" si="8"/>
        <v>18.731642382911396</v>
      </c>
      <c r="H36" s="469">
        <f t="shared" si="8"/>
        <v>9.7983855948739134</v>
      </c>
      <c r="I36" s="469">
        <f t="shared" si="8"/>
        <v>12.928975721142882</v>
      </c>
      <c r="J36" s="469">
        <f t="shared" si="8"/>
        <v>8.4592301991597054</v>
      </c>
      <c r="K36" s="469">
        <f t="shared" si="8"/>
        <v>11.164539075891982</v>
      </c>
    </row>
    <row r="37" spans="1:11" ht="12.75" thickBot="1">
      <c r="A37" s="465" t="s">
        <v>104</v>
      </c>
      <c r="B37" s="478">
        <f t="shared" ref="B37:K37" si="9">B35-B36</f>
        <v>58.774296906572033</v>
      </c>
      <c r="C37" s="479">
        <f t="shared" si="9"/>
        <v>0</v>
      </c>
      <c r="D37" s="479">
        <f t="shared" si="9"/>
        <v>4.6403374960295425</v>
      </c>
      <c r="E37" s="479">
        <f t="shared" si="9"/>
        <v>3.5253936536070465</v>
      </c>
      <c r="F37" s="479">
        <f t="shared" si="9"/>
        <v>0.5561169981391032</v>
      </c>
      <c r="G37" s="479">
        <f t="shared" si="9"/>
        <v>3.9137808923148327</v>
      </c>
      <c r="H37" s="479">
        <f t="shared" si="9"/>
        <v>2.4543699609542422</v>
      </c>
      <c r="I37" s="479">
        <f t="shared" si="9"/>
        <v>6.2300111692663496</v>
      </c>
      <c r="J37" s="479">
        <f t="shared" si="9"/>
        <v>1.489993358165087</v>
      </c>
      <c r="K37" s="479">
        <f t="shared" si="9"/>
        <v>-11.164539075891982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707</v>
      </c>
      <c r="B39" s="471">
        <f>'CF Working'!B5+'CF Working'!B17+'CF Working'!B46</f>
        <v>40.25</v>
      </c>
      <c r="C39" s="471">
        <f>'CF Working'!C5+'CF Working'!C17+'CF Working'!C46</f>
        <v>0</v>
      </c>
      <c r="D39" s="471">
        <f>'CF Working'!D5+'CF Working'!D17+'CF Working'!D46</f>
        <v>0</v>
      </c>
      <c r="E39" s="471">
        <f>'CF Working'!E5+'CF Working'!E17+'CF Working'!E46</f>
        <v>0</v>
      </c>
      <c r="F39" s="471">
        <f>'CF Working'!F5+'CF Working'!F17+'CF Working'!F46</f>
        <v>0</v>
      </c>
      <c r="G39" s="471">
        <f>'CF Working'!G5+'CF Working'!G17+'CF Working'!G46</f>
        <v>0</v>
      </c>
      <c r="H39" s="471">
        <f>'CF Working'!H5+'CF Working'!H17+'CF Working'!H46</f>
        <v>0</v>
      </c>
      <c r="I39" s="471">
        <f>'CF Working'!I5+'CF Working'!I17+'CF Working'!I46</f>
        <v>4.9319971220802827</v>
      </c>
      <c r="J39" s="471">
        <f>'CF Working'!J5+'CF Working'!J17+'CF Working'!J46</f>
        <v>9.9492235573247925</v>
      </c>
      <c r="K39" s="471">
        <f>'CF Working'!K5+'CF Working'!K17+'CF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0</v>
      </c>
      <c r="D40" s="347">
        <f t="shared" si="10"/>
        <v>5.9781783297942788</v>
      </c>
      <c r="E40" s="347">
        <f t="shared" si="10"/>
        <v>7.0313123407942779</v>
      </c>
      <c r="F40" s="347">
        <f t="shared" si="10"/>
        <v>16.683027175269281</v>
      </c>
      <c r="G40" s="347">
        <f t="shared" si="10"/>
        <v>22.645423275226229</v>
      </c>
      <c r="H40" s="347">
        <f t="shared" si="10"/>
        <v>12.252755555828156</v>
      </c>
      <c r="I40" s="347">
        <f t="shared" si="10"/>
        <v>14.226989768328949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95" fitToHeight="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1"/>
  <sheetViews>
    <sheetView workbookViewId="0">
      <selection activeCell="U8" sqref="U8"/>
    </sheetView>
  </sheetViews>
  <sheetFormatPr defaultColWidth="7.7109375" defaultRowHeight="12"/>
  <cols>
    <col min="1" max="1" width="29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2" width="6.85546875" style="462" customWidth="1"/>
    <col min="13" max="13" width="5.7109375" style="475" bestFit="1" customWidth="1"/>
    <col min="14" max="16384" width="7.7109375" style="462"/>
  </cols>
  <sheetData>
    <row r="1" spans="1:13">
      <c r="A1" s="464" t="s">
        <v>699</v>
      </c>
      <c r="B1" s="463"/>
      <c r="C1" s="464"/>
      <c r="D1" s="464"/>
      <c r="E1" s="464"/>
      <c r="F1" s="464"/>
      <c r="G1" s="464"/>
      <c r="H1" s="464"/>
      <c r="I1" s="464"/>
      <c r="J1" s="464"/>
      <c r="K1" s="464"/>
      <c r="L1" s="464"/>
    </row>
    <row r="2" spans="1:13">
      <c r="A2" s="464" t="s">
        <v>708</v>
      </c>
      <c r="B2" s="466">
        <f>'Works Working'!B2</f>
        <v>44713</v>
      </c>
      <c r="C2" s="466">
        <f>'Works Working'!C2</f>
        <v>44743</v>
      </c>
      <c r="D2" s="466">
        <f>'Works Working'!D2</f>
        <v>44774</v>
      </c>
      <c r="E2" s="466">
        <f>'Works Working'!E2</f>
        <v>44805</v>
      </c>
      <c r="F2" s="466">
        <f>'Works Working'!F2</f>
        <v>44835</v>
      </c>
      <c r="G2" s="466">
        <f>'Works Working'!G2</f>
        <v>44866</v>
      </c>
      <c r="H2" s="466">
        <f>'Works Working'!H2</f>
        <v>44896</v>
      </c>
      <c r="I2" s="466">
        <f>'Works Working'!I2</f>
        <v>44927</v>
      </c>
      <c r="J2" s="466">
        <f>'Works Working'!J2</f>
        <v>44958</v>
      </c>
      <c r="K2" s="466">
        <f>'Works Working'!K2</f>
        <v>44986</v>
      </c>
      <c r="L2" s="466" t="str">
        <f>'Works Working'!L2</f>
        <v>Total</v>
      </c>
    </row>
    <row r="3" spans="1:13" ht="15">
      <c r="A3" s="477" t="s">
        <v>709</v>
      </c>
      <c r="B3" s="470">
        <f>'Works Working'!B3</f>
        <v>11.783325448199999</v>
      </c>
      <c r="C3" s="470">
        <v>0</v>
      </c>
      <c r="D3" s="470">
        <f>'Works Working'!C3</f>
        <v>0</v>
      </c>
      <c r="E3" s="470">
        <f>'Works Working'!D3</f>
        <v>0</v>
      </c>
      <c r="F3" s="470">
        <f>'Works Working'!E3</f>
        <v>0</v>
      </c>
      <c r="G3" s="470">
        <f>'Works Working'!F3</f>
        <v>0</v>
      </c>
      <c r="H3" s="470">
        <f>'Works Working'!G3</f>
        <v>0</v>
      </c>
      <c r="I3" s="470">
        <f>'Works Working'!H3</f>
        <v>0</v>
      </c>
      <c r="J3" s="470">
        <f>'Works Working'!I3</f>
        <v>0</v>
      </c>
      <c r="K3" s="470">
        <f>'Works Working'!J3</f>
        <v>0</v>
      </c>
      <c r="L3" s="470">
        <f>SUM(B3:K3)</f>
        <v>11.783325448199999</v>
      </c>
      <c r="M3" s="471">
        <f>L3-'Works Working'!$L3</f>
        <v>0</v>
      </c>
    </row>
    <row r="4" spans="1:13" ht="15">
      <c r="A4" s="477" t="s">
        <v>710</v>
      </c>
      <c r="B4" s="470">
        <f>'Works Working'!B4</f>
        <v>3.0513512320354996</v>
      </c>
      <c r="C4" s="470">
        <v>0</v>
      </c>
      <c r="D4" s="470">
        <v>0</v>
      </c>
      <c r="E4" s="470">
        <f>'Works Working'!C4</f>
        <v>0</v>
      </c>
      <c r="F4" s="470">
        <f>'Works Working'!D4</f>
        <v>0</v>
      </c>
      <c r="G4" s="470">
        <f>'Works Working'!E4</f>
        <v>0</v>
      </c>
      <c r="H4" s="470">
        <f>'Works Working'!F4</f>
        <v>0</v>
      </c>
      <c r="I4" s="470">
        <f>'Works Working'!G4</f>
        <v>0</v>
      </c>
      <c r="J4" s="470">
        <f>'Works Working'!H4</f>
        <v>0</v>
      </c>
      <c r="K4" s="470">
        <f>'Works Working'!I4</f>
        <v>0</v>
      </c>
      <c r="L4" s="470">
        <f>SUM(B4:K4)</f>
        <v>3.0513512320354996</v>
      </c>
      <c r="M4" s="471">
        <f>L4-'Works Working'!$L4</f>
        <v>0</v>
      </c>
    </row>
    <row r="5" spans="1:13" ht="15">
      <c r="A5" s="477" t="s">
        <v>711</v>
      </c>
      <c r="B5" s="470">
        <f>'Works Working'!B5</f>
        <v>0</v>
      </c>
      <c r="C5" s="470">
        <v>0</v>
      </c>
      <c r="D5" s="470">
        <f>'Works Working'!C5</f>
        <v>0</v>
      </c>
      <c r="E5" s="470">
        <f>'Works Working'!D5</f>
        <v>0</v>
      </c>
      <c r="F5" s="470">
        <f>'Works Working'!E5</f>
        <v>0</v>
      </c>
      <c r="G5" s="470">
        <f>'Works Working'!F5</f>
        <v>0</v>
      </c>
      <c r="H5" s="470">
        <f>'Works Working'!G5</f>
        <v>0</v>
      </c>
      <c r="I5" s="470">
        <f>'Works Working'!H5</f>
        <v>0</v>
      </c>
      <c r="J5" s="470">
        <f>'Works Working'!I5</f>
        <v>0</v>
      </c>
      <c r="K5" s="470">
        <f>'Works Working'!J5</f>
        <v>0</v>
      </c>
      <c r="L5" s="470">
        <f>SUM(B5:K5)</f>
        <v>0</v>
      </c>
      <c r="M5" s="471">
        <f>L5-'Works Working'!$L5</f>
        <v>0</v>
      </c>
    </row>
    <row r="6" spans="1:13" ht="12.75" thickBot="1">
      <c r="A6" s="464" t="s">
        <v>712</v>
      </c>
      <c r="B6" s="478">
        <f t="shared" ref="B6:L6" si="0">SUM(B3:B5)</f>
        <v>14.8346766802355</v>
      </c>
      <c r="C6" s="479">
        <f t="shared" si="0"/>
        <v>0</v>
      </c>
      <c r="D6" s="479">
        <f t="shared" si="0"/>
        <v>0</v>
      </c>
      <c r="E6" s="479">
        <f t="shared" si="0"/>
        <v>0</v>
      </c>
      <c r="F6" s="479">
        <f t="shared" si="0"/>
        <v>0</v>
      </c>
      <c r="G6" s="479">
        <f t="shared" si="0"/>
        <v>0</v>
      </c>
      <c r="H6" s="479">
        <f t="shared" si="0"/>
        <v>0</v>
      </c>
      <c r="I6" s="479">
        <f t="shared" si="0"/>
        <v>0</v>
      </c>
      <c r="J6" s="479">
        <f t="shared" si="0"/>
        <v>0</v>
      </c>
      <c r="K6" s="479">
        <f t="shared" si="0"/>
        <v>0</v>
      </c>
      <c r="L6" s="479">
        <f t="shared" si="0"/>
        <v>14.8346766802355</v>
      </c>
    </row>
    <row r="7" spans="1:13" ht="12.75" thickTop="1">
      <c r="A7" s="464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3">
      <c r="A8" s="464" t="s">
        <v>713</v>
      </c>
      <c r="B8" s="466">
        <f t="shared" ref="B8:L8" si="1">B2</f>
        <v>44713</v>
      </c>
      <c r="C8" s="467">
        <f t="shared" si="1"/>
        <v>44743</v>
      </c>
      <c r="D8" s="467">
        <f t="shared" si="1"/>
        <v>44774</v>
      </c>
      <c r="E8" s="467">
        <f t="shared" si="1"/>
        <v>44805</v>
      </c>
      <c r="F8" s="467">
        <f t="shared" si="1"/>
        <v>44835</v>
      </c>
      <c r="G8" s="467">
        <f t="shared" si="1"/>
        <v>44866</v>
      </c>
      <c r="H8" s="467">
        <f t="shared" si="1"/>
        <v>44896</v>
      </c>
      <c r="I8" s="467">
        <f t="shared" si="1"/>
        <v>44927</v>
      </c>
      <c r="J8" s="467">
        <f t="shared" si="1"/>
        <v>44958</v>
      </c>
      <c r="K8" s="467">
        <f t="shared" si="1"/>
        <v>44986</v>
      </c>
      <c r="L8" s="466" t="str">
        <f t="shared" si="1"/>
        <v>Total</v>
      </c>
    </row>
    <row r="9" spans="1:13" ht="15">
      <c r="A9" s="477" t="s">
        <v>714</v>
      </c>
      <c r="B9" s="469">
        <f>'Works Working'!B9</f>
        <v>11.834578115999999</v>
      </c>
      <c r="C9" s="470">
        <v>0</v>
      </c>
      <c r="D9" s="470">
        <v>0</v>
      </c>
      <c r="E9" s="470">
        <v>0</v>
      </c>
      <c r="F9" s="470">
        <f>'Works Working'!C9</f>
        <v>0</v>
      </c>
      <c r="G9" s="470">
        <f>'Works Working'!D9</f>
        <v>0</v>
      </c>
      <c r="H9" s="470">
        <f>'Works Working'!E9</f>
        <v>0</v>
      </c>
      <c r="I9" s="470">
        <f>'Works Working'!F9</f>
        <v>0</v>
      </c>
      <c r="J9" s="470">
        <f>'Works Working'!G9</f>
        <v>0</v>
      </c>
      <c r="K9" s="470">
        <f>'Works Working'!H9</f>
        <v>0</v>
      </c>
      <c r="L9" s="470">
        <f>SUM(B9:K9)</f>
        <v>11.834578115999999</v>
      </c>
      <c r="M9" s="471">
        <f>L9-'Works Working'!$L9</f>
        <v>0</v>
      </c>
    </row>
    <row r="10" spans="1:13" ht="15">
      <c r="A10" s="477" t="s">
        <v>710</v>
      </c>
      <c r="B10" s="469">
        <f>'Works Working'!B10</f>
        <v>4.5540512627299998</v>
      </c>
      <c r="C10" s="470">
        <v>0</v>
      </c>
      <c r="D10" s="470">
        <v>0</v>
      </c>
      <c r="E10" s="470">
        <f>'Works Working'!C10</f>
        <v>0</v>
      </c>
      <c r="F10" s="470">
        <f>'Works Working'!D10</f>
        <v>0</v>
      </c>
      <c r="G10" s="470">
        <f>'Works Working'!E10</f>
        <v>0</v>
      </c>
      <c r="H10" s="470">
        <f>'Works Working'!F10</f>
        <v>0</v>
      </c>
      <c r="I10" s="470">
        <f>'Works Working'!G10</f>
        <v>0</v>
      </c>
      <c r="J10" s="470">
        <f>'Works Working'!H10</f>
        <v>0</v>
      </c>
      <c r="K10" s="470">
        <f>'Works Working'!I10</f>
        <v>0</v>
      </c>
      <c r="L10" s="470">
        <f>SUM(B10:K10)</f>
        <v>4.5540512627299998</v>
      </c>
      <c r="M10" s="471">
        <f>L10-'Works Working'!$L10</f>
        <v>0</v>
      </c>
    </row>
    <row r="11" spans="1:13" ht="12.75" thickBot="1">
      <c r="A11" s="464" t="s">
        <v>712</v>
      </c>
      <c r="B11" s="478">
        <f t="shared" ref="B11:L11" si="2">SUM(B9:B10)</f>
        <v>16.388629378729998</v>
      </c>
      <c r="C11" s="479">
        <f t="shared" si="2"/>
        <v>0</v>
      </c>
      <c r="D11" s="479">
        <f t="shared" si="2"/>
        <v>0</v>
      </c>
      <c r="E11" s="479">
        <f t="shared" si="2"/>
        <v>0</v>
      </c>
      <c r="F11" s="479">
        <f t="shared" si="2"/>
        <v>0</v>
      </c>
      <c r="G11" s="479">
        <f t="shared" si="2"/>
        <v>0</v>
      </c>
      <c r="H11" s="479">
        <f t="shared" si="2"/>
        <v>0</v>
      </c>
      <c r="I11" s="479">
        <f t="shared" si="2"/>
        <v>0</v>
      </c>
      <c r="J11" s="479">
        <f t="shared" si="2"/>
        <v>0</v>
      </c>
      <c r="K11" s="479">
        <f t="shared" si="2"/>
        <v>0</v>
      </c>
      <c r="L11" s="479">
        <f t="shared" si="2"/>
        <v>16.388629378729998</v>
      </c>
    </row>
    <row r="12" spans="1:13" ht="12.75" thickTop="1">
      <c r="A12" s="464"/>
      <c r="B12" s="482"/>
      <c r="C12" s="483"/>
      <c r="D12" s="483"/>
      <c r="E12" s="483"/>
      <c r="F12" s="483"/>
      <c r="G12" s="483"/>
      <c r="H12" s="483"/>
      <c r="I12" s="483"/>
      <c r="J12" s="483"/>
      <c r="K12" s="483"/>
      <c r="L12" s="483"/>
    </row>
    <row r="13" spans="1:13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3">
      <c r="A14" s="464" t="s">
        <v>708</v>
      </c>
      <c r="B14" s="466">
        <f t="shared" ref="B14:L14" si="3">B8</f>
        <v>44713</v>
      </c>
      <c r="C14" s="467">
        <f t="shared" si="3"/>
        <v>44743</v>
      </c>
      <c r="D14" s="467">
        <f t="shared" si="3"/>
        <v>44774</v>
      </c>
      <c r="E14" s="467">
        <f t="shared" si="3"/>
        <v>44805</v>
      </c>
      <c r="F14" s="467">
        <f t="shared" si="3"/>
        <v>44835</v>
      </c>
      <c r="G14" s="467">
        <f t="shared" si="3"/>
        <v>44866</v>
      </c>
      <c r="H14" s="467">
        <f t="shared" si="3"/>
        <v>44896</v>
      </c>
      <c r="I14" s="467">
        <f t="shared" si="3"/>
        <v>44927</v>
      </c>
      <c r="J14" s="467">
        <f t="shared" si="3"/>
        <v>44958</v>
      </c>
      <c r="K14" s="467">
        <f t="shared" si="3"/>
        <v>44986</v>
      </c>
      <c r="L14" s="466" t="str">
        <f t="shared" si="3"/>
        <v>Total</v>
      </c>
    </row>
    <row r="15" spans="1:13" ht="15">
      <c r="A15" s="477" t="s">
        <v>709</v>
      </c>
      <c r="B15" s="469">
        <f>'Works Working'!B15</f>
        <v>5.4483628631949994</v>
      </c>
      <c r="C15" s="470">
        <v>0</v>
      </c>
      <c r="D15" s="470">
        <f>'Works Working'!C15</f>
        <v>0</v>
      </c>
      <c r="E15" s="470">
        <f>'Works Working'!D15</f>
        <v>0</v>
      </c>
      <c r="F15" s="470">
        <f>'Works Working'!E15</f>
        <v>0</v>
      </c>
      <c r="G15" s="470">
        <f>'Works Working'!F15</f>
        <v>0</v>
      </c>
      <c r="H15" s="470">
        <f>'Works Working'!G15</f>
        <v>0</v>
      </c>
      <c r="I15" s="470">
        <f>'Works Working'!H15</f>
        <v>0</v>
      </c>
      <c r="J15" s="470">
        <f>'Works Working'!I15</f>
        <v>0</v>
      </c>
      <c r="K15" s="470">
        <f>'Works Working'!J15</f>
        <v>0</v>
      </c>
      <c r="L15" s="470">
        <f>SUM(B15:K15)</f>
        <v>5.4483628631949994</v>
      </c>
      <c r="M15" s="471">
        <f>L15-'Works Working'!$L15</f>
        <v>0</v>
      </c>
    </row>
    <row r="16" spans="1:13" ht="15">
      <c r="A16" s="477" t="s">
        <v>710</v>
      </c>
      <c r="B16" s="469">
        <f>'Works Working'!B16</f>
        <v>2.6892977645440719</v>
      </c>
      <c r="C16" s="470">
        <v>0</v>
      </c>
      <c r="D16" s="470">
        <f>'Works Working'!C16</f>
        <v>0</v>
      </c>
      <c r="E16" s="470">
        <f>'Works Working'!C16</f>
        <v>0</v>
      </c>
      <c r="F16" s="470">
        <f>'Works Working'!D16</f>
        <v>0</v>
      </c>
      <c r="G16" s="470">
        <f>'Works Working'!E16</f>
        <v>0</v>
      </c>
      <c r="H16" s="470">
        <f>'Works Working'!F16</f>
        <v>0</v>
      </c>
      <c r="I16" s="470">
        <f>'Works Working'!G16</f>
        <v>0</v>
      </c>
      <c r="J16" s="470">
        <f>'Works Working'!H16</f>
        <v>0</v>
      </c>
      <c r="K16" s="470">
        <f>'Works Working'!I16</f>
        <v>0</v>
      </c>
      <c r="L16" s="470">
        <f>SUM(B16:K16)</f>
        <v>2.6892977645440719</v>
      </c>
      <c r="M16" s="471">
        <f>L16-'Works Working'!$L16</f>
        <v>0</v>
      </c>
    </row>
    <row r="17" spans="1:13" ht="15">
      <c r="A17" s="477" t="s">
        <v>711</v>
      </c>
      <c r="B17" s="469">
        <f>'Works Working'!B17</f>
        <v>0</v>
      </c>
      <c r="C17" s="470">
        <v>0</v>
      </c>
      <c r="D17" s="470">
        <f>'Works Working'!C17</f>
        <v>0</v>
      </c>
      <c r="E17" s="470">
        <f>'Works Working'!D17</f>
        <v>0</v>
      </c>
      <c r="F17" s="470">
        <f>'Works Working'!E17</f>
        <v>0</v>
      </c>
      <c r="G17" s="470">
        <f>'Works Working'!F17</f>
        <v>0</v>
      </c>
      <c r="H17" s="470">
        <f>'Works Working'!G17</f>
        <v>0</v>
      </c>
      <c r="I17" s="470">
        <f>'Works Working'!H17</f>
        <v>0</v>
      </c>
      <c r="J17" s="470">
        <f>'Works Working'!I17</f>
        <v>0</v>
      </c>
      <c r="K17" s="470">
        <f>'Works Working'!J17</f>
        <v>0</v>
      </c>
      <c r="L17" s="470">
        <f>SUM(B17:K17)</f>
        <v>0</v>
      </c>
      <c r="M17" s="471">
        <f>L17-'Works Working'!$L17</f>
        <v>0</v>
      </c>
    </row>
    <row r="18" spans="1:13" ht="12.75" thickBot="1">
      <c r="A18" s="464" t="s">
        <v>712</v>
      </c>
      <c r="B18" s="478">
        <f t="shared" ref="B18:L18" si="4">SUM(B15:B17)</f>
        <v>8.1376606277390717</v>
      </c>
      <c r="C18" s="479">
        <f t="shared" si="4"/>
        <v>0</v>
      </c>
      <c r="D18" s="479">
        <f t="shared" si="4"/>
        <v>0</v>
      </c>
      <c r="E18" s="479">
        <f t="shared" si="4"/>
        <v>0</v>
      </c>
      <c r="F18" s="479">
        <f t="shared" si="4"/>
        <v>0</v>
      </c>
      <c r="G18" s="479">
        <f t="shared" si="4"/>
        <v>0</v>
      </c>
      <c r="H18" s="479">
        <f t="shared" si="4"/>
        <v>0</v>
      </c>
      <c r="I18" s="479">
        <f t="shared" si="4"/>
        <v>0</v>
      </c>
      <c r="J18" s="479">
        <f t="shared" si="4"/>
        <v>0</v>
      </c>
      <c r="K18" s="479">
        <f t="shared" si="4"/>
        <v>0</v>
      </c>
      <c r="L18" s="479">
        <f t="shared" si="4"/>
        <v>8.1376606277390717</v>
      </c>
    </row>
    <row r="19" spans="1:13" ht="12.75" thickTop="1">
      <c r="A19" s="464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4" t="s">
        <v>713</v>
      </c>
      <c r="B20" s="466">
        <f t="shared" ref="B20:L20" si="5">B14</f>
        <v>44713</v>
      </c>
      <c r="C20" s="467">
        <f t="shared" si="5"/>
        <v>44743</v>
      </c>
      <c r="D20" s="467">
        <f t="shared" si="5"/>
        <v>44774</v>
      </c>
      <c r="E20" s="467">
        <f t="shared" si="5"/>
        <v>44805</v>
      </c>
      <c r="F20" s="467">
        <f t="shared" si="5"/>
        <v>44835</v>
      </c>
      <c r="G20" s="467">
        <f t="shared" si="5"/>
        <v>44866</v>
      </c>
      <c r="H20" s="467">
        <f t="shared" si="5"/>
        <v>44896</v>
      </c>
      <c r="I20" s="467">
        <f t="shared" si="5"/>
        <v>44927</v>
      </c>
      <c r="J20" s="467">
        <f t="shared" si="5"/>
        <v>44958</v>
      </c>
      <c r="K20" s="467">
        <f t="shared" si="5"/>
        <v>44986</v>
      </c>
      <c r="L20" s="466" t="str">
        <f t="shared" si="5"/>
        <v>Total</v>
      </c>
    </row>
    <row r="21" spans="1:13" ht="15">
      <c r="A21" s="477" t="s">
        <v>714</v>
      </c>
      <c r="B21" s="469">
        <f>'Works Working'!B21</f>
        <v>0</v>
      </c>
      <c r="C21" s="470">
        <v>0</v>
      </c>
      <c r="D21" s="470">
        <v>0</v>
      </c>
      <c r="E21" s="470">
        <v>0</v>
      </c>
      <c r="F21" s="470">
        <f>'Works Working'!C21</f>
        <v>0</v>
      </c>
      <c r="G21" s="470">
        <f>'Works Working'!D21</f>
        <v>0</v>
      </c>
      <c r="H21" s="470">
        <f>'Works Working'!E21</f>
        <v>0</v>
      </c>
      <c r="I21" s="470">
        <f>'Works Working'!F21</f>
        <v>0</v>
      </c>
      <c r="J21" s="470">
        <f>'Works Working'!G21</f>
        <v>0</v>
      </c>
      <c r="K21" s="470">
        <f>'Works Working'!H21</f>
        <v>0</v>
      </c>
      <c r="L21" s="470">
        <f>SUM(B21:K21)</f>
        <v>0</v>
      </c>
      <c r="M21" s="471">
        <f>L21-'Works Working'!$L21</f>
        <v>0</v>
      </c>
    </row>
    <row r="22" spans="1:13" ht="15">
      <c r="A22" s="477" t="s">
        <v>715</v>
      </c>
      <c r="B22" s="469">
        <f>'Works Working'!B22</f>
        <v>0</v>
      </c>
      <c r="C22" s="470">
        <v>0</v>
      </c>
      <c r="D22" s="470">
        <v>0</v>
      </c>
      <c r="E22" s="470">
        <f>'Works Working'!C22</f>
        <v>0</v>
      </c>
      <c r="F22" s="470">
        <f>'Works Working'!D22</f>
        <v>0</v>
      </c>
      <c r="G22" s="470">
        <f>'Works Working'!E22</f>
        <v>0</v>
      </c>
      <c r="H22" s="470">
        <f>'Works Working'!F22</f>
        <v>0</v>
      </c>
      <c r="I22" s="470">
        <f>'Works Working'!G22</f>
        <v>0</v>
      </c>
      <c r="J22" s="470">
        <f>'Works Working'!H22</f>
        <v>0</v>
      </c>
      <c r="K22" s="470">
        <f>'Works Working'!I22</f>
        <v>0</v>
      </c>
      <c r="L22" s="470">
        <f>SUM(B22:K22)</f>
        <v>0</v>
      </c>
      <c r="M22" s="471">
        <f>L22-'Works Working'!$L22</f>
        <v>0</v>
      </c>
    </row>
    <row r="23" spans="1:13" ht="12.75" thickBot="1">
      <c r="A23" s="464" t="s">
        <v>712</v>
      </c>
      <c r="B23" s="478">
        <f t="shared" ref="B23:L23" si="6">SUM(B21:B22)</f>
        <v>0</v>
      </c>
      <c r="C23" s="479">
        <f t="shared" si="6"/>
        <v>0</v>
      </c>
      <c r="D23" s="479">
        <f t="shared" si="6"/>
        <v>0</v>
      </c>
      <c r="E23" s="479">
        <f t="shared" si="6"/>
        <v>0</v>
      </c>
      <c r="F23" s="479">
        <f t="shared" si="6"/>
        <v>0</v>
      </c>
      <c r="G23" s="479">
        <f t="shared" si="6"/>
        <v>0</v>
      </c>
      <c r="H23" s="479">
        <f t="shared" si="6"/>
        <v>0</v>
      </c>
      <c r="I23" s="479">
        <f t="shared" si="6"/>
        <v>0</v>
      </c>
      <c r="J23" s="479">
        <f t="shared" si="6"/>
        <v>0</v>
      </c>
      <c r="K23" s="479">
        <f t="shared" si="6"/>
        <v>0</v>
      </c>
      <c r="L23" s="479">
        <f t="shared" si="6"/>
        <v>0</v>
      </c>
    </row>
    <row r="24" spans="1:13" ht="12.75" thickTop="1">
      <c r="A24" s="464"/>
      <c r="B24" s="482"/>
      <c r="C24" s="483"/>
      <c r="D24" s="483"/>
      <c r="E24" s="483"/>
      <c r="F24" s="483"/>
      <c r="G24" s="483"/>
      <c r="H24" s="483"/>
      <c r="I24" s="483"/>
      <c r="J24" s="483"/>
      <c r="K24" s="483"/>
      <c r="L24" s="483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4" t="s">
        <v>708</v>
      </c>
      <c r="B26" s="466">
        <f t="shared" ref="B26:L26" si="7">B8</f>
        <v>44713</v>
      </c>
      <c r="C26" s="467">
        <f t="shared" si="7"/>
        <v>44743</v>
      </c>
      <c r="D26" s="467">
        <f t="shared" si="7"/>
        <v>44774</v>
      </c>
      <c r="E26" s="467">
        <f t="shared" si="7"/>
        <v>44805</v>
      </c>
      <c r="F26" s="467">
        <f t="shared" si="7"/>
        <v>44835</v>
      </c>
      <c r="G26" s="467">
        <f t="shared" si="7"/>
        <v>44866</v>
      </c>
      <c r="H26" s="467">
        <f t="shared" si="7"/>
        <v>44896</v>
      </c>
      <c r="I26" s="467">
        <f t="shared" si="7"/>
        <v>44927</v>
      </c>
      <c r="J26" s="467">
        <f t="shared" si="7"/>
        <v>44958</v>
      </c>
      <c r="K26" s="467">
        <f t="shared" si="7"/>
        <v>44986</v>
      </c>
      <c r="L26" s="466" t="str">
        <f t="shared" si="7"/>
        <v>Total</v>
      </c>
    </row>
    <row r="27" spans="1:13" ht="15">
      <c r="A27" s="484" t="s">
        <v>716</v>
      </c>
      <c r="B27" s="469">
        <f>'Works Working'!B27</f>
        <v>17.548709968457565</v>
      </c>
      <c r="C27" s="470">
        <v>0</v>
      </c>
      <c r="D27" s="470">
        <v>0</v>
      </c>
      <c r="E27" s="470">
        <f>'Works Working'!C27</f>
        <v>0.36923980399776762</v>
      </c>
      <c r="F27" s="470">
        <f>'Works Working'!D27</f>
        <v>0.36923980399776762</v>
      </c>
      <c r="G27" s="470">
        <f>'Works Working'!E27</f>
        <v>0.36923980399776762</v>
      </c>
      <c r="H27" s="470">
        <f>'Works Working'!F27</f>
        <v>1.1003107303242952</v>
      </c>
      <c r="I27" s="470">
        <f>'Works Working'!G27</f>
        <v>1.0544610099578502</v>
      </c>
      <c r="J27" s="470">
        <f>'Works Working'!H27</f>
        <v>1.096478333310702</v>
      </c>
      <c r="K27" s="470">
        <f>'Works Working'!I27</f>
        <v>0</v>
      </c>
      <c r="L27" s="470">
        <f t="shared" ref="L27:L46" si="8">SUM(B27:K27)</f>
        <v>21.90767945404372</v>
      </c>
      <c r="M27" s="471">
        <f>L27-'Works Working'!$L27</f>
        <v>0</v>
      </c>
    </row>
    <row r="28" spans="1:13" ht="15">
      <c r="A28" s="484" t="s">
        <v>717</v>
      </c>
      <c r="B28" s="469">
        <f>'Works Working'!B28</f>
        <v>61.086914071049982</v>
      </c>
      <c r="C28" s="470">
        <v>0</v>
      </c>
      <c r="D28" s="470">
        <f>'Works Working'!C28</f>
        <v>0.35627779903333323</v>
      </c>
      <c r="E28" s="470">
        <f>'Works Working'!D28</f>
        <v>0.35627779903333323</v>
      </c>
      <c r="F28" s="470">
        <f>'Works Working'!E28</f>
        <v>0.35627779903333323</v>
      </c>
      <c r="G28" s="470">
        <f>'Works Working'!F28</f>
        <v>0.70250862709999984</v>
      </c>
      <c r="H28" s="470">
        <f>'Works Working'!G28</f>
        <v>0.70250862709999984</v>
      </c>
      <c r="I28" s="470">
        <f>'Works Working'!H28</f>
        <v>0.70250862709999984</v>
      </c>
      <c r="J28" s="470">
        <f>'Works Working'!I28</f>
        <v>0</v>
      </c>
      <c r="K28" s="470">
        <f>'Works Working'!J28</f>
        <v>0</v>
      </c>
      <c r="L28" s="470">
        <f t="shared" si="8"/>
        <v>64.263273349449989</v>
      </c>
      <c r="M28" s="471">
        <f>L28-'Works Working'!$L28</f>
        <v>0</v>
      </c>
    </row>
    <row r="29" spans="1:13" ht="15">
      <c r="A29" s="484" t="s">
        <v>718</v>
      </c>
      <c r="B29" s="469">
        <f>'Works Working'!B29</f>
        <v>16.284243024479593</v>
      </c>
      <c r="C29" s="470">
        <v>0</v>
      </c>
      <c r="D29" s="470">
        <v>0</v>
      </c>
      <c r="E29" s="470">
        <f>'Works Working'!C29</f>
        <v>0.36192563109877618</v>
      </c>
      <c r="F29" s="470">
        <f>'Works Working'!D29</f>
        <v>0.36192563109877618</v>
      </c>
      <c r="G29" s="470">
        <f>'Works Working'!E29</f>
        <v>0.36192563109877618</v>
      </c>
      <c r="H29" s="470">
        <f>'Works Working'!F29</f>
        <v>0.89782097426566887</v>
      </c>
      <c r="I29" s="470">
        <f>'Works Working'!G29</f>
        <v>0.61247968623694204</v>
      </c>
      <c r="J29" s="470">
        <f>'Works Working'!H29</f>
        <v>0.58543280916294771</v>
      </c>
      <c r="K29" s="470">
        <f>'Works Working'!I29</f>
        <v>0</v>
      </c>
      <c r="L29" s="470">
        <f t="shared" si="8"/>
        <v>19.465753387441488</v>
      </c>
      <c r="M29" s="471">
        <f>L29-'Works Working'!$L29</f>
        <v>0</v>
      </c>
    </row>
    <row r="30" spans="1:13" ht="15">
      <c r="A30" s="484" t="s">
        <v>719</v>
      </c>
      <c r="B30" s="469">
        <f>'Works Working'!B30</f>
        <v>8.3888524671561537</v>
      </c>
      <c r="C30" s="470">
        <v>0</v>
      </c>
      <c r="D30" s="470">
        <v>0</v>
      </c>
      <c r="E30" s="470">
        <v>0</v>
      </c>
      <c r="F30" s="470">
        <f>'Works Working'!C30</f>
        <v>0.18644653723270288</v>
      </c>
      <c r="G30" s="470">
        <f>'Works Working'!D30</f>
        <v>0.18644653723270288</v>
      </c>
      <c r="H30" s="470">
        <f>'Works Working'!E30</f>
        <v>0.18644653723270288</v>
      </c>
      <c r="I30" s="470">
        <f>'Works Working'!F30</f>
        <v>0.46251383522776879</v>
      </c>
      <c r="J30" s="470">
        <f>'Works Working'!G30</f>
        <v>0.31551983836448527</v>
      </c>
      <c r="K30" s="470">
        <f>'Works Working'!H30</f>
        <v>0.30158659865970033</v>
      </c>
      <c r="L30" s="470">
        <f t="shared" si="8"/>
        <v>10.027812351106217</v>
      </c>
      <c r="M30" s="471">
        <f>L30-'Works Working'!$L30</f>
        <v>0</v>
      </c>
    </row>
    <row r="31" spans="1:13" ht="15">
      <c r="A31" s="484" t="s">
        <v>720</v>
      </c>
      <c r="B31" s="469">
        <f>'Works Working'!B31</f>
        <v>35.052912534070757</v>
      </c>
      <c r="C31" s="470">
        <v>0</v>
      </c>
      <c r="D31" s="470">
        <f>'Works Working'!C31</f>
        <v>0.53922521867499995</v>
      </c>
      <c r="E31" s="470">
        <f>'Works Working'!D31</f>
        <v>0.53922521867499995</v>
      </c>
      <c r="F31" s="470">
        <f>'Works Working'!E31</f>
        <v>0.53922521867499995</v>
      </c>
      <c r="G31" s="470">
        <f>'Works Working'!F31</f>
        <v>1.6176756560249999</v>
      </c>
      <c r="H31" s="470">
        <f>'Works Working'!G31</f>
        <v>1.0738226499000001</v>
      </c>
      <c r="I31" s="470">
        <f>'Works Working'!H31</f>
        <v>1.0738226499000001</v>
      </c>
      <c r="J31" s="470">
        <f>'Works Working'!I31</f>
        <v>0</v>
      </c>
      <c r="K31" s="470">
        <f>'Works Working'!J31</f>
        <v>0</v>
      </c>
      <c r="L31" s="470">
        <f t="shared" si="8"/>
        <v>40.43590914592076</v>
      </c>
      <c r="M31" s="471">
        <f>L31-'Works Working'!$L31</f>
        <v>0</v>
      </c>
    </row>
    <row r="32" spans="1:13" ht="15">
      <c r="A32" s="484" t="s">
        <v>721</v>
      </c>
      <c r="B32" s="469">
        <f>'Works Working'!B32</f>
        <v>1.3152388172879999</v>
      </c>
      <c r="C32" s="470">
        <v>0</v>
      </c>
      <c r="D32" s="470">
        <v>0</v>
      </c>
      <c r="E32" s="470">
        <f>'Works Working'!C32</f>
        <v>4.1807127999999999E-2</v>
      </c>
      <c r="F32" s="470">
        <f>'Works Working'!D32</f>
        <v>4.1807127999999999E-2</v>
      </c>
      <c r="G32" s="470">
        <f>'Works Working'!E32</f>
        <v>4.1807127999999999E-2</v>
      </c>
      <c r="H32" s="470">
        <f>'Works Working'!F32</f>
        <v>0.125421384</v>
      </c>
      <c r="I32" s="470">
        <f>'Works Working'!G32</f>
        <v>0.125421384</v>
      </c>
      <c r="J32" s="470">
        <f>'Works Working'!H32</f>
        <v>0.12818853300000002</v>
      </c>
      <c r="K32" s="470">
        <f>'Works Working'!I32</f>
        <v>0</v>
      </c>
      <c r="L32" s="470">
        <f t="shared" si="8"/>
        <v>1.8196915022880003</v>
      </c>
      <c r="M32" s="471">
        <f>L32-'Works Working'!$L32</f>
        <v>0</v>
      </c>
    </row>
    <row r="33" spans="1:13" ht="15">
      <c r="A33" s="484" t="s">
        <v>722</v>
      </c>
      <c r="B33" s="469">
        <f>'Works Working'!B33</f>
        <v>0.67754726951199995</v>
      </c>
      <c r="C33" s="470">
        <v>0</v>
      </c>
      <c r="D33" s="470">
        <v>0</v>
      </c>
      <c r="E33" s="470">
        <v>0</v>
      </c>
      <c r="F33" s="470">
        <f>'Works Working'!C33</f>
        <v>2.1537005333333335E-2</v>
      </c>
      <c r="G33" s="470">
        <f>'Works Working'!D33</f>
        <v>2.1537005333333335E-2</v>
      </c>
      <c r="H33" s="470">
        <f>'Works Working'!E33</f>
        <v>2.1537005333333335E-2</v>
      </c>
      <c r="I33" s="470">
        <f>'Works Working'!F33</f>
        <v>6.4611016000000007E-2</v>
      </c>
      <c r="J33" s="470">
        <f>'Works Working'!G33</f>
        <v>6.4611016000000007E-2</v>
      </c>
      <c r="K33" s="470">
        <f>'Works Working'!H33</f>
        <v>6.6036516999999989E-2</v>
      </c>
      <c r="L33" s="470">
        <f t="shared" si="8"/>
        <v>0.93741683451199997</v>
      </c>
      <c r="M33" s="471">
        <f>L33-'Works Working'!$L33</f>
        <v>0</v>
      </c>
    </row>
    <row r="34" spans="1:13" ht="15">
      <c r="A34" s="484" t="s">
        <v>723</v>
      </c>
      <c r="B34" s="469">
        <f>'Works Working'!B34</f>
        <v>1.1123894534799998</v>
      </c>
      <c r="C34" s="470">
        <v>0</v>
      </c>
      <c r="D34" s="470">
        <f>'Works Working'!C34</f>
        <v>1.8727214313738667</v>
      </c>
      <c r="E34" s="470">
        <f>'Works Working'!D34</f>
        <v>1.8727214313738667</v>
      </c>
      <c r="F34" s="470">
        <f>'Works Working'!E34</f>
        <v>1.8727214313738667</v>
      </c>
      <c r="G34" s="470">
        <f>'Works Working'!F34</f>
        <v>0.33444533405999999</v>
      </c>
      <c r="H34" s="470">
        <f>'Works Working'!G34</f>
        <v>0.28528965355007996</v>
      </c>
      <c r="I34" s="470">
        <f>'Works Working'!H34</f>
        <v>3.8456801998768002</v>
      </c>
      <c r="J34" s="470">
        <f>'Works Working'!I34</f>
        <v>0</v>
      </c>
      <c r="K34" s="470">
        <f>'Works Working'!J34</f>
        <v>0</v>
      </c>
      <c r="L34" s="470">
        <f t="shared" si="8"/>
        <v>11.19596893508848</v>
      </c>
      <c r="M34" s="471">
        <f>L34-'Works Working'!$L34</f>
        <v>0</v>
      </c>
    </row>
    <row r="35" spans="1:13" ht="15">
      <c r="A35" s="484" t="s">
        <v>724</v>
      </c>
      <c r="B35" s="469">
        <f>'Works Working'!B35</f>
        <v>2.3917481088494994</v>
      </c>
      <c r="C35" s="470">
        <v>0</v>
      </c>
      <c r="D35" s="470">
        <v>0</v>
      </c>
      <c r="E35" s="470">
        <v>0</v>
      </c>
      <c r="F35" s="470">
        <f>'Works Working'!C35</f>
        <v>0.16747729749999996</v>
      </c>
      <c r="G35" s="470">
        <f>'Works Working'!D35</f>
        <v>0.16747729749999996</v>
      </c>
      <c r="H35" s="470">
        <f>'Works Working'!E35</f>
        <v>0.16747729749999996</v>
      </c>
      <c r="I35" s="470">
        <f>'Works Working'!F35</f>
        <v>0.50243189249999987</v>
      </c>
      <c r="J35" s="470">
        <f>'Works Working'!G35</f>
        <v>0.50243189249999987</v>
      </c>
      <c r="K35" s="470">
        <f>'Works Working'!H35</f>
        <v>0.50243189249999987</v>
      </c>
      <c r="L35" s="470">
        <f t="shared" si="8"/>
        <v>4.4014756788494989</v>
      </c>
      <c r="M35" s="471">
        <f>L35-'Works Working'!$L35</f>
        <v>0</v>
      </c>
    </row>
    <row r="36" spans="1:13" ht="15">
      <c r="A36" s="484" t="s">
        <v>725</v>
      </c>
      <c r="B36" s="469">
        <f>'Works Working'!B36</f>
        <v>1.4763787907925494</v>
      </c>
      <c r="C36" s="470">
        <v>0</v>
      </c>
      <c r="D36" s="470">
        <v>0</v>
      </c>
      <c r="E36" s="470">
        <v>0</v>
      </c>
      <c r="F36" s="470">
        <f>'Works Working'!C36</f>
        <v>2.4341750882832844E-2</v>
      </c>
      <c r="G36" s="470">
        <f>'Works Working'!D36</f>
        <v>2.4341750882832844E-2</v>
      </c>
      <c r="H36" s="470">
        <f>'Works Working'!E36</f>
        <v>2.4341750882832844E-2</v>
      </c>
      <c r="I36" s="470">
        <f>'Works Working'!F36</f>
        <v>7.3025252648498531E-2</v>
      </c>
      <c r="J36" s="470">
        <f>'Works Working'!G36</f>
        <v>5.8420202118798822E-2</v>
      </c>
      <c r="K36" s="470">
        <f>'Works Working'!H36</f>
        <v>5.8420202118798822E-2</v>
      </c>
      <c r="L36" s="470">
        <f t="shared" si="8"/>
        <v>1.7392697003271436</v>
      </c>
      <c r="M36" s="471">
        <f>L36-'Works Working'!$L36</f>
        <v>0</v>
      </c>
    </row>
    <row r="37" spans="1:13" ht="15">
      <c r="A37" s="484" t="s">
        <v>726</v>
      </c>
      <c r="B37" s="469">
        <f>'Works Working'!B37</f>
        <v>2.4726582209999997</v>
      </c>
      <c r="C37" s="470">
        <v>0</v>
      </c>
      <c r="D37" s="470">
        <v>0</v>
      </c>
      <c r="E37" s="470">
        <v>0</v>
      </c>
      <c r="F37" s="470">
        <f>'Works Working'!C37</f>
        <v>0.100628</v>
      </c>
      <c r="G37" s="470">
        <f>'Works Working'!D37</f>
        <v>0.100628</v>
      </c>
      <c r="H37" s="470">
        <f>'Works Working'!E37</f>
        <v>0.100628</v>
      </c>
      <c r="I37" s="470">
        <f>'Works Working'!F37</f>
        <v>0</v>
      </c>
      <c r="J37" s="470">
        <f>'Works Working'!G37</f>
        <v>0.30188399999999999</v>
      </c>
      <c r="K37" s="470">
        <f>'Works Working'!H37</f>
        <v>0</v>
      </c>
      <c r="L37" s="470">
        <f t="shared" si="8"/>
        <v>3.0764262209999993</v>
      </c>
      <c r="M37" s="471">
        <f>L37-'Works Working'!$L37</f>
        <v>0</v>
      </c>
    </row>
    <row r="38" spans="1:13" ht="15">
      <c r="A38" s="484" t="s">
        <v>727</v>
      </c>
      <c r="B38" s="469">
        <f>'Works Working'!B38</f>
        <v>4.2868829114999993</v>
      </c>
      <c r="C38" s="470">
        <v>0</v>
      </c>
      <c r="D38" s="470">
        <f>'Works Working'!C38</f>
        <v>1.4878709999999998E-2</v>
      </c>
      <c r="E38" s="470">
        <f>'Works Working'!D38</f>
        <v>1.4878709999999998E-2</v>
      </c>
      <c r="F38" s="470">
        <f>'Works Working'!E38</f>
        <v>1.4878709999999998E-2</v>
      </c>
      <c r="G38" s="470">
        <f>'Works Working'!F38</f>
        <v>0</v>
      </c>
      <c r="H38" s="470">
        <f>'Works Working'!G38</f>
        <v>1.5364236999999999E-2</v>
      </c>
      <c r="I38" s="470">
        <f>'Works Working'!H38</f>
        <v>0.1453107726</v>
      </c>
      <c r="J38" s="470">
        <f>'Works Working'!I38</f>
        <v>0</v>
      </c>
      <c r="K38" s="470">
        <f>'Works Working'!J38</f>
        <v>0</v>
      </c>
      <c r="L38" s="470">
        <f t="shared" si="8"/>
        <v>4.4921940510999985</v>
      </c>
      <c r="M38" s="471">
        <f>L38-'Works Working'!$L38</f>
        <v>0</v>
      </c>
    </row>
    <row r="39" spans="1:13" ht="15">
      <c r="A39" s="484" t="s">
        <v>728</v>
      </c>
      <c r="B39" s="469">
        <f>'Works Working'!B39</f>
        <v>1.3318370660999999</v>
      </c>
      <c r="C39" s="470">
        <v>0</v>
      </c>
      <c r="D39" s="470">
        <v>0</v>
      </c>
      <c r="E39" s="470">
        <v>0</v>
      </c>
      <c r="F39" s="470">
        <f>'Works Working'!C39</f>
        <v>3.6955943400000003E-2</v>
      </c>
      <c r="G39" s="470">
        <f>'Works Working'!D39</f>
        <v>3.6955943400000003E-2</v>
      </c>
      <c r="H39" s="470">
        <f>'Works Working'!E39</f>
        <v>3.6955943400000003E-2</v>
      </c>
      <c r="I39" s="470">
        <f>'Works Working'!F39</f>
        <v>0.15577201020000001</v>
      </c>
      <c r="J39" s="470">
        <f>'Works Working'!G39</f>
        <v>0.14718845580000001</v>
      </c>
      <c r="K39" s="470">
        <f>'Works Working'!H39</f>
        <v>0.15757936350000004</v>
      </c>
      <c r="L39" s="470">
        <f t="shared" si="8"/>
        <v>1.9032447257999998</v>
      </c>
      <c r="M39" s="471">
        <f>L39-'Works Working'!$L39</f>
        <v>0</v>
      </c>
    </row>
    <row r="40" spans="1:13" ht="15">
      <c r="A40" s="484" t="s">
        <v>729</v>
      </c>
      <c r="B40" s="469">
        <f>'Works Working'!B40</f>
        <v>1.1203218789</v>
      </c>
      <c r="C40" s="470">
        <v>0</v>
      </c>
      <c r="D40" s="470">
        <f>'Works Working'!C40</f>
        <v>0</v>
      </c>
      <c r="E40" s="470">
        <f>'Works Working'!D40</f>
        <v>0</v>
      </c>
      <c r="F40" s="470">
        <f>'Works Working'!E40</f>
        <v>0</v>
      </c>
      <c r="G40" s="470">
        <f>'Works Working'!F40</f>
        <v>0</v>
      </c>
      <c r="H40" s="470">
        <f>'Works Working'!G40</f>
        <v>0</v>
      </c>
      <c r="I40" s="470">
        <f>'Works Working'!H40</f>
        <v>0</v>
      </c>
      <c r="J40" s="470">
        <f>'Works Working'!I40</f>
        <v>0</v>
      </c>
      <c r="K40" s="470">
        <f>'Works Working'!J40</f>
        <v>0</v>
      </c>
      <c r="L40" s="470">
        <f t="shared" si="8"/>
        <v>1.1203218789</v>
      </c>
      <c r="M40" s="471">
        <f>L40-'Works Working'!$L40</f>
        <v>0</v>
      </c>
    </row>
    <row r="41" spans="1:13" ht="15">
      <c r="A41" s="484" t="s">
        <v>730</v>
      </c>
      <c r="B41" s="469">
        <f>'Works Working'!B41</f>
        <v>0.19266203159999998</v>
      </c>
      <c r="C41" s="470">
        <v>0</v>
      </c>
      <c r="D41" s="470">
        <v>0</v>
      </c>
      <c r="E41" s="470">
        <v>0</v>
      </c>
      <c r="F41" s="470">
        <f>'Works Working'!C41</f>
        <v>3.3520356599999995E-2</v>
      </c>
      <c r="G41" s="470">
        <f>'Works Working'!D41</f>
        <v>3.3520356599999995E-2</v>
      </c>
      <c r="H41" s="470">
        <f>'Works Working'!E41</f>
        <v>3.3520356599999995E-2</v>
      </c>
      <c r="I41" s="470">
        <f>'Works Working'!F41</f>
        <v>9.7182167400000005E-2</v>
      </c>
      <c r="J41" s="470">
        <f>'Works Working'!G41</f>
        <v>6.5834853299999996E-2</v>
      </c>
      <c r="K41" s="470">
        <f>'Works Working'!H41</f>
        <v>2.3897825999999994E-2</v>
      </c>
      <c r="L41" s="470">
        <f t="shared" si="8"/>
        <v>0.48013794809999999</v>
      </c>
      <c r="M41" s="471">
        <f>L41-'Works Working'!$L41</f>
        <v>0</v>
      </c>
    </row>
    <row r="42" spans="1:13" ht="15">
      <c r="A42" s="484" t="s">
        <v>731</v>
      </c>
      <c r="B42" s="469">
        <f>'Works Working'!B42</f>
        <v>19.971733696199998</v>
      </c>
      <c r="C42" s="470">
        <v>0</v>
      </c>
      <c r="D42" s="470">
        <f>'Works Working'!C42</f>
        <v>0.68143999999999982</v>
      </c>
      <c r="E42" s="470">
        <f>'Works Working'!D42</f>
        <v>0.68143999999999982</v>
      </c>
      <c r="F42" s="470">
        <f>'Works Working'!E42</f>
        <v>0.68143999999999982</v>
      </c>
      <c r="G42" s="470">
        <f>'Works Working'!F42</f>
        <v>2.0443199999999995</v>
      </c>
      <c r="H42" s="470">
        <f>'Works Working'!G42</f>
        <v>2.0443199999999995</v>
      </c>
      <c r="I42" s="470">
        <f>'Works Working'!H42</f>
        <v>1.5332399999999997</v>
      </c>
      <c r="J42" s="470">
        <f>'Works Working'!I42</f>
        <v>0</v>
      </c>
      <c r="K42" s="470">
        <f>'Works Working'!J42</f>
        <v>0</v>
      </c>
      <c r="L42" s="470">
        <f t="shared" si="8"/>
        <v>27.63793369619999</v>
      </c>
      <c r="M42" s="471">
        <f>L42-'Works Working'!$L42</f>
        <v>0</v>
      </c>
    </row>
    <row r="43" spans="1:13" ht="15">
      <c r="A43" s="484" t="s">
        <v>732</v>
      </c>
      <c r="B43" s="469">
        <f>'Works Working'!B43</f>
        <v>10.747027642800003</v>
      </c>
      <c r="C43" s="470">
        <v>0</v>
      </c>
      <c r="D43" s="470">
        <v>0</v>
      </c>
      <c r="E43" s="470">
        <f>'Works Working'!C43</f>
        <v>0.45429333333333338</v>
      </c>
      <c r="F43" s="470">
        <f>'Works Working'!D43</f>
        <v>0.45429333333333338</v>
      </c>
      <c r="G43" s="470">
        <f>'Works Working'!E43</f>
        <v>0.45429333333333338</v>
      </c>
      <c r="H43" s="470">
        <f>'Works Working'!F43</f>
        <v>1.3628800000000001</v>
      </c>
      <c r="I43" s="470">
        <f>'Works Working'!G43</f>
        <v>1.3628800000000001</v>
      </c>
      <c r="J43" s="470">
        <f>'Works Working'!H43</f>
        <v>1.02216</v>
      </c>
      <c r="K43" s="470">
        <f>'Works Working'!I43</f>
        <v>0</v>
      </c>
      <c r="L43" s="470">
        <f t="shared" si="8"/>
        <v>15.857827642800006</v>
      </c>
      <c r="M43" s="471">
        <f>L43-'Works Working'!$L43</f>
        <v>0</v>
      </c>
    </row>
    <row r="44" spans="1:13" ht="15">
      <c r="A44" s="484" t="s">
        <v>733</v>
      </c>
      <c r="B44" s="469">
        <f>'Works Working'!B44</f>
        <v>23.716711696999997</v>
      </c>
      <c r="C44" s="470">
        <v>0</v>
      </c>
      <c r="D44" s="470">
        <v>0</v>
      </c>
      <c r="E44" s="470">
        <f>'Works Working'!C44</f>
        <v>8.4422799999999978E-2</v>
      </c>
      <c r="F44" s="470">
        <f>'Works Working'!D44</f>
        <v>8.4422799999999978E-2</v>
      </c>
      <c r="G44" s="470">
        <f>'Works Working'!E44</f>
        <v>8.4422799999999978E-2</v>
      </c>
      <c r="H44" s="470">
        <f>'Works Working'!F44</f>
        <v>0.5065367999999999</v>
      </c>
      <c r="I44" s="470">
        <f>'Works Working'!G44</f>
        <v>0.5065367999999999</v>
      </c>
      <c r="J44" s="470">
        <f>'Works Working'!H44</f>
        <v>0.40370982959999996</v>
      </c>
      <c r="K44" s="470">
        <f>'Works Working'!I44</f>
        <v>0</v>
      </c>
      <c r="L44" s="470">
        <f t="shared" si="8"/>
        <v>25.386763526599992</v>
      </c>
      <c r="M44" s="471">
        <f>L44-'Works Working'!$L44</f>
        <v>0</v>
      </c>
    </row>
    <row r="45" spans="1:13" ht="15">
      <c r="A45" s="484" t="s">
        <v>734</v>
      </c>
      <c r="B45" s="469">
        <f>'Works Working'!B45</f>
        <v>13.0101355112</v>
      </c>
      <c r="C45" s="470">
        <v>0</v>
      </c>
      <c r="D45" s="470">
        <v>0</v>
      </c>
      <c r="E45" s="470">
        <f>'Works Working'!C45</f>
        <v>0.63103958333333332</v>
      </c>
      <c r="F45" s="470">
        <f>'Works Working'!D45</f>
        <v>0.63103958333333332</v>
      </c>
      <c r="G45" s="470">
        <f>'Works Working'!E45</f>
        <v>0.63103958333333332</v>
      </c>
      <c r="H45" s="470">
        <f>'Works Working'!F45</f>
        <v>1.89311875</v>
      </c>
      <c r="I45" s="470">
        <f>'Works Working'!G45</f>
        <v>1.89311875</v>
      </c>
      <c r="J45" s="470">
        <f>'Works Working'!H45</f>
        <v>1.4598431140000001</v>
      </c>
      <c r="K45" s="470">
        <f>'Works Working'!I45</f>
        <v>0</v>
      </c>
      <c r="L45" s="470">
        <f t="shared" si="8"/>
        <v>20.149334875200001</v>
      </c>
      <c r="M45" s="471">
        <f>L45-'Works Working'!$L45</f>
        <v>0</v>
      </c>
    </row>
    <row r="46" spans="1:13" ht="15">
      <c r="A46" s="484" t="s">
        <v>735</v>
      </c>
      <c r="B46" s="469">
        <f>'Works Working'!B46</f>
        <v>40.25</v>
      </c>
      <c r="C46" s="470">
        <v>0</v>
      </c>
      <c r="D46" s="470">
        <f>'Works Working'!C46</f>
        <v>0</v>
      </c>
      <c r="E46" s="470">
        <f>'Works Working'!D46</f>
        <v>0</v>
      </c>
      <c r="F46" s="470">
        <f>'Works Working'!E46</f>
        <v>0</v>
      </c>
      <c r="G46" s="470">
        <f>'Works Working'!F46</f>
        <v>0</v>
      </c>
      <c r="H46" s="470">
        <f>'Works Working'!G46</f>
        <v>0</v>
      </c>
      <c r="I46" s="470">
        <f>'Works Working'!H46</f>
        <v>4.9319971220802827</v>
      </c>
      <c r="J46" s="470">
        <f>'Works Working'!I46</f>
        <v>9.9492235573247925</v>
      </c>
      <c r="K46" s="470">
        <f>'Works Working'!J46</f>
        <v>0</v>
      </c>
      <c r="L46" s="470">
        <f t="shared" si="8"/>
        <v>55.131220679405075</v>
      </c>
      <c r="M46" s="471">
        <f>L46-'Works Working'!$L46</f>
        <v>0</v>
      </c>
    </row>
    <row r="47" spans="1:13" ht="12.75" thickBot="1">
      <c r="A47" s="465" t="s">
        <v>104</v>
      </c>
      <c r="B47" s="478">
        <f t="shared" ref="B47:L47" si="9">SUM(B27:B46)</f>
        <v>262.43490516143606</v>
      </c>
      <c r="C47" s="479">
        <f t="shared" si="9"/>
        <v>0</v>
      </c>
      <c r="D47" s="479">
        <f t="shared" si="9"/>
        <v>3.4645431590821998</v>
      </c>
      <c r="E47" s="479">
        <f t="shared" si="9"/>
        <v>5.4072714388454095</v>
      </c>
      <c r="F47" s="479">
        <f t="shared" si="9"/>
        <v>5.9781783297942788</v>
      </c>
      <c r="G47" s="479">
        <f t="shared" si="9"/>
        <v>7.2125847878970788</v>
      </c>
      <c r="H47" s="479">
        <f t="shared" si="9"/>
        <v>10.578300697088912</v>
      </c>
      <c r="I47" s="479">
        <f t="shared" si="9"/>
        <v>19.14299317572814</v>
      </c>
      <c r="J47" s="479">
        <f t="shared" si="9"/>
        <v>16.100926434481728</v>
      </c>
      <c r="K47" s="479">
        <f t="shared" si="9"/>
        <v>1.109952399778499</v>
      </c>
      <c r="L47" s="479">
        <f t="shared" si="9"/>
        <v>331.42965558413238</v>
      </c>
      <c r="M47" s="471"/>
    </row>
    <row r="48" spans="1:13" ht="12.75" thickTop="1">
      <c r="A48" s="465"/>
      <c r="B48" s="482"/>
      <c r="C48" s="483"/>
      <c r="D48" s="483"/>
      <c r="E48" s="483"/>
      <c r="F48" s="483"/>
      <c r="G48" s="483"/>
      <c r="H48" s="483"/>
      <c r="I48" s="483"/>
      <c r="J48" s="483"/>
      <c r="K48" s="483"/>
      <c r="L48" s="483"/>
    </row>
    <row r="49" spans="1:13">
      <c r="A49" s="464" t="s">
        <v>713</v>
      </c>
      <c r="B49" s="466">
        <f t="shared" ref="B49:K49" si="10">B26</f>
        <v>44713</v>
      </c>
      <c r="C49" s="467">
        <f t="shared" si="10"/>
        <v>44743</v>
      </c>
      <c r="D49" s="467">
        <f t="shared" si="10"/>
        <v>44774</v>
      </c>
      <c r="E49" s="467">
        <f t="shared" si="10"/>
        <v>44805</v>
      </c>
      <c r="F49" s="467">
        <f t="shared" si="10"/>
        <v>44835</v>
      </c>
      <c r="G49" s="467">
        <f t="shared" si="10"/>
        <v>44866</v>
      </c>
      <c r="H49" s="467">
        <f t="shared" si="10"/>
        <v>44896</v>
      </c>
      <c r="I49" s="467">
        <f t="shared" si="10"/>
        <v>44927</v>
      </c>
      <c r="J49" s="467">
        <f t="shared" si="10"/>
        <v>44958</v>
      </c>
      <c r="K49" s="467">
        <f t="shared" si="10"/>
        <v>44986</v>
      </c>
      <c r="L49" s="466" t="str">
        <f>L26</f>
        <v>Total</v>
      </c>
    </row>
    <row r="50" spans="1:13" ht="15">
      <c r="A50" s="484" t="s">
        <v>736</v>
      </c>
      <c r="B50" s="469">
        <f>'Works Working'!B50</f>
        <v>24.873184592147545</v>
      </c>
      <c r="C50" s="470">
        <v>0</v>
      </c>
      <c r="D50" s="470">
        <v>0</v>
      </c>
      <c r="E50" s="470">
        <v>0</v>
      </c>
      <c r="F50" s="470">
        <f>'Works Working'!C50</f>
        <v>0.62816774338049075</v>
      </c>
      <c r="G50" s="470">
        <f>'Works Working'!D50</f>
        <v>0.62816774338049075</v>
      </c>
      <c r="H50" s="470">
        <f>'Works Working'!E50</f>
        <v>0.62816774338049075</v>
      </c>
      <c r="I50" s="470">
        <f>'Works Working'!F50</f>
        <v>1.8950700861028977</v>
      </c>
      <c r="J50" s="470">
        <f>'Works Working'!G50</f>
        <v>1.8176602874095669</v>
      </c>
      <c r="K50" s="470">
        <f>'Works Working'!H50</f>
        <v>1.8973758237351623</v>
      </c>
      <c r="L50" s="470">
        <f t="shared" ref="L50:L68" si="11">SUM(B50:K50)</f>
        <v>32.367794019536646</v>
      </c>
      <c r="M50" s="471">
        <f>L50-'Works Working'!$L50</f>
        <v>0</v>
      </c>
    </row>
    <row r="51" spans="1:13" ht="15">
      <c r="A51" s="484" t="s">
        <v>737</v>
      </c>
      <c r="B51" s="469">
        <f>'Works Working'!B51</f>
        <v>58.359440434809407</v>
      </c>
      <c r="C51" s="470">
        <v>0</v>
      </c>
      <c r="D51" s="470">
        <v>0</v>
      </c>
      <c r="E51" s="470">
        <v>0</v>
      </c>
      <c r="F51" s="470">
        <f>'Works Working'!C51</f>
        <v>0.37670203389830509</v>
      </c>
      <c r="G51" s="470">
        <f>'Works Working'!D51</f>
        <v>0.37670203389830509</v>
      </c>
      <c r="H51" s="470">
        <f>'Works Working'!E51</f>
        <v>0.37670203389830509</v>
      </c>
      <c r="I51" s="470">
        <f>'Works Working'!F51</f>
        <v>0.75378610169491522</v>
      </c>
      <c r="J51" s="470">
        <f>'Works Working'!G51</f>
        <v>0.75378610169491522</v>
      </c>
      <c r="K51" s="470">
        <f>'Works Working'!H51</f>
        <v>0.75378610169491522</v>
      </c>
      <c r="L51" s="470">
        <f t="shared" si="11"/>
        <v>61.750904841589062</v>
      </c>
      <c r="M51" s="471">
        <f>L51-'Works Working'!$L51</f>
        <v>0</v>
      </c>
    </row>
    <row r="52" spans="1:13" ht="15">
      <c r="A52" s="484" t="s">
        <v>738</v>
      </c>
      <c r="B52" s="469">
        <f>'Works Working'!B52</f>
        <v>3.9624000020989998</v>
      </c>
      <c r="C52" s="470">
        <v>0</v>
      </c>
      <c r="D52" s="470">
        <f>'Works Working'!C52</f>
        <v>0.10546368940800004</v>
      </c>
      <c r="E52" s="470">
        <f>'Works Working'!D52</f>
        <v>0.10546368940800004</v>
      </c>
      <c r="F52" s="470">
        <f>'Works Working'!E52</f>
        <v>0.10546368940800004</v>
      </c>
      <c r="G52" s="470">
        <f>'Works Working'!F52</f>
        <v>0.26189404164000002</v>
      </c>
      <c r="H52" s="470">
        <f>'Works Working'!G52</f>
        <v>0.16130239004879995</v>
      </c>
      <c r="I52" s="470">
        <f>'Works Working'!H52</f>
        <v>0.15942673343520009</v>
      </c>
      <c r="J52" s="470">
        <f>'Works Working'!I52</f>
        <v>0</v>
      </c>
      <c r="K52" s="470">
        <f>'Works Working'!J52</f>
        <v>0</v>
      </c>
      <c r="L52" s="470">
        <f t="shared" si="11"/>
        <v>4.8614142354470005</v>
      </c>
      <c r="M52" s="471">
        <f>L52-'Works Working'!$L52</f>
        <v>0</v>
      </c>
    </row>
    <row r="53" spans="1:13" ht="15">
      <c r="A53" s="484" t="s">
        <v>739</v>
      </c>
      <c r="B53" s="469">
        <f>'Works Working'!B53</f>
        <v>2.0412363647176663</v>
      </c>
      <c r="C53" s="470">
        <v>0</v>
      </c>
      <c r="D53" s="470">
        <f>'Works Working'!C53</f>
        <v>5.4329779392000017E-2</v>
      </c>
      <c r="E53" s="470">
        <f>'Works Working'!D53</f>
        <v>5.4329779392000017E-2</v>
      </c>
      <c r="F53" s="470">
        <f>'Works Working'!E53</f>
        <v>5.4329779392000017E-2</v>
      </c>
      <c r="G53" s="470">
        <f>'Works Working'!F53</f>
        <v>0.13491511235999998</v>
      </c>
      <c r="H53" s="470">
        <f>'Works Working'!G53</f>
        <v>8.3095170631199977E-2</v>
      </c>
      <c r="I53" s="470">
        <f>'Works Working'!H53</f>
        <v>8.2128923284800051E-2</v>
      </c>
      <c r="J53" s="470">
        <f>'Works Working'!I53</f>
        <v>0</v>
      </c>
      <c r="K53" s="470">
        <f>'Works Working'!J53</f>
        <v>0</v>
      </c>
      <c r="L53" s="470">
        <f t="shared" si="11"/>
        <v>2.504364909169666</v>
      </c>
      <c r="M53" s="471">
        <f>L53-'Works Working'!$L53</f>
        <v>0</v>
      </c>
    </row>
    <row r="54" spans="1:13" ht="15">
      <c r="A54" s="484" t="s">
        <v>740</v>
      </c>
      <c r="B54" s="469">
        <f>'Works Working'!B54</f>
        <v>32.545418598877845</v>
      </c>
      <c r="C54" s="470">
        <v>0</v>
      </c>
      <c r="D54" s="470">
        <v>0</v>
      </c>
      <c r="E54" s="470">
        <v>0</v>
      </c>
      <c r="F54" s="470">
        <f>'Works Working'!C54</f>
        <v>0.58480898510331869</v>
      </c>
      <c r="G54" s="470">
        <f>'Works Working'!D54</f>
        <v>0.58480898510331869</v>
      </c>
      <c r="H54" s="470">
        <f>'Works Working'!E54</f>
        <v>0.58480898510331869</v>
      </c>
      <c r="I54" s="470">
        <f>'Works Working'!F54</f>
        <v>1.7544269553099561</v>
      </c>
      <c r="J54" s="470">
        <f>'Works Working'!G54</f>
        <v>1.1832112016111096</v>
      </c>
      <c r="K54" s="470">
        <f>'Works Working'!H54</f>
        <v>1.1832112016111096</v>
      </c>
      <c r="L54" s="470">
        <f t="shared" si="11"/>
        <v>38.420694912719981</v>
      </c>
      <c r="M54" s="471">
        <f>L54-'Works Working'!$L54</f>
        <v>0</v>
      </c>
    </row>
    <row r="55" spans="1:13" ht="15">
      <c r="A55" s="484" t="s">
        <v>741</v>
      </c>
      <c r="B55" s="469">
        <f>'Works Working'!B55</f>
        <v>3.5018879676000001</v>
      </c>
      <c r="C55" s="470">
        <v>0</v>
      </c>
      <c r="D55" s="470">
        <f>'Works Working'!C55</f>
        <v>7.7616000000000018E-2</v>
      </c>
      <c r="E55" s="470">
        <f>'Works Working'!D55</f>
        <v>7.7616000000000018E-2</v>
      </c>
      <c r="F55" s="470">
        <f>'Works Working'!E55</f>
        <v>7.7616000000000018E-2</v>
      </c>
      <c r="G55" s="470">
        <f>'Works Working'!F55</f>
        <v>0.23284800000000005</v>
      </c>
      <c r="H55" s="470">
        <f>'Works Working'!G55</f>
        <v>0.23284800000000005</v>
      </c>
      <c r="I55" s="470">
        <f>'Works Working'!H55</f>
        <v>0.23284800000000005</v>
      </c>
      <c r="J55" s="470">
        <f>'Works Working'!I55</f>
        <v>0</v>
      </c>
      <c r="K55" s="470">
        <f>'Works Working'!J55</f>
        <v>0</v>
      </c>
      <c r="L55" s="470">
        <f t="shared" si="11"/>
        <v>4.4332799675999999</v>
      </c>
      <c r="M55" s="471">
        <f>L55-'Works Working'!$L55</f>
        <v>0</v>
      </c>
    </row>
    <row r="56" spans="1:13" ht="15">
      <c r="A56" s="484" t="s">
        <v>742</v>
      </c>
      <c r="B56" s="469">
        <f>'Works Working'!B56</f>
        <v>1.8040028923999998</v>
      </c>
      <c r="C56" s="470">
        <v>0</v>
      </c>
      <c r="D56" s="470">
        <v>0</v>
      </c>
      <c r="E56" s="470">
        <f>'Works Working'!C56</f>
        <v>3.9983999999999999E-2</v>
      </c>
      <c r="F56" s="470">
        <f>'Works Working'!D56</f>
        <v>3.9983999999999999E-2</v>
      </c>
      <c r="G56" s="470">
        <f>'Works Working'!E56</f>
        <v>3.9983999999999999E-2</v>
      </c>
      <c r="H56" s="470">
        <f>'Works Working'!F56</f>
        <v>0.11995200000000002</v>
      </c>
      <c r="I56" s="470">
        <f>'Works Working'!G56</f>
        <v>0.11995200000000002</v>
      </c>
      <c r="J56" s="470">
        <f>'Works Working'!H56</f>
        <v>0.11995200000000002</v>
      </c>
      <c r="K56" s="470">
        <f>'Works Working'!I56</f>
        <v>0</v>
      </c>
      <c r="L56" s="470">
        <f t="shared" si="11"/>
        <v>2.2838108924</v>
      </c>
      <c r="M56" s="471">
        <f>L56-'Works Working'!$L56</f>
        <v>0</v>
      </c>
    </row>
    <row r="57" spans="1:13" ht="15">
      <c r="A57" s="484" t="s">
        <v>743</v>
      </c>
      <c r="B57" s="469">
        <f>'Works Working'!B57</f>
        <v>1.1569158900000001</v>
      </c>
      <c r="C57" s="470">
        <v>0</v>
      </c>
      <c r="D57" s="470">
        <v>0</v>
      </c>
      <c r="E57" s="470">
        <v>0</v>
      </c>
      <c r="F57" s="470">
        <f>'Works Working'!C57</f>
        <v>2.0551089887354879</v>
      </c>
      <c r="G57" s="470">
        <f>'Works Working'!D57</f>
        <v>2.0551089887354879</v>
      </c>
      <c r="H57" s="470">
        <f>'Works Working'!E57</f>
        <v>2.0551089887354879</v>
      </c>
      <c r="I57" s="470">
        <f>'Works Working'!F57</f>
        <v>0.68667162723532815</v>
      </c>
      <c r="J57" s="470">
        <f>'Works Working'!G57</f>
        <v>0.57630217649356796</v>
      </c>
      <c r="K57" s="470">
        <f>'Works Working'!H57</f>
        <v>4.305724145065728</v>
      </c>
      <c r="L57" s="470">
        <f t="shared" si="11"/>
        <v>12.890940805001089</v>
      </c>
      <c r="M57" s="471">
        <f>L57-'Works Working'!$L57</f>
        <v>0</v>
      </c>
    </row>
    <row r="58" spans="1:13" ht="15">
      <c r="A58" s="484" t="s">
        <v>724</v>
      </c>
      <c r="B58" s="469">
        <f>'Works Working'!B58</f>
        <v>1.7454974999999999</v>
      </c>
      <c r="C58" s="470">
        <v>0</v>
      </c>
      <c r="D58" s="470">
        <v>0</v>
      </c>
      <c r="E58" s="470">
        <v>0</v>
      </c>
      <c r="F58" s="470">
        <f>'Works Working'!C58</f>
        <v>0.1504104</v>
      </c>
      <c r="G58" s="470">
        <f>'Works Working'!D58</f>
        <v>0.1504104</v>
      </c>
      <c r="H58" s="470">
        <f>'Works Working'!E58</f>
        <v>0.1504104</v>
      </c>
      <c r="I58" s="470">
        <f>'Works Working'!F58</f>
        <v>0.45123120000000005</v>
      </c>
      <c r="J58" s="470">
        <f>'Works Working'!G58</f>
        <v>0.45123120000000005</v>
      </c>
      <c r="K58" s="470">
        <f>'Works Working'!H58</f>
        <v>0.45123120000000005</v>
      </c>
      <c r="L58" s="470">
        <f t="shared" si="11"/>
        <v>3.5504223000000001</v>
      </c>
      <c r="M58" s="471">
        <f>L58-'Works Working'!$L58</f>
        <v>0</v>
      </c>
    </row>
    <row r="59" spans="1:13" ht="15">
      <c r="A59" s="484" t="s">
        <v>725</v>
      </c>
      <c r="B59" s="469">
        <f>'Works Working'!B59</f>
        <v>1.5237395990383527</v>
      </c>
      <c r="C59" s="470">
        <v>0</v>
      </c>
      <c r="D59" s="470">
        <v>0</v>
      </c>
      <c r="E59" s="470">
        <v>0</v>
      </c>
      <c r="F59" s="470">
        <f>'Works Working'!C59</f>
        <v>9.0510688479394336E-2</v>
      </c>
      <c r="G59" s="470">
        <f>'Works Working'!D59</f>
        <v>9.0510688479394336E-2</v>
      </c>
      <c r="H59" s="470">
        <f>'Works Working'!E59</f>
        <v>9.0510688479394336E-2</v>
      </c>
      <c r="I59" s="470">
        <f>'Works Working'!F59</f>
        <v>0.27153206543818309</v>
      </c>
      <c r="J59" s="470">
        <f>'Works Working'!G59</f>
        <v>0.21722565235054644</v>
      </c>
      <c r="K59" s="470">
        <f>'Works Working'!H59</f>
        <v>0.21722565235054644</v>
      </c>
      <c r="L59" s="470">
        <f t="shared" si="11"/>
        <v>2.5012550346158116</v>
      </c>
      <c r="M59" s="471">
        <f>L59-'Works Working'!$L59</f>
        <v>0</v>
      </c>
    </row>
    <row r="60" spans="1:13" ht="15">
      <c r="A60" s="484" t="s">
        <v>726</v>
      </c>
      <c r="B60" s="469">
        <f>'Works Working'!B60</f>
        <v>1.1038549999999998</v>
      </c>
      <c r="C60" s="470">
        <v>0</v>
      </c>
      <c r="D60" s="470">
        <v>0</v>
      </c>
      <c r="E60" s="470">
        <v>0</v>
      </c>
      <c r="F60" s="470">
        <f>'Works Working'!C60</f>
        <v>4.7040000000000005E-2</v>
      </c>
      <c r="G60" s="470">
        <f>'Works Working'!D60</f>
        <v>4.7040000000000005E-2</v>
      </c>
      <c r="H60" s="470">
        <f>'Works Working'!E60</f>
        <v>4.7040000000000005E-2</v>
      </c>
      <c r="I60" s="470">
        <f>'Works Working'!F60</f>
        <v>0</v>
      </c>
      <c r="J60" s="470">
        <f>'Works Working'!G60</f>
        <v>0.14112000000000002</v>
      </c>
      <c r="K60" s="470">
        <f>'Works Working'!H60</f>
        <v>0</v>
      </c>
      <c r="L60" s="470">
        <f t="shared" si="11"/>
        <v>1.3860949999999996</v>
      </c>
      <c r="M60" s="471">
        <f>L60-'Works Working'!$L60</f>
        <v>0</v>
      </c>
    </row>
    <row r="61" spans="1:13" ht="15">
      <c r="A61" s="484" t="s">
        <v>744</v>
      </c>
      <c r="B61" s="469">
        <f>'Works Working'!B61</f>
        <v>3.4182859999449997</v>
      </c>
      <c r="C61" s="470">
        <v>0</v>
      </c>
      <c r="D61" s="470">
        <v>0</v>
      </c>
      <c r="E61" s="470">
        <v>0</v>
      </c>
      <c r="F61" s="470">
        <f>'Works Working'!C61</f>
        <v>9.7955069940000011E-3</v>
      </c>
      <c r="G61" s="470">
        <f>'Works Working'!D61</f>
        <v>9.7955069940000011E-3</v>
      </c>
      <c r="H61" s="470">
        <f>'Works Working'!E61</f>
        <v>9.7955069940000011E-3</v>
      </c>
      <c r="I61" s="470">
        <f>'Works Working'!F61</f>
        <v>0</v>
      </c>
      <c r="J61" s="470">
        <f>'Works Working'!G61</f>
        <v>3.5261889599999999E-2</v>
      </c>
      <c r="K61" s="470">
        <f>'Works Working'!H61</f>
        <v>0.11057759143452001</v>
      </c>
      <c r="L61" s="470">
        <f t="shared" si="11"/>
        <v>3.5935120019615203</v>
      </c>
      <c r="M61" s="471">
        <f>L61-'Works Working'!$L61</f>
        <v>0</v>
      </c>
    </row>
    <row r="62" spans="1:13" ht="15">
      <c r="A62" s="484" t="s">
        <v>745</v>
      </c>
      <c r="B62" s="469">
        <f>'Works Working'!B62</f>
        <v>0.37336784606675</v>
      </c>
      <c r="C62" s="470">
        <v>0</v>
      </c>
      <c r="D62" s="470">
        <f>'Works Working'!C62</f>
        <v>9.6651984347520016E-3</v>
      </c>
      <c r="E62" s="470">
        <f>'Works Working'!D62</f>
        <v>9.6651984347520016E-3</v>
      </c>
      <c r="F62" s="470">
        <f>'Works Working'!E62</f>
        <v>9.6651984347520016E-3</v>
      </c>
      <c r="G62" s="470">
        <f>'Works Working'!F62</f>
        <v>4.0617385956E-2</v>
      </c>
      <c r="H62" s="470">
        <f>'Works Working'!G62</f>
        <v>4.1222855310902994E-2</v>
      </c>
      <c r="I62" s="470">
        <f>'Works Working'!H62</f>
        <v>3.9417141090915001E-2</v>
      </c>
      <c r="J62" s="470">
        <f>'Works Working'!I62</f>
        <v>0</v>
      </c>
      <c r="K62" s="470">
        <f>'Works Working'!J62</f>
        <v>0</v>
      </c>
      <c r="L62" s="470">
        <f t="shared" si="11"/>
        <v>0.52362082372882401</v>
      </c>
      <c r="M62" s="471">
        <f>L62-'Works Working'!$L62</f>
        <v>0</v>
      </c>
    </row>
    <row r="63" spans="1:13" ht="15">
      <c r="A63" s="484" t="s">
        <v>746</v>
      </c>
      <c r="B63" s="469">
        <f>'Works Working'!B63</f>
        <v>2.0775796</v>
      </c>
      <c r="C63" s="470">
        <v>0</v>
      </c>
      <c r="D63" s="470">
        <v>0</v>
      </c>
      <c r="E63" s="470">
        <v>0</v>
      </c>
      <c r="F63" s="470">
        <f>'Works Working'!C63</f>
        <v>0</v>
      </c>
      <c r="G63" s="470">
        <f>'Works Working'!D63</f>
        <v>0</v>
      </c>
      <c r="H63" s="470">
        <f>'Works Working'!E63</f>
        <v>0</v>
      </c>
      <c r="I63" s="470">
        <f>'Works Working'!F63</f>
        <v>0</v>
      </c>
      <c r="J63" s="470">
        <f>'Works Working'!G63</f>
        <v>0</v>
      </c>
      <c r="K63" s="470">
        <f>'Works Working'!H63</f>
        <v>0</v>
      </c>
      <c r="L63" s="470">
        <f t="shared" si="11"/>
        <v>2.0775796</v>
      </c>
      <c r="M63" s="471">
        <f>L63-'Works Working'!$L63</f>
        <v>0</v>
      </c>
    </row>
    <row r="64" spans="1:13" ht="15">
      <c r="A64" s="477" t="s">
        <v>747</v>
      </c>
      <c r="B64" s="469">
        <f>'Works Working'!B64</f>
        <v>0.121169625</v>
      </c>
      <c r="C64" s="470">
        <v>0</v>
      </c>
      <c r="D64" s="470">
        <v>0</v>
      </c>
      <c r="E64" s="470">
        <f>'Works Working'!C64</f>
        <v>2.5461346680000004E-2</v>
      </c>
      <c r="F64" s="470">
        <f>'Works Working'!D64</f>
        <v>2.5461346680000004E-2</v>
      </c>
      <c r="G64" s="470">
        <f>'Works Working'!E64</f>
        <v>2.5461346680000004E-2</v>
      </c>
      <c r="H64" s="470">
        <f>'Works Working'!F64</f>
        <v>7.3196827200000009E-2</v>
      </c>
      <c r="I64" s="470">
        <f>'Works Working'!G64</f>
        <v>5.3201005200000005E-2</v>
      </c>
      <c r="J64" s="470">
        <f>'Works Working'!H64</f>
        <v>2.1207690000000001E-2</v>
      </c>
      <c r="K64" s="470">
        <f>'Works Working'!I64</f>
        <v>0</v>
      </c>
      <c r="L64" s="470">
        <f t="shared" si="11"/>
        <v>0.34515918744000001</v>
      </c>
      <c r="M64" s="471">
        <f>L64-'Works Working'!$L64</f>
        <v>0</v>
      </c>
    </row>
    <row r="65" spans="1:13" ht="15">
      <c r="A65" s="484" t="s">
        <v>748</v>
      </c>
      <c r="B65" s="469">
        <f>'Works Working'!B65</f>
        <v>20.925869299999999</v>
      </c>
      <c r="C65" s="470">
        <v>0</v>
      </c>
      <c r="D65" s="470">
        <v>0</v>
      </c>
      <c r="E65" s="470">
        <v>0</v>
      </c>
      <c r="F65" s="470">
        <f>'Works Working'!C65</f>
        <v>0.83966400000000008</v>
      </c>
      <c r="G65" s="470">
        <f>'Works Working'!D65</f>
        <v>0.83966400000000008</v>
      </c>
      <c r="H65" s="470">
        <f>'Works Working'!E65</f>
        <v>0.83966400000000008</v>
      </c>
      <c r="I65" s="470">
        <f>'Works Working'!F65</f>
        <v>2.5189920000000003</v>
      </c>
      <c r="J65" s="470">
        <f>'Works Working'!G65</f>
        <v>2.5189920000000003</v>
      </c>
      <c r="K65" s="470">
        <f>'Works Working'!H65</f>
        <v>1.8892440000000004</v>
      </c>
      <c r="L65" s="470">
        <f t="shared" si="11"/>
        <v>30.372089299999999</v>
      </c>
      <c r="M65" s="471">
        <f>L65-'Works Working'!$L65</f>
        <v>0</v>
      </c>
    </row>
    <row r="66" spans="1:13" ht="15">
      <c r="A66" s="484" t="s">
        <v>732</v>
      </c>
      <c r="B66" s="469">
        <f>'Works Working'!B66</f>
        <v>1.5770599999999999</v>
      </c>
      <c r="C66" s="470">
        <v>0</v>
      </c>
      <c r="D66" s="470">
        <v>0</v>
      </c>
      <c r="E66" s="470">
        <f>'Works Working'!C66</f>
        <v>7.8400000000000011E-2</v>
      </c>
      <c r="F66" s="470">
        <f>'Works Working'!D66</f>
        <v>7.8400000000000011E-2</v>
      </c>
      <c r="G66" s="470">
        <f>'Works Working'!E66</f>
        <v>7.8400000000000011E-2</v>
      </c>
      <c r="H66" s="470">
        <f>'Works Working'!F66</f>
        <v>0.23520000000000005</v>
      </c>
      <c r="I66" s="470">
        <f>'Works Working'!G66</f>
        <v>0.23520000000000005</v>
      </c>
      <c r="J66" s="470">
        <f>'Works Working'!H66</f>
        <v>0.17640000000000003</v>
      </c>
      <c r="K66" s="470">
        <f>'Works Working'!I66</f>
        <v>0</v>
      </c>
      <c r="L66" s="470">
        <f t="shared" si="11"/>
        <v>2.45906</v>
      </c>
      <c r="M66" s="471">
        <f>L66-'Works Working'!$L66</f>
        <v>0</v>
      </c>
    </row>
    <row r="67" spans="1:13" ht="15">
      <c r="A67" s="484" t="s">
        <v>749</v>
      </c>
      <c r="B67" s="469">
        <f>'Works Working'!B67</f>
        <v>17.792101330959188</v>
      </c>
      <c r="C67" s="470">
        <v>0</v>
      </c>
      <c r="D67" s="470">
        <v>0</v>
      </c>
      <c r="E67" s="470">
        <v>0</v>
      </c>
      <c r="F67" s="470">
        <f>'Works Working'!C67</f>
        <v>7.4480000000000018E-2</v>
      </c>
      <c r="G67" s="470">
        <f>'Works Working'!D67</f>
        <v>7.4480000000000018E-2</v>
      </c>
      <c r="H67" s="470">
        <f>'Works Working'!E67</f>
        <v>7.4480000000000018E-2</v>
      </c>
      <c r="I67" s="470">
        <f>'Works Working'!F67</f>
        <v>0.44688000000000005</v>
      </c>
      <c r="J67" s="470">
        <f>'Works Working'!G67</f>
        <v>0.44688000000000005</v>
      </c>
      <c r="K67" s="470">
        <f>'Works Working'!H67</f>
        <v>0.35616336000000004</v>
      </c>
      <c r="L67" s="470">
        <f t="shared" si="11"/>
        <v>19.265464690959192</v>
      </c>
      <c r="M67" s="471">
        <f>L67-'Works Working'!$L67</f>
        <v>0</v>
      </c>
    </row>
    <row r="68" spans="1:13" ht="15">
      <c r="A68" s="484" t="s">
        <v>750</v>
      </c>
      <c r="B68" s="469">
        <f>'Works Working'!B68</f>
        <v>17.673518475744224</v>
      </c>
      <c r="C68" s="470">
        <v>0</v>
      </c>
      <c r="D68" s="470">
        <f>'Works Working'!C68</f>
        <v>1.0907661665299841</v>
      </c>
      <c r="E68" s="470">
        <f>'Works Working'!D68</f>
        <v>1.0907661665299841</v>
      </c>
      <c r="F68" s="470">
        <f>'Works Working'!E68</f>
        <v>1.0907661665299841</v>
      </c>
      <c r="G68" s="470">
        <f>'Works Working'!F68</f>
        <v>3.2722984995899531</v>
      </c>
      <c r="H68" s="470">
        <f>'Works Working'!G68</f>
        <v>3.2722984995899531</v>
      </c>
      <c r="I68" s="470">
        <f>'Works Working'!H68</f>
        <v>2.5056303768486252</v>
      </c>
      <c r="J68" s="470">
        <f>'Works Working'!I68</f>
        <v>0</v>
      </c>
      <c r="K68" s="470">
        <f>'Works Working'!J68</f>
        <v>0</v>
      </c>
      <c r="L68" s="470">
        <f t="shared" si="11"/>
        <v>29.996044351362713</v>
      </c>
      <c r="M68" s="471">
        <f>L68-'Works Working'!$L68</f>
        <v>0</v>
      </c>
    </row>
    <row r="69" spans="1:13" ht="12.75" thickBot="1">
      <c r="A69" s="465" t="s">
        <v>104</v>
      </c>
      <c r="B69" s="478">
        <f t="shared" ref="B69:L69" si="12">SUM(B50:B68)</f>
        <v>196.57653101940494</v>
      </c>
      <c r="C69" s="479">
        <f t="shared" si="12"/>
        <v>0</v>
      </c>
      <c r="D69" s="479">
        <f t="shared" si="12"/>
        <v>1.3378408337647363</v>
      </c>
      <c r="E69" s="479">
        <f t="shared" si="12"/>
        <v>1.4816861804447363</v>
      </c>
      <c r="F69" s="479">
        <f t="shared" si="12"/>
        <v>6.3383745270357341</v>
      </c>
      <c r="G69" s="479">
        <f t="shared" si="12"/>
        <v>8.9431067328169505</v>
      </c>
      <c r="H69" s="479">
        <f t="shared" si="12"/>
        <v>9.0758040893718537</v>
      </c>
      <c r="I69" s="479">
        <f t="shared" si="12"/>
        <v>12.206394215640822</v>
      </c>
      <c r="J69" s="479">
        <f t="shared" si="12"/>
        <v>8.4592301991597054</v>
      </c>
      <c r="K69" s="479">
        <f t="shared" si="12"/>
        <v>11.164539075891982</v>
      </c>
      <c r="L69" s="479">
        <f t="shared" si="12"/>
        <v>255.58350687353155</v>
      </c>
    </row>
    <row r="70" spans="1:13" ht="12.75" thickTop="1">
      <c r="B70" s="471"/>
      <c r="C70" s="480"/>
      <c r="D70" s="480"/>
      <c r="E70" s="480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3">B49</f>
        <v>44713</v>
      </c>
      <c r="C72" s="467">
        <f t="shared" si="13"/>
        <v>44743</v>
      </c>
      <c r="D72" s="467">
        <f t="shared" si="13"/>
        <v>44774</v>
      </c>
      <c r="E72" s="467">
        <f t="shared" si="13"/>
        <v>44805</v>
      </c>
      <c r="F72" s="467">
        <f t="shared" si="13"/>
        <v>44835</v>
      </c>
      <c r="G72" s="467">
        <f t="shared" si="13"/>
        <v>44866</v>
      </c>
      <c r="H72" s="467">
        <f t="shared" si="13"/>
        <v>44896</v>
      </c>
      <c r="I72" s="467">
        <f t="shared" si="13"/>
        <v>44927</v>
      </c>
      <c r="J72" s="467">
        <f t="shared" si="13"/>
        <v>44958</v>
      </c>
      <c r="K72" s="467">
        <f t="shared" si="13"/>
        <v>44986</v>
      </c>
      <c r="L72" s="463" t="s">
        <v>104</v>
      </c>
    </row>
    <row r="73" spans="1:13" ht="15">
      <c r="A73" s="484" t="s">
        <v>752</v>
      </c>
      <c r="B73" s="469">
        <f>'Works Working'!B73</f>
        <v>0</v>
      </c>
      <c r="C73" s="470">
        <v>0</v>
      </c>
      <c r="D73" s="470">
        <v>0</v>
      </c>
      <c r="E73" s="470">
        <f>'Works Working'!C73</f>
        <v>0.17</v>
      </c>
      <c r="F73" s="470">
        <f>'Works Working'!D73</f>
        <v>0.17</v>
      </c>
      <c r="G73" s="470">
        <f>'Works Working'!E73</f>
        <v>0.17</v>
      </c>
      <c r="H73" s="470">
        <f>'Works Working'!F73</f>
        <v>0.17</v>
      </c>
      <c r="I73" s="470">
        <f>'Works Working'!G73</f>
        <v>0.17</v>
      </c>
      <c r="J73" s="470">
        <f>'Works Working'!H73</f>
        <v>0.17</v>
      </c>
      <c r="K73" s="470">
        <f>'Works Working'!I73</f>
        <v>0.17</v>
      </c>
      <c r="L73" s="470">
        <f>SUM(B73:K73)</f>
        <v>1.19</v>
      </c>
      <c r="M73" s="471">
        <f>L73-'Works Working'!$L73</f>
        <v>0</v>
      </c>
    </row>
    <row r="74" spans="1:13" ht="15">
      <c r="A74" s="484" t="s">
        <v>753</v>
      </c>
      <c r="B74" s="469">
        <f>'Works Working'!B74</f>
        <v>0</v>
      </c>
      <c r="C74" s="470">
        <v>0</v>
      </c>
      <c r="D74" s="470">
        <v>0</v>
      </c>
      <c r="E74" s="470">
        <f>'Works Working'!C74</f>
        <v>0</v>
      </c>
      <c r="F74" s="470">
        <f>'Works Working'!D74</f>
        <v>0</v>
      </c>
      <c r="G74" s="470">
        <f>'Works Working'!E74</f>
        <v>0</v>
      </c>
      <c r="H74" s="470">
        <f>'Works Working'!F74</f>
        <v>0</v>
      </c>
      <c r="I74" s="470">
        <f>'Works Working'!G74</f>
        <v>0</v>
      </c>
      <c r="J74" s="470">
        <f>'Works Working'!H74</f>
        <v>0</v>
      </c>
      <c r="K74" s="470">
        <f>'Works Working'!I74</f>
        <v>0</v>
      </c>
      <c r="L74" s="470">
        <f>SUM(B74:K74)</f>
        <v>0</v>
      </c>
      <c r="M74" s="471">
        <f>L74-'Works Working'!$L74</f>
        <v>0</v>
      </c>
    </row>
    <row r="75" spans="1:13" ht="12.75" thickBot="1">
      <c r="A75" s="465" t="s">
        <v>104</v>
      </c>
      <c r="B75" s="478">
        <f t="shared" ref="B75:L75" si="14">SUM(B73:B74)</f>
        <v>0</v>
      </c>
      <c r="C75" s="479">
        <f t="shared" si="14"/>
        <v>0</v>
      </c>
      <c r="D75" s="479">
        <f t="shared" si="14"/>
        <v>0</v>
      </c>
      <c r="E75" s="479">
        <f t="shared" si="14"/>
        <v>0.17</v>
      </c>
      <c r="F75" s="479">
        <f t="shared" si="14"/>
        <v>0.17</v>
      </c>
      <c r="G75" s="479">
        <f t="shared" si="14"/>
        <v>0.17</v>
      </c>
      <c r="H75" s="479">
        <f t="shared" si="14"/>
        <v>0.17</v>
      </c>
      <c r="I75" s="479">
        <f t="shared" si="14"/>
        <v>0.17</v>
      </c>
      <c r="J75" s="479">
        <f t="shared" si="14"/>
        <v>0.17</v>
      </c>
      <c r="K75" s="479">
        <f t="shared" si="14"/>
        <v>0.17</v>
      </c>
      <c r="L75" s="479">
        <f t="shared" si="14"/>
        <v>1.19</v>
      </c>
    </row>
    <row r="76" spans="1:13" ht="12.75" thickTop="1">
      <c r="A76" s="465"/>
      <c r="B76" s="482"/>
      <c r="C76" s="483"/>
      <c r="D76" s="483"/>
      <c r="E76" s="483"/>
      <c r="F76" s="483"/>
      <c r="G76" s="483"/>
      <c r="H76" s="483"/>
      <c r="I76" s="483"/>
      <c r="J76" s="483"/>
      <c r="K76" s="483"/>
      <c r="L76" s="483"/>
    </row>
    <row r="77" spans="1:13">
      <c r="A77" s="465" t="s">
        <v>188</v>
      </c>
      <c r="B77" s="466">
        <f t="shared" ref="B77:L77" si="15">B72</f>
        <v>44713</v>
      </c>
      <c r="C77" s="467">
        <f t="shared" si="15"/>
        <v>44743</v>
      </c>
      <c r="D77" s="467">
        <f t="shared" si="15"/>
        <v>44774</v>
      </c>
      <c r="E77" s="467">
        <f t="shared" si="15"/>
        <v>44805</v>
      </c>
      <c r="F77" s="467">
        <f t="shared" si="15"/>
        <v>44835</v>
      </c>
      <c r="G77" s="467">
        <f t="shared" si="15"/>
        <v>44866</v>
      </c>
      <c r="H77" s="467">
        <f t="shared" si="15"/>
        <v>44896</v>
      </c>
      <c r="I77" s="467">
        <f t="shared" si="15"/>
        <v>44927</v>
      </c>
      <c r="J77" s="467">
        <f t="shared" si="15"/>
        <v>44958</v>
      </c>
      <c r="K77" s="467">
        <f t="shared" si="15"/>
        <v>44986</v>
      </c>
      <c r="L77" s="466" t="str">
        <f t="shared" si="15"/>
        <v>Total</v>
      </c>
    </row>
    <row r="78" spans="1:13" ht="15">
      <c r="A78" s="484" t="s">
        <v>752</v>
      </c>
      <c r="B78" s="469">
        <v>0</v>
      </c>
      <c r="C78" s="470">
        <v>0</v>
      </c>
      <c r="D78" s="470">
        <v>0</v>
      </c>
      <c r="E78" s="470">
        <f>'Works Working'!C78</f>
        <v>0.22</v>
      </c>
      <c r="F78" s="470">
        <f>'Works Working'!D78</f>
        <v>0.22</v>
      </c>
      <c r="G78" s="470">
        <f>'Works Working'!E78</f>
        <v>0.22</v>
      </c>
      <c r="H78" s="470">
        <f>'Works Working'!F78</f>
        <v>0.22</v>
      </c>
      <c r="I78" s="470">
        <f>'Works Working'!G78</f>
        <v>0.22</v>
      </c>
      <c r="J78" s="470">
        <f>'Works Working'!H78</f>
        <v>0.22</v>
      </c>
      <c r="K78" s="470">
        <f>'Works Working'!I78</f>
        <v>0.22</v>
      </c>
      <c r="L78" s="470">
        <f>SUM(B78:K78)</f>
        <v>1.54</v>
      </c>
      <c r="M78" s="471">
        <f>L78-'Works Working'!$L78</f>
        <v>0</v>
      </c>
    </row>
    <row r="79" spans="1:13" ht="15">
      <c r="A79" s="484" t="s">
        <v>753</v>
      </c>
      <c r="B79" s="469">
        <v>0</v>
      </c>
      <c r="C79" s="470">
        <v>0</v>
      </c>
      <c r="D79" s="470">
        <v>0</v>
      </c>
      <c r="E79" s="470">
        <f>'Works Working'!C79</f>
        <v>0</v>
      </c>
      <c r="F79" s="470">
        <f>'Works Working'!D79</f>
        <v>0</v>
      </c>
      <c r="G79" s="470">
        <f>'Works Working'!E79</f>
        <v>0</v>
      </c>
      <c r="H79" s="470">
        <f>'Works Working'!F79</f>
        <v>0</v>
      </c>
      <c r="I79" s="470">
        <f>'Works Working'!G79</f>
        <v>0</v>
      </c>
      <c r="J79" s="470">
        <f>'Works Working'!H79</f>
        <v>0</v>
      </c>
      <c r="K79" s="470">
        <f>'Works Working'!I79</f>
        <v>0</v>
      </c>
      <c r="L79" s="470">
        <f>SUM(B79:K79)</f>
        <v>0</v>
      </c>
      <c r="M79" s="471">
        <f>L79-'Works Working'!$L79</f>
        <v>0</v>
      </c>
    </row>
    <row r="80" spans="1:13" ht="12.75" thickBot="1">
      <c r="A80" s="465" t="s">
        <v>104</v>
      </c>
      <c r="B80" s="478">
        <f t="shared" ref="B80:L80" si="16">SUM(B78:B79)</f>
        <v>0</v>
      </c>
      <c r="C80" s="479">
        <f t="shared" si="16"/>
        <v>0</v>
      </c>
      <c r="D80" s="479">
        <f t="shared" si="16"/>
        <v>0</v>
      </c>
      <c r="E80" s="479">
        <f t="shared" si="16"/>
        <v>0.22</v>
      </c>
      <c r="F80" s="479">
        <f t="shared" si="16"/>
        <v>0.22</v>
      </c>
      <c r="G80" s="479">
        <f t="shared" si="16"/>
        <v>0.22</v>
      </c>
      <c r="H80" s="479">
        <f t="shared" si="16"/>
        <v>0.22</v>
      </c>
      <c r="I80" s="479">
        <f t="shared" si="16"/>
        <v>0.22</v>
      </c>
      <c r="J80" s="479">
        <f t="shared" si="16"/>
        <v>0.22</v>
      </c>
      <c r="K80" s="479">
        <f t="shared" si="16"/>
        <v>0.22</v>
      </c>
      <c r="L80" s="479">
        <f t="shared" si="16"/>
        <v>1.54</v>
      </c>
    </row>
    <row r="81" ht="12.75" thickTop="1"/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81"/>
  <sheetViews>
    <sheetView workbookViewId="0">
      <pane xSplit="1" topLeftCell="B1" activePane="topRight" state="frozen"/>
      <selection activeCell="U8" sqref="U8"/>
      <selection pane="topRight" activeCell="U8" sqref="U8"/>
    </sheetView>
  </sheetViews>
  <sheetFormatPr defaultColWidth="7.7109375" defaultRowHeight="12"/>
  <cols>
    <col min="1" max="1" width="28.42578125" style="462" bestFit="1" customWidth="1"/>
    <col min="2" max="2" width="6.85546875" style="475" bestFit="1" customWidth="1"/>
    <col min="3" max="11" width="6" style="462" customWidth="1"/>
    <col min="12" max="12" width="7" style="462" bestFit="1" customWidth="1"/>
    <col min="13" max="16384" width="7.7109375" style="462"/>
  </cols>
  <sheetData>
    <row r="1" spans="1:12">
      <c r="A1" s="464" t="s">
        <v>699</v>
      </c>
      <c r="B1" s="485">
        <v>27.5</v>
      </c>
      <c r="C1" s="381">
        <f>B1</f>
        <v>27.5</v>
      </c>
      <c r="D1" s="381">
        <f t="shared" ref="D1:K1" si="0">C1</f>
        <v>27.5</v>
      </c>
      <c r="E1" s="381">
        <f t="shared" si="0"/>
        <v>27.5</v>
      </c>
      <c r="F1" s="381">
        <f t="shared" si="0"/>
        <v>27.5</v>
      </c>
      <c r="G1" s="381">
        <f t="shared" si="0"/>
        <v>27.5</v>
      </c>
      <c r="H1" s="381">
        <f t="shared" si="0"/>
        <v>27.5</v>
      </c>
      <c r="I1" s="381">
        <f t="shared" si="0"/>
        <v>27.5</v>
      </c>
      <c r="J1" s="381">
        <f t="shared" si="0"/>
        <v>27.5</v>
      </c>
      <c r="K1" s="381">
        <f t="shared" si="0"/>
        <v>27.5</v>
      </c>
      <c r="L1" s="464"/>
    </row>
    <row r="2" spans="1:12">
      <c r="A2" s="465" t="s">
        <v>82</v>
      </c>
      <c r="B2" s="466">
        <v>44713</v>
      </c>
      <c r="C2" s="466">
        <v>44743</v>
      </c>
      <c r="D2" s="466">
        <v>44774</v>
      </c>
      <c r="E2" s="466">
        <v>44805</v>
      </c>
      <c r="F2" s="466">
        <v>44835</v>
      </c>
      <c r="G2" s="466">
        <v>44866</v>
      </c>
      <c r="H2" s="466">
        <v>44896</v>
      </c>
      <c r="I2" s="466">
        <v>44927</v>
      </c>
      <c r="J2" s="466">
        <v>44958</v>
      </c>
      <c r="K2" s="466">
        <v>44986</v>
      </c>
      <c r="L2" s="463" t="s">
        <v>104</v>
      </c>
    </row>
    <row r="3" spans="1:12">
      <c r="A3" s="486" t="s">
        <v>754</v>
      </c>
      <c r="B3" s="471">
        <v>11.783325448199999</v>
      </c>
      <c r="C3" s="471">
        <v>0</v>
      </c>
      <c r="D3" s="471">
        <v>0</v>
      </c>
      <c r="E3" s="471">
        <v>0</v>
      </c>
      <c r="F3" s="471">
        <v>0</v>
      </c>
      <c r="G3" s="471">
        <v>0</v>
      </c>
      <c r="H3" s="471">
        <v>0</v>
      </c>
      <c r="I3" s="471">
        <v>0</v>
      </c>
      <c r="J3" s="471">
        <v>0</v>
      </c>
      <c r="K3" s="471">
        <v>0</v>
      </c>
      <c r="L3" s="480">
        <f>SUM(B3:K3)</f>
        <v>11.783325448199999</v>
      </c>
    </row>
    <row r="4" spans="1:12">
      <c r="A4" s="486" t="s">
        <v>755</v>
      </c>
      <c r="B4" s="471">
        <v>3.0513512320354996</v>
      </c>
      <c r="C4" s="480">
        <v>0</v>
      </c>
      <c r="D4" s="480">
        <v>0</v>
      </c>
      <c r="E4" s="480">
        <v>0</v>
      </c>
      <c r="F4" s="480">
        <v>0</v>
      </c>
      <c r="G4" s="480">
        <v>0</v>
      </c>
      <c r="H4" s="480">
        <v>0</v>
      </c>
      <c r="I4" s="480">
        <v>0</v>
      </c>
      <c r="J4" s="480">
        <v>0</v>
      </c>
      <c r="K4" s="480">
        <v>0</v>
      </c>
      <c r="L4" s="480">
        <f>SUM(B4:K4)</f>
        <v>3.0513512320354996</v>
      </c>
    </row>
    <row r="5" spans="1:12">
      <c r="A5" s="486" t="s">
        <v>756</v>
      </c>
      <c r="B5" s="480">
        <v>0</v>
      </c>
      <c r="C5" s="480">
        <v>0</v>
      </c>
      <c r="D5" s="480">
        <v>0</v>
      </c>
      <c r="E5" s="480">
        <v>0</v>
      </c>
      <c r="F5" s="480">
        <v>0</v>
      </c>
      <c r="G5" s="480">
        <v>0</v>
      </c>
      <c r="H5" s="480">
        <v>0</v>
      </c>
      <c r="I5" s="480">
        <v>0</v>
      </c>
      <c r="J5" s="480">
        <v>0</v>
      </c>
      <c r="K5" s="480">
        <v>0</v>
      </c>
      <c r="L5" s="480">
        <f>SUM(B5:K5)</f>
        <v>0</v>
      </c>
    </row>
    <row r="6" spans="1:12" ht="12.75" thickBot="1">
      <c r="A6" s="465" t="s">
        <v>104</v>
      </c>
      <c r="B6" s="478">
        <f t="shared" ref="B6:L6" si="1">SUM(B3:B5)</f>
        <v>14.8346766802355</v>
      </c>
      <c r="C6" s="479">
        <f t="shared" si="1"/>
        <v>0</v>
      </c>
      <c r="D6" s="479">
        <f t="shared" si="1"/>
        <v>0</v>
      </c>
      <c r="E6" s="479">
        <f t="shared" si="1"/>
        <v>0</v>
      </c>
      <c r="F6" s="479">
        <f t="shared" si="1"/>
        <v>0</v>
      </c>
      <c r="G6" s="479">
        <f t="shared" si="1"/>
        <v>0</v>
      </c>
      <c r="H6" s="479">
        <f t="shared" si="1"/>
        <v>0</v>
      </c>
      <c r="I6" s="479">
        <f t="shared" si="1"/>
        <v>0</v>
      </c>
      <c r="J6" s="479">
        <f t="shared" si="1"/>
        <v>0</v>
      </c>
      <c r="K6" s="479">
        <f t="shared" si="1"/>
        <v>0</v>
      </c>
      <c r="L6" s="479">
        <f t="shared" si="1"/>
        <v>14.8346766802355</v>
      </c>
    </row>
    <row r="7" spans="1:12" ht="12.75" thickTop="1">
      <c r="A7" s="465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2">
      <c r="A8" s="465" t="s">
        <v>188</v>
      </c>
      <c r="B8" s="466">
        <f t="shared" ref="B8:L8" si="2">B2</f>
        <v>44713</v>
      </c>
      <c r="C8" s="467">
        <f t="shared" si="2"/>
        <v>44743</v>
      </c>
      <c r="D8" s="467">
        <f t="shared" si="2"/>
        <v>44774</v>
      </c>
      <c r="E8" s="467">
        <f t="shared" si="2"/>
        <v>44805</v>
      </c>
      <c r="F8" s="467">
        <f t="shared" si="2"/>
        <v>44835</v>
      </c>
      <c r="G8" s="467">
        <f t="shared" si="2"/>
        <v>44866</v>
      </c>
      <c r="H8" s="467">
        <f t="shared" si="2"/>
        <v>44896</v>
      </c>
      <c r="I8" s="467">
        <f t="shared" si="2"/>
        <v>44927</v>
      </c>
      <c r="J8" s="467">
        <f t="shared" si="2"/>
        <v>44958</v>
      </c>
      <c r="K8" s="467">
        <f t="shared" si="2"/>
        <v>44986</v>
      </c>
      <c r="L8" s="466" t="str">
        <f t="shared" si="2"/>
        <v>Total</v>
      </c>
    </row>
    <row r="9" spans="1:12">
      <c r="A9" s="486" t="s">
        <v>754</v>
      </c>
      <c r="B9" s="487">
        <v>11.834578115999999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0</v>
      </c>
      <c r="I9" s="487">
        <v>0</v>
      </c>
      <c r="J9" s="487">
        <v>0</v>
      </c>
      <c r="K9" s="487">
        <v>0</v>
      </c>
      <c r="L9" s="480">
        <f>SUM(B9:K9)</f>
        <v>11.834578115999999</v>
      </c>
    </row>
    <row r="10" spans="1:12" ht="15">
      <c r="A10" s="484" t="s">
        <v>755</v>
      </c>
      <c r="B10" s="487">
        <v>4.5540512627299998</v>
      </c>
      <c r="C10" s="487">
        <v>0</v>
      </c>
      <c r="D10" s="487">
        <v>0</v>
      </c>
      <c r="E10" s="487">
        <v>0</v>
      </c>
      <c r="F10" s="487">
        <v>0</v>
      </c>
      <c r="G10" s="487">
        <v>0</v>
      </c>
      <c r="H10" s="487">
        <v>0</v>
      </c>
      <c r="I10" s="487">
        <v>0</v>
      </c>
      <c r="J10" s="487">
        <v>0</v>
      </c>
      <c r="K10" s="487">
        <v>0</v>
      </c>
      <c r="L10" s="480">
        <f>SUM(B10:K10)</f>
        <v>4.5540512627299998</v>
      </c>
    </row>
    <row r="11" spans="1:12" ht="12.75" thickBot="1">
      <c r="A11" s="465" t="s">
        <v>104</v>
      </c>
      <c r="B11" s="478">
        <f t="shared" ref="B11:L11" si="3">SUM(B9:B10)</f>
        <v>16.388629378729998</v>
      </c>
      <c r="C11" s="479">
        <f t="shared" si="3"/>
        <v>0</v>
      </c>
      <c r="D11" s="479">
        <f t="shared" si="3"/>
        <v>0</v>
      </c>
      <c r="E11" s="479">
        <f t="shared" si="3"/>
        <v>0</v>
      </c>
      <c r="F11" s="479">
        <f t="shared" si="3"/>
        <v>0</v>
      </c>
      <c r="G11" s="479">
        <f t="shared" si="3"/>
        <v>0</v>
      </c>
      <c r="H11" s="479">
        <f t="shared" si="3"/>
        <v>0</v>
      </c>
      <c r="I11" s="479">
        <f t="shared" si="3"/>
        <v>0</v>
      </c>
      <c r="J11" s="479">
        <f t="shared" si="3"/>
        <v>0</v>
      </c>
      <c r="K11" s="479">
        <f t="shared" si="3"/>
        <v>0</v>
      </c>
      <c r="L11" s="479">
        <f t="shared" si="3"/>
        <v>16.388629378729998</v>
      </c>
    </row>
    <row r="12" spans="1:12" ht="12.75" thickTop="1">
      <c r="B12" s="407"/>
      <c r="C12" s="341"/>
      <c r="D12" s="341"/>
      <c r="E12" s="341"/>
      <c r="F12" s="341"/>
      <c r="G12" s="341"/>
      <c r="H12" s="341"/>
      <c r="I12" s="341"/>
      <c r="J12" s="341"/>
      <c r="K12" s="341"/>
      <c r="L12" s="480"/>
    </row>
    <row r="13" spans="1:12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2">
      <c r="A14" s="465" t="s">
        <v>82</v>
      </c>
      <c r="B14" s="466">
        <f t="shared" ref="B14:L14" si="4">B8</f>
        <v>44713</v>
      </c>
      <c r="C14" s="467">
        <f t="shared" si="4"/>
        <v>44743</v>
      </c>
      <c r="D14" s="467">
        <f t="shared" si="4"/>
        <v>44774</v>
      </c>
      <c r="E14" s="467">
        <f t="shared" si="4"/>
        <v>44805</v>
      </c>
      <c r="F14" s="467">
        <f t="shared" si="4"/>
        <v>44835</v>
      </c>
      <c r="G14" s="467">
        <f t="shared" si="4"/>
        <v>44866</v>
      </c>
      <c r="H14" s="467">
        <f t="shared" si="4"/>
        <v>44896</v>
      </c>
      <c r="I14" s="467">
        <f t="shared" si="4"/>
        <v>44927</v>
      </c>
      <c r="J14" s="467">
        <f t="shared" si="4"/>
        <v>44958</v>
      </c>
      <c r="K14" s="467">
        <f t="shared" si="4"/>
        <v>44986</v>
      </c>
      <c r="L14" s="466" t="str">
        <f t="shared" si="4"/>
        <v>Total</v>
      </c>
    </row>
    <row r="15" spans="1:12">
      <c r="A15" s="486" t="s">
        <v>754</v>
      </c>
      <c r="B15" s="471">
        <v>5.4483628631949994</v>
      </c>
      <c r="C15" s="471">
        <v>0</v>
      </c>
      <c r="D15" s="471">
        <v>0</v>
      </c>
      <c r="E15" s="471">
        <v>0</v>
      </c>
      <c r="F15" s="471">
        <v>0</v>
      </c>
      <c r="G15" s="471">
        <v>0</v>
      </c>
      <c r="H15" s="471">
        <v>0</v>
      </c>
      <c r="I15" s="471">
        <v>0</v>
      </c>
      <c r="J15" s="471">
        <v>0</v>
      </c>
      <c r="K15" s="471">
        <v>0</v>
      </c>
      <c r="L15" s="480">
        <f>SUM(B15:K15)</f>
        <v>5.4483628631949994</v>
      </c>
    </row>
    <row r="16" spans="1:12">
      <c r="A16" s="486" t="s">
        <v>755</v>
      </c>
      <c r="B16" s="471">
        <v>2.6892977645440719</v>
      </c>
      <c r="C16" s="471">
        <v>0</v>
      </c>
      <c r="D16" s="471">
        <v>0</v>
      </c>
      <c r="E16" s="471">
        <v>0</v>
      </c>
      <c r="F16" s="471">
        <v>0</v>
      </c>
      <c r="G16" s="471">
        <v>0</v>
      </c>
      <c r="H16" s="471">
        <v>0</v>
      </c>
      <c r="I16" s="471">
        <v>0</v>
      </c>
      <c r="J16" s="471">
        <v>0</v>
      </c>
      <c r="K16" s="471">
        <v>0</v>
      </c>
      <c r="L16" s="480">
        <f>SUM(B16:K16)</f>
        <v>2.6892977645440719</v>
      </c>
    </row>
    <row r="17" spans="1:13">
      <c r="A17" s="486" t="s">
        <v>756</v>
      </c>
      <c r="B17" s="480">
        <v>0</v>
      </c>
      <c r="C17" s="480">
        <v>0</v>
      </c>
      <c r="D17" s="480">
        <v>0</v>
      </c>
      <c r="E17" s="480">
        <v>0</v>
      </c>
      <c r="F17" s="480">
        <v>0</v>
      </c>
      <c r="G17" s="480">
        <v>0</v>
      </c>
      <c r="H17" s="480">
        <v>0</v>
      </c>
      <c r="I17" s="480">
        <v>0</v>
      </c>
      <c r="J17" s="480">
        <v>0</v>
      </c>
      <c r="K17" s="480">
        <v>0</v>
      </c>
      <c r="L17" s="480">
        <f>SUM(B17:K17)</f>
        <v>0</v>
      </c>
    </row>
    <row r="18" spans="1:13" ht="12.75" thickBot="1">
      <c r="A18" s="465" t="s">
        <v>104</v>
      </c>
      <c r="B18" s="478">
        <f t="shared" ref="B18:L18" si="5">SUM(B15:B17)</f>
        <v>8.1376606277390717</v>
      </c>
      <c r="C18" s="479">
        <f t="shared" si="5"/>
        <v>0</v>
      </c>
      <c r="D18" s="479">
        <f t="shared" si="5"/>
        <v>0</v>
      </c>
      <c r="E18" s="479">
        <f t="shared" si="5"/>
        <v>0</v>
      </c>
      <c r="F18" s="479">
        <f t="shared" si="5"/>
        <v>0</v>
      </c>
      <c r="G18" s="479">
        <f t="shared" si="5"/>
        <v>0</v>
      </c>
      <c r="H18" s="479">
        <f t="shared" si="5"/>
        <v>0</v>
      </c>
      <c r="I18" s="479">
        <f t="shared" si="5"/>
        <v>0</v>
      </c>
      <c r="J18" s="479">
        <f t="shared" si="5"/>
        <v>0</v>
      </c>
      <c r="K18" s="479">
        <f t="shared" si="5"/>
        <v>0</v>
      </c>
      <c r="L18" s="479">
        <f t="shared" si="5"/>
        <v>8.1376606277390717</v>
      </c>
    </row>
    <row r="19" spans="1:13" ht="12.75" thickTop="1">
      <c r="A19" s="465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5" t="s">
        <v>188</v>
      </c>
      <c r="B20" s="466">
        <f t="shared" ref="B20:L20" si="6">B14</f>
        <v>44713</v>
      </c>
      <c r="C20" s="467">
        <f t="shared" si="6"/>
        <v>44743</v>
      </c>
      <c r="D20" s="467">
        <f t="shared" si="6"/>
        <v>44774</v>
      </c>
      <c r="E20" s="467">
        <f t="shared" si="6"/>
        <v>44805</v>
      </c>
      <c r="F20" s="467">
        <f t="shared" si="6"/>
        <v>44835</v>
      </c>
      <c r="G20" s="467">
        <f t="shared" si="6"/>
        <v>44866</v>
      </c>
      <c r="H20" s="467">
        <f t="shared" si="6"/>
        <v>44896</v>
      </c>
      <c r="I20" s="467">
        <f t="shared" si="6"/>
        <v>44927</v>
      </c>
      <c r="J20" s="467">
        <f t="shared" si="6"/>
        <v>44958</v>
      </c>
      <c r="K20" s="467">
        <f t="shared" si="6"/>
        <v>44986</v>
      </c>
      <c r="L20" s="466" t="str">
        <f t="shared" si="6"/>
        <v>Total</v>
      </c>
    </row>
    <row r="21" spans="1:13">
      <c r="A21" s="486" t="s">
        <v>754</v>
      </c>
      <c r="B21" s="471">
        <v>0</v>
      </c>
      <c r="C21" s="471">
        <v>0</v>
      </c>
      <c r="D21" s="471">
        <v>0</v>
      </c>
      <c r="E21" s="471">
        <v>0</v>
      </c>
      <c r="F21" s="471">
        <v>0</v>
      </c>
      <c r="G21" s="471">
        <v>0</v>
      </c>
      <c r="H21" s="471">
        <v>0</v>
      </c>
      <c r="I21" s="471">
        <v>0</v>
      </c>
      <c r="J21" s="471">
        <v>0</v>
      </c>
      <c r="K21" s="471">
        <v>0</v>
      </c>
      <c r="L21" s="480">
        <f>SUM(B21:K21)</f>
        <v>0</v>
      </c>
    </row>
    <row r="22" spans="1:13" ht="15">
      <c r="A22" s="484" t="s">
        <v>755</v>
      </c>
      <c r="B22" s="471">
        <v>0</v>
      </c>
      <c r="C22" s="471">
        <v>0</v>
      </c>
      <c r="D22" s="471">
        <v>0</v>
      </c>
      <c r="E22" s="471">
        <v>0</v>
      </c>
      <c r="F22" s="471">
        <v>0</v>
      </c>
      <c r="G22" s="471">
        <v>0</v>
      </c>
      <c r="H22" s="471">
        <v>0</v>
      </c>
      <c r="I22" s="471">
        <v>0</v>
      </c>
      <c r="J22" s="471">
        <v>0</v>
      </c>
      <c r="K22" s="471">
        <v>0</v>
      </c>
      <c r="L22" s="480">
        <f>SUM(B22:K22)</f>
        <v>0</v>
      </c>
    </row>
    <row r="23" spans="1:13" ht="12.75" thickBot="1">
      <c r="A23" s="465" t="s">
        <v>104</v>
      </c>
      <c r="B23" s="478">
        <f t="shared" ref="B23:L23" si="7">SUM(B21:B22)</f>
        <v>0</v>
      </c>
      <c r="C23" s="479">
        <f t="shared" si="7"/>
        <v>0</v>
      </c>
      <c r="D23" s="479">
        <f t="shared" si="7"/>
        <v>0</v>
      </c>
      <c r="E23" s="479">
        <f t="shared" si="7"/>
        <v>0</v>
      </c>
      <c r="F23" s="479">
        <f t="shared" si="7"/>
        <v>0</v>
      </c>
      <c r="G23" s="479">
        <f t="shared" si="7"/>
        <v>0</v>
      </c>
      <c r="H23" s="479">
        <f t="shared" si="7"/>
        <v>0</v>
      </c>
      <c r="I23" s="479">
        <f t="shared" si="7"/>
        <v>0</v>
      </c>
      <c r="J23" s="479">
        <f t="shared" si="7"/>
        <v>0</v>
      </c>
      <c r="K23" s="479">
        <f t="shared" si="7"/>
        <v>0</v>
      </c>
      <c r="L23" s="479">
        <f t="shared" si="7"/>
        <v>0</v>
      </c>
    </row>
    <row r="24" spans="1:13" ht="12.75" thickTop="1">
      <c r="B24" s="471"/>
      <c r="C24" s="480"/>
      <c r="D24" s="480"/>
      <c r="E24" s="480"/>
      <c r="F24" s="480"/>
      <c r="G24" s="480"/>
      <c r="H24" s="480"/>
      <c r="I24" s="480"/>
      <c r="J24" s="480"/>
      <c r="K24" s="480"/>
      <c r="L24" s="480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5" t="s">
        <v>82</v>
      </c>
      <c r="B26" s="466">
        <f t="shared" ref="B26:L26" si="8">B8</f>
        <v>44713</v>
      </c>
      <c r="C26" s="467">
        <f t="shared" si="8"/>
        <v>44743</v>
      </c>
      <c r="D26" s="467">
        <f t="shared" si="8"/>
        <v>44774</v>
      </c>
      <c r="E26" s="467">
        <f t="shared" si="8"/>
        <v>44805</v>
      </c>
      <c r="F26" s="467">
        <f t="shared" si="8"/>
        <v>44835</v>
      </c>
      <c r="G26" s="467">
        <f t="shared" si="8"/>
        <v>44866</v>
      </c>
      <c r="H26" s="467">
        <f t="shared" si="8"/>
        <v>44896</v>
      </c>
      <c r="I26" s="467">
        <f t="shared" si="8"/>
        <v>44927</v>
      </c>
      <c r="J26" s="467">
        <f t="shared" si="8"/>
        <v>44958</v>
      </c>
      <c r="K26" s="467">
        <f t="shared" si="8"/>
        <v>44986</v>
      </c>
      <c r="L26" s="466" t="str">
        <f t="shared" si="8"/>
        <v>Total</v>
      </c>
    </row>
    <row r="27" spans="1:13">
      <c r="A27" s="486" t="s">
        <v>757</v>
      </c>
      <c r="B27" s="471">
        <v>17.548709968457565</v>
      </c>
      <c r="C27" s="471">
        <v>0.36923980399776762</v>
      </c>
      <c r="D27" s="471">
        <v>0.36923980399776762</v>
      </c>
      <c r="E27" s="471">
        <v>0.36923980399776762</v>
      </c>
      <c r="F27" s="471">
        <v>1.1003107303242952</v>
      </c>
      <c r="G27" s="471">
        <v>1.0544610099578502</v>
      </c>
      <c r="H27" s="471">
        <v>1.096478333310702</v>
      </c>
      <c r="I27" s="471">
        <v>0</v>
      </c>
      <c r="J27" s="471">
        <v>0</v>
      </c>
      <c r="K27" s="471">
        <v>0</v>
      </c>
      <c r="L27" s="480">
        <f t="shared" ref="L27:L46" si="9">SUM(B27:K27)</f>
        <v>21.90767945404372</v>
      </c>
      <c r="M27" s="480"/>
    </row>
    <row r="28" spans="1:13" ht="15">
      <c r="A28" s="484" t="s">
        <v>758</v>
      </c>
      <c r="B28" s="471">
        <v>61.086914071049982</v>
      </c>
      <c r="C28" s="471">
        <v>0.35627779903333323</v>
      </c>
      <c r="D28" s="471">
        <v>0.35627779903333323</v>
      </c>
      <c r="E28" s="471">
        <v>0.35627779903333323</v>
      </c>
      <c r="F28" s="471">
        <v>0.70250862709999984</v>
      </c>
      <c r="G28" s="471">
        <v>0.70250862709999984</v>
      </c>
      <c r="H28" s="471">
        <v>0.70250862709999984</v>
      </c>
      <c r="I28" s="471">
        <v>0</v>
      </c>
      <c r="J28" s="471">
        <v>0</v>
      </c>
      <c r="K28" s="471">
        <v>0</v>
      </c>
      <c r="L28" s="480">
        <f t="shared" si="9"/>
        <v>64.263273349449989</v>
      </c>
      <c r="M28" s="480"/>
    </row>
    <row r="29" spans="1:13" ht="15">
      <c r="A29" s="484" t="s">
        <v>759</v>
      </c>
      <c r="B29" s="471">
        <v>16.284243024479593</v>
      </c>
      <c r="C29" s="471">
        <v>0.36192563109877618</v>
      </c>
      <c r="D29" s="471">
        <v>0.36192563109877618</v>
      </c>
      <c r="E29" s="471">
        <v>0.36192563109877618</v>
      </c>
      <c r="F29" s="471">
        <v>0.89782097426566887</v>
      </c>
      <c r="G29" s="471">
        <v>0.61247968623694204</v>
      </c>
      <c r="H29" s="471">
        <v>0.58543280916294771</v>
      </c>
      <c r="I29" s="471">
        <v>0</v>
      </c>
      <c r="J29" s="471">
        <v>0</v>
      </c>
      <c r="K29" s="471">
        <v>0</v>
      </c>
      <c r="L29" s="480">
        <f t="shared" si="9"/>
        <v>19.465753387441488</v>
      </c>
      <c r="M29" s="480"/>
    </row>
    <row r="30" spans="1:13" ht="15">
      <c r="A30" s="484" t="s">
        <v>760</v>
      </c>
      <c r="B30" s="471">
        <v>8.3888524671561537</v>
      </c>
      <c r="C30" s="471">
        <v>0.18644653723270288</v>
      </c>
      <c r="D30" s="471">
        <v>0.18644653723270288</v>
      </c>
      <c r="E30" s="471">
        <v>0.18644653723270288</v>
      </c>
      <c r="F30" s="471">
        <v>0.46251383522776879</v>
      </c>
      <c r="G30" s="471">
        <v>0.31551983836448527</v>
      </c>
      <c r="H30" s="471">
        <v>0.30158659865970033</v>
      </c>
      <c r="I30" s="471">
        <v>0</v>
      </c>
      <c r="J30" s="471">
        <v>0</v>
      </c>
      <c r="K30" s="471">
        <v>0</v>
      </c>
      <c r="L30" s="480">
        <f t="shared" si="9"/>
        <v>10.027812351106217</v>
      </c>
      <c r="M30" s="480"/>
    </row>
    <row r="31" spans="1:13" ht="15">
      <c r="A31" s="484" t="s">
        <v>761</v>
      </c>
      <c r="B31" s="471">
        <v>35.052912534070757</v>
      </c>
      <c r="C31" s="471">
        <v>0.53922521867499995</v>
      </c>
      <c r="D31" s="471">
        <v>0.53922521867499995</v>
      </c>
      <c r="E31" s="471">
        <v>0.53922521867499995</v>
      </c>
      <c r="F31" s="471">
        <v>1.6176756560249999</v>
      </c>
      <c r="G31" s="471">
        <v>1.0738226499000001</v>
      </c>
      <c r="H31" s="471">
        <v>1.0738226499000001</v>
      </c>
      <c r="I31" s="471">
        <v>0</v>
      </c>
      <c r="J31" s="471">
        <v>0</v>
      </c>
      <c r="K31" s="471">
        <v>0</v>
      </c>
      <c r="L31" s="480">
        <f t="shared" si="9"/>
        <v>40.43590914592076</v>
      </c>
      <c r="M31" s="480"/>
    </row>
    <row r="32" spans="1:13" ht="15">
      <c r="A32" s="484" t="s">
        <v>762</v>
      </c>
      <c r="B32" s="471">
        <v>1.3152388172879999</v>
      </c>
      <c r="C32" s="471">
        <v>4.1807127999999999E-2</v>
      </c>
      <c r="D32" s="471">
        <v>4.1807127999999999E-2</v>
      </c>
      <c r="E32" s="471">
        <v>4.1807127999999999E-2</v>
      </c>
      <c r="F32" s="471">
        <v>0.125421384</v>
      </c>
      <c r="G32" s="471">
        <v>0.125421384</v>
      </c>
      <c r="H32" s="471">
        <v>0.12818853300000002</v>
      </c>
      <c r="I32" s="471">
        <v>0</v>
      </c>
      <c r="J32" s="471">
        <v>0</v>
      </c>
      <c r="K32" s="471">
        <v>0</v>
      </c>
      <c r="L32" s="480">
        <f t="shared" si="9"/>
        <v>1.8196915022880003</v>
      </c>
      <c r="M32" s="480"/>
    </row>
    <row r="33" spans="1:13" ht="15">
      <c r="A33" s="484" t="s">
        <v>763</v>
      </c>
      <c r="B33" s="471">
        <v>0.67754726951199995</v>
      </c>
      <c r="C33" s="471">
        <v>2.1537005333333335E-2</v>
      </c>
      <c r="D33" s="471">
        <v>2.1537005333333335E-2</v>
      </c>
      <c r="E33" s="471">
        <v>2.1537005333333335E-2</v>
      </c>
      <c r="F33" s="471">
        <v>6.4611016000000007E-2</v>
      </c>
      <c r="G33" s="471">
        <v>6.4611016000000007E-2</v>
      </c>
      <c r="H33" s="471">
        <v>6.6036516999999989E-2</v>
      </c>
      <c r="I33" s="471">
        <v>0</v>
      </c>
      <c r="J33" s="471">
        <v>0</v>
      </c>
      <c r="K33" s="471">
        <v>0</v>
      </c>
      <c r="L33" s="480">
        <f t="shared" si="9"/>
        <v>0.93741683451199997</v>
      </c>
      <c r="M33" s="480"/>
    </row>
    <row r="34" spans="1:13" ht="15">
      <c r="A34" s="484" t="s">
        <v>764</v>
      </c>
      <c r="B34" s="471">
        <v>1.1123894534799998</v>
      </c>
      <c r="C34" s="471">
        <v>1.8727214313738667</v>
      </c>
      <c r="D34" s="471">
        <v>1.8727214313738667</v>
      </c>
      <c r="E34" s="471">
        <v>1.8727214313738667</v>
      </c>
      <c r="F34" s="471">
        <v>0.33444533405999999</v>
      </c>
      <c r="G34" s="471">
        <v>0.28528965355007996</v>
      </c>
      <c r="H34" s="471">
        <v>3.8456801998768002</v>
      </c>
      <c r="I34" s="471">
        <v>0</v>
      </c>
      <c r="J34" s="471">
        <v>0</v>
      </c>
      <c r="K34" s="471">
        <v>0</v>
      </c>
      <c r="L34" s="480">
        <f t="shared" si="9"/>
        <v>11.19596893508848</v>
      </c>
      <c r="M34" s="480"/>
    </row>
    <row r="35" spans="1:13" ht="15">
      <c r="A35" s="484" t="s">
        <v>765</v>
      </c>
      <c r="B35" s="471">
        <v>2.3917481088494994</v>
      </c>
      <c r="C35" s="471">
        <v>0.16747729749999996</v>
      </c>
      <c r="D35" s="471">
        <v>0.16747729749999996</v>
      </c>
      <c r="E35" s="471">
        <v>0.16747729749999996</v>
      </c>
      <c r="F35" s="471">
        <v>0.50243189249999987</v>
      </c>
      <c r="G35" s="471">
        <v>0.50243189249999987</v>
      </c>
      <c r="H35" s="471">
        <v>0.50243189249999987</v>
      </c>
      <c r="I35" s="471">
        <v>0</v>
      </c>
      <c r="J35" s="471">
        <v>0</v>
      </c>
      <c r="K35" s="471">
        <v>0</v>
      </c>
      <c r="L35" s="480">
        <f t="shared" si="9"/>
        <v>4.4014756788494989</v>
      </c>
      <c r="M35" s="480"/>
    </row>
    <row r="36" spans="1:13" ht="15">
      <c r="A36" s="484" t="s">
        <v>766</v>
      </c>
      <c r="B36" s="471">
        <v>1.4763787907925494</v>
      </c>
      <c r="C36" s="471">
        <v>2.4341750882832844E-2</v>
      </c>
      <c r="D36" s="471">
        <v>2.4341750882832844E-2</v>
      </c>
      <c r="E36" s="471">
        <v>2.4341750882832844E-2</v>
      </c>
      <c r="F36" s="471">
        <v>7.3025252648498531E-2</v>
      </c>
      <c r="G36" s="471">
        <v>5.8420202118798822E-2</v>
      </c>
      <c r="H36" s="471">
        <v>5.8420202118798822E-2</v>
      </c>
      <c r="I36" s="471">
        <v>0</v>
      </c>
      <c r="J36" s="471">
        <v>0</v>
      </c>
      <c r="K36" s="471">
        <v>0</v>
      </c>
      <c r="L36" s="480">
        <f t="shared" si="9"/>
        <v>1.7392697003271436</v>
      </c>
      <c r="M36" s="480"/>
    </row>
    <row r="37" spans="1:13">
      <c r="A37" s="486" t="s">
        <v>767</v>
      </c>
      <c r="B37" s="471">
        <v>2.4726582209999997</v>
      </c>
      <c r="C37" s="471">
        <v>0.100628</v>
      </c>
      <c r="D37" s="471">
        <v>0.100628</v>
      </c>
      <c r="E37" s="471">
        <v>0.100628</v>
      </c>
      <c r="F37" s="471">
        <v>0</v>
      </c>
      <c r="G37" s="471">
        <v>0.30188399999999999</v>
      </c>
      <c r="H37" s="471">
        <v>0</v>
      </c>
      <c r="I37" s="471">
        <v>0</v>
      </c>
      <c r="J37" s="471">
        <v>0</v>
      </c>
      <c r="K37" s="471">
        <v>0</v>
      </c>
      <c r="L37" s="480">
        <f t="shared" si="9"/>
        <v>3.0764262209999993</v>
      </c>
      <c r="M37" s="480"/>
    </row>
    <row r="38" spans="1:13">
      <c r="A38" s="486" t="s">
        <v>768</v>
      </c>
      <c r="B38" s="471">
        <v>4.2868829114999993</v>
      </c>
      <c r="C38" s="471">
        <v>1.4878709999999998E-2</v>
      </c>
      <c r="D38" s="471">
        <v>1.4878709999999998E-2</v>
      </c>
      <c r="E38" s="471">
        <v>1.4878709999999998E-2</v>
      </c>
      <c r="F38" s="471">
        <v>0</v>
      </c>
      <c r="G38" s="471">
        <v>1.5364236999999999E-2</v>
      </c>
      <c r="H38" s="471">
        <v>0.1453107726</v>
      </c>
      <c r="I38" s="471">
        <v>0</v>
      </c>
      <c r="J38" s="471">
        <v>0</v>
      </c>
      <c r="K38" s="471">
        <v>0</v>
      </c>
      <c r="L38" s="480">
        <f t="shared" si="9"/>
        <v>4.4921940510999985</v>
      </c>
      <c r="M38" s="480"/>
    </row>
    <row r="39" spans="1:13">
      <c r="A39" s="486" t="s">
        <v>769</v>
      </c>
      <c r="B39" s="471">
        <v>1.3318370660999999</v>
      </c>
      <c r="C39" s="471">
        <v>3.6955943400000003E-2</v>
      </c>
      <c r="D39" s="471">
        <v>3.6955943400000003E-2</v>
      </c>
      <c r="E39" s="471">
        <v>3.6955943400000003E-2</v>
      </c>
      <c r="F39" s="471">
        <v>0.15577201020000001</v>
      </c>
      <c r="G39" s="471">
        <v>0.14718845580000001</v>
      </c>
      <c r="H39" s="471">
        <v>0.15757936350000004</v>
      </c>
      <c r="I39" s="471">
        <v>0</v>
      </c>
      <c r="J39" s="471">
        <v>0</v>
      </c>
      <c r="K39" s="471">
        <v>0</v>
      </c>
      <c r="L39" s="480">
        <f t="shared" si="9"/>
        <v>1.9032447257999998</v>
      </c>
      <c r="M39" s="480"/>
    </row>
    <row r="40" spans="1:13">
      <c r="A40" s="488" t="s">
        <v>770</v>
      </c>
      <c r="B40" s="471">
        <v>1.1203218789</v>
      </c>
      <c r="C40" s="471">
        <v>0</v>
      </c>
      <c r="D40" s="471">
        <v>0</v>
      </c>
      <c r="E40" s="471">
        <v>0</v>
      </c>
      <c r="F40" s="471">
        <v>0</v>
      </c>
      <c r="G40" s="471">
        <v>0</v>
      </c>
      <c r="H40" s="471">
        <v>0</v>
      </c>
      <c r="I40" s="471">
        <v>0</v>
      </c>
      <c r="J40" s="471">
        <v>0</v>
      </c>
      <c r="K40" s="471">
        <v>0</v>
      </c>
      <c r="L40" s="480">
        <f t="shared" si="9"/>
        <v>1.1203218789</v>
      </c>
      <c r="M40" s="480"/>
    </row>
    <row r="41" spans="1:13">
      <c r="A41" s="486" t="s">
        <v>771</v>
      </c>
      <c r="B41" s="471">
        <v>0.19266203159999998</v>
      </c>
      <c r="C41" s="471">
        <v>3.3520356599999995E-2</v>
      </c>
      <c r="D41" s="471">
        <v>3.3520356599999995E-2</v>
      </c>
      <c r="E41" s="471">
        <v>3.3520356599999995E-2</v>
      </c>
      <c r="F41" s="471">
        <v>9.7182167400000005E-2</v>
      </c>
      <c r="G41" s="471">
        <v>6.5834853299999996E-2</v>
      </c>
      <c r="H41" s="471">
        <v>2.3897825999999994E-2</v>
      </c>
      <c r="I41" s="471">
        <v>0</v>
      </c>
      <c r="J41" s="471">
        <v>0</v>
      </c>
      <c r="K41" s="471">
        <v>0</v>
      </c>
      <c r="L41" s="480">
        <f t="shared" si="9"/>
        <v>0.48013794809999999</v>
      </c>
      <c r="M41" s="480"/>
    </row>
    <row r="42" spans="1:13">
      <c r="A42" s="486" t="s">
        <v>772</v>
      </c>
      <c r="B42" s="471">
        <v>19.971733696199998</v>
      </c>
      <c r="C42" s="471">
        <v>0.68143999999999982</v>
      </c>
      <c r="D42" s="471">
        <v>0.68143999999999982</v>
      </c>
      <c r="E42" s="471">
        <v>0.68143999999999982</v>
      </c>
      <c r="F42" s="471">
        <v>2.0443199999999995</v>
      </c>
      <c r="G42" s="471">
        <v>2.0443199999999995</v>
      </c>
      <c r="H42" s="471">
        <v>1.5332399999999997</v>
      </c>
      <c r="I42" s="471">
        <v>0</v>
      </c>
      <c r="J42" s="471">
        <v>0</v>
      </c>
      <c r="K42" s="471">
        <v>0</v>
      </c>
      <c r="L42" s="480">
        <f t="shared" si="9"/>
        <v>27.63793369619999</v>
      </c>
      <c r="M42" s="480"/>
    </row>
    <row r="43" spans="1:13">
      <c r="A43" s="486" t="s">
        <v>773</v>
      </c>
      <c r="B43" s="471">
        <v>10.747027642800003</v>
      </c>
      <c r="C43" s="471">
        <v>0.45429333333333338</v>
      </c>
      <c r="D43" s="471">
        <v>0.45429333333333338</v>
      </c>
      <c r="E43" s="471">
        <v>0.45429333333333338</v>
      </c>
      <c r="F43" s="471">
        <v>1.3628800000000001</v>
      </c>
      <c r="G43" s="471">
        <v>1.3628800000000001</v>
      </c>
      <c r="H43" s="471">
        <v>1.02216</v>
      </c>
      <c r="I43" s="471">
        <v>0</v>
      </c>
      <c r="J43" s="471">
        <v>0</v>
      </c>
      <c r="K43" s="471">
        <v>0</v>
      </c>
      <c r="L43" s="480">
        <f t="shared" si="9"/>
        <v>15.857827642800006</v>
      </c>
      <c r="M43" s="480"/>
    </row>
    <row r="44" spans="1:13">
      <c r="A44" s="486" t="s">
        <v>774</v>
      </c>
      <c r="B44" s="471">
        <v>23.716711696999997</v>
      </c>
      <c r="C44" s="471">
        <v>8.4422799999999978E-2</v>
      </c>
      <c r="D44" s="471">
        <v>8.4422799999999978E-2</v>
      </c>
      <c r="E44" s="471">
        <v>8.4422799999999978E-2</v>
      </c>
      <c r="F44" s="471">
        <v>0.5065367999999999</v>
      </c>
      <c r="G44" s="471">
        <v>0.5065367999999999</v>
      </c>
      <c r="H44" s="471">
        <v>0.40370982959999996</v>
      </c>
      <c r="I44" s="471">
        <v>0</v>
      </c>
      <c r="J44" s="471">
        <v>0</v>
      </c>
      <c r="K44" s="471">
        <v>0</v>
      </c>
      <c r="L44" s="480">
        <f t="shared" si="9"/>
        <v>25.386763526599992</v>
      </c>
      <c r="M44" s="480"/>
    </row>
    <row r="45" spans="1:13">
      <c r="A45" s="488" t="s">
        <v>775</v>
      </c>
      <c r="B45" s="471">
        <v>13.0101355112</v>
      </c>
      <c r="C45" s="471">
        <v>0.63103958333333332</v>
      </c>
      <c r="D45" s="471">
        <v>0.63103958333333332</v>
      </c>
      <c r="E45" s="471">
        <v>0.63103958333333332</v>
      </c>
      <c r="F45" s="471">
        <v>1.89311875</v>
      </c>
      <c r="G45" s="471">
        <v>1.89311875</v>
      </c>
      <c r="H45" s="471">
        <v>1.4598431140000001</v>
      </c>
      <c r="I45" s="471">
        <v>0</v>
      </c>
      <c r="J45" s="471">
        <v>0</v>
      </c>
      <c r="K45" s="471">
        <v>0</v>
      </c>
      <c r="L45" s="480">
        <f t="shared" si="9"/>
        <v>20.149334875200001</v>
      </c>
      <c r="M45" s="480"/>
    </row>
    <row r="46" spans="1:13">
      <c r="A46" s="486" t="s">
        <v>274</v>
      </c>
      <c r="B46" s="480">
        <v>40.25</v>
      </c>
      <c r="C46" s="480">
        <v>0</v>
      </c>
      <c r="D46" s="480">
        <v>0</v>
      </c>
      <c r="E46" s="480">
        <v>0</v>
      </c>
      <c r="F46" s="480">
        <v>0</v>
      </c>
      <c r="G46" s="480">
        <v>0</v>
      </c>
      <c r="H46" s="480">
        <f>SUM(C27:E45)*+E1%</f>
        <v>4.9319971220802827</v>
      </c>
      <c r="I46" s="471">
        <f>SUM(F27:H45)*+J1%</f>
        <v>9.9492235573247925</v>
      </c>
      <c r="J46" s="471">
        <v>0</v>
      </c>
      <c r="K46" s="471">
        <v>0</v>
      </c>
      <c r="L46" s="480">
        <f t="shared" si="9"/>
        <v>55.131220679405075</v>
      </c>
      <c r="M46" s="480"/>
    </row>
    <row r="47" spans="1:13" ht="12.75" thickBot="1">
      <c r="A47" s="465" t="s">
        <v>104</v>
      </c>
      <c r="B47" s="478">
        <f t="shared" ref="B47:L47" si="10">SUM(B27:B46)</f>
        <v>262.43490516143606</v>
      </c>
      <c r="C47" s="479">
        <f t="shared" si="10"/>
        <v>5.9781783297942788</v>
      </c>
      <c r="D47" s="479">
        <f t="shared" si="10"/>
        <v>5.9781783297942788</v>
      </c>
      <c r="E47" s="479">
        <f t="shared" si="10"/>
        <v>5.9781783297942788</v>
      </c>
      <c r="F47" s="479">
        <f t="shared" si="10"/>
        <v>11.940574429751228</v>
      </c>
      <c r="G47" s="479">
        <f t="shared" si="10"/>
        <v>11.132093055828156</v>
      </c>
      <c r="H47" s="479">
        <f t="shared" si="10"/>
        <v>18.03832439040923</v>
      </c>
      <c r="I47" s="479">
        <f t="shared" si="10"/>
        <v>9.9492235573247925</v>
      </c>
      <c r="J47" s="479">
        <f t="shared" si="10"/>
        <v>0</v>
      </c>
      <c r="K47" s="479">
        <f t="shared" si="10"/>
        <v>0</v>
      </c>
      <c r="L47" s="479">
        <f t="shared" si="10"/>
        <v>331.42965558413238</v>
      </c>
    </row>
    <row r="48" spans="1:13" ht="15.75" thickTop="1">
      <c r="A48" s="484"/>
      <c r="B48" s="471"/>
      <c r="C48" s="480"/>
      <c r="D48" s="480"/>
      <c r="E48" s="480"/>
      <c r="F48" s="480"/>
      <c r="G48" s="480"/>
      <c r="H48" s="480"/>
      <c r="I48" s="480"/>
      <c r="J48" s="480"/>
      <c r="K48" s="480"/>
      <c r="L48" s="483"/>
    </row>
    <row r="49" spans="1:13">
      <c r="A49" s="465" t="s">
        <v>188</v>
      </c>
      <c r="B49" s="466">
        <f t="shared" ref="B49:L49" si="11">B26</f>
        <v>44713</v>
      </c>
      <c r="C49" s="467">
        <f t="shared" si="11"/>
        <v>44743</v>
      </c>
      <c r="D49" s="467">
        <f t="shared" si="11"/>
        <v>44774</v>
      </c>
      <c r="E49" s="467">
        <f t="shared" si="11"/>
        <v>44805</v>
      </c>
      <c r="F49" s="467">
        <f t="shared" si="11"/>
        <v>44835</v>
      </c>
      <c r="G49" s="467">
        <f t="shared" si="11"/>
        <v>44866</v>
      </c>
      <c r="H49" s="467">
        <f t="shared" si="11"/>
        <v>44896</v>
      </c>
      <c r="I49" s="467">
        <f t="shared" si="11"/>
        <v>44927</v>
      </c>
      <c r="J49" s="467">
        <f t="shared" si="11"/>
        <v>44958</v>
      </c>
      <c r="K49" s="467">
        <f t="shared" si="11"/>
        <v>44986</v>
      </c>
      <c r="L49" s="466" t="str">
        <f t="shared" si="11"/>
        <v>Total</v>
      </c>
    </row>
    <row r="50" spans="1:13">
      <c r="A50" s="486" t="str">
        <f t="shared" ref="A50:A68" si="12">A27</f>
        <v>Pipe Line Civil Work</v>
      </c>
      <c r="B50" s="471">
        <v>24.873184592147545</v>
      </c>
      <c r="C50" s="436">
        <v>0.62816774338049075</v>
      </c>
      <c r="D50" s="436">
        <v>0.62816774338049075</v>
      </c>
      <c r="E50" s="436">
        <v>0.62816774338049075</v>
      </c>
      <c r="F50" s="436">
        <v>1.8950700861028977</v>
      </c>
      <c r="G50" s="436">
        <v>1.8176602874095669</v>
      </c>
      <c r="H50" s="436">
        <v>1.8973758237351623</v>
      </c>
      <c r="I50" s="471">
        <v>0</v>
      </c>
      <c r="J50" s="471">
        <v>0</v>
      </c>
      <c r="K50" s="471">
        <v>0</v>
      </c>
      <c r="L50" s="480">
        <f t="shared" ref="L50:L68" si="13">SUM(B50:K50)</f>
        <v>32.367794019536646</v>
      </c>
      <c r="M50" s="480"/>
    </row>
    <row r="51" spans="1:13">
      <c r="A51" s="486" t="str">
        <f t="shared" si="12"/>
        <v>DI Pipe Procurement</v>
      </c>
      <c r="B51" s="471">
        <v>58.359440434809407</v>
      </c>
      <c r="C51" s="436">
        <v>0.37670203389830509</v>
      </c>
      <c r="D51" s="436">
        <v>0.37670203389830509</v>
      </c>
      <c r="E51" s="436">
        <v>0.37670203389830509</v>
      </c>
      <c r="F51" s="436">
        <v>0.75378610169491522</v>
      </c>
      <c r="G51" s="436">
        <v>0.75378610169491522</v>
      </c>
      <c r="H51" s="436">
        <v>0.75378610169491522</v>
      </c>
      <c r="I51" s="471">
        <v>0</v>
      </c>
      <c r="J51" s="471">
        <v>0</v>
      </c>
      <c r="K51" s="471">
        <v>0</v>
      </c>
      <c r="L51" s="480">
        <f t="shared" si="13"/>
        <v>61.750904841589062</v>
      </c>
      <c r="M51" s="480"/>
    </row>
    <row r="52" spans="1:13">
      <c r="A52" s="486" t="str">
        <f t="shared" si="12"/>
        <v>DI Pipe Work(66%)</v>
      </c>
      <c r="B52" s="471">
        <v>3.9624000020989998</v>
      </c>
      <c r="C52" s="436">
        <v>0.10546368940800004</v>
      </c>
      <c r="D52" s="436">
        <v>0.10546368940800004</v>
      </c>
      <c r="E52" s="436">
        <v>0.10546368940800004</v>
      </c>
      <c r="F52" s="436">
        <v>0.26189404164000002</v>
      </c>
      <c r="G52" s="436">
        <v>0.16130239004879995</v>
      </c>
      <c r="H52" s="436">
        <v>0.15942673343520009</v>
      </c>
      <c r="I52" s="471">
        <v>0</v>
      </c>
      <c r="J52" s="471">
        <v>0</v>
      </c>
      <c r="K52" s="471">
        <v>0</v>
      </c>
      <c r="L52" s="480">
        <f t="shared" si="13"/>
        <v>4.8614142354470005</v>
      </c>
      <c r="M52" s="480"/>
    </row>
    <row r="53" spans="1:13">
      <c r="A53" s="486" t="str">
        <f t="shared" si="12"/>
        <v>DI Pipe Work(34%)</v>
      </c>
      <c r="B53" s="471">
        <v>2.0412363647176663</v>
      </c>
      <c r="C53" s="436">
        <v>5.4329779392000017E-2</v>
      </c>
      <c r="D53" s="436">
        <v>5.4329779392000017E-2</v>
      </c>
      <c r="E53" s="436">
        <v>5.4329779392000017E-2</v>
      </c>
      <c r="F53" s="436">
        <v>0.13491511235999998</v>
      </c>
      <c r="G53" s="436">
        <v>8.3095170631199977E-2</v>
      </c>
      <c r="H53" s="436">
        <v>8.2128923284800051E-2</v>
      </c>
      <c r="I53" s="471">
        <v>0</v>
      </c>
      <c r="J53" s="471">
        <v>0</v>
      </c>
      <c r="K53" s="471">
        <v>0</v>
      </c>
      <c r="L53" s="480">
        <f t="shared" si="13"/>
        <v>2.504364909169666</v>
      </c>
      <c r="M53" s="480"/>
    </row>
    <row r="54" spans="1:13">
      <c r="A54" s="486" t="str">
        <f t="shared" si="12"/>
        <v>HDPE Pipe Procurement(100%)</v>
      </c>
      <c r="B54" s="471">
        <v>32.545418598877845</v>
      </c>
      <c r="C54" s="436">
        <v>0.58480898510331869</v>
      </c>
      <c r="D54" s="436">
        <v>0.58480898510331869</v>
      </c>
      <c r="E54" s="436">
        <v>0.58480898510331869</v>
      </c>
      <c r="F54" s="436">
        <v>1.7544269553099561</v>
      </c>
      <c r="G54" s="436">
        <v>1.1832112016111096</v>
      </c>
      <c r="H54" s="436">
        <v>1.1832112016111096</v>
      </c>
      <c r="I54" s="471">
        <v>0</v>
      </c>
      <c r="J54" s="471">
        <v>0</v>
      </c>
      <c r="K54" s="471">
        <v>0</v>
      </c>
      <c r="L54" s="480">
        <f t="shared" si="13"/>
        <v>38.420694912719981</v>
      </c>
      <c r="M54" s="480"/>
    </row>
    <row r="55" spans="1:13">
      <c r="A55" s="486" t="str">
        <f t="shared" si="12"/>
        <v>HDPE Pipe Work (66%)</v>
      </c>
      <c r="B55" s="471">
        <v>3.5018879676000001</v>
      </c>
      <c r="C55" s="436">
        <v>7.7616000000000018E-2</v>
      </c>
      <c r="D55" s="436">
        <v>7.7616000000000018E-2</v>
      </c>
      <c r="E55" s="436">
        <v>7.7616000000000018E-2</v>
      </c>
      <c r="F55" s="436">
        <v>0.23284800000000005</v>
      </c>
      <c r="G55" s="436">
        <v>0.23284800000000005</v>
      </c>
      <c r="H55" s="436">
        <v>0.23284800000000005</v>
      </c>
      <c r="I55" s="471">
        <v>0</v>
      </c>
      <c r="J55" s="471">
        <v>0</v>
      </c>
      <c r="K55" s="471">
        <v>0</v>
      </c>
      <c r="L55" s="480">
        <f t="shared" si="13"/>
        <v>4.4332799675999999</v>
      </c>
      <c r="M55" s="480"/>
    </row>
    <row r="56" spans="1:13">
      <c r="A56" s="486" t="str">
        <f t="shared" si="12"/>
        <v>HDPE Pipe Work (34%)</v>
      </c>
      <c r="B56" s="471">
        <v>1.8040028923999998</v>
      </c>
      <c r="C56" s="436">
        <v>3.9983999999999999E-2</v>
      </c>
      <c r="D56" s="436">
        <v>3.9983999999999999E-2</v>
      </c>
      <c r="E56" s="436">
        <v>3.9983999999999999E-2</v>
      </c>
      <c r="F56" s="436">
        <v>0.11995200000000002</v>
      </c>
      <c r="G56" s="436">
        <v>0.11995200000000002</v>
      </c>
      <c r="H56" s="436">
        <v>0.11995200000000002</v>
      </c>
      <c r="I56" s="471">
        <v>0</v>
      </c>
      <c r="J56" s="471">
        <v>0</v>
      </c>
      <c r="K56" s="471">
        <v>0</v>
      </c>
      <c r="L56" s="480">
        <f t="shared" si="13"/>
        <v>2.2838108924</v>
      </c>
      <c r="M56" s="480"/>
    </row>
    <row r="57" spans="1:13">
      <c r="A57" s="486" t="str">
        <f t="shared" si="12"/>
        <v>MS Pipe Procurement</v>
      </c>
      <c r="B57" s="471">
        <v>1.1569158900000001</v>
      </c>
      <c r="C57" s="436">
        <v>2.0551089887354879</v>
      </c>
      <c r="D57" s="436">
        <v>2.0551089887354879</v>
      </c>
      <c r="E57" s="436">
        <v>2.0551089887354879</v>
      </c>
      <c r="F57" s="436">
        <v>0.68667162723532815</v>
      </c>
      <c r="G57" s="436">
        <v>0.57630217649356796</v>
      </c>
      <c r="H57" s="436">
        <v>4.305724145065728</v>
      </c>
      <c r="I57" s="471">
        <v>0</v>
      </c>
      <c r="J57" s="471">
        <v>0</v>
      </c>
      <c r="K57" s="471">
        <v>0</v>
      </c>
      <c r="L57" s="480">
        <f t="shared" si="13"/>
        <v>12.890940805001089</v>
      </c>
      <c r="M57" s="480"/>
    </row>
    <row r="58" spans="1:13">
      <c r="A58" s="486" t="str">
        <f t="shared" si="12"/>
        <v>DI Fitting Procurement</v>
      </c>
      <c r="B58" s="471">
        <v>1.7454974999999999</v>
      </c>
      <c r="C58" s="436">
        <v>0.1504104</v>
      </c>
      <c r="D58" s="436">
        <v>0.1504104</v>
      </c>
      <c r="E58" s="436">
        <v>0.1504104</v>
      </c>
      <c r="F58" s="436">
        <v>0.45123120000000005</v>
      </c>
      <c r="G58" s="436">
        <v>0.45123120000000005</v>
      </c>
      <c r="H58" s="436">
        <v>0.45123120000000005</v>
      </c>
      <c r="I58" s="471">
        <v>0</v>
      </c>
      <c r="J58" s="471">
        <v>0</v>
      </c>
      <c r="K58" s="471">
        <v>0</v>
      </c>
      <c r="L58" s="480">
        <f t="shared" si="13"/>
        <v>3.5504223000000001</v>
      </c>
      <c r="M58" s="480"/>
    </row>
    <row r="59" spans="1:13">
      <c r="A59" s="486" t="str">
        <f t="shared" si="12"/>
        <v>HDPE Fitting Procurement</v>
      </c>
      <c r="B59" s="471">
        <v>1.5237395990383527</v>
      </c>
      <c r="C59" s="436">
        <v>9.0510688479394336E-2</v>
      </c>
      <c r="D59" s="436">
        <v>9.0510688479394336E-2</v>
      </c>
      <c r="E59" s="436">
        <v>9.0510688479394336E-2</v>
      </c>
      <c r="F59" s="436">
        <v>0.27153206543818309</v>
      </c>
      <c r="G59" s="436">
        <v>0.21722565235054644</v>
      </c>
      <c r="H59" s="436">
        <v>0.21722565235054644</v>
      </c>
      <c r="I59" s="471">
        <v>0</v>
      </c>
      <c r="J59" s="471">
        <v>0</v>
      </c>
      <c r="K59" s="471">
        <v>0</v>
      </c>
      <c r="L59" s="480">
        <f t="shared" si="13"/>
        <v>2.5012550346158116</v>
      </c>
      <c r="M59" s="480"/>
    </row>
    <row r="60" spans="1:13">
      <c r="A60" s="486" t="str">
        <f t="shared" si="12"/>
        <v>Trenchless</v>
      </c>
      <c r="B60" s="471">
        <v>1.1038549999999998</v>
      </c>
      <c r="C60" s="436">
        <v>4.7040000000000005E-2</v>
      </c>
      <c r="D60" s="436">
        <v>4.7040000000000005E-2</v>
      </c>
      <c r="E60" s="436">
        <v>4.7040000000000005E-2</v>
      </c>
      <c r="F60" s="436">
        <v>0</v>
      </c>
      <c r="G60" s="436">
        <v>0.14112000000000002</v>
      </c>
      <c r="H60" s="436">
        <v>0</v>
      </c>
      <c r="I60" s="471">
        <v>0</v>
      </c>
      <c r="J60" s="471">
        <v>0</v>
      </c>
      <c r="K60" s="471">
        <v>0</v>
      </c>
      <c r="L60" s="480">
        <f t="shared" si="13"/>
        <v>1.3860949999999996</v>
      </c>
      <c r="M60" s="480"/>
    </row>
    <row r="61" spans="1:13">
      <c r="A61" s="486" t="str">
        <f t="shared" si="12"/>
        <v>Valve Procurement</v>
      </c>
      <c r="B61" s="471">
        <v>3.4182859999449997</v>
      </c>
      <c r="C61" s="436">
        <v>9.7955069940000011E-3</v>
      </c>
      <c r="D61" s="436">
        <v>9.7955069940000011E-3</v>
      </c>
      <c r="E61" s="436">
        <v>9.7955069940000011E-3</v>
      </c>
      <c r="F61" s="436">
        <v>0</v>
      </c>
      <c r="G61" s="436">
        <v>3.5261889599999999E-2</v>
      </c>
      <c r="H61" s="436">
        <v>0.11057759143452001</v>
      </c>
      <c r="I61" s="471">
        <v>0</v>
      </c>
      <c r="J61" s="471">
        <v>0</v>
      </c>
      <c r="K61" s="471">
        <v>0</v>
      </c>
      <c r="L61" s="480">
        <f t="shared" si="13"/>
        <v>3.5935120019615203</v>
      </c>
      <c r="M61" s="480"/>
    </row>
    <row r="62" spans="1:13">
      <c r="A62" s="486" t="str">
        <f t="shared" si="12"/>
        <v>Valve Works</v>
      </c>
      <c r="B62" s="471">
        <v>0.37336784606675</v>
      </c>
      <c r="C62" s="436">
        <v>9.6651984347520016E-3</v>
      </c>
      <c r="D62" s="436">
        <v>9.6651984347520016E-3</v>
      </c>
      <c r="E62" s="436">
        <v>9.6651984347520016E-3</v>
      </c>
      <c r="F62" s="436">
        <v>4.0617385956E-2</v>
      </c>
      <c r="G62" s="436">
        <v>4.1222855310902994E-2</v>
      </c>
      <c r="H62" s="436">
        <v>3.9417141090915001E-2</v>
      </c>
      <c r="I62" s="471">
        <v>0</v>
      </c>
      <c r="J62" s="471">
        <v>0</v>
      </c>
      <c r="K62" s="471">
        <v>0</v>
      </c>
      <c r="L62" s="480">
        <f t="shared" si="13"/>
        <v>0.52362082372882401</v>
      </c>
      <c r="M62" s="480"/>
    </row>
    <row r="63" spans="1:13">
      <c r="A63" s="486" t="str">
        <f t="shared" si="12"/>
        <v>Flow Meter Procurement</v>
      </c>
      <c r="B63" s="471">
        <v>2.0775796</v>
      </c>
      <c r="C63" s="436">
        <v>0</v>
      </c>
      <c r="D63" s="436">
        <v>0</v>
      </c>
      <c r="E63" s="436">
        <v>0</v>
      </c>
      <c r="F63" s="436">
        <v>0</v>
      </c>
      <c r="G63" s="436">
        <v>0</v>
      </c>
      <c r="H63" s="436">
        <v>0</v>
      </c>
      <c r="I63" s="471">
        <v>0</v>
      </c>
      <c r="J63" s="471">
        <v>0</v>
      </c>
      <c r="K63" s="471">
        <v>0</v>
      </c>
      <c r="L63" s="480">
        <f t="shared" si="13"/>
        <v>2.0775796</v>
      </c>
      <c r="M63" s="480"/>
    </row>
    <row r="64" spans="1:13">
      <c r="A64" s="486" t="str">
        <f t="shared" si="12"/>
        <v>Flow Meter Work</v>
      </c>
      <c r="B64" s="471">
        <v>0.121169625</v>
      </c>
      <c r="C64" s="436">
        <v>2.5461346680000004E-2</v>
      </c>
      <c r="D64" s="436">
        <v>2.5461346680000004E-2</v>
      </c>
      <c r="E64" s="436">
        <v>2.5461346680000004E-2</v>
      </c>
      <c r="F64" s="436">
        <v>7.3196827200000009E-2</v>
      </c>
      <c r="G64" s="436">
        <v>5.3201005200000005E-2</v>
      </c>
      <c r="H64" s="436">
        <v>2.1207690000000001E-2</v>
      </c>
      <c r="I64" s="471">
        <v>0</v>
      </c>
      <c r="J64" s="471">
        <v>0</v>
      </c>
      <c r="K64" s="471">
        <v>0</v>
      </c>
      <c r="L64" s="480">
        <f t="shared" si="13"/>
        <v>0.34515918744000001</v>
      </c>
      <c r="M64" s="480"/>
    </row>
    <row r="65" spans="1:13">
      <c r="A65" s="486" t="str">
        <f t="shared" si="12"/>
        <v>Water Meter Procurement</v>
      </c>
      <c r="B65" s="471">
        <v>20.925869299999999</v>
      </c>
      <c r="C65" s="436">
        <v>0.83966400000000008</v>
      </c>
      <c r="D65" s="436">
        <v>0.83966400000000008</v>
      </c>
      <c r="E65" s="436">
        <v>0.83966400000000008</v>
      </c>
      <c r="F65" s="436">
        <v>2.5189920000000003</v>
      </c>
      <c r="G65" s="436">
        <v>2.5189920000000003</v>
      </c>
      <c r="H65" s="436">
        <v>1.8892440000000004</v>
      </c>
      <c r="I65" s="471">
        <v>0</v>
      </c>
      <c r="J65" s="471">
        <v>0</v>
      </c>
      <c r="K65" s="471">
        <v>0</v>
      </c>
      <c r="L65" s="480">
        <f t="shared" si="13"/>
        <v>30.372089299999999</v>
      </c>
      <c r="M65" s="480"/>
    </row>
    <row r="66" spans="1:13">
      <c r="A66" s="486" t="str">
        <f t="shared" si="12"/>
        <v>Water Meter Work</v>
      </c>
      <c r="B66" s="471">
        <v>1.5770599999999999</v>
      </c>
      <c r="C66" s="436">
        <v>7.8400000000000011E-2</v>
      </c>
      <c r="D66" s="436">
        <v>7.8400000000000011E-2</v>
      </c>
      <c r="E66" s="436">
        <v>7.8400000000000011E-2</v>
      </c>
      <c r="F66" s="436">
        <v>0.23520000000000005</v>
      </c>
      <c r="G66" s="436">
        <v>0.23520000000000005</v>
      </c>
      <c r="H66" s="436">
        <v>0.17640000000000003</v>
      </c>
      <c r="I66" s="471">
        <v>0</v>
      </c>
      <c r="J66" s="471">
        <v>0</v>
      </c>
      <c r="K66" s="471">
        <v>0</v>
      </c>
      <c r="L66" s="480">
        <f t="shared" si="13"/>
        <v>2.45906</v>
      </c>
      <c r="M66" s="480"/>
    </row>
    <row r="67" spans="1:13">
      <c r="A67" s="486" t="str">
        <f t="shared" si="12"/>
        <v>HSC Procurement</v>
      </c>
      <c r="B67" s="471">
        <v>17.792101330959188</v>
      </c>
      <c r="C67" s="436">
        <v>7.4480000000000018E-2</v>
      </c>
      <c r="D67" s="436">
        <v>7.4480000000000018E-2</v>
      </c>
      <c r="E67" s="436">
        <v>7.4480000000000018E-2</v>
      </c>
      <c r="F67" s="436">
        <v>0.44688000000000005</v>
      </c>
      <c r="G67" s="436">
        <v>0.44688000000000005</v>
      </c>
      <c r="H67" s="436">
        <v>0.35616336000000004</v>
      </c>
      <c r="I67" s="471">
        <v>0</v>
      </c>
      <c r="J67" s="471">
        <v>0</v>
      </c>
      <c r="K67" s="471">
        <v>0</v>
      </c>
      <c r="L67" s="480">
        <f t="shared" si="13"/>
        <v>19.265464690959192</v>
      </c>
      <c r="M67" s="480"/>
    </row>
    <row r="68" spans="1:13">
      <c r="A68" s="486" t="str">
        <f t="shared" si="12"/>
        <v>HSC Work</v>
      </c>
      <c r="B68" s="471">
        <v>17.673518475744224</v>
      </c>
      <c r="C68" s="436">
        <v>1.0907661665299841</v>
      </c>
      <c r="D68" s="436">
        <v>1.0907661665299841</v>
      </c>
      <c r="E68" s="436">
        <v>1.0907661665299841</v>
      </c>
      <c r="F68" s="436">
        <v>3.2722984995899531</v>
      </c>
      <c r="G68" s="436">
        <v>3.2722984995899531</v>
      </c>
      <c r="H68" s="436">
        <v>2.5056303768486252</v>
      </c>
      <c r="I68" s="471">
        <v>0</v>
      </c>
      <c r="J68" s="471">
        <v>0</v>
      </c>
      <c r="K68" s="471">
        <v>0</v>
      </c>
      <c r="L68" s="480">
        <f t="shared" si="13"/>
        <v>29.996044351362713</v>
      </c>
      <c r="M68" s="480"/>
    </row>
    <row r="69" spans="1:13" ht="12.75" thickBot="1">
      <c r="A69" s="465" t="s">
        <v>104</v>
      </c>
      <c r="B69" s="478">
        <f t="shared" ref="B69:L69" si="14">SUM(B50:B68)</f>
        <v>196.57653101940494</v>
      </c>
      <c r="C69" s="479">
        <f t="shared" si="14"/>
        <v>6.3383745270357341</v>
      </c>
      <c r="D69" s="479">
        <f t="shared" si="14"/>
        <v>6.3383745270357341</v>
      </c>
      <c r="E69" s="479">
        <f t="shared" si="14"/>
        <v>6.3383745270357341</v>
      </c>
      <c r="F69" s="479">
        <f t="shared" si="14"/>
        <v>13.149511902527234</v>
      </c>
      <c r="G69" s="479">
        <f t="shared" si="14"/>
        <v>12.340790429940562</v>
      </c>
      <c r="H69" s="479">
        <f t="shared" si="14"/>
        <v>14.501549940551522</v>
      </c>
      <c r="I69" s="479">
        <f t="shared" si="14"/>
        <v>0</v>
      </c>
      <c r="J69" s="479">
        <f t="shared" si="14"/>
        <v>0</v>
      </c>
      <c r="K69" s="479">
        <f t="shared" si="14"/>
        <v>0</v>
      </c>
      <c r="L69" s="479">
        <f t="shared" si="14"/>
        <v>255.58350687353155</v>
      </c>
    </row>
    <row r="70" spans="1:13" ht="12.75" thickTop="1">
      <c r="B70" s="471"/>
      <c r="C70" s="480"/>
      <c r="D70" s="480"/>
      <c r="E70" s="480"/>
      <c r="F70" s="480"/>
      <c r="G70" s="480"/>
      <c r="H70" s="480"/>
      <c r="I70" s="480"/>
      <c r="J70" s="480"/>
      <c r="K70" s="480"/>
      <c r="L70" s="489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5">B49</f>
        <v>44713</v>
      </c>
      <c r="C72" s="467">
        <f t="shared" si="15"/>
        <v>44743</v>
      </c>
      <c r="D72" s="467">
        <f t="shared" si="15"/>
        <v>44774</v>
      </c>
      <c r="E72" s="467">
        <f t="shared" si="15"/>
        <v>44805</v>
      </c>
      <c r="F72" s="467">
        <f t="shared" si="15"/>
        <v>44835</v>
      </c>
      <c r="G72" s="467">
        <f t="shared" si="15"/>
        <v>44866</v>
      </c>
      <c r="H72" s="467">
        <f t="shared" si="15"/>
        <v>44896</v>
      </c>
      <c r="I72" s="467">
        <f t="shared" si="15"/>
        <v>44927</v>
      </c>
      <c r="J72" s="467">
        <f t="shared" si="15"/>
        <v>44958</v>
      </c>
      <c r="K72" s="467">
        <f t="shared" si="15"/>
        <v>44986</v>
      </c>
      <c r="L72" s="463" t="s">
        <v>104</v>
      </c>
    </row>
    <row r="73" spans="1:13" ht="15">
      <c r="A73" s="484" t="s">
        <v>776</v>
      </c>
      <c r="B73" s="471">
        <v>0</v>
      </c>
      <c r="C73" s="471">
        <v>0.17</v>
      </c>
      <c r="D73" s="471">
        <v>0.17</v>
      </c>
      <c r="E73" s="471">
        <v>0.17</v>
      </c>
      <c r="F73" s="471">
        <v>0.17</v>
      </c>
      <c r="G73" s="471">
        <v>0.17</v>
      </c>
      <c r="H73" s="471">
        <v>0.17</v>
      </c>
      <c r="I73" s="471">
        <v>0.17</v>
      </c>
      <c r="J73" s="471">
        <v>0</v>
      </c>
      <c r="K73" s="471">
        <v>0</v>
      </c>
      <c r="L73" s="480">
        <f>SUM(B73:K73)</f>
        <v>1.19</v>
      </c>
    </row>
    <row r="74" spans="1:13" s="490" customFormat="1" ht="15">
      <c r="A74" s="484" t="s">
        <v>777</v>
      </c>
      <c r="B74" s="480">
        <v>0</v>
      </c>
      <c r="C74" s="480">
        <v>0</v>
      </c>
      <c r="D74" s="480">
        <v>0</v>
      </c>
      <c r="E74" s="480">
        <v>0</v>
      </c>
      <c r="F74" s="480">
        <v>0</v>
      </c>
      <c r="G74" s="480">
        <v>0</v>
      </c>
      <c r="H74" s="480">
        <v>0</v>
      </c>
      <c r="I74" s="480">
        <v>0</v>
      </c>
      <c r="J74" s="480">
        <v>0</v>
      </c>
      <c r="K74" s="480">
        <v>0</v>
      </c>
      <c r="L74" s="480">
        <f>SUM(B74:K74)</f>
        <v>0</v>
      </c>
    </row>
    <row r="75" spans="1:13" ht="12.75" thickBot="1">
      <c r="A75" s="465" t="s">
        <v>104</v>
      </c>
      <c r="B75" s="478">
        <f t="shared" ref="B75:L75" si="16">SUM(B73:B74)</f>
        <v>0</v>
      </c>
      <c r="C75" s="479">
        <f t="shared" si="16"/>
        <v>0.17</v>
      </c>
      <c r="D75" s="479">
        <f t="shared" si="16"/>
        <v>0.17</v>
      </c>
      <c r="E75" s="479">
        <f t="shared" si="16"/>
        <v>0.17</v>
      </c>
      <c r="F75" s="479">
        <f t="shared" si="16"/>
        <v>0.17</v>
      </c>
      <c r="G75" s="479">
        <f t="shared" si="16"/>
        <v>0.17</v>
      </c>
      <c r="H75" s="479">
        <f t="shared" si="16"/>
        <v>0.17</v>
      </c>
      <c r="I75" s="479">
        <f t="shared" si="16"/>
        <v>0.17</v>
      </c>
      <c r="J75" s="479">
        <f t="shared" si="16"/>
        <v>0</v>
      </c>
      <c r="K75" s="479">
        <f t="shared" si="16"/>
        <v>0</v>
      </c>
      <c r="L75" s="479">
        <f t="shared" si="16"/>
        <v>1.19</v>
      </c>
    </row>
    <row r="76" spans="1:13" ht="15.75" thickTop="1">
      <c r="A76" s="484"/>
      <c r="B76" s="471"/>
      <c r="C76" s="480"/>
      <c r="D76" s="480"/>
      <c r="E76" s="480"/>
      <c r="F76" s="480"/>
      <c r="G76" s="480"/>
      <c r="H76" s="480"/>
      <c r="I76" s="480"/>
      <c r="J76" s="480"/>
      <c r="K76" s="480"/>
      <c r="L76" s="483"/>
    </row>
    <row r="77" spans="1:13">
      <c r="A77" s="465" t="s">
        <v>188</v>
      </c>
      <c r="B77" s="466">
        <f t="shared" ref="B77:L77" si="17">B72</f>
        <v>44713</v>
      </c>
      <c r="C77" s="467">
        <f t="shared" si="17"/>
        <v>44743</v>
      </c>
      <c r="D77" s="467">
        <f t="shared" si="17"/>
        <v>44774</v>
      </c>
      <c r="E77" s="467">
        <f t="shared" si="17"/>
        <v>44805</v>
      </c>
      <c r="F77" s="467">
        <f t="shared" si="17"/>
        <v>44835</v>
      </c>
      <c r="G77" s="467">
        <f t="shared" si="17"/>
        <v>44866</v>
      </c>
      <c r="H77" s="467">
        <f t="shared" si="17"/>
        <v>44896</v>
      </c>
      <c r="I77" s="467">
        <f t="shared" si="17"/>
        <v>44927</v>
      </c>
      <c r="J77" s="467">
        <f t="shared" si="17"/>
        <v>44958</v>
      </c>
      <c r="K77" s="467">
        <f t="shared" si="17"/>
        <v>44986</v>
      </c>
      <c r="L77" s="466" t="str">
        <f t="shared" si="17"/>
        <v>Total</v>
      </c>
    </row>
    <row r="78" spans="1:13" ht="15">
      <c r="A78" s="484" t="s">
        <v>776</v>
      </c>
      <c r="B78" s="471">
        <v>0</v>
      </c>
      <c r="C78" s="471">
        <v>0.22</v>
      </c>
      <c r="D78" s="471">
        <v>0.22</v>
      </c>
      <c r="E78" s="471">
        <v>0.22</v>
      </c>
      <c r="F78" s="471">
        <v>0.22</v>
      </c>
      <c r="G78" s="471">
        <v>0.22</v>
      </c>
      <c r="H78" s="471">
        <v>0.22</v>
      </c>
      <c r="I78" s="471">
        <v>0.22</v>
      </c>
      <c r="J78" s="471">
        <v>0</v>
      </c>
      <c r="K78" s="471">
        <v>0</v>
      </c>
      <c r="L78" s="480">
        <f>SUM(B78:K78)</f>
        <v>1.54</v>
      </c>
    </row>
    <row r="79" spans="1:13" ht="15">
      <c r="A79" s="484" t="s">
        <v>777</v>
      </c>
      <c r="B79" s="471">
        <v>0</v>
      </c>
      <c r="C79" s="471">
        <v>0</v>
      </c>
      <c r="D79" s="471">
        <v>0</v>
      </c>
      <c r="E79" s="471">
        <v>0</v>
      </c>
      <c r="F79" s="471">
        <v>0</v>
      </c>
      <c r="G79" s="471">
        <v>0</v>
      </c>
      <c r="H79" s="471">
        <v>0</v>
      </c>
      <c r="I79" s="471">
        <v>0</v>
      </c>
      <c r="J79" s="471">
        <v>0</v>
      </c>
      <c r="K79" s="471">
        <v>0</v>
      </c>
      <c r="L79" s="480">
        <f>SUM(B79:K79)</f>
        <v>0</v>
      </c>
    </row>
    <row r="80" spans="1:13" ht="12.75" thickBot="1">
      <c r="A80" s="465" t="s">
        <v>104</v>
      </c>
      <c r="B80" s="478">
        <f t="shared" ref="B80:L80" si="18">SUM(B78:B79)</f>
        <v>0</v>
      </c>
      <c r="C80" s="479">
        <f t="shared" si="18"/>
        <v>0.22</v>
      </c>
      <c r="D80" s="479">
        <f t="shared" si="18"/>
        <v>0.22</v>
      </c>
      <c r="E80" s="479">
        <f t="shared" si="18"/>
        <v>0.22</v>
      </c>
      <c r="F80" s="479">
        <f t="shared" si="18"/>
        <v>0.22</v>
      </c>
      <c r="G80" s="479">
        <f t="shared" si="18"/>
        <v>0.22</v>
      </c>
      <c r="H80" s="479">
        <f t="shared" si="18"/>
        <v>0.22</v>
      </c>
      <c r="I80" s="479">
        <f t="shared" si="18"/>
        <v>0.22</v>
      </c>
      <c r="J80" s="479">
        <f t="shared" si="18"/>
        <v>0</v>
      </c>
      <c r="K80" s="479">
        <f t="shared" si="18"/>
        <v>0</v>
      </c>
      <c r="L80" s="479">
        <f t="shared" si="18"/>
        <v>1.54</v>
      </c>
    </row>
    <row r="81" ht="12.75" thickTop="1"/>
  </sheetData>
  <pageMargins left="0.7" right="0.7" top="0.75" bottom="0.75" header="0.3" footer="0.3"/>
  <pageSetup scale="33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7"/>
  <sheetViews>
    <sheetView workbookViewId="0">
      <pane xSplit="6" topLeftCell="G1" activePane="topRight" state="frozen"/>
      <selection activeCell="U8" sqref="U8"/>
      <selection pane="topRight" activeCell="I5" sqref="I5"/>
    </sheetView>
  </sheetViews>
  <sheetFormatPr defaultColWidth="7.7109375" defaultRowHeight="12"/>
  <cols>
    <col min="1" max="2" width="7.7109375" style="319"/>
    <col min="3" max="3" width="28.5703125" style="319" customWidth="1"/>
    <col min="4" max="4" width="5.140625" style="319" customWidth="1"/>
    <col min="5" max="5" width="10.28515625" style="500" customWidth="1"/>
    <col min="6" max="6" width="11.140625" style="500" customWidth="1"/>
    <col min="7" max="7" width="6.140625" style="319" customWidth="1"/>
    <col min="8" max="13" width="10.28515625" style="500" bestFit="1" customWidth="1"/>
    <col min="14" max="14" width="11.140625" style="319" bestFit="1" customWidth="1"/>
    <col min="15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</row>
    <row r="2" spans="1:14" s="324" customFormat="1" ht="15">
      <c r="A2" s="384" t="s">
        <v>782</v>
      </c>
      <c r="B2" s="384" t="s">
        <v>783</v>
      </c>
      <c r="C2" s="319" t="s">
        <v>784</v>
      </c>
      <c r="D2" s="324">
        <v>1</v>
      </c>
      <c r="E2" s="496">
        <v>63000000</v>
      </c>
      <c r="F2" s="496">
        <v>63000000</v>
      </c>
      <c r="H2" s="496">
        <v>53002500</v>
      </c>
      <c r="I2" s="496">
        <v>0</v>
      </c>
      <c r="J2" s="496">
        <v>0</v>
      </c>
      <c r="K2" s="496">
        <v>0</v>
      </c>
      <c r="L2" s="497">
        <v>2498750</v>
      </c>
      <c r="M2" s="497">
        <v>2498750</v>
      </c>
      <c r="N2" s="319"/>
    </row>
    <row r="3" spans="1:14" s="324" customFormat="1" ht="15">
      <c r="A3" s="384" t="s">
        <v>782</v>
      </c>
      <c r="B3" s="384" t="s">
        <v>783</v>
      </c>
      <c r="C3" s="319" t="s">
        <v>785</v>
      </c>
      <c r="D3" s="324">
        <v>1</v>
      </c>
      <c r="E3" s="496">
        <v>18200000</v>
      </c>
      <c r="F3" s="496">
        <v>18200000</v>
      </c>
      <c r="H3" s="496">
        <v>16788000</v>
      </c>
      <c r="I3" s="496">
        <v>0</v>
      </c>
      <c r="J3" s="496">
        <v>0</v>
      </c>
      <c r="K3" s="496">
        <v>0</v>
      </c>
      <c r="L3" s="497">
        <v>3361000</v>
      </c>
      <c r="M3" s="497">
        <v>3361000</v>
      </c>
      <c r="N3" s="319"/>
    </row>
    <row r="4" spans="1:14" s="324" customFormat="1" ht="15">
      <c r="A4" s="384" t="s">
        <v>782</v>
      </c>
      <c r="B4" s="384" t="s">
        <v>783</v>
      </c>
      <c r="C4" s="319" t="s">
        <v>786</v>
      </c>
      <c r="D4" s="324">
        <v>1</v>
      </c>
      <c r="E4" s="496">
        <v>35000000</v>
      </c>
      <c r="F4" s="496">
        <v>35000000</v>
      </c>
      <c r="H4" s="496">
        <v>27117500</v>
      </c>
      <c r="I4" s="496">
        <v>0</v>
      </c>
      <c r="J4" s="496">
        <v>0</v>
      </c>
      <c r="K4" s="496">
        <v>0</v>
      </c>
      <c r="L4" s="497">
        <v>5073250</v>
      </c>
      <c r="M4" s="497">
        <v>5073250</v>
      </c>
      <c r="N4" s="319"/>
    </row>
    <row r="5" spans="1:14" s="324" customFormat="1" ht="15">
      <c r="A5" s="384" t="s">
        <v>782</v>
      </c>
      <c r="B5" s="384" t="s">
        <v>783</v>
      </c>
      <c r="C5" s="319" t="s">
        <v>787</v>
      </c>
      <c r="D5" s="324">
        <v>1</v>
      </c>
      <c r="E5" s="496">
        <v>23800000</v>
      </c>
      <c r="F5" s="496">
        <v>23800000</v>
      </c>
      <c r="H5" s="496">
        <v>0</v>
      </c>
      <c r="I5" s="496">
        <v>0</v>
      </c>
      <c r="J5" s="496">
        <v>0</v>
      </c>
      <c r="K5" s="496">
        <v>0</v>
      </c>
      <c r="L5" s="497" t="s">
        <v>788</v>
      </c>
      <c r="M5" s="497">
        <f>F5</f>
        <v>23800000</v>
      </c>
      <c r="N5" s="319"/>
    </row>
    <row r="6" spans="1:14" s="324" customFormat="1" ht="15.75" thickBot="1">
      <c r="A6" s="384"/>
      <c r="B6" s="384"/>
      <c r="C6" s="319"/>
      <c r="E6" s="498" t="s">
        <v>104</v>
      </c>
      <c r="F6" s="414">
        <f>SUM(F2:F5)</f>
        <v>140000000</v>
      </c>
      <c r="H6" s="414">
        <f t="shared" ref="H6:M6" si="0">SUM(H2:H5)</f>
        <v>96908000</v>
      </c>
      <c r="I6" s="414">
        <f t="shared" si="0"/>
        <v>0</v>
      </c>
      <c r="J6" s="414">
        <f t="shared" si="0"/>
        <v>0</v>
      </c>
      <c r="K6" s="414">
        <f t="shared" si="0"/>
        <v>0</v>
      </c>
      <c r="L6" s="414">
        <f t="shared" si="0"/>
        <v>10933000</v>
      </c>
      <c r="M6" s="414">
        <f t="shared" si="0"/>
        <v>34733000</v>
      </c>
    </row>
    <row r="7" spans="1:14" s="324" customFormat="1" ht="15.75" thickTop="1">
      <c r="A7" s="384"/>
      <c r="B7" s="384"/>
      <c r="C7" s="319"/>
      <c r="E7" s="496"/>
      <c r="F7" s="499"/>
      <c r="H7" s="496"/>
      <c r="I7" s="496"/>
      <c r="J7" s="496"/>
      <c r="K7" s="496"/>
      <c r="L7" s="496"/>
      <c r="M7" s="496"/>
    </row>
    <row r="8" spans="1:14">
      <c r="A8" s="491" t="s">
        <v>778</v>
      </c>
      <c r="B8" s="491" t="s">
        <v>778</v>
      </c>
      <c r="C8" s="492" t="s">
        <v>188</v>
      </c>
      <c r="D8" s="493" t="s">
        <v>779</v>
      </c>
      <c r="E8" s="494" t="s">
        <v>780</v>
      </c>
      <c r="F8" s="494" t="s">
        <v>103</v>
      </c>
      <c r="G8" s="495"/>
      <c r="H8" s="495" t="str">
        <f t="shared" ref="H8:M12" si="1">H1</f>
        <v>Current</v>
      </c>
      <c r="I8" s="495">
        <f t="shared" si="1"/>
        <v>44743</v>
      </c>
      <c r="J8" s="495">
        <f t="shared" si="1"/>
        <v>44774</v>
      </c>
      <c r="K8" s="495">
        <f t="shared" si="1"/>
        <v>44805</v>
      </c>
      <c r="L8" s="495">
        <f t="shared" si="1"/>
        <v>44835</v>
      </c>
      <c r="M8" s="495">
        <f t="shared" si="1"/>
        <v>44866</v>
      </c>
    </row>
    <row r="9" spans="1:14" s="324" customFormat="1" ht="15">
      <c r="A9" s="384" t="s">
        <v>782</v>
      </c>
      <c r="B9" s="384" t="s">
        <v>783</v>
      </c>
      <c r="C9" s="319" t="s">
        <v>784</v>
      </c>
      <c r="D9" s="324">
        <v>1</v>
      </c>
      <c r="E9" s="496">
        <v>66315285</v>
      </c>
      <c r="F9" s="496">
        <f>E9</f>
        <v>66315285</v>
      </c>
      <c r="H9" s="496">
        <f t="shared" si="1"/>
        <v>53002500</v>
      </c>
      <c r="I9" s="496">
        <f t="shared" si="1"/>
        <v>0</v>
      </c>
      <c r="J9" s="496">
        <f t="shared" si="1"/>
        <v>0</v>
      </c>
      <c r="K9" s="496">
        <f t="shared" si="1"/>
        <v>0</v>
      </c>
      <c r="L9" s="496">
        <f t="shared" si="1"/>
        <v>2498750</v>
      </c>
      <c r="M9" s="496">
        <f t="shared" si="1"/>
        <v>2498750</v>
      </c>
    </row>
    <row r="10" spans="1:14" s="324" customFormat="1" ht="15">
      <c r="A10" s="384" t="s">
        <v>782</v>
      </c>
      <c r="B10" s="384" t="s">
        <v>783</v>
      </c>
      <c r="C10" s="319" t="s">
        <v>785</v>
      </c>
      <c r="D10" s="324">
        <v>1</v>
      </c>
      <c r="E10" s="496">
        <v>13863328.424999999</v>
      </c>
      <c r="F10" s="496">
        <f>E10</f>
        <v>13863328.424999999</v>
      </c>
      <c r="H10" s="496">
        <f t="shared" si="1"/>
        <v>16788000</v>
      </c>
      <c r="I10" s="496">
        <f t="shared" si="1"/>
        <v>0</v>
      </c>
      <c r="J10" s="496">
        <f t="shared" si="1"/>
        <v>0</v>
      </c>
      <c r="K10" s="496">
        <f t="shared" si="1"/>
        <v>0</v>
      </c>
      <c r="L10" s="496">
        <f t="shared" si="1"/>
        <v>3361000</v>
      </c>
      <c r="M10" s="496">
        <f t="shared" si="1"/>
        <v>3361000</v>
      </c>
    </row>
    <row r="11" spans="1:14" s="324" customFormat="1" ht="15">
      <c r="A11" s="384" t="s">
        <v>782</v>
      </c>
      <c r="B11" s="384" t="s">
        <v>783</v>
      </c>
      <c r="C11" s="319" t="s">
        <v>786</v>
      </c>
      <c r="D11" s="324">
        <v>1</v>
      </c>
      <c r="E11" s="496">
        <v>15000000</v>
      </c>
      <c r="F11" s="496">
        <f>E11</f>
        <v>15000000</v>
      </c>
      <c r="H11" s="496">
        <f t="shared" si="1"/>
        <v>27117500</v>
      </c>
      <c r="I11" s="496">
        <f t="shared" si="1"/>
        <v>0</v>
      </c>
      <c r="J11" s="496">
        <f t="shared" si="1"/>
        <v>0</v>
      </c>
      <c r="K11" s="496">
        <f t="shared" si="1"/>
        <v>0</v>
      </c>
      <c r="L11" s="496">
        <f t="shared" si="1"/>
        <v>5073250</v>
      </c>
      <c r="M11" s="496">
        <f t="shared" si="1"/>
        <v>5073250</v>
      </c>
    </row>
    <row r="12" spans="1:14" s="324" customFormat="1" ht="15">
      <c r="A12" s="384" t="s">
        <v>782</v>
      </c>
      <c r="B12" s="384" t="s">
        <v>783</v>
      </c>
      <c r="C12" s="319" t="s">
        <v>787</v>
      </c>
      <c r="D12" s="324">
        <v>1</v>
      </c>
      <c r="E12" s="496">
        <v>15000000</v>
      </c>
      <c r="F12" s="496">
        <f>E12</f>
        <v>15000000</v>
      </c>
      <c r="H12" s="496">
        <f t="shared" si="1"/>
        <v>0</v>
      </c>
      <c r="I12" s="496">
        <f t="shared" si="1"/>
        <v>0</v>
      </c>
      <c r="J12" s="496">
        <f t="shared" si="1"/>
        <v>0</v>
      </c>
      <c r="K12" s="496">
        <f t="shared" si="1"/>
        <v>0</v>
      </c>
      <c r="L12" s="496" t="str">
        <f t="shared" si="1"/>
        <v>-</v>
      </c>
      <c r="M12" s="496">
        <f t="shared" si="1"/>
        <v>23800000</v>
      </c>
    </row>
    <row r="13" spans="1:14" s="324" customFormat="1" ht="15.75" thickBot="1">
      <c r="A13" s="384"/>
      <c r="B13" s="384"/>
      <c r="C13" s="319"/>
      <c r="E13" s="498" t="s">
        <v>104</v>
      </c>
      <c r="F13" s="414">
        <f>SUM(F9:F12)</f>
        <v>110178613.425</v>
      </c>
      <c r="H13" s="414">
        <f t="shared" ref="H13:M13" si="2">SUM(H9:H12)</f>
        <v>96908000</v>
      </c>
      <c r="I13" s="414">
        <f t="shared" si="2"/>
        <v>0</v>
      </c>
      <c r="J13" s="414">
        <f t="shared" si="2"/>
        <v>0</v>
      </c>
      <c r="K13" s="414">
        <f t="shared" si="2"/>
        <v>0</v>
      </c>
      <c r="L13" s="414">
        <f t="shared" si="2"/>
        <v>10933000</v>
      </c>
      <c r="M13" s="414">
        <f t="shared" si="2"/>
        <v>34733000</v>
      </c>
    </row>
    <row r="14" spans="1:14" s="324" customFormat="1" ht="15.75" thickTop="1">
      <c r="A14" s="384"/>
      <c r="B14" s="384"/>
      <c r="C14" s="319"/>
      <c r="E14" s="496"/>
      <c r="F14" s="496">
        <f>F6-F13</f>
        <v>29821386.575000003</v>
      </c>
      <c r="H14" s="496"/>
      <c r="I14" s="496"/>
      <c r="J14" s="496"/>
      <c r="K14" s="496"/>
      <c r="L14" s="496"/>
      <c r="M14" s="496"/>
    </row>
    <row r="15" spans="1:14">
      <c r="C15" s="319" t="s">
        <v>789</v>
      </c>
    </row>
    <row r="16" spans="1:14">
      <c r="C16" s="319" t="s">
        <v>790</v>
      </c>
    </row>
    <row r="17" spans="3:3">
      <c r="C17" s="319" t="s">
        <v>791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3"/>
  <sheetViews>
    <sheetView zoomScaleNormal="100" workbookViewId="0">
      <pane xSplit="6" ySplit="1" topLeftCell="G2" activePane="bottomRight" state="frozen"/>
      <selection activeCell="U8" sqref="U8"/>
      <selection pane="topRight" activeCell="U8" sqref="U8"/>
      <selection pane="bottomLeft" activeCell="U8" sqref="U8"/>
      <selection pane="bottomRight" activeCell="G1" sqref="G1:G1048576"/>
    </sheetView>
  </sheetViews>
  <sheetFormatPr defaultColWidth="7.7109375" defaultRowHeight="12"/>
  <cols>
    <col min="1" max="2" width="5.28515625" style="319" customWidth="1"/>
    <col min="3" max="3" width="39.5703125" style="319" customWidth="1"/>
    <col min="4" max="4" width="5.140625" style="319" customWidth="1"/>
    <col min="5" max="5" width="12.140625" style="500" bestFit="1" customWidth="1"/>
    <col min="6" max="6" width="12.85546875" style="500" bestFit="1" customWidth="1"/>
    <col min="7" max="7" width="6.140625" style="319" customWidth="1"/>
    <col min="8" max="8" width="11.140625" style="500" bestFit="1" customWidth="1"/>
    <col min="9" max="9" width="9" style="500" bestFit="1" customWidth="1"/>
    <col min="10" max="14" width="10.28515625" style="500" bestFit="1" customWidth="1"/>
    <col min="15" max="15" width="10.28515625" style="319" bestFit="1" customWidth="1"/>
    <col min="16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</row>
    <row r="2" spans="1:14" s="324" customFormat="1" ht="15">
      <c r="A2" s="384" t="s">
        <v>792</v>
      </c>
      <c r="B2" s="384" t="s">
        <v>793</v>
      </c>
      <c r="C2" s="319" t="s">
        <v>794</v>
      </c>
      <c r="D2" s="324">
        <v>1</v>
      </c>
      <c r="E2" s="496">
        <v>570180.81000000006</v>
      </c>
      <c r="F2" s="496">
        <f t="shared" ref="F2:F13" si="0">D2*E2</f>
        <v>570180.81000000006</v>
      </c>
      <c r="H2" s="496">
        <v>560158</v>
      </c>
      <c r="I2" s="501">
        <v>0</v>
      </c>
      <c r="J2" s="501">
        <v>0</v>
      </c>
      <c r="K2" s="501">
        <v>0</v>
      </c>
      <c r="L2" s="501">
        <v>0</v>
      </c>
      <c r="M2" s="501">
        <v>0</v>
      </c>
      <c r="N2" s="501">
        <v>0</v>
      </c>
    </row>
    <row r="3" spans="1:14" s="324" customFormat="1" ht="15">
      <c r="A3" s="384" t="s">
        <v>795</v>
      </c>
      <c r="B3" s="384" t="s">
        <v>793</v>
      </c>
      <c r="C3" s="319" t="s">
        <v>796</v>
      </c>
      <c r="D3" s="324">
        <v>1</v>
      </c>
      <c r="E3" s="496">
        <v>324059.53999999998</v>
      </c>
      <c r="F3" s="496">
        <f t="shared" si="0"/>
        <v>324059.53999999998</v>
      </c>
      <c r="H3" s="496">
        <v>0</v>
      </c>
      <c r="I3" s="501">
        <v>0</v>
      </c>
      <c r="J3" s="501">
        <v>0</v>
      </c>
      <c r="K3" s="501">
        <v>443902.45799999998</v>
      </c>
      <c r="L3" s="501">
        <v>0</v>
      </c>
      <c r="M3" s="501">
        <v>295934.97200000001</v>
      </c>
      <c r="N3" s="501">
        <v>0</v>
      </c>
    </row>
    <row r="4" spans="1:14" s="324" customFormat="1" ht="15">
      <c r="A4" s="384" t="s">
        <v>797</v>
      </c>
      <c r="B4" s="384" t="s">
        <v>793</v>
      </c>
      <c r="C4" s="319" t="s">
        <v>798</v>
      </c>
      <c r="D4" s="324">
        <v>1</v>
      </c>
      <c r="E4" s="496">
        <v>6922188.6900000004</v>
      </c>
      <c r="F4" s="496">
        <f t="shared" si="0"/>
        <v>6922188.6900000004</v>
      </c>
      <c r="H4" s="496">
        <v>3392690</v>
      </c>
      <c r="I4" s="501">
        <v>0</v>
      </c>
      <c r="J4" s="501">
        <v>0</v>
      </c>
      <c r="K4" s="501">
        <v>3905484.2399999993</v>
      </c>
      <c r="L4" s="501">
        <v>0</v>
      </c>
      <c r="M4" s="501">
        <v>2603656.1599999997</v>
      </c>
      <c r="N4" s="501">
        <v>0</v>
      </c>
    </row>
    <row r="5" spans="1:14" s="324" customFormat="1" ht="15">
      <c r="A5" s="384" t="s">
        <v>799</v>
      </c>
      <c r="B5" s="384" t="s">
        <v>793</v>
      </c>
      <c r="C5" s="319" t="s">
        <v>800</v>
      </c>
      <c r="D5" s="324">
        <v>1</v>
      </c>
      <c r="E5" s="496">
        <v>11189597.960000001</v>
      </c>
      <c r="F5" s="496">
        <f t="shared" si="0"/>
        <v>11189597.960000001</v>
      </c>
      <c r="H5" s="496">
        <v>7447672</v>
      </c>
      <c r="I5" s="501">
        <v>0</v>
      </c>
      <c r="J5" s="501">
        <v>2071790.4</v>
      </c>
      <c r="K5" s="501">
        <v>0</v>
      </c>
      <c r="L5" s="501">
        <v>0</v>
      </c>
      <c r="M5" s="501">
        <v>0</v>
      </c>
      <c r="N5" s="501">
        <v>4287161.5999999996</v>
      </c>
    </row>
    <row r="6" spans="1:14" s="324" customFormat="1" ht="15">
      <c r="A6" s="384" t="s">
        <v>792</v>
      </c>
      <c r="B6" s="384" t="s">
        <v>801</v>
      </c>
      <c r="C6" s="319" t="s">
        <v>794</v>
      </c>
      <c r="D6" s="324">
        <v>1</v>
      </c>
      <c r="E6" s="496">
        <v>1301738.97</v>
      </c>
      <c r="F6" s="496">
        <f t="shared" si="0"/>
        <v>1301738.97</v>
      </c>
      <c r="H6" s="496">
        <v>1278858</v>
      </c>
      <c r="I6" s="501">
        <v>0</v>
      </c>
      <c r="J6" s="501">
        <v>0</v>
      </c>
      <c r="K6" s="501">
        <v>0</v>
      </c>
      <c r="L6" s="501">
        <v>0</v>
      </c>
      <c r="M6" s="501">
        <v>0</v>
      </c>
      <c r="N6" s="501">
        <v>0</v>
      </c>
    </row>
    <row r="7" spans="1:14" s="324" customFormat="1" ht="15">
      <c r="A7" s="384" t="s">
        <v>795</v>
      </c>
      <c r="B7" s="384" t="s">
        <v>801</v>
      </c>
      <c r="C7" s="319" t="s">
        <v>796</v>
      </c>
      <c r="D7" s="324">
        <v>1</v>
      </c>
      <c r="E7" s="496">
        <v>739837.43</v>
      </c>
      <c r="F7" s="496">
        <f t="shared" si="0"/>
        <v>739837.43</v>
      </c>
      <c r="H7" s="496">
        <v>0</v>
      </c>
      <c r="I7" s="501">
        <v>0</v>
      </c>
      <c r="J7" s="501">
        <v>0</v>
      </c>
      <c r="K7" s="501">
        <v>0</v>
      </c>
      <c r="L7" s="501">
        <v>0</v>
      </c>
      <c r="M7" s="501">
        <v>0</v>
      </c>
      <c r="N7" s="501">
        <v>388871.44799999997</v>
      </c>
    </row>
    <row r="8" spans="1:14" s="324" customFormat="1" ht="15">
      <c r="A8" s="384" t="s">
        <v>797</v>
      </c>
      <c r="B8" s="384" t="s">
        <v>801</v>
      </c>
      <c r="C8" s="319" t="s">
        <v>798</v>
      </c>
      <c r="D8" s="324">
        <v>1</v>
      </c>
      <c r="E8" s="496">
        <v>14802770.359999999</v>
      </c>
      <c r="F8" s="496">
        <f t="shared" si="0"/>
        <v>14802770.359999999</v>
      </c>
      <c r="H8" s="496">
        <v>7006214.4000000004</v>
      </c>
      <c r="I8" s="501">
        <v>0</v>
      </c>
      <c r="J8" s="501">
        <v>0</v>
      </c>
      <c r="K8" s="501">
        <v>2823596</v>
      </c>
      <c r="L8" s="501">
        <v>0</v>
      </c>
      <c r="M8" s="501">
        <v>1411799.6</v>
      </c>
      <c r="N8" s="501">
        <v>0</v>
      </c>
    </row>
    <row r="9" spans="1:14" s="324" customFormat="1" ht="15">
      <c r="A9" s="384" t="s">
        <v>799</v>
      </c>
      <c r="B9" s="384" t="s">
        <v>801</v>
      </c>
      <c r="C9" s="319" t="s">
        <v>800</v>
      </c>
      <c r="D9" s="324">
        <v>1</v>
      </c>
      <c r="E9" s="496">
        <v>26546952.239999998</v>
      </c>
      <c r="F9" s="496">
        <f t="shared" si="0"/>
        <v>26546952.239999998</v>
      </c>
      <c r="H9" s="496">
        <v>19953000</v>
      </c>
      <c r="I9" s="501">
        <v>0</v>
      </c>
      <c r="J9" s="501">
        <v>0</v>
      </c>
      <c r="K9" s="501">
        <v>0</v>
      </c>
      <c r="L9" s="501">
        <f>748385.2*4</f>
        <v>2993540.8</v>
      </c>
      <c r="M9" s="501">
        <v>0</v>
      </c>
      <c r="N9" s="501">
        <f>748385.2*2</f>
        <v>1496770.4</v>
      </c>
    </row>
    <row r="10" spans="1:14" s="324" customFormat="1" ht="15">
      <c r="A10" s="384" t="s">
        <v>792</v>
      </c>
      <c r="B10" s="384" t="s">
        <v>802</v>
      </c>
      <c r="C10" s="319" t="s">
        <v>794</v>
      </c>
      <c r="D10" s="324">
        <v>1</v>
      </c>
      <c r="E10" s="496">
        <v>2063104.92</v>
      </c>
      <c r="F10" s="496">
        <f t="shared" si="0"/>
        <v>2063104.92</v>
      </c>
      <c r="H10" s="496">
        <v>1621472.2320000003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f>81073.6117*6</f>
        <v>486441.67019999993</v>
      </c>
    </row>
    <row r="11" spans="1:14" s="324" customFormat="1" ht="15">
      <c r="A11" s="384" t="s">
        <v>795</v>
      </c>
      <c r="B11" s="384" t="s">
        <v>802</v>
      </c>
      <c r="C11" s="319" t="s">
        <v>796</v>
      </c>
      <c r="D11" s="324">
        <v>1</v>
      </c>
      <c r="E11" s="496">
        <v>1172556.3700000001</v>
      </c>
      <c r="F11" s="496">
        <f t="shared" si="0"/>
        <v>1172556.3700000001</v>
      </c>
      <c r="H11" s="496">
        <v>799126.21774999995</v>
      </c>
      <c r="I11" s="501">
        <v>0</v>
      </c>
      <c r="J11" s="501">
        <v>0</v>
      </c>
      <c r="K11" s="501">
        <f>74686.03*3</f>
        <v>224058.09</v>
      </c>
      <c r="L11" s="501">
        <v>0</v>
      </c>
      <c r="M11" s="501">
        <v>0</v>
      </c>
      <c r="N11" s="501">
        <f>74686.03*3</f>
        <v>224058.09</v>
      </c>
    </row>
    <row r="12" spans="1:14" s="324" customFormat="1" ht="15">
      <c r="A12" s="384" t="s">
        <v>797</v>
      </c>
      <c r="B12" s="384" t="s">
        <v>802</v>
      </c>
      <c r="C12" s="319" t="s">
        <v>798</v>
      </c>
      <c r="D12" s="324">
        <v>1</v>
      </c>
      <c r="E12" s="496">
        <v>27146038.789999999</v>
      </c>
      <c r="F12" s="496">
        <f t="shared" si="0"/>
        <v>27146038.789999999</v>
      </c>
      <c r="H12" s="496">
        <v>19539555.879999999</v>
      </c>
      <c r="I12" s="501">
        <v>0</v>
      </c>
      <c r="J12" s="501">
        <v>0</v>
      </c>
      <c r="K12" s="501">
        <f>1397856.582*4</f>
        <v>5591426.3279999997</v>
      </c>
      <c r="L12" s="501">
        <v>0</v>
      </c>
      <c r="M12" s="501">
        <v>0</v>
      </c>
      <c r="N12" s="501">
        <f>1397856.582*2</f>
        <v>2795713.1639999999</v>
      </c>
    </row>
    <row r="13" spans="1:14" s="324" customFormat="1" ht="15">
      <c r="A13" s="384" t="s">
        <v>799</v>
      </c>
      <c r="B13" s="384" t="s">
        <v>802</v>
      </c>
      <c r="C13" s="319" t="s">
        <v>800</v>
      </c>
      <c r="D13" s="324">
        <v>1</v>
      </c>
      <c r="E13" s="496">
        <v>38388463.920000002</v>
      </c>
      <c r="F13" s="496">
        <f t="shared" si="0"/>
        <v>38388463.920000002</v>
      </c>
      <c r="H13" s="496">
        <v>32594577.996800002</v>
      </c>
      <c r="I13" s="501">
        <v>0</v>
      </c>
      <c r="J13" s="501">
        <v>0</v>
      </c>
      <c r="K13" s="501">
        <v>0</v>
      </c>
      <c r="L13" s="501">
        <f>1096777.18464*4</f>
        <v>4387108.7385600004</v>
      </c>
      <c r="M13" s="501">
        <v>0</v>
      </c>
      <c r="N13" s="501">
        <f>1096777.18464*2</f>
        <v>2193554.3692800002</v>
      </c>
    </row>
    <row r="14" spans="1:14" s="324" customFormat="1" ht="15.75" thickBot="1">
      <c r="A14" s="384"/>
      <c r="B14" s="384"/>
      <c r="C14" s="319"/>
      <c r="E14" s="498" t="s">
        <v>104</v>
      </c>
      <c r="F14" s="414">
        <f>SUM(F2:F13)</f>
        <v>131167490</v>
      </c>
      <c r="H14" s="414">
        <f t="shared" ref="H14:M14" si="1">SUM(H2:H13)</f>
        <v>94193324.726549998</v>
      </c>
      <c r="I14" s="414">
        <f t="shared" si="1"/>
        <v>0</v>
      </c>
      <c r="J14" s="414">
        <f t="shared" si="1"/>
        <v>2071790.4</v>
      </c>
      <c r="K14" s="414">
        <f t="shared" si="1"/>
        <v>12988467.115999999</v>
      </c>
      <c r="L14" s="414">
        <f t="shared" si="1"/>
        <v>7380649.5385600002</v>
      </c>
      <c r="M14" s="414">
        <f t="shared" si="1"/>
        <v>4311390.7319999998</v>
      </c>
      <c r="N14" s="414">
        <f>SUM(N2:N13)</f>
        <v>11872570.741479997</v>
      </c>
    </row>
    <row r="15" spans="1:14" s="324" customFormat="1" ht="15.75" thickTop="1">
      <c r="A15" s="384"/>
      <c r="B15" s="384"/>
      <c r="C15" s="319"/>
      <c r="E15" s="496"/>
      <c r="F15" s="499"/>
      <c r="H15" s="496"/>
      <c r="I15" s="496"/>
      <c r="J15" s="496"/>
      <c r="K15" s="496"/>
      <c r="L15" s="496"/>
      <c r="M15" s="496"/>
      <c r="N15" s="496"/>
    </row>
    <row r="16" spans="1:14">
      <c r="A16" s="491" t="s">
        <v>778</v>
      </c>
      <c r="B16" s="491" t="s">
        <v>778</v>
      </c>
      <c r="C16" s="492" t="s">
        <v>188</v>
      </c>
      <c r="D16" s="493" t="s">
        <v>779</v>
      </c>
      <c r="E16" s="494" t="s">
        <v>780</v>
      </c>
      <c r="F16" s="494" t="s">
        <v>103</v>
      </c>
      <c r="G16" s="495"/>
      <c r="H16" s="495" t="s">
        <v>781</v>
      </c>
      <c r="I16" s="495">
        <v>44743</v>
      </c>
      <c r="J16" s="495">
        <v>44774</v>
      </c>
      <c r="K16" s="495">
        <v>44805</v>
      </c>
      <c r="L16" s="495">
        <v>44835</v>
      </c>
      <c r="M16" s="495">
        <v>44866</v>
      </c>
      <c r="N16" s="495">
        <v>44866</v>
      </c>
    </row>
    <row r="17" spans="1:14" s="324" customFormat="1" ht="15">
      <c r="A17" s="384" t="s">
        <v>792</v>
      </c>
      <c r="B17" s="384" t="s">
        <v>793</v>
      </c>
      <c r="C17" s="319" t="s">
        <v>794</v>
      </c>
      <c r="D17" s="324">
        <v>1</v>
      </c>
      <c r="E17" s="496">
        <v>2323851</v>
      </c>
      <c r="F17" s="496">
        <f t="shared" ref="F17:F28" si="2">D17*E17</f>
        <v>2323851</v>
      </c>
      <c r="H17" s="496">
        <f t="shared" ref="H17:H28" si="3">H2</f>
        <v>560158</v>
      </c>
      <c r="I17" s="496">
        <f t="shared" ref="I17:N28" si="4">((I2))*1.6</f>
        <v>0</v>
      </c>
      <c r="J17" s="496">
        <f t="shared" si="4"/>
        <v>0</v>
      </c>
      <c r="K17" s="496">
        <f t="shared" si="4"/>
        <v>0</v>
      </c>
      <c r="L17" s="496">
        <f t="shared" si="4"/>
        <v>0</v>
      </c>
      <c r="M17" s="496">
        <f t="shared" si="4"/>
        <v>0</v>
      </c>
      <c r="N17" s="496">
        <f t="shared" si="4"/>
        <v>0</v>
      </c>
    </row>
    <row r="18" spans="1:14" s="324" customFormat="1" ht="15">
      <c r="A18" s="384" t="s">
        <v>795</v>
      </c>
      <c r="B18" s="384" t="s">
        <v>793</v>
      </c>
      <c r="C18" s="319" t="s">
        <v>796</v>
      </c>
      <c r="D18" s="324">
        <v>1</v>
      </c>
      <c r="E18" s="496">
        <v>2082500</v>
      </c>
      <c r="F18" s="496">
        <f t="shared" si="2"/>
        <v>2082500</v>
      </c>
      <c r="H18" s="496">
        <f t="shared" si="3"/>
        <v>0</v>
      </c>
      <c r="I18" s="496">
        <f t="shared" si="4"/>
        <v>0</v>
      </c>
      <c r="J18" s="496">
        <f t="shared" si="4"/>
        <v>0</v>
      </c>
      <c r="K18" s="496">
        <f t="shared" si="4"/>
        <v>710243.93280000007</v>
      </c>
      <c r="L18" s="496">
        <f t="shared" si="4"/>
        <v>0</v>
      </c>
      <c r="M18" s="496">
        <f t="shared" si="4"/>
        <v>473495.95520000003</v>
      </c>
      <c r="N18" s="496">
        <f t="shared" si="4"/>
        <v>0</v>
      </c>
    </row>
    <row r="19" spans="1:14" s="324" customFormat="1" ht="15">
      <c r="A19" s="384" t="s">
        <v>792</v>
      </c>
      <c r="B19" s="384" t="s">
        <v>801</v>
      </c>
      <c r="C19" s="319" t="s">
        <v>794</v>
      </c>
      <c r="D19" s="324">
        <v>1</v>
      </c>
      <c r="E19" s="496">
        <v>2323851</v>
      </c>
      <c r="F19" s="496">
        <f t="shared" si="2"/>
        <v>2323851</v>
      </c>
      <c r="H19" s="496">
        <f t="shared" si="3"/>
        <v>3392690</v>
      </c>
      <c r="I19" s="496">
        <f t="shared" si="4"/>
        <v>0</v>
      </c>
      <c r="J19" s="496">
        <f t="shared" si="4"/>
        <v>0</v>
      </c>
      <c r="K19" s="496">
        <f t="shared" si="4"/>
        <v>6248774.7839999991</v>
      </c>
      <c r="L19" s="496">
        <f t="shared" si="4"/>
        <v>0</v>
      </c>
      <c r="M19" s="496">
        <f t="shared" si="4"/>
        <v>4165849.8559999997</v>
      </c>
      <c r="N19" s="496">
        <f t="shared" si="4"/>
        <v>0</v>
      </c>
    </row>
    <row r="20" spans="1:14" s="324" customFormat="1" ht="15">
      <c r="A20" s="384" t="s">
        <v>795</v>
      </c>
      <c r="B20" s="384" t="s">
        <v>801</v>
      </c>
      <c r="C20" s="319" t="s">
        <v>796</v>
      </c>
      <c r="D20" s="324">
        <v>1</v>
      </c>
      <c r="E20" s="496">
        <v>2912500</v>
      </c>
      <c r="F20" s="496">
        <f t="shared" si="2"/>
        <v>2912500</v>
      </c>
      <c r="H20" s="496">
        <f t="shared" si="3"/>
        <v>7447672</v>
      </c>
      <c r="I20" s="496">
        <f t="shared" si="4"/>
        <v>0</v>
      </c>
      <c r="J20" s="496">
        <f t="shared" si="4"/>
        <v>3314864.64</v>
      </c>
      <c r="K20" s="496">
        <f t="shared" si="4"/>
        <v>0</v>
      </c>
      <c r="L20" s="496">
        <f t="shared" si="4"/>
        <v>0</v>
      </c>
      <c r="M20" s="496">
        <f t="shared" si="4"/>
        <v>0</v>
      </c>
      <c r="N20" s="496">
        <f t="shared" si="4"/>
        <v>6859458.5599999996</v>
      </c>
    </row>
    <row r="21" spans="1:14" s="324" customFormat="1" ht="15">
      <c r="A21" s="384" t="s">
        <v>792</v>
      </c>
      <c r="B21" s="384" t="s">
        <v>802</v>
      </c>
      <c r="C21" s="319" t="s">
        <v>794</v>
      </c>
      <c r="D21" s="324">
        <v>1</v>
      </c>
      <c r="E21" s="496">
        <v>2187480.9899999998</v>
      </c>
      <c r="F21" s="496">
        <f t="shared" si="2"/>
        <v>2187480.9899999998</v>
      </c>
      <c r="H21" s="496">
        <f t="shared" si="3"/>
        <v>1278858</v>
      </c>
      <c r="I21" s="496">
        <f t="shared" si="4"/>
        <v>0</v>
      </c>
      <c r="J21" s="496">
        <f t="shared" si="4"/>
        <v>0</v>
      </c>
      <c r="K21" s="496">
        <f t="shared" si="4"/>
        <v>0</v>
      </c>
      <c r="L21" s="496">
        <f t="shared" si="4"/>
        <v>0</v>
      </c>
      <c r="M21" s="496">
        <f t="shared" si="4"/>
        <v>0</v>
      </c>
      <c r="N21" s="496">
        <f t="shared" si="4"/>
        <v>0</v>
      </c>
    </row>
    <row r="22" spans="1:14" s="324" customFormat="1" ht="15">
      <c r="A22" s="384" t="s">
        <v>795</v>
      </c>
      <c r="B22" s="384" t="s">
        <v>802</v>
      </c>
      <c r="C22" s="319" t="s">
        <v>796</v>
      </c>
      <c r="D22" s="324">
        <v>1</v>
      </c>
      <c r="E22" s="496">
        <v>1458320.66</v>
      </c>
      <c r="F22" s="496">
        <f t="shared" si="2"/>
        <v>1458320.66</v>
      </c>
      <c r="H22" s="496">
        <f t="shared" si="3"/>
        <v>0</v>
      </c>
      <c r="I22" s="496">
        <f t="shared" si="4"/>
        <v>0</v>
      </c>
      <c r="J22" s="496">
        <f t="shared" si="4"/>
        <v>0</v>
      </c>
      <c r="K22" s="496">
        <f t="shared" si="4"/>
        <v>0</v>
      </c>
      <c r="L22" s="496">
        <f t="shared" si="4"/>
        <v>0</v>
      </c>
      <c r="M22" s="496">
        <f t="shared" si="4"/>
        <v>0</v>
      </c>
      <c r="N22" s="496">
        <f t="shared" si="4"/>
        <v>622194.31680000003</v>
      </c>
    </row>
    <row r="23" spans="1:14" s="324" customFormat="1" ht="15">
      <c r="A23" s="384" t="s">
        <v>797</v>
      </c>
      <c r="B23" s="384" t="s">
        <v>793</v>
      </c>
      <c r="C23" s="319" t="s">
        <v>798</v>
      </c>
      <c r="D23" s="324">
        <v>1</v>
      </c>
      <c r="E23" s="496">
        <v>9708929.282050807</v>
      </c>
      <c r="F23" s="496">
        <f t="shared" si="2"/>
        <v>9708929.282050807</v>
      </c>
      <c r="H23" s="496">
        <f t="shared" si="3"/>
        <v>7006214.4000000004</v>
      </c>
      <c r="I23" s="496">
        <f t="shared" si="4"/>
        <v>0</v>
      </c>
      <c r="J23" s="496">
        <f t="shared" si="4"/>
        <v>0</v>
      </c>
      <c r="K23" s="496">
        <f t="shared" si="4"/>
        <v>4517753.6000000006</v>
      </c>
      <c r="L23" s="496">
        <f t="shared" si="4"/>
        <v>0</v>
      </c>
      <c r="M23" s="496">
        <f t="shared" si="4"/>
        <v>2258879.3600000003</v>
      </c>
      <c r="N23" s="496">
        <f t="shared" si="4"/>
        <v>0</v>
      </c>
    </row>
    <row r="24" spans="1:14" s="324" customFormat="1" ht="15">
      <c r="A24" s="384" t="s">
        <v>799</v>
      </c>
      <c r="B24" s="384" t="s">
        <v>793</v>
      </c>
      <c r="C24" s="319" t="s">
        <v>800</v>
      </c>
      <c r="D24" s="324">
        <v>1</v>
      </c>
      <c r="E24" s="496">
        <v>26975428.263721749</v>
      </c>
      <c r="F24" s="496">
        <f t="shared" si="2"/>
        <v>26975428.263721749</v>
      </c>
      <c r="H24" s="496">
        <f t="shared" si="3"/>
        <v>19953000</v>
      </c>
      <c r="I24" s="496">
        <f t="shared" si="4"/>
        <v>0</v>
      </c>
      <c r="J24" s="496">
        <f t="shared" si="4"/>
        <v>0</v>
      </c>
      <c r="K24" s="496">
        <f t="shared" si="4"/>
        <v>0</v>
      </c>
      <c r="L24" s="496">
        <f t="shared" si="4"/>
        <v>4789665.28</v>
      </c>
      <c r="M24" s="496">
        <f t="shared" si="4"/>
        <v>0</v>
      </c>
      <c r="N24" s="496">
        <f t="shared" si="4"/>
        <v>2394832.64</v>
      </c>
    </row>
    <row r="25" spans="1:14" s="324" customFormat="1" ht="15">
      <c r="A25" s="384" t="s">
        <v>797</v>
      </c>
      <c r="B25" s="384" t="s">
        <v>801</v>
      </c>
      <c r="C25" s="319" t="s">
        <v>798</v>
      </c>
      <c r="D25" s="324">
        <v>1</v>
      </c>
      <c r="E25" s="496">
        <v>16699696.553134661</v>
      </c>
      <c r="F25" s="496">
        <f t="shared" si="2"/>
        <v>16699696.553134661</v>
      </c>
      <c r="H25" s="496">
        <f t="shared" si="3"/>
        <v>1621472.2320000003</v>
      </c>
      <c r="I25" s="496">
        <f t="shared" si="4"/>
        <v>0</v>
      </c>
      <c r="J25" s="496">
        <f t="shared" si="4"/>
        <v>0</v>
      </c>
      <c r="K25" s="496">
        <f t="shared" si="4"/>
        <v>0</v>
      </c>
      <c r="L25" s="496">
        <f t="shared" si="4"/>
        <v>0</v>
      </c>
      <c r="M25" s="496">
        <f t="shared" si="4"/>
        <v>0</v>
      </c>
      <c r="N25" s="496">
        <f t="shared" si="4"/>
        <v>778306.6723199999</v>
      </c>
    </row>
    <row r="26" spans="1:14" s="324" customFormat="1" ht="15">
      <c r="A26" s="384" t="s">
        <v>799</v>
      </c>
      <c r="B26" s="384" t="s">
        <v>801</v>
      </c>
      <c r="C26" s="319" t="s">
        <v>800</v>
      </c>
      <c r="D26" s="324">
        <v>1</v>
      </c>
      <c r="E26" s="496">
        <v>35857618.281092785</v>
      </c>
      <c r="F26" s="496">
        <f t="shared" si="2"/>
        <v>35857618.281092785</v>
      </c>
      <c r="H26" s="496">
        <f t="shared" si="3"/>
        <v>799126.21774999995</v>
      </c>
      <c r="I26" s="496">
        <f t="shared" si="4"/>
        <v>0</v>
      </c>
      <c r="J26" s="496">
        <f t="shared" si="4"/>
        <v>0</v>
      </c>
      <c r="K26" s="496">
        <f t="shared" si="4"/>
        <v>358492.94400000002</v>
      </c>
      <c r="L26" s="496">
        <f t="shared" si="4"/>
        <v>0</v>
      </c>
      <c r="M26" s="496">
        <f t="shared" si="4"/>
        <v>0</v>
      </c>
      <c r="N26" s="496">
        <f t="shared" si="4"/>
        <v>358492.94400000002</v>
      </c>
    </row>
    <row r="27" spans="1:14" s="324" customFormat="1" ht="15">
      <c r="A27" s="384" t="s">
        <v>797</v>
      </c>
      <c r="B27" s="384" t="s">
        <v>802</v>
      </c>
      <c r="C27" s="319" t="s">
        <v>798</v>
      </c>
      <c r="D27" s="324">
        <v>1</v>
      </c>
      <c r="E27" s="496">
        <v>27708092.539999999</v>
      </c>
      <c r="F27" s="496">
        <f t="shared" si="2"/>
        <v>27708092.539999999</v>
      </c>
      <c r="H27" s="496">
        <f t="shared" si="3"/>
        <v>19539555.879999999</v>
      </c>
      <c r="I27" s="496">
        <f t="shared" si="4"/>
        <v>0</v>
      </c>
      <c r="J27" s="496">
        <f t="shared" si="4"/>
        <v>0</v>
      </c>
      <c r="K27" s="496">
        <f t="shared" si="4"/>
        <v>8946282.1248000003</v>
      </c>
      <c r="L27" s="496">
        <f t="shared" si="4"/>
        <v>0</v>
      </c>
      <c r="M27" s="496">
        <f t="shared" si="4"/>
        <v>0</v>
      </c>
      <c r="N27" s="496">
        <f t="shared" si="4"/>
        <v>4473141.0624000002</v>
      </c>
    </row>
    <row r="28" spans="1:14" s="324" customFormat="1" ht="15">
      <c r="A28" s="384" t="s">
        <v>799</v>
      </c>
      <c r="B28" s="384" t="s">
        <v>802</v>
      </c>
      <c r="C28" s="319" t="s">
        <v>800</v>
      </c>
      <c r="D28" s="324">
        <v>1</v>
      </c>
      <c r="E28" s="496">
        <v>41562138.809999995</v>
      </c>
      <c r="F28" s="496">
        <f t="shared" si="2"/>
        <v>41562138.809999995</v>
      </c>
      <c r="H28" s="496">
        <f t="shared" si="3"/>
        <v>32594577.996800002</v>
      </c>
      <c r="I28" s="496">
        <f t="shared" si="4"/>
        <v>0</v>
      </c>
      <c r="J28" s="496">
        <f t="shared" si="4"/>
        <v>0</v>
      </c>
      <c r="K28" s="496">
        <f t="shared" si="4"/>
        <v>0</v>
      </c>
      <c r="L28" s="496">
        <f t="shared" si="4"/>
        <v>7019373.9816960013</v>
      </c>
      <c r="M28" s="496">
        <f t="shared" si="4"/>
        <v>0</v>
      </c>
      <c r="N28" s="496">
        <f t="shared" si="4"/>
        <v>3509686.9908480006</v>
      </c>
    </row>
    <row r="29" spans="1:14" s="324" customFormat="1" ht="15.75" thickBot="1">
      <c r="A29" s="384"/>
      <c r="B29" s="384"/>
      <c r="C29" s="319"/>
      <c r="E29" s="498" t="s">
        <v>104</v>
      </c>
      <c r="F29" s="414">
        <f>SUM(F17:F28)</f>
        <v>171800407.38</v>
      </c>
      <c r="H29" s="414">
        <f t="shared" ref="H29:M29" si="5">SUM(H17:H28)</f>
        <v>94193324.726549998</v>
      </c>
      <c r="I29" s="414">
        <f t="shared" si="5"/>
        <v>0</v>
      </c>
      <c r="J29" s="414">
        <f t="shared" si="5"/>
        <v>3314864.64</v>
      </c>
      <c r="K29" s="414">
        <f t="shared" si="5"/>
        <v>20781547.385600001</v>
      </c>
      <c r="L29" s="414">
        <f t="shared" si="5"/>
        <v>11809039.261696002</v>
      </c>
      <c r="M29" s="414">
        <f t="shared" si="5"/>
        <v>6898225.1711999997</v>
      </c>
      <c r="N29" s="414">
        <f>SUM(N17:N28)</f>
        <v>18996113.186368</v>
      </c>
    </row>
    <row r="30" spans="1:14" s="324" customFormat="1" ht="15.75" thickTop="1">
      <c r="A30" s="384"/>
      <c r="B30" s="384"/>
      <c r="C30" s="319"/>
      <c r="E30" s="496"/>
      <c r="F30" s="496">
        <f>F14-F29</f>
        <v>-40632917.379999995</v>
      </c>
      <c r="H30" s="496"/>
      <c r="I30" s="496"/>
      <c r="J30" s="496"/>
      <c r="K30" s="496"/>
      <c r="L30" s="496"/>
      <c r="M30" s="496"/>
      <c r="N30" s="496"/>
    </row>
    <row r="31" spans="1:14" s="324" customFormat="1" ht="15">
      <c r="A31" s="384" t="s">
        <v>803</v>
      </c>
      <c r="B31" s="384" t="s">
        <v>804</v>
      </c>
      <c r="C31" s="319"/>
      <c r="E31" s="496"/>
      <c r="F31" s="496"/>
      <c r="H31" s="496"/>
      <c r="I31" s="496"/>
      <c r="J31" s="496"/>
      <c r="K31" s="496"/>
      <c r="L31" s="496"/>
      <c r="M31" s="496"/>
      <c r="N31" s="496"/>
    </row>
    <row r="32" spans="1:14" s="324" customFormat="1" ht="15">
      <c r="A32" s="384" t="s">
        <v>805</v>
      </c>
      <c r="B32" s="384" t="s">
        <v>806</v>
      </c>
      <c r="C32" s="319"/>
      <c r="E32" s="496"/>
      <c r="F32" s="496"/>
      <c r="H32" s="496"/>
      <c r="I32" s="496"/>
      <c r="J32" s="496"/>
      <c r="K32" s="496"/>
      <c r="L32" s="496"/>
      <c r="M32" s="496"/>
      <c r="N32" s="496"/>
    </row>
    <row r="33" spans="1:14" s="324" customFormat="1" ht="15">
      <c r="A33" s="384" t="s">
        <v>807</v>
      </c>
      <c r="B33" s="384" t="s">
        <v>808</v>
      </c>
      <c r="C33" s="319"/>
      <c r="E33" s="496"/>
      <c r="F33" s="496"/>
      <c r="H33" s="496"/>
      <c r="I33" s="496"/>
      <c r="J33" s="496"/>
      <c r="K33" s="496"/>
      <c r="L33" s="496"/>
      <c r="M33" s="496"/>
      <c r="N33" s="496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8"/>
  <sheetViews>
    <sheetView zoomScaleNormal="100" workbookViewId="0">
      <pane xSplit="7" ySplit="1" topLeftCell="H2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2" width="7.7109375" style="334"/>
    <col min="3" max="3" width="39.5703125" style="334" customWidth="1"/>
    <col min="4" max="4" width="8" style="502" customWidth="1"/>
    <col min="5" max="5" width="5.140625" style="334" customWidth="1"/>
    <col min="6" max="7" width="11.140625" style="507" bestFit="1" customWidth="1"/>
    <col min="8" max="8" width="6.42578125" style="334" customWidth="1"/>
    <col min="9" max="9" width="11.140625" style="507" customWidth="1"/>
    <col min="10" max="10" width="10.28515625" style="507" bestFit="1" customWidth="1"/>
    <col min="11" max="11" width="9" style="507" bestFit="1" customWidth="1"/>
    <col min="12" max="16" width="10.28515625" style="507" bestFit="1" customWidth="1"/>
    <col min="17" max="17" width="12.5703125" style="334" bestFit="1" customWidth="1"/>
    <col min="18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809</v>
      </c>
      <c r="E1" s="493" t="s">
        <v>779</v>
      </c>
      <c r="F1" s="494" t="s">
        <v>780</v>
      </c>
      <c r="G1" s="494" t="s">
        <v>103</v>
      </c>
      <c r="H1" s="495"/>
      <c r="I1" s="495" t="s">
        <v>781</v>
      </c>
      <c r="J1" s="495">
        <v>44743</v>
      </c>
      <c r="K1" s="495">
        <v>44774</v>
      </c>
      <c r="L1" s="495">
        <v>44805</v>
      </c>
      <c r="M1" s="495">
        <v>44835</v>
      </c>
      <c r="N1" s="495">
        <v>44866</v>
      </c>
      <c r="O1" s="495">
        <v>44896</v>
      </c>
      <c r="P1" s="495">
        <v>44927</v>
      </c>
    </row>
    <row r="2" spans="1:16" s="503" customFormat="1">
      <c r="A2" s="502" t="s">
        <v>792</v>
      </c>
      <c r="B2" s="502" t="s">
        <v>810</v>
      </c>
      <c r="C2" s="334" t="s">
        <v>811</v>
      </c>
      <c r="D2" s="502" t="s">
        <v>812</v>
      </c>
      <c r="E2" s="503">
        <v>1</v>
      </c>
      <c r="F2" s="497">
        <v>5506099.2000000002</v>
      </c>
      <c r="G2" s="497">
        <f>E2*F2</f>
        <v>5506099.2000000002</v>
      </c>
      <c r="I2" s="497">
        <v>5093142.5</v>
      </c>
      <c r="J2" s="497">
        <v>0</v>
      </c>
      <c r="K2" s="497">
        <v>0</v>
      </c>
      <c r="L2" s="497">
        <f>82591.41*3</f>
        <v>247774.23</v>
      </c>
      <c r="M2" s="497">
        <v>0</v>
      </c>
      <c r="N2" s="497">
        <v>0</v>
      </c>
      <c r="O2" s="497">
        <v>0</v>
      </c>
      <c r="P2" s="497">
        <f>82591.41*3</f>
        <v>247774.23</v>
      </c>
    </row>
    <row r="3" spans="1:16" s="503" customFormat="1">
      <c r="A3" s="502" t="s">
        <v>792</v>
      </c>
      <c r="B3" s="502" t="s">
        <v>810</v>
      </c>
      <c r="C3" s="334" t="s">
        <v>813</v>
      </c>
      <c r="D3" s="502" t="s">
        <v>812</v>
      </c>
      <c r="E3" s="503">
        <v>1</v>
      </c>
      <c r="F3" s="497">
        <v>1514832.48</v>
      </c>
      <c r="G3" s="497">
        <f>E3*F3</f>
        <v>1514832.48</v>
      </c>
      <c r="I3" s="497">
        <v>1514832.4799999997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810</v>
      </c>
      <c r="C4" s="334" t="s">
        <v>814</v>
      </c>
      <c r="D4" s="502" t="s">
        <v>812</v>
      </c>
      <c r="E4" s="503">
        <v>1</v>
      </c>
      <c r="F4" s="497">
        <f>148030540.8</f>
        <v>148030540.80000001</v>
      </c>
      <c r="G4" s="497">
        <f>E4*F4</f>
        <v>148030540.80000001</v>
      </c>
      <c r="I4" s="497">
        <v>175187642.37108594</v>
      </c>
      <c r="J4" s="497">
        <v>0</v>
      </c>
      <c r="K4" s="497">
        <f>1079914.45600001*2</f>
        <v>2159828.91200002</v>
      </c>
      <c r="L4" s="497">
        <v>5000000</v>
      </c>
      <c r="M4" s="497">
        <v>3379914.45600001</v>
      </c>
      <c r="N4" s="497">
        <v>8379914.4560000096</v>
      </c>
      <c r="O4" s="497">
        <v>5000000</v>
      </c>
      <c r="P4" s="497">
        <v>7439743.3679999597</v>
      </c>
    </row>
    <row r="5" spans="1:16" s="503" customFormat="1">
      <c r="A5" s="502" t="s">
        <v>815</v>
      </c>
      <c r="B5" s="502" t="s">
        <v>810</v>
      </c>
      <c r="C5" s="334" t="s">
        <v>816</v>
      </c>
      <c r="D5" s="502" t="s">
        <v>812</v>
      </c>
      <c r="E5" s="503">
        <v>1</v>
      </c>
      <c r="F5" s="497">
        <v>30000000</v>
      </c>
      <c r="G5" s="497">
        <f>E5*F5</f>
        <v>30000000</v>
      </c>
      <c r="I5" s="497">
        <v>30000000</v>
      </c>
      <c r="J5" s="497">
        <v>0</v>
      </c>
      <c r="K5" s="497">
        <v>0</v>
      </c>
      <c r="L5" s="497">
        <v>0</v>
      </c>
      <c r="M5" s="497">
        <v>0</v>
      </c>
      <c r="N5" s="497">
        <v>0</v>
      </c>
      <c r="O5" s="497">
        <v>0</v>
      </c>
      <c r="P5" s="497">
        <v>0</v>
      </c>
    </row>
    <row r="6" spans="1:16" s="503" customFormat="1">
      <c r="A6" s="502" t="s">
        <v>797</v>
      </c>
      <c r="B6" s="502" t="s">
        <v>810</v>
      </c>
      <c r="C6" s="334" t="s">
        <v>798</v>
      </c>
      <c r="D6" s="502" t="s">
        <v>812</v>
      </c>
      <c r="E6" s="503">
        <v>1</v>
      </c>
      <c r="F6" s="497">
        <v>19158958.879999999</v>
      </c>
      <c r="G6" s="497">
        <f t="shared" ref="G6:G12" si="0">E6*F6</f>
        <v>19158958.879999999</v>
      </c>
      <c r="I6" s="497">
        <v>15058062.992000001</v>
      </c>
      <c r="J6" s="497">
        <v>0</v>
      </c>
      <c r="K6" s="497">
        <v>0</v>
      </c>
      <c r="L6" s="497">
        <f>511000*3</f>
        <v>1533000</v>
      </c>
      <c r="M6" s="497">
        <v>0</v>
      </c>
      <c r="N6" s="497">
        <v>0</v>
      </c>
      <c r="O6" s="497">
        <f>511000*4</f>
        <v>2044000</v>
      </c>
      <c r="P6" s="497">
        <v>0</v>
      </c>
    </row>
    <row r="7" spans="1:16" s="503" customFormat="1">
      <c r="A7" s="502" t="s">
        <v>799</v>
      </c>
      <c r="B7" s="502" t="s">
        <v>810</v>
      </c>
      <c r="C7" s="334" t="s">
        <v>800</v>
      </c>
      <c r="D7" s="502" t="s">
        <v>812</v>
      </c>
      <c r="E7" s="503">
        <v>1</v>
      </c>
      <c r="F7" s="497">
        <v>29820624.640000001</v>
      </c>
      <c r="G7" s="497">
        <f t="shared" si="0"/>
        <v>29820624.640000001</v>
      </c>
      <c r="I7" s="497">
        <v>23347000</v>
      </c>
      <c r="J7" s="497">
        <v>0</v>
      </c>
      <c r="K7" s="497">
        <v>0</v>
      </c>
      <c r="L7" s="497">
        <v>0</v>
      </c>
      <c r="M7" s="497">
        <f>733324.928*4</f>
        <v>2933299.7119999998</v>
      </c>
      <c r="N7" s="497">
        <v>0</v>
      </c>
      <c r="O7" s="497">
        <v>0</v>
      </c>
      <c r="P7" s="497">
        <f>733324.928*3</f>
        <v>2199974.784</v>
      </c>
    </row>
    <row r="8" spans="1:16" s="503" customFormat="1">
      <c r="A8" s="502" t="s">
        <v>792</v>
      </c>
      <c r="B8" s="502" t="s">
        <v>810</v>
      </c>
      <c r="C8" s="334" t="s">
        <v>811</v>
      </c>
      <c r="D8" s="502" t="s">
        <v>806</v>
      </c>
      <c r="E8" s="503">
        <v>1</v>
      </c>
      <c r="F8" s="497">
        <v>7079498.8799999999</v>
      </c>
      <c r="G8" s="497">
        <f t="shared" si="0"/>
        <v>7079498.8799999999</v>
      </c>
      <c r="I8" s="497">
        <v>6130846.1339999996</v>
      </c>
      <c r="J8" s="497">
        <v>0</v>
      </c>
      <c r="K8" s="497">
        <v>0</v>
      </c>
      <c r="L8" s="497">
        <v>0</v>
      </c>
      <c r="M8" s="497">
        <f>189730.568*4</f>
        <v>758922.272</v>
      </c>
      <c r="N8" s="497">
        <v>0</v>
      </c>
      <c r="O8" s="497">
        <v>0</v>
      </c>
      <c r="P8" s="497">
        <f>189730.568*3</f>
        <v>569191.70400000003</v>
      </c>
    </row>
    <row r="9" spans="1:16" s="503" customFormat="1">
      <c r="A9" s="502" t="s">
        <v>792</v>
      </c>
      <c r="B9" s="502" t="s">
        <v>810</v>
      </c>
      <c r="C9" s="334" t="s">
        <v>813</v>
      </c>
      <c r="D9" s="502" t="s">
        <v>806</v>
      </c>
      <c r="E9" s="503">
        <v>1</v>
      </c>
      <c r="F9" s="497">
        <v>1893322.5299999998</v>
      </c>
      <c r="G9" s="497">
        <f t="shared" si="0"/>
        <v>1893322.5299999998</v>
      </c>
      <c r="I9" s="497">
        <v>1893323</v>
      </c>
      <c r="J9" s="497">
        <v>0</v>
      </c>
      <c r="K9" s="497">
        <v>0</v>
      </c>
      <c r="L9" s="497">
        <v>0</v>
      </c>
      <c r="M9" s="497">
        <v>0</v>
      </c>
      <c r="N9" s="497">
        <v>0</v>
      </c>
      <c r="O9" s="497">
        <v>0</v>
      </c>
      <c r="P9" s="497">
        <v>0</v>
      </c>
    </row>
    <row r="10" spans="1:16" s="503" customFormat="1">
      <c r="A10" s="502" t="s">
        <v>795</v>
      </c>
      <c r="B10" s="502" t="s">
        <v>810</v>
      </c>
      <c r="C10" s="334" t="s">
        <v>814</v>
      </c>
      <c r="D10" s="502" t="s">
        <v>806</v>
      </c>
      <c r="E10" s="503">
        <v>1</v>
      </c>
      <c r="F10" s="497">
        <f>228903797.12</f>
        <v>228903797.12</v>
      </c>
      <c r="G10" s="497">
        <f t="shared" si="0"/>
        <v>228903797.12</v>
      </c>
      <c r="I10" s="497">
        <v>203026113.866</v>
      </c>
      <c r="J10" s="497">
        <v>0</v>
      </c>
      <c r="K10" s="497">
        <v>4688922.8140000002</v>
      </c>
      <c r="L10" s="497">
        <v>5000000</v>
      </c>
      <c r="M10" s="497">
        <f>4688922.814*3-5000000</f>
        <v>9066768.4420000017</v>
      </c>
      <c r="N10" s="497">
        <v>5000000</v>
      </c>
      <c r="O10" s="497">
        <v>6000000</v>
      </c>
      <c r="P10" s="497">
        <f>4688922.814*3</f>
        <v>14066768.442000002</v>
      </c>
    </row>
    <row r="11" spans="1:16" s="503" customFormat="1">
      <c r="A11" s="502" t="s">
        <v>797</v>
      </c>
      <c r="B11" s="502" t="s">
        <v>810</v>
      </c>
      <c r="C11" s="334" t="s">
        <v>798</v>
      </c>
      <c r="D11" s="502" t="s">
        <v>806</v>
      </c>
      <c r="E11" s="503">
        <v>1</v>
      </c>
      <c r="F11" s="497">
        <v>31818351.279999997</v>
      </c>
      <c r="G11" s="497">
        <f t="shared" si="0"/>
        <v>31818351.279999997</v>
      </c>
      <c r="I11" s="497">
        <v>28570351.279999997</v>
      </c>
      <c r="J11" s="497">
        <v>0</v>
      </c>
      <c r="K11" s="497">
        <v>0</v>
      </c>
      <c r="L11" s="497">
        <f>649599.944*4</f>
        <v>2598399.7760000001</v>
      </c>
      <c r="M11" s="497">
        <v>0</v>
      </c>
      <c r="N11" s="497">
        <v>0</v>
      </c>
      <c r="O11" s="497">
        <v>0</v>
      </c>
      <c r="P11" s="497">
        <f>649599.944*3</f>
        <v>1948799.8319999999</v>
      </c>
    </row>
    <row r="12" spans="1:16" s="503" customFormat="1">
      <c r="A12" s="502" t="s">
        <v>799</v>
      </c>
      <c r="B12" s="502" t="s">
        <v>810</v>
      </c>
      <c r="C12" s="334" t="s">
        <v>800</v>
      </c>
      <c r="D12" s="502" t="s">
        <v>806</v>
      </c>
      <c r="E12" s="503">
        <v>1</v>
      </c>
      <c r="F12" s="497">
        <v>29399077.189999998</v>
      </c>
      <c r="G12" s="497">
        <f t="shared" si="0"/>
        <v>29399077.189999998</v>
      </c>
      <c r="I12" s="497">
        <v>24886000</v>
      </c>
      <c r="J12" s="497">
        <v>0</v>
      </c>
      <c r="K12" s="497">
        <v>0</v>
      </c>
      <c r="L12" s="497">
        <v>0</v>
      </c>
      <c r="M12" s="497">
        <f>756615.4*4</f>
        <v>3026461.6</v>
      </c>
      <c r="N12" s="497">
        <v>0</v>
      </c>
      <c r="O12" s="497">
        <v>0</v>
      </c>
      <c r="P12" s="497">
        <f>756615.4*3</f>
        <v>2269846.2000000002</v>
      </c>
    </row>
    <row r="13" spans="1:16" s="503" customFormat="1" ht="12.75" thickBot="1">
      <c r="A13" s="502"/>
      <c r="B13" s="502"/>
      <c r="C13" s="334"/>
      <c r="D13" s="502"/>
      <c r="F13" s="504" t="s">
        <v>104</v>
      </c>
      <c r="G13" s="505">
        <f>SUM(G2:G12)</f>
        <v>533125102.99999994</v>
      </c>
      <c r="I13" s="505">
        <f t="shared" ref="I13:N13" si="1">SUM(I2:I12)</f>
        <v>514707314.62308592</v>
      </c>
      <c r="J13" s="505">
        <f t="shared" si="1"/>
        <v>0</v>
      </c>
      <c r="K13" s="505">
        <f t="shared" si="1"/>
        <v>6848751.7260000203</v>
      </c>
      <c r="L13" s="505">
        <f t="shared" si="1"/>
        <v>14379174.006000001</v>
      </c>
      <c r="M13" s="505">
        <f t="shared" si="1"/>
        <v>19165366.482000012</v>
      </c>
      <c r="N13" s="505">
        <f t="shared" si="1"/>
        <v>13379914.45600001</v>
      </c>
      <c r="O13" s="505">
        <f>SUM(O2:O12)</f>
        <v>13044000</v>
      </c>
      <c r="P13" s="505">
        <f>SUM(P2:P12)</f>
        <v>28742098.559999958</v>
      </c>
    </row>
    <row r="14" spans="1:16" s="503" customFormat="1" ht="12.75" thickTop="1">
      <c r="A14" s="502"/>
      <c r="B14" s="502"/>
      <c r="C14" s="334"/>
      <c r="D14" s="502"/>
      <c r="F14" s="497"/>
      <c r="G14" s="506"/>
      <c r="I14" s="497"/>
      <c r="J14" s="497"/>
      <c r="K14" s="497"/>
      <c r="L14" s="497"/>
      <c r="M14" s="497"/>
      <c r="N14" s="497"/>
      <c r="O14" s="497"/>
      <c r="P14" s="497"/>
    </row>
    <row r="15" spans="1:16">
      <c r="A15" s="491" t="s">
        <v>778</v>
      </c>
      <c r="B15" s="491" t="s">
        <v>778</v>
      </c>
      <c r="C15" s="492" t="s">
        <v>188</v>
      </c>
      <c r="D15" s="493" t="s">
        <v>809</v>
      </c>
      <c r="E15" s="493" t="s">
        <v>779</v>
      </c>
      <c r="F15" s="494" t="s">
        <v>780</v>
      </c>
      <c r="G15" s="494" t="s">
        <v>103</v>
      </c>
      <c r="H15" s="495"/>
      <c r="I15" s="495" t="str">
        <f t="shared" ref="I15:P16" si="2">I1</f>
        <v>Current</v>
      </c>
      <c r="J15" s="495">
        <f t="shared" si="2"/>
        <v>44743</v>
      </c>
      <c r="K15" s="495">
        <f t="shared" si="2"/>
        <v>44774</v>
      </c>
      <c r="L15" s="495">
        <f t="shared" si="2"/>
        <v>44805</v>
      </c>
      <c r="M15" s="495">
        <f t="shared" si="2"/>
        <v>44835</v>
      </c>
      <c r="N15" s="495">
        <f t="shared" si="2"/>
        <v>44866</v>
      </c>
      <c r="O15" s="495">
        <f t="shared" si="2"/>
        <v>44896</v>
      </c>
      <c r="P15" s="495">
        <f t="shared" si="2"/>
        <v>44927</v>
      </c>
    </row>
    <row r="16" spans="1:16" s="503" customFormat="1">
      <c r="A16" s="502" t="s">
        <v>792</v>
      </c>
      <c r="B16" s="502" t="s">
        <v>810</v>
      </c>
      <c r="C16" s="334" t="str">
        <f>C2</f>
        <v>Design &amp; Survey - Civil</v>
      </c>
      <c r="D16" s="502" t="s">
        <v>812</v>
      </c>
      <c r="E16" s="503">
        <v>1</v>
      </c>
      <c r="F16" s="497"/>
      <c r="G16" s="497"/>
      <c r="I16" s="497">
        <f>I2</f>
        <v>5093142.5</v>
      </c>
      <c r="J16" s="497">
        <f>J2</f>
        <v>0</v>
      </c>
      <c r="K16" s="497">
        <f t="shared" si="2"/>
        <v>0</v>
      </c>
      <c r="L16" s="497">
        <f t="shared" si="2"/>
        <v>247774.23</v>
      </c>
      <c r="M16" s="497">
        <f t="shared" si="2"/>
        <v>0</v>
      </c>
      <c r="N16" s="497">
        <f t="shared" si="2"/>
        <v>0</v>
      </c>
      <c r="O16" s="497">
        <f t="shared" si="2"/>
        <v>0</v>
      </c>
      <c r="P16" s="497">
        <f t="shared" si="2"/>
        <v>247774.23</v>
      </c>
    </row>
    <row r="17" spans="1:16" s="503" customFormat="1">
      <c r="A17" s="502" t="s">
        <v>795</v>
      </c>
      <c r="B17" s="502" t="s">
        <v>810</v>
      </c>
      <c r="C17" s="334" t="str">
        <f t="shared" ref="C17:C26" si="3">C3</f>
        <v>Design &amp; Survey- E&amp;M</v>
      </c>
      <c r="D17" s="502" t="s">
        <v>812</v>
      </c>
      <c r="E17" s="503">
        <v>1</v>
      </c>
      <c r="F17" s="497"/>
      <c r="G17" s="497"/>
      <c r="I17" s="497">
        <f t="shared" ref="I17:P17" si="4">I3</f>
        <v>1514832.4799999997</v>
      </c>
      <c r="J17" s="497">
        <f t="shared" si="4"/>
        <v>0</v>
      </c>
      <c r="K17" s="497">
        <f t="shared" si="4"/>
        <v>0</v>
      </c>
      <c r="L17" s="497">
        <f t="shared" si="4"/>
        <v>0</v>
      </c>
      <c r="M17" s="497">
        <f t="shared" si="4"/>
        <v>0</v>
      </c>
      <c r="N17" s="497">
        <f t="shared" si="4"/>
        <v>0</v>
      </c>
      <c r="O17" s="497">
        <f t="shared" si="4"/>
        <v>0</v>
      </c>
      <c r="P17" s="497">
        <f t="shared" si="4"/>
        <v>0</v>
      </c>
    </row>
    <row r="18" spans="1:16" s="503" customFormat="1">
      <c r="A18" s="502" t="s">
        <v>815</v>
      </c>
      <c r="B18" s="502" t="s">
        <v>810</v>
      </c>
      <c r="C18" s="334" t="str">
        <f t="shared" si="3"/>
        <v>Civil-Works Construction Of NEW Facitlities</v>
      </c>
      <c r="D18" s="502" t="s">
        <v>812</v>
      </c>
      <c r="E18" s="503">
        <v>1</v>
      </c>
      <c r="F18" s="497"/>
      <c r="G18" s="497"/>
      <c r="I18" s="497">
        <f>I4</f>
        <v>175187642.37108594</v>
      </c>
      <c r="J18" s="497">
        <v>5035692.0071428604</v>
      </c>
      <c r="K18" s="497">
        <v>4035692.00714286</v>
      </c>
      <c r="L18" s="497">
        <v>3535692.00714286</v>
      </c>
      <c r="M18" s="497">
        <v>5535692.0071428604</v>
      </c>
      <c r="N18" s="497">
        <v>4035692.00714286</v>
      </c>
      <c r="O18" s="497">
        <v>5035692.0071428604</v>
      </c>
      <c r="P18" s="497">
        <v>4535692.0071428586</v>
      </c>
    </row>
    <row r="19" spans="1:16" s="503" customFormat="1">
      <c r="A19" s="502" t="s">
        <v>797</v>
      </c>
      <c r="B19" s="502" t="s">
        <v>810</v>
      </c>
      <c r="C19" s="334" t="str">
        <f t="shared" si="3"/>
        <v>Soil Improvement</v>
      </c>
      <c r="D19" s="502" t="s">
        <v>812</v>
      </c>
      <c r="E19" s="503">
        <v>1</v>
      </c>
      <c r="F19" s="497"/>
      <c r="G19" s="497"/>
      <c r="I19" s="497">
        <f t="shared" ref="I19:I26" si="5">I6</f>
        <v>15058062.992000001</v>
      </c>
      <c r="J19" s="497">
        <f t="shared" ref="J19:P23" si="6">J5</f>
        <v>0</v>
      </c>
      <c r="K19" s="497">
        <f t="shared" si="6"/>
        <v>0</v>
      </c>
      <c r="L19" s="497">
        <f t="shared" si="6"/>
        <v>0</v>
      </c>
      <c r="M19" s="497">
        <f t="shared" si="6"/>
        <v>0</v>
      </c>
      <c r="N19" s="497">
        <f t="shared" si="6"/>
        <v>0</v>
      </c>
      <c r="O19" s="497">
        <f t="shared" si="6"/>
        <v>0</v>
      </c>
      <c r="P19" s="497">
        <f t="shared" si="6"/>
        <v>0</v>
      </c>
    </row>
    <row r="20" spans="1:16" s="503" customFormat="1">
      <c r="A20" s="502" t="s">
        <v>799</v>
      </c>
      <c r="B20" s="502" t="s">
        <v>810</v>
      </c>
      <c r="C20" s="334" t="str">
        <f t="shared" si="3"/>
        <v>Mechanical work</v>
      </c>
      <c r="D20" s="502" t="s">
        <v>812</v>
      </c>
      <c r="E20" s="503">
        <v>1</v>
      </c>
      <c r="F20" s="497"/>
      <c r="G20" s="497"/>
      <c r="I20" s="497">
        <f t="shared" si="5"/>
        <v>23347000</v>
      </c>
      <c r="J20" s="497">
        <f t="shared" si="6"/>
        <v>0</v>
      </c>
      <c r="K20" s="497">
        <f t="shared" si="6"/>
        <v>0</v>
      </c>
      <c r="L20" s="497">
        <f t="shared" si="6"/>
        <v>1533000</v>
      </c>
      <c r="M20" s="497">
        <f t="shared" si="6"/>
        <v>0</v>
      </c>
      <c r="N20" s="497">
        <f t="shared" si="6"/>
        <v>0</v>
      </c>
      <c r="O20" s="497">
        <f t="shared" si="6"/>
        <v>2044000</v>
      </c>
      <c r="P20" s="497">
        <f t="shared" si="6"/>
        <v>0</v>
      </c>
    </row>
    <row r="21" spans="1:16" s="503" customFormat="1">
      <c r="A21" s="502" t="s">
        <v>792</v>
      </c>
      <c r="B21" s="502" t="s">
        <v>810</v>
      </c>
      <c r="C21" s="334" t="str">
        <f t="shared" si="3"/>
        <v>Electrical work</v>
      </c>
      <c r="D21" s="502" t="s">
        <v>806</v>
      </c>
      <c r="E21" s="503">
        <v>1</v>
      </c>
      <c r="F21" s="497"/>
      <c r="G21" s="497"/>
      <c r="I21" s="497">
        <f t="shared" si="5"/>
        <v>6130846.1339999996</v>
      </c>
      <c r="J21" s="497">
        <f t="shared" si="6"/>
        <v>0</v>
      </c>
      <c r="K21" s="497">
        <f t="shared" si="6"/>
        <v>0</v>
      </c>
      <c r="L21" s="497">
        <f t="shared" si="6"/>
        <v>0</v>
      </c>
      <c r="M21" s="497">
        <f t="shared" si="6"/>
        <v>2933299.7119999998</v>
      </c>
      <c r="N21" s="497">
        <f t="shared" si="6"/>
        <v>0</v>
      </c>
      <c r="O21" s="497">
        <f t="shared" si="6"/>
        <v>0</v>
      </c>
      <c r="P21" s="497">
        <f t="shared" si="6"/>
        <v>2199974.784</v>
      </c>
    </row>
    <row r="22" spans="1:16" s="503" customFormat="1">
      <c r="A22" s="502" t="s">
        <v>795</v>
      </c>
      <c r="B22" s="502" t="s">
        <v>810</v>
      </c>
      <c r="C22" s="334" t="str">
        <f t="shared" si="3"/>
        <v>Design &amp; Survey - Civil</v>
      </c>
      <c r="D22" s="502" t="s">
        <v>806</v>
      </c>
      <c r="E22" s="503">
        <v>1</v>
      </c>
      <c r="F22" s="497"/>
      <c r="G22" s="497"/>
      <c r="I22" s="497">
        <f t="shared" si="5"/>
        <v>1893323</v>
      </c>
      <c r="J22" s="497">
        <f t="shared" si="6"/>
        <v>0</v>
      </c>
      <c r="K22" s="497">
        <f t="shared" si="6"/>
        <v>0</v>
      </c>
      <c r="L22" s="497">
        <f t="shared" si="6"/>
        <v>0</v>
      </c>
      <c r="M22" s="497">
        <f t="shared" si="6"/>
        <v>758922.272</v>
      </c>
      <c r="N22" s="497">
        <f t="shared" si="6"/>
        <v>0</v>
      </c>
      <c r="O22" s="497">
        <f t="shared" si="6"/>
        <v>0</v>
      </c>
      <c r="P22" s="497">
        <f t="shared" si="6"/>
        <v>569191.70400000003</v>
      </c>
    </row>
    <row r="23" spans="1:16" s="503" customFormat="1">
      <c r="A23" s="502" t="s">
        <v>797</v>
      </c>
      <c r="B23" s="502" t="s">
        <v>810</v>
      </c>
      <c r="C23" s="334" t="str">
        <f t="shared" si="3"/>
        <v>Design &amp; Survey- E&amp;M</v>
      </c>
      <c r="D23" s="502" t="s">
        <v>806</v>
      </c>
      <c r="E23" s="503">
        <v>1</v>
      </c>
      <c r="F23" s="497"/>
      <c r="G23" s="497"/>
      <c r="I23" s="497">
        <f t="shared" si="5"/>
        <v>203026113.866</v>
      </c>
      <c r="J23" s="497">
        <f t="shared" si="6"/>
        <v>0</v>
      </c>
      <c r="K23" s="497">
        <f t="shared" si="6"/>
        <v>0</v>
      </c>
      <c r="L23" s="497">
        <f t="shared" si="6"/>
        <v>0</v>
      </c>
      <c r="M23" s="497">
        <f t="shared" si="6"/>
        <v>0</v>
      </c>
      <c r="N23" s="497">
        <f t="shared" si="6"/>
        <v>0</v>
      </c>
      <c r="O23" s="497">
        <f t="shared" si="6"/>
        <v>0</v>
      </c>
      <c r="P23" s="497">
        <f t="shared" si="6"/>
        <v>0</v>
      </c>
    </row>
    <row r="24" spans="1:16" s="503" customFormat="1">
      <c r="A24" s="502" t="s">
        <v>799</v>
      </c>
      <c r="B24" s="502" t="s">
        <v>810</v>
      </c>
      <c r="C24" s="334" t="str">
        <f t="shared" si="3"/>
        <v>Civil-Works Construction Of NEW Facitlities</v>
      </c>
      <c r="D24" s="502" t="s">
        <v>806</v>
      </c>
      <c r="E24" s="503">
        <v>1</v>
      </c>
      <c r="F24" s="497"/>
      <c r="G24" s="497"/>
      <c r="I24" s="497">
        <f t="shared" si="5"/>
        <v>28570351.279999997</v>
      </c>
      <c r="J24" s="497">
        <v>6298672.5857142899</v>
      </c>
      <c r="K24" s="497">
        <v>5298672.5857142899</v>
      </c>
      <c r="L24" s="497">
        <v>3298672.5857142899</v>
      </c>
      <c r="M24" s="497">
        <v>3298672.5857142899</v>
      </c>
      <c r="N24" s="497">
        <v>19298672.585714199</v>
      </c>
      <c r="O24" s="497">
        <v>19298672.585714199</v>
      </c>
      <c r="P24" s="497">
        <v>8298672.5857142899</v>
      </c>
    </row>
    <row r="25" spans="1:16" s="503" customFormat="1">
      <c r="A25" s="502" t="s">
        <v>799</v>
      </c>
      <c r="B25" s="502" t="s">
        <v>810</v>
      </c>
      <c r="C25" s="334" t="str">
        <f t="shared" si="3"/>
        <v>Mechanical work</v>
      </c>
      <c r="D25" s="502" t="s">
        <v>806</v>
      </c>
      <c r="E25" s="503">
        <v>1</v>
      </c>
      <c r="F25" s="497"/>
      <c r="G25" s="497"/>
      <c r="I25" s="497">
        <f t="shared" si="5"/>
        <v>24886000</v>
      </c>
      <c r="J25" s="497">
        <f t="shared" ref="J25:P26" si="7">J11</f>
        <v>0</v>
      </c>
      <c r="K25" s="497">
        <f t="shared" si="7"/>
        <v>0</v>
      </c>
      <c r="L25" s="497">
        <f t="shared" si="7"/>
        <v>2598399.7760000001</v>
      </c>
      <c r="M25" s="497">
        <f t="shared" si="7"/>
        <v>0</v>
      </c>
      <c r="N25" s="497">
        <f t="shared" si="7"/>
        <v>0</v>
      </c>
      <c r="O25" s="497">
        <f t="shared" si="7"/>
        <v>0</v>
      </c>
      <c r="P25" s="497">
        <f t="shared" si="7"/>
        <v>1948799.8319999999</v>
      </c>
    </row>
    <row r="26" spans="1:16" s="503" customFormat="1">
      <c r="A26" s="502" t="s">
        <v>799</v>
      </c>
      <c r="B26" s="502" t="s">
        <v>810</v>
      </c>
      <c r="C26" s="334" t="str">
        <f t="shared" si="3"/>
        <v>Electrical work</v>
      </c>
      <c r="D26" s="502" t="s">
        <v>806</v>
      </c>
      <c r="E26" s="503">
        <v>1</v>
      </c>
      <c r="F26" s="497"/>
      <c r="G26" s="497"/>
      <c r="I26" s="497">
        <f t="shared" si="5"/>
        <v>514707314.62308592</v>
      </c>
      <c r="J26" s="497">
        <f t="shared" si="7"/>
        <v>0</v>
      </c>
      <c r="K26" s="497">
        <f t="shared" si="7"/>
        <v>0</v>
      </c>
      <c r="L26" s="497">
        <f t="shared" si="7"/>
        <v>0</v>
      </c>
      <c r="M26" s="497">
        <f t="shared" si="7"/>
        <v>3026461.6</v>
      </c>
      <c r="N26" s="497">
        <f t="shared" si="7"/>
        <v>0</v>
      </c>
      <c r="O26" s="497">
        <f t="shared" si="7"/>
        <v>0</v>
      </c>
      <c r="P26" s="497">
        <f t="shared" si="7"/>
        <v>2269846.2000000002</v>
      </c>
    </row>
    <row r="27" spans="1:16" s="503" customFormat="1" ht="12.75" thickBot="1">
      <c r="A27" s="502"/>
      <c r="B27" s="502"/>
      <c r="C27" s="334"/>
      <c r="D27" s="502"/>
      <c r="F27" s="504" t="s">
        <v>104</v>
      </c>
      <c r="G27" s="505">
        <f>SUM(G16:G24)</f>
        <v>0</v>
      </c>
      <c r="I27" s="505">
        <f t="shared" ref="I27:N27" si="8">SUM(I16:I24)</f>
        <v>459821314.62308592</v>
      </c>
      <c r="J27" s="505">
        <f t="shared" si="8"/>
        <v>11334364.59285715</v>
      </c>
      <c r="K27" s="505">
        <f t="shared" si="8"/>
        <v>9334364.5928571504</v>
      </c>
      <c r="L27" s="505">
        <f t="shared" si="8"/>
        <v>8615138.8228571489</v>
      </c>
      <c r="M27" s="505">
        <f t="shared" si="8"/>
        <v>12526586.57685715</v>
      </c>
      <c r="N27" s="505">
        <f t="shared" si="8"/>
        <v>23334364.592857059</v>
      </c>
      <c r="O27" s="505">
        <f>SUM(O16:O24)</f>
        <v>26378364.592857059</v>
      </c>
      <c r="P27" s="505">
        <f>SUM(P16:P24)</f>
        <v>15851305.310857149</v>
      </c>
    </row>
    <row r="28" spans="1:16" s="503" customFormat="1" ht="12.75" thickTop="1">
      <c r="A28" s="502"/>
      <c r="B28" s="502"/>
      <c r="C28" s="334"/>
      <c r="D28" s="502"/>
      <c r="F28" s="497">
        <f>F19*80%*1.125+F19*20%</f>
        <v>0</v>
      </c>
      <c r="G28" s="497">
        <f>G13-G27</f>
        <v>533125102.99999994</v>
      </c>
      <c r="I28" s="497"/>
      <c r="J28" s="497"/>
      <c r="K28" s="497"/>
      <c r="L28" s="497"/>
      <c r="M28" s="497"/>
      <c r="N28" s="497"/>
      <c r="O28" s="497"/>
      <c r="P28" s="497"/>
    </row>
  </sheetData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0"/>
  <sheetViews>
    <sheetView zoomScaleNormal="100" workbookViewId="0">
      <pane xSplit="6" ySplit="1" topLeftCell="P2" activePane="bottomRight" state="frozen"/>
      <selection activeCell="U8" sqref="U8"/>
      <selection pane="topRight" activeCell="U8" sqref="U8"/>
      <selection pane="bottomLeft" activeCell="U8" sqref="U8"/>
      <selection pane="bottomRight" activeCell="Y8" sqref="Y8"/>
    </sheetView>
  </sheetViews>
  <sheetFormatPr defaultColWidth="7.7109375" defaultRowHeight="12"/>
  <cols>
    <col min="1" max="2" width="7.7109375" style="334"/>
    <col min="3" max="3" width="39.5703125" style="334" customWidth="1"/>
    <col min="4" max="4" width="5.140625" style="334" customWidth="1"/>
    <col min="5" max="5" width="11.140625" style="334" customWidth="1"/>
    <col min="6" max="6" width="11.85546875" style="334" customWidth="1"/>
    <col min="7" max="7" width="6" style="334" customWidth="1"/>
    <col min="8" max="8" width="11.140625" style="334" customWidth="1"/>
    <col min="9" max="11" width="9" style="334" bestFit="1" customWidth="1"/>
    <col min="12" max="16" width="10.28515625" style="334" bestFit="1" customWidth="1"/>
    <col min="17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779</v>
      </c>
      <c r="E1" s="493" t="s">
        <v>780</v>
      </c>
      <c r="F1" s="493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  <c r="O1" s="495">
        <v>44927</v>
      </c>
      <c r="P1" s="495">
        <v>44958</v>
      </c>
    </row>
    <row r="2" spans="1:16" s="503" customFormat="1">
      <c r="A2" s="502" t="s">
        <v>792</v>
      </c>
      <c r="B2" s="502" t="s">
        <v>817</v>
      </c>
      <c r="C2" s="334" t="s">
        <v>811</v>
      </c>
      <c r="D2" s="503">
        <v>1</v>
      </c>
      <c r="E2" s="497">
        <v>3121121.6999999997</v>
      </c>
      <c r="F2" s="497">
        <f t="shared" ref="F2:F7" si="0">D2*E2</f>
        <v>3121121.6999999997</v>
      </c>
      <c r="H2" s="497">
        <v>2840221.02</v>
      </c>
      <c r="I2" s="497">
        <v>0</v>
      </c>
      <c r="J2" s="497">
        <v>0</v>
      </c>
      <c r="K2" s="497">
        <v>0</v>
      </c>
      <c r="L2" s="497">
        <v>0</v>
      </c>
      <c r="M2" s="497">
        <v>280900.98</v>
      </c>
      <c r="N2" s="497">
        <v>0</v>
      </c>
      <c r="O2" s="497">
        <v>0</v>
      </c>
      <c r="P2" s="497">
        <v>0</v>
      </c>
    </row>
    <row r="3" spans="1:16" s="503" customFormat="1">
      <c r="A3" s="502" t="s">
        <v>792</v>
      </c>
      <c r="B3" s="502" t="s">
        <v>817</v>
      </c>
      <c r="C3" s="334" t="s">
        <v>818</v>
      </c>
      <c r="D3" s="503">
        <v>1</v>
      </c>
      <c r="E3" s="497">
        <v>6789943.3199999994</v>
      </c>
      <c r="F3" s="497">
        <f t="shared" si="0"/>
        <v>6789943.3199999994</v>
      </c>
      <c r="G3" s="508"/>
      <c r="H3" s="497">
        <v>6789942.9999999953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817</v>
      </c>
      <c r="C4" s="334" t="s">
        <v>796</v>
      </c>
      <c r="D4" s="503">
        <v>1</v>
      </c>
      <c r="E4" s="497">
        <v>25064129.73</v>
      </c>
      <c r="F4" s="497">
        <f t="shared" si="0"/>
        <v>25064129.73</v>
      </c>
      <c r="G4" s="509"/>
      <c r="H4" s="497">
        <v>18484653.034123488</v>
      </c>
      <c r="I4" s="497">
        <v>0</v>
      </c>
      <c r="J4" s="497">
        <v>0</v>
      </c>
      <c r="K4" s="497">
        <v>1030168.46043999</v>
      </c>
      <c r="L4" s="497">
        <v>1530168.46043999</v>
      </c>
      <c r="M4" s="497">
        <v>1590505.38132002</v>
      </c>
      <c r="N4" s="497">
        <v>0</v>
      </c>
      <c r="O4" s="497">
        <v>0</v>
      </c>
      <c r="P4" s="497">
        <v>0</v>
      </c>
    </row>
    <row r="5" spans="1:16" s="503" customFormat="1">
      <c r="A5" s="502" t="s">
        <v>795</v>
      </c>
      <c r="B5" s="502" t="s">
        <v>817</v>
      </c>
      <c r="C5" s="334" t="s">
        <v>814</v>
      </c>
      <c r="D5" s="503">
        <v>1</v>
      </c>
      <c r="E5" s="497">
        <v>75852138.569999993</v>
      </c>
      <c r="F5" s="497">
        <f t="shared" si="0"/>
        <v>75852138.569999993</v>
      </c>
      <c r="G5" s="508"/>
      <c r="H5" s="497">
        <v>72449957.779040515</v>
      </c>
      <c r="I5" s="497">
        <v>0</v>
      </c>
      <c r="J5" s="497">
        <v>0</v>
      </c>
      <c r="K5" s="497">
        <v>4093261.8480000002</v>
      </c>
      <c r="L5" s="497">
        <v>5093261.8480000002</v>
      </c>
      <c r="M5" s="497">
        <v>5093261.8480000002</v>
      </c>
      <c r="N5" s="497">
        <v>5093261.8480000002</v>
      </c>
      <c r="O5" s="497">
        <v>9093261.84799999</v>
      </c>
      <c r="P5" s="497">
        <v>0</v>
      </c>
    </row>
    <row r="6" spans="1:16" s="503" customFormat="1">
      <c r="A6" s="502" t="s">
        <v>797</v>
      </c>
      <c r="B6" s="502" t="s">
        <v>817</v>
      </c>
      <c r="C6" s="334" t="s">
        <v>798</v>
      </c>
      <c r="D6" s="503">
        <v>1</v>
      </c>
      <c r="E6" s="497">
        <v>117586244.03999999</v>
      </c>
      <c r="F6" s="497">
        <f t="shared" si="0"/>
        <v>117586244.03999999</v>
      </c>
      <c r="H6" s="497">
        <v>112189144</v>
      </c>
      <c r="I6" s="497">
        <v>0</v>
      </c>
      <c r="J6" s="497">
        <v>0</v>
      </c>
      <c r="K6" s="497">
        <v>880420.20000001485</v>
      </c>
      <c r="L6" s="497">
        <v>0</v>
      </c>
      <c r="M6" s="497">
        <v>1980420.20000001</v>
      </c>
      <c r="N6" s="497">
        <v>0</v>
      </c>
      <c r="O6" s="497">
        <v>1541260.6000000499</v>
      </c>
      <c r="P6" s="497">
        <v>0</v>
      </c>
    </row>
    <row r="7" spans="1:16" s="503" customFormat="1">
      <c r="A7" s="502" t="s">
        <v>799</v>
      </c>
      <c r="B7" s="502" t="s">
        <v>817</v>
      </c>
      <c r="C7" s="334" t="s">
        <v>800</v>
      </c>
      <c r="D7" s="503">
        <v>1</v>
      </c>
      <c r="E7" s="497">
        <v>101955256.64</v>
      </c>
      <c r="F7" s="497">
        <f t="shared" si="0"/>
        <v>101955256.64</v>
      </c>
      <c r="G7" s="508"/>
      <c r="H7" s="497">
        <f>89674276+6444227.8</f>
        <v>96118503.799999997</v>
      </c>
      <c r="I7" s="497">
        <v>0</v>
      </c>
      <c r="J7" s="497">
        <v>0</v>
      </c>
      <c r="K7" s="497">
        <v>1508267.8396000087</v>
      </c>
      <c r="L7" s="497">
        <v>0</v>
      </c>
      <c r="M7" s="497">
        <v>4508267.8396000098</v>
      </c>
      <c r="N7" s="497">
        <v>0</v>
      </c>
      <c r="O7" s="497">
        <v>1524803.51880002</v>
      </c>
      <c r="P7" s="497">
        <v>0</v>
      </c>
    </row>
    <row r="8" spans="1:16" s="503" customFormat="1" ht="12.75" thickBot="1">
      <c r="A8" s="502"/>
      <c r="B8" s="502"/>
      <c r="C8" s="334"/>
      <c r="E8" s="504" t="s">
        <v>104</v>
      </c>
      <c r="F8" s="505">
        <f>SUM(F2:F7)</f>
        <v>330368834</v>
      </c>
      <c r="H8" s="505">
        <f t="shared" ref="H8:M8" si="1">SUM(H2:H7)</f>
        <v>308872422.63316399</v>
      </c>
      <c r="I8" s="505">
        <f t="shared" si="1"/>
        <v>0</v>
      </c>
      <c r="J8" s="505">
        <f t="shared" si="1"/>
        <v>0</v>
      </c>
      <c r="K8" s="505">
        <f t="shared" si="1"/>
        <v>7512118.3480400145</v>
      </c>
      <c r="L8" s="505">
        <f t="shared" si="1"/>
        <v>6623430.3084399905</v>
      </c>
      <c r="M8" s="505">
        <f t="shared" si="1"/>
        <v>13453356.24892004</v>
      </c>
      <c r="N8" s="505">
        <f>SUM(N2:N7)</f>
        <v>5093261.8480000002</v>
      </c>
      <c r="O8" s="505">
        <f>SUM(O2:O7)</f>
        <v>12159325.96680006</v>
      </c>
      <c r="P8" s="505">
        <f>SUM(P2:P7)</f>
        <v>0</v>
      </c>
    </row>
    <row r="9" spans="1:16" s="503" customFormat="1" ht="12.75" thickTop="1">
      <c r="A9" s="502"/>
      <c r="B9" s="502"/>
      <c r="C9" s="334"/>
      <c r="E9" s="504"/>
      <c r="F9" s="506"/>
      <c r="H9" s="497"/>
      <c r="I9" s="497"/>
      <c r="J9" s="497"/>
      <c r="K9" s="497"/>
      <c r="L9" s="497"/>
      <c r="M9" s="497"/>
      <c r="N9" s="497"/>
      <c r="O9" s="497"/>
      <c r="P9" s="497"/>
    </row>
    <row r="10" spans="1:16">
      <c r="A10" s="491" t="s">
        <v>778</v>
      </c>
      <c r="B10" s="491" t="s">
        <v>778</v>
      </c>
      <c r="C10" s="492" t="s">
        <v>188</v>
      </c>
      <c r="D10" s="493" t="s">
        <v>779</v>
      </c>
      <c r="E10" s="494" t="s">
        <v>780</v>
      </c>
      <c r="F10" s="494" t="s">
        <v>103</v>
      </c>
      <c r="G10" s="495"/>
      <c r="H10" s="495" t="str">
        <f t="shared" ref="H10:M16" si="2">H1</f>
        <v>Current</v>
      </c>
      <c r="I10" s="495">
        <f t="shared" si="2"/>
        <v>44743</v>
      </c>
      <c r="J10" s="495">
        <f t="shared" si="2"/>
        <v>44774</v>
      </c>
      <c r="K10" s="495">
        <f t="shared" si="2"/>
        <v>44805</v>
      </c>
      <c r="L10" s="495">
        <f t="shared" si="2"/>
        <v>44835</v>
      </c>
      <c r="M10" s="495">
        <f t="shared" si="2"/>
        <v>44866</v>
      </c>
      <c r="N10" s="495">
        <f>N1</f>
        <v>44896</v>
      </c>
      <c r="O10" s="495">
        <f>O1</f>
        <v>44927</v>
      </c>
      <c r="P10" s="495">
        <f>P1</f>
        <v>44958</v>
      </c>
    </row>
    <row r="11" spans="1:16" s="503" customFormat="1">
      <c r="A11" s="502" t="s">
        <v>792</v>
      </c>
      <c r="B11" s="502" t="s">
        <v>810</v>
      </c>
      <c r="C11" s="334" t="s">
        <v>811</v>
      </c>
      <c r="D11" s="503">
        <v>1</v>
      </c>
      <c r="E11" s="497">
        <v>4234139.8608105937</v>
      </c>
      <c r="F11" s="497">
        <f t="shared" ref="F11:F16" si="3">D11*E11</f>
        <v>4234139.8608105937</v>
      </c>
      <c r="H11" s="497">
        <f t="shared" si="2"/>
        <v>2840221.02</v>
      </c>
      <c r="I11" s="497">
        <f t="shared" ref="I11:J16" si="4">(I2)*1.33</f>
        <v>0</v>
      </c>
      <c r="J11" s="497">
        <f t="shared" si="4"/>
        <v>0</v>
      </c>
      <c r="K11" s="497">
        <v>0</v>
      </c>
      <c r="L11" s="497">
        <f t="shared" ref="L11:P16" si="5">(K2*1.25)*1.33</f>
        <v>0</v>
      </c>
      <c r="M11" s="497">
        <f t="shared" si="5"/>
        <v>0</v>
      </c>
      <c r="N11" s="497">
        <f t="shared" si="5"/>
        <v>466997.87925</v>
      </c>
      <c r="O11" s="497">
        <f t="shared" si="5"/>
        <v>0</v>
      </c>
      <c r="P11" s="497">
        <f t="shared" si="5"/>
        <v>0</v>
      </c>
    </row>
    <row r="12" spans="1:16" s="503" customFormat="1">
      <c r="A12" s="502" t="s">
        <v>795</v>
      </c>
      <c r="B12" s="502" t="s">
        <v>810</v>
      </c>
      <c r="C12" s="334" t="s">
        <v>818</v>
      </c>
      <c r="D12" s="503">
        <v>1</v>
      </c>
      <c r="E12" s="497">
        <v>9211669.8113938048</v>
      </c>
      <c r="F12" s="497">
        <f t="shared" si="3"/>
        <v>9211669.8113938048</v>
      </c>
      <c r="H12" s="497">
        <f t="shared" si="2"/>
        <v>6789942.9999999953</v>
      </c>
      <c r="I12" s="497">
        <f t="shared" si="4"/>
        <v>0</v>
      </c>
      <c r="J12" s="497">
        <f t="shared" si="4"/>
        <v>0</v>
      </c>
      <c r="K12" s="497">
        <v>0</v>
      </c>
      <c r="L12" s="497">
        <f t="shared" si="5"/>
        <v>0</v>
      </c>
      <c r="M12" s="497">
        <f t="shared" si="5"/>
        <v>0</v>
      </c>
      <c r="N12" s="497">
        <f t="shared" si="5"/>
        <v>0</v>
      </c>
      <c r="O12" s="497">
        <f t="shared" si="5"/>
        <v>0</v>
      </c>
      <c r="P12" s="497">
        <f t="shared" si="5"/>
        <v>0</v>
      </c>
    </row>
    <row r="13" spans="1:16" s="503" customFormat="1">
      <c r="A13" s="502" t="s">
        <v>797</v>
      </c>
      <c r="B13" s="502" t="s">
        <v>810</v>
      </c>
      <c r="C13" s="334" t="s">
        <v>796</v>
      </c>
      <c r="D13" s="503">
        <v>1</v>
      </c>
      <c r="E13" s="497">
        <v>33997718.323481195</v>
      </c>
      <c r="F13" s="497">
        <f t="shared" si="3"/>
        <v>33997718.323481195</v>
      </c>
      <c r="H13" s="497">
        <f t="shared" si="2"/>
        <v>18484653.034123488</v>
      </c>
      <c r="I13" s="497">
        <f t="shared" si="4"/>
        <v>0</v>
      </c>
      <c r="J13" s="497">
        <f t="shared" si="4"/>
        <v>0</v>
      </c>
      <c r="K13" s="497">
        <v>0</v>
      </c>
      <c r="L13" s="497">
        <f t="shared" si="5"/>
        <v>1712655.0654814837</v>
      </c>
      <c r="M13" s="497">
        <f t="shared" si="5"/>
        <v>2543905.0654814835</v>
      </c>
      <c r="N13" s="497">
        <f t="shared" si="5"/>
        <v>2644215.1964445333</v>
      </c>
      <c r="O13" s="497">
        <f t="shared" si="5"/>
        <v>0</v>
      </c>
      <c r="P13" s="497">
        <f t="shared" si="5"/>
        <v>0</v>
      </c>
    </row>
    <row r="14" spans="1:16" s="503" customFormat="1">
      <c r="A14" s="502" t="s">
        <v>799</v>
      </c>
      <c r="B14" s="502" t="s">
        <v>810</v>
      </c>
      <c r="C14" s="334" t="s">
        <v>814</v>
      </c>
      <c r="D14" s="503">
        <v>1</v>
      </c>
      <c r="E14" s="497">
        <f>102906137.176061-25000000</f>
        <v>77906137.176061004</v>
      </c>
      <c r="F14" s="497">
        <f t="shared" si="3"/>
        <v>77906137.176061004</v>
      </c>
      <c r="H14" s="497">
        <f t="shared" si="2"/>
        <v>72449957.779040515</v>
      </c>
      <c r="I14" s="497">
        <f t="shared" si="4"/>
        <v>0</v>
      </c>
      <c r="J14" s="497">
        <f t="shared" si="4"/>
        <v>0</v>
      </c>
      <c r="K14" s="497">
        <v>0</v>
      </c>
      <c r="L14" s="497">
        <f t="shared" si="5"/>
        <v>6805047.822300001</v>
      </c>
      <c r="M14" s="497">
        <f t="shared" si="5"/>
        <v>8467547.822300002</v>
      </c>
      <c r="N14" s="497">
        <f t="shared" si="5"/>
        <v>8467547.822300002</v>
      </c>
      <c r="O14" s="497">
        <f t="shared" si="5"/>
        <v>8467547.822300002</v>
      </c>
      <c r="P14" s="497">
        <f t="shared" si="5"/>
        <v>15117547.822299983</v>
      </c>
    </row>
    <row r="15" spans="1:16" s="503" customFormat="1">
      <c r="A15" s="502" t="s">
        <v>792</v>
      </c>
      <c r="B15" s="502" t="s">
        <v>810</v>
      </c>
      <c r="C15" s="334" t="s">
        <v>798</v>
      </c>
      <c r="D15" s="503">
        <v>1</v>
      </c>
      <c r="E15" s="497">
        <f>159524992.096466+6500000</f>
        <v>166024992.096466</v>
      </c>
      <c r="F15" s="497">
        <f t="shared" si="3"/>
        <v>166024992.096466</v>
      </c>
      <c r="H15" s="497">
        <f t="shared" si="2"/>
        <v>112189144</v>
      </c>
      <c r="I15" s="497">
        <f t="shared" si="4"/>
        <v>0</v>
      </c>
      <c r="J15" s="497">
        <f t="shared" si="4"/>
        <v>0</v>
      </c>
      <c r="K15" s="497">
        <v>0</v>
      </c>
      <c r="L15" s="497">
        <f t="shared" si="5"/>
        <v>1463698.5825000249</v>
      </c>
      <c r="M15" s="497">
        <f t="shared" si="5"/>
        <v>0</v>
      </c>
      <c r="N15" s="497">
        <f t="shared" si="5"/>
        <v>3292448.5825000168</v>
      </c>
      <c r="O15" s="497">
        <f t="shared" si="5"/>
        <v>0</v>
      </c>
      <c r="P15" s="497">
        <f t="shared" si="5"/>
        <v>2562345.7475000829</v>
      </c>
    </row>
    <row r="16" spans="1:16" s="503" customFormat="1">
      <c r="A16" s="502" t="s">
        <v>795</v>
      </c>
      <c r="B16" s="502" t="s">
        <v>810</v>
      </c>
      <c r="C16" s="334" t="s">
        <v>800</v>
      </c>
      <c r="D16" s="503">
        <v>1</v>
      </c>
      <c r="E16" s="497">
        <v>138318998.47193363</v>
      </c>
      <c r="F16" s="497">
        <f t="shared" si="3"/>
        <v>138318998.47193363</v>
      </c>
      <c r="H16" s="497">
        <f t="shared" si="2"/>
        <v>96118503.799999997</v>
      </c>
      <c r="I16" s="497">
        <f t="shared" si="4"/>
        <v>0</v>
      </c>
      <c r="J16" s="497">
        <f t="shared" si="4"/>
        <v>0</v>
      </c>
      <c r="K16" s="497">
        <v>0</v>
      </c>
      <c r="L16" s="497">
        <f t="shared" si="5"/>
        <v>2507495.2833350147</v>
      </c>
      <c r="M16" s="497">
        <f t="shared" si="5"/>
        <v>0</v>
      </c>
      <c r="N16" s="497">
        <f t="shared" si="5"/>
        <v>7494995.283335017</v>
      </c>
      <c r="O16" s="497">
        <f t="shared" si="5"/>
        <v>0</v>
      </c>
      <c r="P16" s="497">
        <f t="shared" si="5"/>
        <v>2534985.8500050334</v>
      </c>
    </row>
    <row r="17" spans="1:16" s="503" customFormat="1" ht="12.75" thickBot="1">
      <c r="A17" s="502"/>
      <c r="B17" s="502"/>
      <c r="C17" s="334"/>
      <c r="E17" s="504" t="s">
        <v>104</v>
      </c>
      <c r="F17" s="505">
        <f>SUM(F11:F16)</f>
        <v>429693655.74014628</v>
      </c>
      <c r="H17" s="505">
        <f t="shared" ref="H17:M17" si="6">SUM(H11:H16)</f>
        <v>308872422.63316399</v>
      </c>
      <c r="I17" s="505">
        <f t="shared" si="6"/>
        <v>0</v>
      </c>
      <c r="J17" s="505">
        <f t="shared" si="6"/>
        <v>0</v>
      </c>
      <c r="K17" s="505">
        <f t="shared" si="6"/>
        <v>0</v>
      </c>
      <c r="L17" s="505">
        <f t="shared" si="6"/>
        <v>12488896.753616525</v>
      </c>
      <c r="M17" s="505">
        <f t="shared" si="6"/>
        <v>11011452.887781486</v>
      </c>
      <c r="N17" s="505">
        <f>SUM(N11:N16)</f>
        <v>22366204.763829567</v>
      </c>
      <c r="O17" s="505">
        <f>SUM(O11:O16)</f>
        <v>8467547.822300002</v>
      </c>
      <c r="P17" s="505">
        <f>SUM(P11:P16)</f>
        <v>20214879.419805102</v>
      </c>
    </row>
    <row r="18" spans="1:16" s="503" customFormat="1" ht="12.75" thickTop="1">
      <c r="A18" s="502"/>
      <c r="B18" s="502"/>
      <c r="C18" s="334"/>
      <c r="E18" s="497"/>
      <c r="F18" s="497">
        <f>F8-F17</f>
        <v>-99324821.740146279</v>
      </c>
    </row>
    <row r="19" spans="1:16" s="503" customFormat="1">
      <c r="A19" s="502"/>
      <c r="B19" s="502"/>
      <c r="C19" s="334"/>
    </row>
    <row r="20" spans="1:16" s="503" customFormat="1">
      <c r="A20" s="502"/>
      <c r="B20" s="502"/>
      <c r="C20" s="334"/>
      <c r="F20" s="503">
        <v>424.49045279450183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N29"/>
  <sheetViews>
    <sheetView showGridLines="0" zoomScaleNormal="100" workbookViewId="0">
      <selection activeCell="B16" sqref="B16"/>
    </sheetView>
  </sheetViews>
  <sheetFormatPr defaultColWidth="9.140625" defaultRowHeight="12.75"/>
  <cols>
    <col min="1" max="1" width="9.140625" style="1"/>
    <col min="2" max="2" width="45.5703125" style="1" bestFit="1" customWidth="1"/>
    <col min="3" max="7" width="10.140625" style="1" bestFit="1" customWidth="1"/>
    <col min="8" max="8" width="2.42578125" style="1" customWidth="1"/>
    <col min="9" max="9" width="9.85546875" style="1" customWidth="1"/>
    <col min="10" max="16384" width="9.140625" style="1"/>
  </cols>
  <sheetData>
    <row r="2" spans="2:14" ht="18.75">
      <c r="B2" s="14" t="s">
        <v>841</v>
      </c>
    </row>
    <row r="3" spans="2:14">
      <c r="B3" s="11" t="s">
        <v>55</v>
      </c>
    </row>
    <row r="4" spans="2:14">
      <c r="B4" s="8" t="s">
        <v>126</v>
      </c>
      <c r="C4" s="12" t="s">
        <v>842</v>
      </c>
    </row>
    <row r="5" spans="2:14">
      <c r="B5" s="8" t="s">
        <v>0</v>
      </c>
      <c r="C5" s="12" t="s">
        <v>107</v>
      </c>
    </row>
    <row r="7" spans="2:14" ht="15.75">
      <c r="B7" s="142" t="s">
        <v>127</v>
      </c>
    </row>
    <row r="8" spans="2:14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  <c r="I8" s="3">
        <f>EDATE(G8,12)</f>
        <v>45382</v>
      </c>
      <c r="J8" s="3">
        <f>EDATE(I8,12)</f>
        <v>45747</v>
      </c>
      <c r="K8" s="3">
        <f t="shared" ref="K8:N8" si="1">EDATE(J8,12)</f>
        <v>46112</v>
      </c>
      <c r="L8" s="3">
        <f t="shared" si="1"/>
        <v>46477</v>
      </c>
      <c r="M8" s="3">
        <f t="shared" si="1"/>
        <v>46843</v>
      </c>
      <c r="N8" s="3">
        <f t="shared" si="1"/>
        <v>47208</v>
      </c>
    </row>
    <row r="9" spans="2:14">
      <c r="B9" s="1" t="s">
        <v>3</v>
      </c>
      <c r="C9" s="144"/>
      <c r="D9" s="144"/>
      <c r="E9" s="144"/>
      <c r="F9" s="144">
        <v>57.395400000000002</v>
      </c>
      <c r="G9" s="5">
        <v>70.908799999999999</v>
      </c>
      <c r="I9" s="6"/>
      <c r="J9" s="6"/>
      <c r="K9" s="6"/>
      <c r="L9" s="6"/>
      <c r="M9" s="6"/>
      <c r="N9" s="6"/>
    </row>
    <row r="10" spans="2:14">
      <c r="B10" s="11" t="s">
        <v>4</v>
      </c>
      <c r="C10" s="145">
        <f>C9</f>
        <v>0</v>
      </c>
      <c r="D10" s="145">
        <f t="shared" ref="D10:F10" si="2">D9</f>
        <v>0</v>
      </c>
      <c r="E10" s="145">
        <f t="shared" si="2"/>
        <v>0</v>
      </c>
      <c r="F10" s="145">
        <f t="shared" si="2"/>
        <v>57.395400000000002</v>
      </c>
      <c r="G10" s="146">
        <f>G9</f>
        <v>70.908799999999999</v>
      </c>
      <c r="I10" s="146"/>
      <c r="J10" s="146"/>
      <c r="K10" s="146"/>
      <c r="L10" s="146"/>
      <c r="M10" s="146"/>
      <c r="N10" s="146"/>
    </row>
    <row r="11" spans="2:14">
      <c r="B11" s="1" t="s">
        <v>251</v>
      </c>
      <c r="C11" s="531" t="e">
        <f t="shared" ref="C11:F11" si="3">C10/B10-1</f>
        <v>#VALUE!</v>
      </c>
      <c r="D11" s="531" t="e">
        <f t="shared" si="3"/>
        <v>#DIV/0!</v>
      </c>
      <c r="E11" s="531" t="e">
        <f t="shared" si="3"/>
        <v>#DIV/0!</v>
      </c>
      <c r="F11" s="531" t="e">
        <f t="shared" si="3"/>
        <v>#DIV/0!</v>
      </c>
      <c r="G11" s="530">
        <f>G10/F10-1</f>
        <v>0.23544395543893759</v>
      </c>
      <c r="J11" s="271"/>
      <c r="K11" s="271"/>
      <c r="L11" s="271"/>
      <c r="M11" s="271"/>
      <c r="N11" s="271"/>
    </row>
    <row r="12" spans="2:14">
      <c r="C12" s="144"/>
      <c r="D12" s="144"/>
      <c r="E12" s="144"/>
      <c r="F12" s="144"/>
      <c r="G12" s="5"/>
    </row>
    <row r="13" spans="2:14">
      <c r="B13" s="7" t="s">
        <v>5</v>
      </c>
      <c r="C13" s="144"/>
      <c r="D13" s="144"/>
      <c r="E13" s="144"/>
      <c r="F13" s="144"/>
      <c r="G13" s="5"/>
    </row>
    <row r="14" spans="2:14">
      <c r="B14" s="1" t="s">
        <v>128</v>
      </c>
      <c r="C14" s="144"/>
      <c r="D14" s="144"/>
      <c r="E14" s="144"/>
      <c r="F14" s="144">
        <v>15.849600000000001</v>
      </c>
      <c r="G14" s="5">
        <v>13.558400000000001</v>
      </c>
      <c r="I14" s="6"/>
      <c r="J14" s="6"/>
      <c r="K14" s="6"/>
      <c r="L14" s="6"/>
      <c r="M14" s="6"/>
      <c r="N14" s="6"/>
    </row>
    <row r="15" spans="2:14">
      <c r="B15" s="1" t="s">
        <v>6</v>
      </c>
      <c r="C15" s="144"/>
      <c r="D15" s="144"/>
      <c r="E15" s="144"/>
      <c r="F15" s="144">
        <v>32.892899999999997</v>
      </c>
      <c r="G15" s="5">
        <v>39.526299999999999</v>
      </c>
      <c r="I15" s="6"/>
      <c r="J15" s="6"/>
      <c r="K15" s="6"/>
      <c r="L15" s="6"/>
      <c r="M15" s="6"/>
      <c r="N15" s="6"/>
    </row>
    <row r="16" spans="2:14">
      <c r="B16" s="1" t="s">
        <v>129</v>
      </c>
      <c r="C16" s="148"/>
      <c r="D16" s="148"/>
      <c r="E16" s="148"/>
      <c r="F16" s="148">
        <f>F14+F15</f>
        <v>48.7425</v>
      </c>
      <c r="G16" s="149">
        <f>SUM(G14:G15)</f>
        <v>53.084699999999998</v>
      </c>
      <c r="I16" s="149"/>
      <c r="J16" s="149"/>
      <c r="K16" s="149"/>
      <c r="L16" s="149"/>
      <c r="M16" s="149"/>
      <c r="N16" s="149"/>
    </row>
    <row r="17" spans="2:14">
      <c r="B17" s="4"/>
      <c r="C17" s="144"/>
      <c r="D17" s="144"/>
      <c r="E17" s="144"/>
      <c r="F17" s="144"/>
      <c r="G17" s="5"/>
      <c r="I17" s="5"/>
      <c r="J17" s="5"/>
      <c r="K17" s="5"/>
      <c r="L17" s="5"/>
      <c r="M17" s="5"/>
      <c r="N17" s="5"/>
    </row>
    <row r="18" spans="2:14">
      <c r="B18" s="150" t="s">
        <v>7</v>
      </c>
      <c r="C18" s="151"/>
      <c r="D18" s="151"/>
      <c r="E18" s="151"/>
      <c r="F18" s="151">
        <f>0+(F10-F16)</f>
        <v>8.6529000000000025</v>
      </c>
      <c r="G18" s="152">
        <f>G10-G16</f>
        <v>17.824100000000001</v>
      </c>
      <c r="I18" s="152"/>
      <c r="J18" s="152"/>
      <c r="K18" s="152"/>
      <c r="L18" s="152"/>
      <c r="M18" s="152"/>
      <c r="N18" s="152"/>
    </row>
    <row r="19" spans="2:14">
      <c r="B19" s="8" t="s">
        <v>130</v>
      </c>
      <c r="C19" s="153" t="e">
        <f t="shared" ref="C19:F19" si="4">C18/C10</f>
        <v>#DIV/0!</v>
      </c>
      <c r="D19" s="153" t="e">
        <f t="shared" si="4"/>
        <v>#DIV/0!</v>
      </c>
      <c r="E19" s="153" t="e">
        <f t="shared" si="4"/>
        <v>#DIV/0!</v>
      </c>
      <c r="F19" s="153">
        <f t="shared" si="4"/>
        <v>0.15075946852883684</v>
      </c>
      <c r="G19" s="154">
        <f>G18/G10</f>
        <v>0.25136654406787312</v>
      </c>
      <c r="I19" s="154"/>
      <c r="J19" s="154"/>
      <c r="K19" s="154"/>
      <c r="L19" s="154"/>
      <c r="M19" s="154"/>
      <c r="N19" s="154"/>
    </row>
    <row r="20" spans="2:14">
      <c r="C20" s="144"/>
      <c r="D20" s="144"/>
      <c r="E20" s="144"/>
      <c r="F20" s="144"/>
      <c r="G20" s="5"/>
      <c r="I20" s="6"/>
      <c r="J20" s="6"/>
      <c r="K20" s="6"/>
      <c r="L20" s="6"/>
      <c r="M20" s="6"/>
      <c r="N20" s="6"/>
    </row>
    <row r="21" spans="2:14">
      <c r="B21" s="1" t="s">
        <v>131</v>
      </c>
      <c r="C21" s="144"/>
      <c r="D21" s="144"/>
      <c r="E21" s="144"/>
      <c r="F21" s="144">
        <v>37.054499999999997</v>
      </c>
      <c r="G21" s="5">
        <v>35.778799999999997</v>
      </c>
      <c r="I21" s="532"/>
      <c r="J21" s="532"/>
    </row>
    <row r="22" spans="2:14">
      <c r="B22" s="1" t="s">
        <v>132</v>
      </c>
      <c r="C22" s="144"/>
      <c r="D22" s="144"/>
      <c r="E22" s="144"/>
      <c r="F22" s="144">
        <f>F18-F21</f>
        <v>-28.401599999999995</v>
      </c>
      <c r="G22" s="5">
        <f>G18-G21</f>
        <v>-17.954699999999995</v>
      </c>
    </row>
    <row r="23" spans="2:14">
      <c r="B23" s="1" t="s">
        <v>9</v>
      </c>
      <c r="C23" s="144"/>
      <c r="D23" s="144"/>
      <c r="E23" s="144"/>
      <c r="F23" s="144">
        <v>48.313200000000002</v>
      </c>
      <c r="G23" s="5">
        <v>55.049199999999999</v>
      </c>
    </row>
    <row r="24" spans="2:14">
      <c r="B24" s="1" t="s">
        <v>11</v>
      </c>
      <c r="C24" s="144"/>
      <c r="D24" s="144"/>
      <c r="E24" s="144"/>
      <c r="F24" s="144">
        <v>3.7067000000000001</v>
      </c>
      <c r="G24" s="5">
        <v>9.8000000000000004E-2</v>
      </c>
      <c r="I24" s="6"/>
    </row>
    <row r="25" spans="2:14">
      <c r="B25" s="11" t="s">
        <v>10</v>
      </c>
      <c r="C25" s="145"/>
      <c r="D25" s="145"/>
      <c r="E25" s="145"/>
      <c r="F25" s="145">
        <f>F22-F23+F24</f>
        <v>-73.008099999999999</v>
      </c>
      <c r="G25" s="146">
        <f>G22-G23+G24</f>
        <v>-72.905899999999988</v>
      </c>
    </row>
    <row r="26" spans="2:14">
      <c r="B26" s="8" t="s">
        <v>130</v>
      </c>
      <c r="C26" s="153"/>
      <c r="D26" s="153"/>
      <c r="E26" s="153"/>
      <c r="F26" s="153">
        <f>F25/F10</f>
        <v>-1.2720200573565128</v>
      </c>
      <c r="G26" s="154">
        <f>G25/G10</f>
        <v>-1.0281643463152668</v>
      </c>
    </row>
    <row r="27" spans="2:14">
      <c r="B27" s="7" t="s">
        <v>133</v>
      </c>
      <c r="C27" s="144"/>
      <c r="D27" s="144"/>
      <c r="E27" s="144"/>
      <c r="F27" s="144">
        <v>0</v>
      </c>
      <c r="G27" s="5">
        <v>0</v>
      </c>
    </row>
    <row r="28" spans="2:14">
      <c r="B28" s="150" t="s">
        <v>12</v>
      </c>
      <c r="C28" s="151"/>
      <c r="D28" s="151"/>
      <c r="E28" s="151"/>
      <c r="F28" s="151">
        <f>F25-F27</f>
        <v>-73.008099999999999</v>
      </c>
      <c r="G28" s="152">
        <f>G25-G27</f>
        <v>-72.905899999999988</v>
      </c>
    </row>
    <row r="29" spans="2:14" ht="13.5" thickBot="1">
      <c r="B29" s="155" t="s">
        <v>130</v>
      </c>
      <c r="C29" s="156"/>
      <c r="D29" s="156"/>
      <c r="E29" s="156"/>
      <c r="F29" s="156">
        <f>F28/F10</f>
        <v>-1.2720200573565128</v>
      </c>
      <c r="G29" s="157">
        <f>G28/G10</f>
        <v>-1.0281643463152668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9"/>
  <sheetViews>
    <sheetView zoomScaleNormal="100" workbookViewId="0">
      <pane ySplit="1" topLeftCell="A2" activePane="bottomLeft" state="frozen"/>
      <selection activeCell="U8" sqref="U8"/>
      <selection pane="bottomLeft" activeCell="A9" sqref="A9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0.28515625" style="513" bestFit="1" customWidth="1"/>
    <col min="7" max="7" width="6.85546875" style="518" bestFit="1" customWidth="1"/>
    <col min="8" max="11" width="6.85546875" style="513" bestFit="1" customWidth="1"/>
    <col min="12" max="12" width="5.5703125" style="513" bestFit="1" customWidth="1"/>
    <col min="13" max="13" width="6.85546875" style="513" bestFit="1" customWidth="1"/>
    <col min="14" max="14" width="6.140625" style="513" bestFit="1" customWidth="1"/>
    <col min="15" max="15" width="6.85546875" style="513" bestFit="1" customWidth="1"/>
    <col min="16" max="16" width="6.42578125" style="513" bestFit="1" customWidth="1"/>
    <col min="17" max="17" width="6.85546875" style="513" bestFit="1" customWidth="1"/>
    <col min="18" max="18" width="5.14062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5.5703125" style="513" bestFit="1" customWidth="1"/>
    <col min="27" max="27" width="10.28515625" style="513" bestFit="1" customWidth="1"/>
    <col min="28" max="28" width="6.140625" style="513" bestFit="1" customWidth="1"/>
    <col min="29" max="29" width="9" style="513" bestFit="1" customWidth="1"/>
    <col min="30" max="30" width="6.42578125" style="513" bestFit="1" customWidth="1"/>
    <col min="31" max="31" width="9" style="513" bestFit="1" customWidth="1"/>
    <col min="32" max="32" width="5.140625" style="513" bestFit="1" customWidth="1"/>
    <col min="33" max="33" width="6" style="513" bestFit="1" customWidth="1"/>
    <col min="34" max="34" width="5.85546875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268.45999999999998</v>
      </c>
      <c r="F2" s="516">
        <f t="shared" ref="F2:F9" si="0">D2*E2</f>
        <v>40269000</v>
      </c>
      <c r="G2" s="517">
        <v>0</v>
      </c>
      <c r="H2" s="516">
        <v>20000</v>
      </c>
      <c r="I2" s="516">
        <v>20000</v>
      </c>
      <c r="J2" s="516">
        <v>0</v>
      </c>
      <c r="K2" s="516">
        <v>30000</v>
      </c>
      <c r="L2" s="516">
        <v>0</v>
      </c>
      <c r="M2" s="516">
        <v>30000</v>
      </c>
      <c r="N2" s="516">
        <v>0</v>
      </c>
      <c r="O2" s="516">
        <v>30000</v>
      </c>
      <c r="P2" s="516">
        <v>0</v>
      </c>
      <c r="Q2" s="516">
        <v>20000</v>
      </c>
      <c r="R2" s="516">
        <v>0</v>
      </c>
      <c r="S2" s="516">
        <v>0</v>
      </c>
      <c r="T2" s="516">
        <v>0</v>
      </c>
      <c r="U2" s="517">
        <f t="shared" ref="U2:AH9" si="1">G2*$E2</f>
        <v>0</v>
      </c>
      <c r="V2" s="516">
        <f t="shared" si="1"/>
        <v>5369200</v>
      </c>
      <c r="W2" s="516">
        <f t="shared" si="1"/>
        <v>5369200</v>
      </c>
      <c r="X2" s="516">
        <f t="shared" si="1"/>
        <v>0</v>
      </c>
      <c r="Y2" s="516">
        <f t="shared" si="1"/>
        <v>8053799.9999999991</v>
      </c>
      <c r="Z2" s="516">
        <f t="shared" si="1"/>
        <v>0</v>
      </c>
      <c r="AA2" s="516">
        <f t="shared" si="1"/>
        <v>8053799.9999999991</v>
      </c>
      <c r="AB2" s="516">
        <f t="shared" si="1"/>
        <v>0</v>
      </c>
      <c r="AC2" s="516">
        <f t="shared" si="1"/>
        <v>8053799.9999999991</v>
      </c>
      <c r="AD2" s="516">
        <f t="shared" si="1"/>
        <v>0</v>
      </c>
      <c r="AE2" s="516">
        <f t="shared" si="1"/>
        <v>5369200</v>
      </c>
      <c r="AF2" s="516">
        <f t="shared" si="1"/>
        <v>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543.85</v>
      </c>
      <c r="F3" s="516">
        <f t="shared" si="0"/>
        <v>5982350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2991175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2991175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2635</v>
      </c>
      <c r="F4" s="516">
        <f t="shared" si="0"/>
        <v>6012676.9683706621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1317500</v>
      </c>
      <c r="W4" s="516">
        <f t="shared" si="1"/>
        <v>0</v>
      </c>
      <c r="X4" s="516">
        <f t="shared" si="1"/>
        <v>1317500</v>
      </c>
      <c r="Y4" s="516">
        <f t="shared" si="1"/>
        <v>1317500</v>
      </c>
      <c r="Z4" s="516">
        <f t="shared" si="1"/>
        <v>0</v>
      </c>
      <c r="AA4" s="516">
        <f t="shared" si="1"/>
        <v>2060176.9683706623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8939.44</v>
      </c>
      <c r="F5" s="516">
        <f t="shared" si="0"/>
        <v>16537964.000000002</v>
      </c>
      <c r="G5" s="517">
        <v>0</v>
      </c>
      <c r="H5" s="516">
        <v>0</v>
      </c>
      <c r="I5" s="516">
        <f>(D5)*1</f>
        <v>1850</v>
      </c>
      <c r="J5" s="516">
        <v>0</v>
      </c>
      <c r="K5" s="516">
        <v>0</v>
      </c>
      <c r="L5" s="516">
        <v>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16537964.000000002</v>
      </c>
      <c r="X5" s="516">
        <f t="shared" si="1"/>
        <v>0</v>
      </c>
      <c r="Y5" s="516">
        <f t="shared" si="1"/>
        <v>0</v>
      </c>
      <c r="Z5" s="516">
        <f t="shared" si="1"/>
        <v>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10083.59</v>
      </c>
      <c r="F6" s="516">
        <f t="shared" si="0"/>
        <v>84016471.879999995</v>
      </c>
      <c r="G6" s="517">
        <v>0</v>
      </c>
      <c r="H6" s="516">
        <f>(3000)*1</f>
        <v>3000</v>
      </c>
      <c r="I6" s="516">
        <v>3000</v>
      </c>
      <c r="J6" s="516">
        <f>(D6-H6-I6)*1</f>
        <v>2332</v>
      </c>
      <c r="K6" s="516">
        <v>0</v>
      </c>
      <c r="L6" s="516">
        <v>0</v>
      </c>
      <c r="M6" s="516">
        <v>0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30250770</v>
      </c>
      <c r="W6" s="516">
        <f t="shared" si="1"/>
        <v>30250770</v>
      </c>
      <c r="X6" s="516">
        <f t="shared" si="1"/>
        <v>23514931.879999999</v>
      </c>
      <c r="Y6" s="516">
        <f t="shared" si="1"/>
        <v>0</v>
      </c>
      <c r="Z6" s="516">
        <f t="shared" si="1"/>
        <v>0</v>
      </c>
      <c r="AA6" s="516">
        <f t="shared" si="1"/>
        <v>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30052.6</v>
      </c>
      <c r="F7" s="516">
        <f t="shared" si="0"/>
        <v>78978232.799999997</v>
      </c>
      <c r="G7" s="517">
        <v>0</v>
      </c>
      <c r="H7" s="516">
        <v>1000</v>
      </c>
      <c r="I7" s="516">
        <v>0</v>
      </c>
      <c r="J7" s="516">
        <f>(D7-H7)*1</f>
        <v>1628</v>
      </c>
      <c r="K7" s="516">
        <v>0</v>
      </c>
      <c r="L7" s="516">
        <v>0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30052600</v>
      </c>
      <c r="W7" s="516">
        <f t="shared" si="1"/>
        <v>0</v>
      </c>
      <c r="X7" s="516">
        <f t="shared" si="1"/>
        <v>48925632.799999997</v>
      </c>
      <c r="Y7" s="516">
        <f t="shared" si="1"/>
        <v>0</v>
      </c>
      <c r="Z7" s="516">
        <f t="shared" si="1"/>
        <v>0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34904.65</v>
      </c>
      <c r="F8" s="516">
        <f t="shared" si="0"/>
        <v>17487229.650000002</v>
      </c>
      <c r="G8" s="517">
        <v>0</v>
      </c>
      <c r="H8" s="516">
        <v>0</v>
      </c>
      <c r="I8" s="516">
        <f>(D8)*1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17487229.650000002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1022.16</v>
      </c>
      <c r="F9" s="516">
        <f t="shared" si="0"/>
        <v>40886400</v>
      </c>
      <c r="G9" s="517">
        <f>(D9/4)*1</f>
        <v>10000</v>
      </c>
      <c r="H9" s="516">
        <v>0</v>
      </c>
      <c r="I9" s="516">
        <f>(D9/4)*1</f>
        <v>10000</v>
      </c>
      <c r="J9" s="516">
        <v>0</v>
      </c>
      <c r="K9" s="516">
        <f>(D9/4)*1</f>
        <v>10000</v>
      </c>
      <c r="L9" s="516">
        <v>0</v>
      </c>
      <c r="M9" s="516">
        <f>(D9/4)*1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10221600</v>
      </c>
      <c r="V9" s="516">
        <f t="shared" si="1"/>
        <v>0</v>
      </c>
      <c r="W9" s="516">
        <f t="shared" si="1"/>
        <v>10221600</v>
      </c>
      <c r="X9" s="516">
        <f t="shared" si="1"/>
        <v>0</v>
      </c>
      <c r="Y9" s="516">
        <f t="shared" si="1"/>
        <v>10221600</v>
      </c>
      <c r="Z9" s="516">
        <f t="shared" si="1"/>
        <v>0</v>
      </c>
      <c r="AA9" s="516">
        <f t="shared" si="1"/>
        <v>10221600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14"/>
  <sheetViews>
    <sheetView zoomScaleNormal="100" workbookViewId="0">
      <pane ySplit="1" topLeftCell="A2" activePane="bottomLeft" state="frozen"/>
      <selection activeCell="U8" sqref="U8"/>
      <selection pane="bottomLeft" activeCell="B8" sqref="B8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1.140625" style="513" bestFit="1" customWidth="1"/>
    <col min="7" max="7" width="6.85546875" style="518" bestFit="1" customWidth="1"/>
    <col min="8" max="15" width="6.85546875" style="513" bestFit="1" customWidth="1"/>
    <col min="16" max="16" width="6.42578125" style="513" bestFit="1" customWidth="1"/>
    <col min="17" max="18" width="6.8554687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9" style="513" bestFit="1" customWidth="1"/>
    <col min="27" max="27" width="10.28515625" style="513" bestFit="1" customWidth="1"/>
    <col min="28" max="34" width="9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290</v>
      </c>
      <c r="F2" s="516">
        <f t="shared" ref="F2:F9" si="0">D2*E2</f>
        <v>43500000</v>
      </c>
      <c r="G2" s="517">
        <v>0</v>
      </c>
      <c r="H2" s="516">
        <v>10000</v>
      </c>
      <c r="I2" s="516">
        <v>15000</v>
      </c>
      <c r="J2" s="516">
        <v>15000</v>
      </c>
      <c r="K2" s="516">
        <v>15000</v>
      </c>
      <c r="L2" s="516">
        <v>15000</v>
      </c>
      <c r="M2" s="516">
        <v>15000</v>
      </c>
      <c r="N2" s="516">
        <v>15000</v>
      </c>
      <c r="O2" s="516">
        <v>15000</v>
      </c>
      <c r="P2" s="516">
        <v>15000</v>
      </c>
      <c r="Q2" s="516">
        <v>10000</v>
      </c>
      <c r="R2" s="516">
        <v>10000</v>
      </c>
      <c r="S2" s="516">
        <v>0</v>
      </c>
      <c r="T2" s="516">
        <v>0</v>
      </c>
      <c r="U2" s="517">
        <f t="shared" ref="U2:AH14" si="1">G2*$E2</f>
        <v>0</v>
      </c>
      <c r="V2" s="516">
        <f t="shared" si="1"/>
        <v>2900000</v>
      </c>
      <c r="W2" s="516">
        <f t="shared" si="1"/>
        <v>4350000</v>
      </c>
      <c r="X2" s="516">
        <f t="shared" si="1"/>
        <v>4350000</v>
      </c>
      <c r="Y2" s="516">
        <f t="shared" si="1"/>
        <v>4350000</v>
      </c>
      <c r="Z2" s="516">
        <f t="shared" si="1"/>
        <v>4350000</v>
      </c>
      <c r="AA2" s="516">
        <f t="shared" si="1"/>
        <v>4350000</v>
      </c>
      <c r="AB2" s="516">
        <f t="shared" si="1"/>
        <v>4350000</v>
      </c>
      <c r="AC2" s="516">
        <f t="shared" si="1"/>
        <v>4350000</v>
      </c>
      <c r="AD2" s="516">
        <f t="shared" si="1"/>
        <v>4350000</v>
      </c>
      <c r="AE2" s="516">
        <f t="shared" si="1"/>
        <v>2900000</v>
      </c>
      <c r="AF2" s="516">
        <f t="shared" si="1"/>
        <v>2900000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572</v>
      </c>
      <c r="F3" s="516">
        <f t="shared" si="0"/>
        <v>6292000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3146000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3146000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4500</v>
      </c>
      <c r="F4" s="516">
        <f t="shared" si="0"/>
        <v>10268328.788488798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2250000</v>
      </c>
      <c r="W4" s="516">
        <f t="shared" si="1"/>
        <v>0</v>
      </c>
      <c r="X4" s="516">
        <f t="shared" si="1"/>
        <v>2250000</v>
      </c>
      <c r="Y4" s="516">
        <f t="shared" si="1"/>
        <v>2250000</v>
      </c>
      <c r="Z4" s="516">
        <f t="shared" si="1"/>
        <v>0</v>
      </c>
      <c r="AA4" s="516">
        <f t="shared" si="1"/>
        <v>3518328.7884887974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18000</v>
      </c>
      <c r="F5" s="516">
        <f t="shared" si="0"/>
        <v>33300000</v>
      </c>
      <c r="G5" s="517">
        <v>0</v>
      </c>
      <c r="H5" s="516">
        <v>0</v>
      </c>
      <c r="I5" s="516">
        <v>650</v>
      </c>
      <c r="J5" s="516">
        <v>650</v>
      </c>
      <c r="K5" s="516">
        <v>0</v>
      </c>
      <c r="L5" s="516">
        <v>550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11700000</v>
      </c>
      <c r="X5" s="516">
        <f t="shared" si="1"/>
        <v>11700000</v>
      </c>
      <c r="Y5" s="516">
        <f t="shared" si="1"/>
        <v>0</v>
      </c>
      <c r="Z5" s="516">
        <f t="shared" si="1"/>
        <v>9900000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20000</v>
      </c>
      <c r="F6" s="516">
        <f t="shared" si="0"/>
        <v>166640000</v>
      </c>
      <c r="G6" s="517">
        <v>0</v>
      </c>
      <c r="H6" s="516">
        <v>1500</v>
      </c>
      <c r="I6" s="516">
        <v>1500</v>
      </c>
      <c r="J6" s="516">
        <v>1500</v>
      </c>
      <c r="K6" s="516">
        <v>1500</v>
      </c>
      <c r="L6" s="516">
        <v>1500</v>
      </c>
      <c r="M6" s="516">
        <v>832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30000000</v>
      </c>
      <c r="W6" s="516">
        <f t="shared" si="1"/>
        <v>30000000</v>
      </c>
      <c r="X6" s="516">
        <f t="shared" si="1"/>
        <v>30000000</v>
      </c>
      <c r="Y6" s="516">
        <f t="shared" si="1"/>
        <v>30000000</v>
      </c>
      <c r="Z6" s="516">
        <f t="shared" si="1"/>
        <v>30000000</v>
      </c>
      <c r="AA6" s="516">
        <f t="shared" si="1"/>
        <v>16640000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44383.34</v>
      </c>
      <c r="F7" s="516">
        <f t="shared" si="0"/>
        <v>116639417.52</v>
      </c>
      <c r="G7" s="517">
        <v>0</v>
      </c>
      <c r="H7" s="516">
        <v>500</v>
      </c>
      <c r="I7" s="516">
        <v>500</v>
      </c>
      <c r="J7" s="516">
        <v>700</v>
      </c>
      <c r="K7" s="516">
        <v>700</v>
      </c>
      <c r="L7" s="516">
        <v>228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22191670</v>
      </c>
      <c r="W7" s="516">
        <f t="shared" si="1"/>
        <v>22191670</v>
      </c>
      <c r="X7" s="516">
        <f t="shared" si="1"/>
        <v>31068337.999999996</v>
      </c>
      <c r="Y7" s="516">
        <f t="shared" si="1"/>
        <v>31068337.999999996</v>
      </c>
      <c r="Z7" s="516">
        <f t="shared" si="1"/>
        <v>10119401.52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47200</v>
      </c>
      <c r="F8" s="516">
        <f t="shared" si="0"/>
        <v>23647200</v>
      </c>
      <c r="G8" s="517">
        <v>0</v>
      </c>
      <c r="H8" s="516">
        <v>0</v>
      </c>
      <c r="I8" s="516">
        <f>((D8)*1)*1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23647200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1435.2457999999999</v>
      </c>
      <c r="F9" s="516">
        <f t="shared" si="0"/>
        <v>57409832</v>
      </c>
      <c r="G9" s="517">
        <f>((D9/4)*1)*1</f>
        <v>10000</v>
      </c>
      <c r="H9" s="516">
        <v>0</v>
      </c>
      <c r="I9" s="516">
        <f>((D9/4)*1)*1</f>
        <v>10000</v>
      </c>
      <c r="J9" s="516">
        <v>0</v>
      </c>
      <c r="K9" s="516">
        <f>((D9/4)*1)*1</f>
        <v>10000</v>
      </c>
      <c r="L9" s="516">
        <v>0</v>
      </c>
      <c r="M9" s="516">
        <f>((D9/4)*1)*1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14352458</v>
      </c>
      <c r="V9" s="516">
        <f t="shared" si="1"/>
        <v>0</v>
      </c>
      <c r="W9" s="516">
        <f t="shared" si="1"/>
        <v>14352458</v>
      </c>
      <c r="X9" s="516">
        <f t="shared" si="1"/>
        <v>0</v>
      </c>
      <c r="Y9" s="516">
        <f t="shared" si="1"/>
        <v>14352458</v>
      </c>
      <c r="Z9" s="516">
        <f t="shared" si="1"/>
        <v>0</v>
      </c>
      <c r="AA9" s="516">
        <f t="shared" si="1"/>
        <v>14352458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  <row r="10" spans="1:34">
      <c r="A10" s="514" t="s">
        <v>831</v>
      </c>
      <c r="D10" s="436">
        <v>500</v>
      </c>
      <c r="E10" s="436">
        <v>889.89699999999993</v>
      </c>
      <c r="F10" s="516">
        <f>D10*E10</f>
        <v>444948.49999999994</v>
      </c>
      <c r="G10" s="517">
        <v>0</v>
      </c>
      <c r="H10" s="516">
        <v>0</v>
      </c>
      <c r="I10" s="516">
        <v>0</v>
      </c>
      <c r="J10" s="516">
        <v>100</v>
      </c>
      <c r="K10" s="516">
        <v>0</v>
      </c>
      <c r="L10" s="516">
        <v>100</v>
      </c>
      <c r="M10" s="516">
        <v>0</v>
      </c>
      <c r="N10" s="516">
        <v>100</v>
      </c>
      <c r="O10" s="516">
        <v>0</v>
      </c>
      <c r="P10" s="516">
        <v>100</v>
      </c>
      <c r="Q10" s="516">
        <v>0</v>
      </c>
      <c r="R10" s="516">
        <v>100</v>
      </c>
      <c r="S10" s="516">
        <v>0</v>
      </c>
      <c r="T10" s="516">
        <v>0</v>
      </c>
      <c r="U10" s="517">
        <f t="shared" si="1"/>
        <v>0</v>
      </c>
      <c r="V10" s="516">
        <f t="shared" si="1"/>
        <v>0</v>
      </c>
      <c r="W10" s="516">
        <f t="shared" si="1"/>
        <v>0</v>
      </c>
      <c r="X10" s="516">
        <f t="shared" si="1"/>
        <v>88989.7</v>
      </c>
      <c r="Y10" s="516">
        <f t="shared" si="1"/>
        <v>0</v>
      </c>
      <c r="Z10" s="516">
        <f t="shared" si="1"/>
        <v>88989.7</v>
      </c>
      <c r="AA10" s="516">
        <f t="shared" si="1"/>
        <v>0</v>
      </c>
      <c r="AB10" s="516">
        <f t="shared" si="1"/>
        <v>88989.7</v>
      </c>
      <c r="AC10" s="516">
        <f t="shared" si="1"/>
        <v>0</v>
      </c>
      <c r="AD10" s="516">
        <f t="shared" si="1"/>
        <v>88989.7</v>
      </c>
      <c r="AE10" s="516">
        <f t="shared" si="1"/>
        <v>0</v>
      </c>
      <c r="AF10" s="516">
        <f t="shared" si="1"/>
        <v>88989.7</v>
      </c>
      <c r="AG10" s="516">
        <f t="shared" si="1"/>
        <v>0</v>
      </c>
      <c r="AH10" s="516">
        <f t="shared" si="1"/>
        <v>0</v>
      </c>
    </row>
    <row r="11" spans="1:34">
      <c r="A11" s="514" t="s">
        <v>832</v>
      </c>
      <c r="D11" s="436">
        <v>5000</v>
      </c>
      <c r="E11" s="436">
        <v>405.8492</v>
      </c>
      <c r="F11" s="516">
        <f>D11*E11</f>
        <v>2029246</v>
      </c>
      <c r="G11" s="517">
        <v>500</v>
      </c>
      <c r="H11" s="516">
        <v>500</v>
      </c>
      <c r="I11" s="516">
        <v>500</v>
      </c>
      <c r="J11" s="516">
        <v>500</v>
      </c>
      <c r="K11" s="516">
        <v>500</v>
      </c>
      <c r="L11" s="516">
        <v>500</v>
      </c>
      <c r="M11" s="516">
        <v>500</v>
      </c>
      <c r="N11" s="516">
        <v>500</v>
      </c>
      <c r="O11" s="516">
        <v>500</v>
      </c>
      <c r="P11" s="516">
        <v>500</v>
      </c>
      <c r="Q11" s="516">
        <v>0</v>
      </c>
      <c r="R11" s="516">
        <v>0</v>
      </c>
      <c r="S11" s="516">
        <v>0</v>
      </c>
      <c r="T11" s="516">
        <v>0</v>
      </c>
      <c r="U11" s="517">
        <f t="shared" si="1"/>
        <v>202924.6</v>
      </c>
      <c r="V11" s="516">
        <f t="shared" si="1"/>
        <v>202924.6</v>
      </c>
      <c r="W11" s="516">
        <f t="shared" si="1"/>
        <v>202924.6</v>
      </c>
      <c r="X11" s="516">
        <f t="shared" si="1"/>
        <v>202924.6</v>
      </c>
      <c r="Y11" s="516">
        <f t="shared" si="1"/>
        <v>202924.6</v>
      </c>
      <c r="Z11" s="516">
        <f t="shared" si="1"/>
        <v>202924.6</v>
      </c>
      <c r="AA11" s="516">
        <f t="shared" si="1"/>
        <v>202924.6</v>
      </c>
      <c r="AB11" s="516">
        <f t="shared" si="1"/>
        <v>202924.6</v>
      </c>
      <c r="AC11" s="516">
        <f t="shared" si="1"/>
        <v>202924.6</v>
      </c>
      <c r="AD11" s="516">
        <f t="shared" si="1"/>
        <v>202924.6</v>
      </c>
      <c r="AE11" s="516">
        <f t="shared" si="1"/>
        <v>0</v>
      </c>
      <c r="AF11" s="516">
        <f t="shared" si="1"/>
        <v>0</v>
      </c>
      <c r="AG11" s="516">
        <f t="shared" si="1"/>
        <v>0</v>
      </c>
      <c r="AH11" s="516">
        <f t="shared" si="1"/>
        <v>0</v>
      </c>
    </row>
    <row r="12" spans="1:34">
      <c r="A12" s="514" t="s">
        <v>833</v>
      </c>
      <c r="D12" s="436">
        <v>25000</v>
      </c>
      <c r="E12" s="436">
        <v>1295.7461999999998</v>
      </c>
      <c r="F12" s="516">
        <f>D12*E12</f>
        <v>32393654.999999996</v>
      </c>
      <c r="G12" s="517">
        <v>1000</v>
      </c>
      <c r="H12" s="516">
        <v>1000</v>
      </c>
      <c r="I12" s="516">
        <v>2000</v>
      </c>
      <c r="J12" s="516">
        <v>2000</v>
      </c>
      <c r="K12" s="516">
        <v>2000</v>
      </c>
      <c r="L12" s="516">
        <v>2000</v>
      </c>
      <c r="M12" s="516">
        <v>2000</v>
      </c>
      <c r="N12" s="516">
        <v>2000</v>
      </c>
      <c r="O12" s="516">
        <v>2000</v>
      </c>
      <c r="P12" s="516">
        <v>2000</v>
      </c>
      <c r="Q12" s="516">
        <v>2000</v>
      </c>
      <c r="R12" s="516">
        <v>2000</v>
      </c>
      <c r="S12" s="516">
        <v>2000</v>
      </c>
      <c r="T12" s="516">
        <v>500</v>
      </c>
      <c r="U12" s="517">
        <f t="shared" si="1"/>
        <v>1295746.1999999997</v>
      </c>
      <c r="V12" s="516">
        <f t="shared" si="1"/>
        <v>1295746.1999999997</v>
      </c>
      <c r="W12" s="516">
        <f t="shared" si="1"/>
        <v>2591492.3999999994</v>
      </c>
      <c r="X12" s="516">
        <f t="shared" si="1"/>
        <v>2591492.3999999994</v>
      </c>
      <c r="Y12" s="516">
        <f t="shared" si="1"/>
        <v>2591492.3999999994</v>
      </c>
      <c r="Z12" s="516">
        <f t="shared" si="1"/>
        <v>2591492.3999999994</v>
      </c>
      <c r="AA12" s="516">
        <f t="shared" si="1"/>
        <v>2591492.3999999994</v>
      </c>
      <c r="AB12" s="516">
        <f t="shared" si="1"/>
        <v>2591492.3999999994</v>
      </c>
      <c r="AC12" s="516">
        <f t="shared" si="1"/>
        <v>2591492.3999999994</v>
      </c>
      <c r="AD12" s="516">
        <f t="shared" si="1"/>
        <v>2591492.3999999994</v>
      </c>
      <c r="AE12" s="516">
        <f t="shared" si="1"/>
        <v>2591492.3999999994</v>
      </c>
      <c r="AF12" s="516">
        <f t="shared" si="1"/>
        <v>2591492.3999999994</v>
      </c>
      <c r="AG12" s="516">
        <f t="shared" si="1"/>
        <v>2591492.3999999994</v>
      </c>
      <c r="AH12" s="516">
        <f t="shared" si="1"/>
        <v>647873.09999999986</v>
      </c>
    </row>
    <row r="13" spans="1:34">
      <c r="A13" s="514" t="s">
        <v>834</v>
      </c>
      <c r="D13" s="436">
        <v>43241</v>
      </c>
      <c r="E13" s="436">
        <v>1295.7461999999998</v>
      </c>
      <c r="F13" s="516">
        <f>D13*E13</f>
        <v>56029361.434199989</v>
      </c>
      <c r="G13" s="517">
        <v>1000</v>
      </c>
      <c r="H13" s="516">
        <v>1000</v>
      </c>
      <c r="I13" s="516">
        <v>2000</v>
      </c>
      <c r="J13" s="516">
        <v>3000</v>
      </c>
      <c r="K13" s="516">
        <v>3000</v>
      </c>
      <c r="L13" s="516">
        <v>3000</v>
      </c>
      <c r="M13" s="516">
        <v>4000</v>
      </c>
      <c r="N13" s="516">
        <v>4000</v>
      </c>
      <c r="O13" s="516">
        <v>4000</v>
      </c>
      <c r="P13" s="516">
        <v>4000</v>
      </c>
      <c r="Q13" s="516">
        <v>4000</v>
      </c>
      <c r="R13" s="516">
        <v>4000</v>
      </c>
      <c r="S13" s="516">
        <v>2000</v>
      </c>
      <c r="T13" s="516">
        <v>2000</v>
      </c>
      <c r="U13" s="517">
        <f t="shared" si="1"/>
        <v>1295746.1999999997</v>
      </c>
      <c r="V13" s="516">
        <f t="shared" si="1"/>
        <v>1295746.1999999997</v>
      </c>
      <c r="W13" s="516">
        <f t="shared" si="1"/>
        <v>2591492.3999999994</v>
      </c>
      <c r="X13" s="516">
        <f t="shared" si="1"/>
        <v>3887238.5999999996</v>
      </c>
      <c r="Y13" s="516">
        <f t="shared" si="1"/>
        <v>3887238.5999999996</v>
      </c>
      <c r="Z13" s="516">
        <f t="shared" si="1"/>
        <v>3887238.5999999996</v>
      </c>
      <c r="AA13" s="516">
        <f t="shared" si="1"/>
        <v>5182984.7999999989</v>
      </c>
      <c r="AB13" s="516">
        <f t="shared" si="1"/>
        <v>5182984.7999999989</v>
      </c>
      <c r="AC13" s="516">
        <f t="shared" si="1"/>
        <v>5182984.7999999989</v>
      </c>
      <c r="AD13" s="516">
        <f t="shared" si="1"/>
        <v>5182984.7999999989</v>
      </c>
      <c r="AE13" s="516">
        <f t="shared" si="1"/>
        <v>5182984.7999999989</v>
      </c>
      <c r="AF13" s="516">
        <f t="shared" si="1"/>
        <v>5182984.7999999989</v>
      </c>
      <c r="AG13" s="516">
        <f t="shared" si="1"/>
        <v>2591492.3999999994</v>
      </c>
      <c r="AH13" s="516">
        <f t="shared" si="1"/>
        <v>2591492.3999999994</v>
      </c>
    </row>
    <row r="14" spans="1:34">
      <c r="G14" s="517">
        <v>1000</v>
      </c>
      <c r="H14" s="516">
        <v>1000</v>
      </c>
      <c r="I14" s="516">
        <v>2000</v>
      </c>
      <c r="J14" s="516">
        <v>3500</v>
      </c>
      <c r="K14" s="516">
        <v>3500</v>
      </c>
      <c r="L14" s="516">
        <v>3500</v>
      </c>
      <c r="M14" s="516">
        <v>3500</v>
      </c>
      <c r="N14" s="516">
        <v>3500</v>
      </c>
      <c r="O14" s="516">
        <v>3500</v>
      </c>
      <c r="P14" s="516">
        <v>3000</v>
      </c>
      <c r="Q14" s="516">
        <v>3000</v>
      </c>
      <c r="R14" s="516">
        <v>3000</v>
      </c>
      <c r="S14" s="516">
        <v>2000</v>
      </c>
      <c r="T14" s="516">
        <v>2000</v>
      </c>
      <c r="U14" s="517">
        <f t="shared" si="1"/>
        <v>0</v>
      </c>
      <c r="V14" s="516">
        <f t="shared" si="1"/>
        <v>0</v>
      </c>
      <c r="W14" s="516">
        <f t="shared" si="1"/>
        <v>0</v>
      </c>
      <c r="X14" s="516">
        <f t="shared" si="1"/>
        <v>0</v>
      </c>
      <c r="Y14" s="516">
        <f t="shared" si="1"/>
        <v>0</v>
      </c>
      <c r="Z14" s="516">
        <f t="shared" si="1"/>
        <v>0</v>
      </c>
      <c r="AA14" s="516">
        <f t="shared" si="1"/>
        <v>0</v>
      </c>
      <c r="AB14" s="516">
        <f t="shared" si="1"/>
        <v>0</v>
      </c>
      <c r="AC14" s="516">
        <f t="shared" si="1"/>
        <v>0</v>
      </c>
      <c r="AD14" s="516">
        <f t="shared" si="1"/>
        <v>0</v>
      </c>
      <c r="AE14" s="516">
        <f t="shared" si="1"/>
        <v>0</v>
      </c>
      <c r="AF14" s="516">
        <f t="shared" si="1"/>
        <v>0</v>
      </c>
      <c r="AG14" s="516">
        <f t="shared" si="1"/>
        <v>0</v>
      </c>
      <c r="AH14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9"/>
  <sheetViews>
    <sheetView zoomScaleNormal="100" workbookViewId="0">
      <pane ySplit="1" topLeftCell="A2" activePane="bottomLeft" state="frozen"/>
      <selection activeCell="U8" sqref="U8"/>
      <selection pane="bottomLeft" activeCell="B1" sqref="B1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8.140625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141.54000000000002</v>
      </c>
      <c r="E2" s="412">
        <v>150000</v>
      </c>
      <c r="F2" s="412">
        <f t="shared" ref="F2:F19" si="0">D2*E2</f>
        <v>21231000.000000004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141540.00000000003</v>
      </c>
      <c r="W2" s="412">
        <f t="shared" si="1"/>
        <v>141540.00000000003</v>
      </c>
      <c r="X2" s="412">
        <f t="shared" si="1"/>
        <v>566160.00000000012</v>
      </c>
      <c r="Y2" s="412">
        <f t="shared" si="1"/>
        <v>1415400.0000000002</v>
      </c>
      <c r="Z2" s="412">
        <f t="shared" si="1"/>
        <v>2123100.0000000005</v>
      </c>
      <c r="AA2" s="412">
        <f t="shared" si="1"/>
        <v>2123100.0000000005</v>
      </c>
      <c r="AB2" s="412">
        <f t="shared" si="1"/>
        <v>2547720.0000000005</v>
      </c>
      <c r="AC2" s="412">
        <f t="shared" si="1"/>
        <v>2547720.0000000005</v>
      </c>
      <c r="AD2" s="412">
        <f t="shared" si="1"/>
        <v>2547720.0000000005</v>
      </c>
      <c r="AE2" s="412">
        <f t="shared" si="1"/>
        <v>2547720.0000000005</v>
      </c>
      <c r="AF2" s="412">
        <f t="shared" si="1"/>
        <v>2123100.0000000005</v>
      </c>
      <c r="AG2" s="412">
        <f t="shared" si="1"/>
        <v>1698480.0000000002</v>
      </c>
      <c r="AH2" s="412">
        <f t="shared" si="1"/>
        <v>283080.00000000006</v>
      </c>
      <c r="AI2" s="412">
        <f t="shared" si="1"/>
        <v>283080.00000000006</v>
      </c>
      <c r="AJ2" s="412">
        <f t="shared" si="1"/>
        <v>141540.00000000003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226.14999999999998</v>
      </c>
      <c r="E3" s="412">
        <v>11234.261750267706</v>
      </c>
      <c r="F3" s="412">
        <f t="shared" si="0"/>
        <v>2540628.2948230412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22614.999999999996</v>
      </c>
      <c r="X3" s="412">
        <f t="shared" si="1"/>
        <v>45229.999999999993</v>
      </c>
      <c r="Y3" s="412">
        <f t="shared" si="1"/>
        <v>226149.99999999997</v>
      </c>
      <c r="Z3" s="412">
        <f t="shared" si="1"/>
        <v>226149.99999999997</v>
      </c>
      <c r="AA3" s="412">
        <f t="shared" si="1"/>
        <v>226149.99999999997</v>
      </c>
      <c r="AB3" s="412">
        <f t="shared" si="1"/>
        <v>339224.99999999994</v>
      </c>
      <c r="AC3" s="412">
        <f t="shared" si="1"/>
        <v>339224.99999999994</v>
      </c>
      <c r="AD3" s="412">
        <f t="shared" si="1"/>
        <v>226149.99999999997</v>
      </c>
      <c r="AE3" s="412">
        <f t="shared" si="1"/>
        <v>226149.99999999997</v>
      </c>
      <c r="AF3" s="412">
        <f t="shared" si="1"/>
        <v>226149.99999999997</v>
      </c>
      <c r="AG3" s="412">
        <f t="shared" si="1"/>
        <v>180919.99999999997</v>
      </c>
      <c r="AH3" s="412">
        <f t="shared" si="1"/>
        <v>113074.99999999999</v>
      </c>
      <c r="AI3" s="412">
        <f t="shared" si="1"/>
        <v>45229.999999999993</v>
      </c>
      <c r="AJ3" s="412">
        <f t="shared" si="1"/>
        <v>98149.099999999991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2852</v>
      </c>
      <c r="F4" s="412">
        <f t="shared" si="0"/>
        <v>11693200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1100</v>
      </c>
      <c r="F5" s="412">
        <f t="shared" si="0"/>
        <v>4587000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3104.5842031750799</v>
      </c>
      <c r="F6" s="412">
        <f t="shared" si="0"/>
        <v>13210005.784509964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1510.1000000000001</v>
      </c>
      <c r="F7" s="412">
        <f t="shared" si="0"/>
        <v>6493430.0000000009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2281.8508418863994</v>
      </c>
      <c r="F8" s="412">
        <f t="shared" si="0"/>
        <v>10496513.872677438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704.5</v>
      </c>
      <c r="F9" s="412">
        <f t="shared" si="0"/>
        <v>4367900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1850</v>
      </c>
      <c r="F10" s="412">
        <f t="shared" si="0"/>
        <v>12950000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8332</v>
      </c>
      <c r="F11" s="412">
        <f t="shared" si="0"/>
        <v>66656000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2628</v>
      </c>
      <c r="F12" s="412">
        <f t="shared" si="0"/>
        <v>4874105.6179891201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501</v>
      </c>
      <c r="F13" s="412">
        <f t="shared" si="0"/>
        <v>1067933.35101504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412">
        <v>163</v>
      </c>
      <c r="F14" s="412">
        <f t="shared" si="0"/>
        <v>370519.21053952002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412">
        <v>500</v>
      </c>
      <c r="F15" s="412">
        <f t="shared" si="0"/>
        <v>633320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412">
        <v>5000</v>
      </c>
      <c r="F16" s="412">
        <f t="shared" si="0"/>
        <v>2713600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412">
        <v>25000</v>
      </c>
      <c r="F17" s="412">
        <f t="shared" si="0"/>
        <v>45226500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513">
        <v>43241</v>
      </c>
      <c r="F18" s="412">
        <f t="shared" si="0"/>
        <v>82176493.63000001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  <row r="19" spans="1:36" ht="12" customHeight="1">
      <c r="A19" s="514" t="s">
        <v>836</v>
      </c>
      <c r="C19" s="513" t="s">
        <v>830</v>
      </c>
      <c r="D19" s="523">
        <v>681.44</v>
      </c>
      <c r="E19" s="524">
        <v>40000</v>
      </c>
      <c r="F19" s="412">
        <f t="shared" si="0"/>
        <v>27257600.000000004</v>
      </c>
      <c r="G19" s="522">
        <v>1000</v>
      </c>
      <c r="H19" s="412">
        <v>1000</v>
      </c>
      <c r="I19" s="412">
        <v>2000</v>
      </c>
      <c r="J19" s="412">
        <v>3500</v>
      </c>
      <c r="K19" s="412">
        <v>3500</v>
      </c>
      <c r="L19" s="412">
        <v>3500</v>
      </c>
      <c r="M19" s="412">
        <v>3500</v>
      </c>
      <c r="N19" s="412">
        <v>3500</v>
      </c>
      <c r="O19" s="412">
        <v>3500</v>
      </c>
      <c r="P19" s="412">
        <v>3000</v>
      </c>
      <c r="Q19" s="412">
        <v>3000</v>
      </c>
      <c r="R19" s="412">
        <v>3000</v>
      </c>
      <c r="S19" s="412">
        <v>2000</v>
      </c>
      <c r="T19" s="412">
        <v>2000</v>
      </c>
      <c r="U19" s="412">
        <v>2000</v>
      </c>
      <c r="V19" s="522">
        <f t="shared" ref="V19:AJ19" si="2">G19*$D19</f>
        <v>681440</v>
      </c>
      <c r="W19" s="412">
        <f t="shared" si="2"/>
        <v>681440</v>
      </c>
      <c r="X19" s="412">
        <f t="shared" si="2"/>
        <v>1362880</v>
      </c>
      <c r="Y19" s="412">
        <f t="shared" si="2"/>
        <v>2385040</v>
      </c>
      <c r="Z19" s="412">
        <f t="shared" si="2"/>
        <v>2385040</v>
      </c>
      <c r="AA19" s="412">
        <f t="shared" si="2"/>
        <v>2385040</v>
      </c>
      <c r="AB19" s="412">
        <f t="shared" si="2"/>
        <v>2385040</v>
      </c>
      <c r="AC19" s="412">
        <f t="shared" si="2"/>
        <v>2385040</v>
      </c>
      <c r="AD19" s="412">
        <f t="shared" si="2"/>
        <v>2385040</v>
      </c>
      <c r="AE19" s="412">
        <f t="shared" si="2"/>
        <v>2044320.0000000002</v>
      </c>
      <c r="AF19" s="412">
        <f t="shared" si="2"/>
        <v>2044320.0000000002</v>
      </c>
      <c r="AG19" s="412">
        <f t="shared" si="2"/>
        <v>2044320.0000000002</v>
      </c>
      <c r="AH19" s="412">
        <f t="shared" si="2"/>
        <v>1362880</v>
      </c>
      <c r="AI19" s="412">
        <f t="shared" si="2"/>
        <v>1362880</v>
      </c>
      <c r="AJ19" s="412">
        <f t="shared" si="2"/>
        <v>1362880</v>
      </c>
    </row>
  </sheetData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8"/>
  <sheetViews>
    <sheetView zoomScaleNormal="100" workbookViewId="0">
      <pane ySplit="1" topLeftCell="A14" activePane="bottomLeft" state="frozen"/>
      <selection activeCell="U8" sqref="U8"/>
      <selection pane="bottomLeft" activeCell="J29" sqref="J29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9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240.8</v>
      </c>
      <c r="E2" s="412">
        <v>150000</v>
      </c>
      <c r="F2" s="412">
        <f t="shared" ref="F2:F18" si="0">D2*E2</f>
        <v>36120000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240800</v>
      </c>
      <c r="W2" s="412">
        <f t="shared" si="1"/>
        <v>240800</v>
      </c>
      <c r="X2" s="412">
        <f t="shared" si="1"/>
        <v>963200</v>
      </c>
      <c r="Y2" s="412">
        <f t="shared" si="1"/>
        <v>2408000</v>
      </c>
      <c r="Z2" s="412">
        <f t="shared" si="1"/>
        <v>3612000</v>
      </c>
      <c r="AA2" s="412">
        <f t="shared" si="1"/>
        <v>3612000</v>
      </c>
      <c r="AB2" s="412">
        <f t="shared" si="1"/>
        <v>4334400</v>
      </c>
      <c r="AC2" s="412">
        <f t="shared" si="1"/>
        <v>4334400</v>
      </c>
      <c r="AD2" s="412">
        <f t="shared" si="1"/>
        <v>4334400</v>
      </c>
      <c r="AE2" s="412">
        <f t="shared" si="1"/>
        <v>4334400</v>
      </c>
      <c r="AF2" s="412">
        <f t="shared" si="1"/>
        <v>3612000</v>
      </c>
      <c r="AG2" s="412">
        <f t="shared" si="1"/>
        <v>2889600</v>
      </c>
      <c r="AH2" s="412">
        <f t="shared" si="1"/>
        <v>481600</v>
      </c>
      <c r="AI2" s="412">
        <f t="shared" si="1"/>
        <v>481600</v>
      </c>
      <c r="AJ2" s="412">
        <f t="shared" si="1"/>
        <v>240800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344.96000000000004</v>
      </c>
      <c r="E3" s="412">
        <v>11234.261750267706</v>
      </c>
      <c r="F3" s="412">
        <f t="shared" si="0"/>
        <v>3875370.9333723481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34496</v>
      </c>
      <c r="X3" s="412">
        <f t="shared" si="1"/>
        <v>68992</v>
      </c>
      <c r="Y3" s="412">
        <f t="shared" si="1"/>
        <v>344960.00000000006</v>
      </c>
      <c r="Z3" s="412">
        <f t="shared" si="1"/>
        <v>344960.00000000006</v>
      </c>
      <c r="AA3" s="412">
        <f t="shared" si="1"/>
        <v>344960.00000000006</v>
      </c>
      <c r="AB3" s="412">
        <f t="shared" si="1"/>
        <v>517440.00000000006</v>
      </c>
      <c r="AC3" s="412">
        <f t="shared" si="1"/>
        <v>517440.00000000006</v>
      </c>
      <c r="AD3" s="412">
        <f t="shared" si="1"/>
        <v>344960.00000000006</v>
      </c>
      <c r="AE3" s="412">
        <f t="shared" si="1"/>
        <v>344960.00000000006</v>
      </c>
      <c r="AF3" s="412">
        <f t="shared" si="1"/>
        <v>344960.00000000006</v>
      </c>
      <c r="AG3" s="412">
        <f t="shared" si="1"/>
        <v>275968</v>
      </c>
      <c r="AH3" s="412">
        <f t="shared" si="1"/>
        <v>172480.00000000003</v>
      </c>
      <c r="AI3" s="412">
        <f t="shared" si="1"/>
        <v>68992</v>
      </c>
      <c r="AJ3" s="412">
        <f t="shared" si="1"/>
        <v>149712.64000000001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580.94400000000007</v>
      </c>
      <c r="F4" s="412">
        <f t="shared" si="0"/>
        <v>2381870.4000000004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598.52800000000002</v>
      </c>
      <c r="F5" s="412">
        <f t="shared" si="0"/>
        <v>2495861.7600000002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609.28000000000009</v>
      </c>
      <c r="F6" s="412">
        <f t="shared" si="0"/>
        <v>2592486.4000000004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728.00000000000011</v>
      </c>
      <c r="F7" s="412">
        <f t="shared" si="0"/>
        <v>3130400.0000000005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760.48</v>
      </c>
      <c r="F8" s="412">
        <f t="shared" si="0"/>
        <v>3498208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1210.72</v>
      </c>
      <c r="F9" s="412">
        <f t="shared" si="0"/>
        <v>7506464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2016.0000000000002</v>
      </c>
      <c r="F10" s="412">
        <f t="shared" si="0"/>
        <v>14112000.000000002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2240</v>
      </c>
      <c r="F11" s="412">
        <f t="shared" si="0"/>
        <v>17920000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7280.0000000000009</v>
      </c>
      <c r="F12" s="412">
        <f t="shared" si="0"/>
        <v>13502088.622131202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7840.0000000000009</v>
      </c>
      <c r="F13" s="412">
        <f t="shared" si="0"/>
        <v>16711771.401113601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341">
        <v>7840.0000000000009</v>
      </c>
      <c r="F14" s="412">
        <f t="shared" si="0"/>
        <v>17821292.089753602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341">
        <v>784.00000000000011</v>
      </c>
      <c r="F15" s="412">
        <f t="shared" si="0"/>
        <v>993045.76000000024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341">
        <v>392.00000000000006</v>
      </c>
      <c r="F16" s="412">
        <f t="shared" si="0"/>
        <v>212746.24000000005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341">
        <v>1239</v>
      </c>
      <c r="F17" s="412">
        <f t="shared" si="0"/>
        <v>2241425.34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436">
        <v>1003</v>
      </c>
      <c r="F18" s="412">
        <f t="shared" si="0"/>
        <v>1906131.29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</sheetData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8"/>
  <sheetViews>
    <sheetView zoomScaleNormal="100" workbookViewId="0">
      <pane xSplit="1" ySplit="1" topLeftCell="B8" activePane="bottomRight" state="frozen"/>
      <selection activeCell="U8" sqref="U8"/>
      <selection pane="topRight" activeCell="U8" sqref="U8"/>
      <selection pane="bottomLeft" activeCell="U8" sqref="U8"/>
      <selection pane="bottomRight" activeCell="E17" sqref="E17"/>
    </sheetView>
  </sheetViews>
  <sheetFormatPr defaultColWidth="9.140625" defaultRowHeight="12"/>
  <cols>
    <col min="1" max="1" width="10.7109375" style="319" bestFit="1" customWidth="1"/>
    <col min="2" max="16" width="7" style="319" bestFit="1" customWidth="1"/>
    <col min="17" max="17" width="5.85546875" style="319" bestFit="1" customWidth="1"/>
    <col min="18" max="19" width="6.140625" style="319" bestFit="1" customWidth="1"/>
    <col min="20" max="16384" width="9.140625" style="319"/>
  </cols>
  <sheetData>
    <row r="1" spans="1:27">
      <c r="A1" s="321" t="s">
        <v>188</v>
      </c>
      <c r="B1" s="512">
        <v>44764</v>
      </c>
      <c r="C1" s="512">
        <v>44795</v>
      </c>
      <c r="D1" s="512">
        <v>44826</v>
      </c>
      <c r="E1" s="512">
        <v>44856</v>
      </c>
      <c r="F1" s="512">
        <v>44887</v>
      </c>
      <c r="G1" s="512">
        <v>44917</v>
      </c>
      <c r="H1" s="512">
        <v>44948</v>
      </c>
      <c r="I1" s="512">
        <v>44979</v>
      </c>
      <c r="J1" s="512">
        <v>45007</v>
      </c>
      <c r="K1" s="512">
        <v>45038</v>
      </c>
      <c r="L1" s="512">
        <v>45068</v>
      </c>
      <c r="M1" s="512">
        <v>45099</v>
      </c>
      <c r="N1" s="512">
        <v>45129</v>
      </c>
      <c r="O1" s="512">
        <v>45160</v>
      </c>
      <c r="P1" s="512">
        <v>45191</v>
      </c>
      <c r="Q1" s="512">
        <v>45221</v>
      </c>
      <c r="R1" s="512">
        <v>45252</v>
      </c>
      <c r="S1" s="512">
        <v>45282</v>
      </c>
    </row>
    <row r="2" spans="1:27" ht="15">
      <c r="A2" s="319" t="s">
        <v>755</v>
      </c>
      <c r="B2" s="525">
        <v>0</v>
      </c>
      <c r="C2" s="525">
        <v>0</v>
      </c>
      <c r="D2" s="525">
        <f>Work!D2</f>
        <v>0.45921692105395195</v>
      </c>
      <c r="E2" s="525">
        <f>Work!E2</f>
        <v>0.42561460000000001</v>
      </c>
      <c r="F2" s="525">
        <f>Work!F2</f>
        <v>0.99990319999999999</v>
      </c>
      <c r="G2" s="525">
        <f>Work!G2</f>
        <v>1.8496893999999999</v>
      </c>
      <c r="H2" s="525">
        <f>Work!H2</f>
        <v>2.9628730000000001</v>
      </c>
      <c r="I2" s="525">
        <f>Work!I2</f>
        <v>3.386923525152</v>
      </c>
      <c r="J2" s="525">
        <f>Work!J2</f>
        <v>3.761218212528</v>
      </c>
      <c r="K2" s="525">
        <f>Work!K2</f>
        <v>3.813957772877504</v>
      </c>
      <c r="L2" s="525">
        <f>Work!L2</f>
        <v>2.7994411251520002</v>
      </c>
      <c r="M2" s="525">
        <f>Work!M2</f>
        <v>3.1258952511909119</v>
      </c>
      <c r="N2" s="525">
        <f>Work!N2</f>
        <v>2.6970230000000002</v>
      </c>
      <c r="O2" s="525">
        <f>Work!O2</f>
        <v>2.5811272000000001</v>
      </c>
      <c r="P2" s="525">
        <f>Work!P2</f>
        <v>0.80730599999999997</v>
      </c>
      <c r="Q2" s="525">
        <f>Work!Q2</f>
        <v>0.52559820000000002</v>
      </c>
      <c r="R2" s="525">
        <f>Work!R2</f>
        <v>0.55539062699999997</v>
      </c>
      <c r="S2" s="525">
        <f>Work!S2</f>
        <v>0</v>
      </c>
      <c r="T2" s="500"/>
      <c r="U2" s="500"/>
      <c r="V2" s="500"/>
      <c r="W2" s="500"/>
      <c r="X2" s="500"/>
      <c r="Y2" s="500"/>
      <c r="Z2" s="500"/>
      <c r="AA2" s="500"/>
    </row>
    <row r="3" spans="1:27" ht="15">
      <c r="A3" s="319" t="s">
        <v>822</v>
      </c>
      <c r="B3" s="525">
        <f>Work!D3</f>
        <v>0</v>
      </c>
      <c r="C3" s="525">
        <f>Work!E3</f>
        <v>1.7146874999999999</v>
      </c>
      <c r="D3" s="525">
        <f>Work!F3</f>
        <v>6.3282087000000011</v>
      </c>
      <c r="E3" s="525">
        <f>Work!G3</f>
        <v>11.162723740000001</v>
      </c>
      <c r="F3" s="525">
        <f>Work!H3</f>
        <v>8.6138983299999996</v>
      </c>
      <c r="G3" s="525">
        <f>Work!I3</f>
        <v>8.8702451599999996</v>
      </c>
      <c r="H3" s="525">
        <f>Work!J3</f>
        <v>6.114004682</v>
      </c>
      <c r="I3" s="525">
        <f>Work!K3</f>
        <v>4.9984188588488792</v>
      </c>
      <c r="J3" s="525">
        <f>Work!L3</f>
        <v>1.2416391499999999</v>
      </c>
      <c r="K3" s="525">
        <f>Work!M3</f>
        <v>1.2327401799999997</v>
      </c>
      <c r="L3" s="525">
        <f>Work!N3</f>
        <v>1.2416391499999999</v>
      </c>
      <c r="M3" s="525">
        <f>Work!O3</f>
        <v>1.0674477199999999</v>
      </c>
      <c r="N3" s="525">
        <f>Work!P3</f>
        <v>1.0763466899999998</v>
      </c>
      <c r="O3" s="525">
        <f>Work!Q3</f>
        <v>0.51829847999999989</v>
      </c>
      <c r="P3" s="525">
        <f>Work!R3</f>
        <v>0.32393654999999993</v>
      </c>
      <c r="Q3" s="525">
        <f>Work!S3</f>
        <v>0</v>
      </c>
      <c r="R3" s="525">
        <f>Work!T3</f>
        <v>0</v>
      </c>
      <c r="S3" s="525">
        <f>Work!U3</f>
        <v>0</v>
      </c>
      <c r="T3" s="500"/>
      <c r="U3" s="500"/>
      <c r="V3" s="500"/>
      <c r="W3" s="500"/>
      <c r="X3" s="500"/>
      <c r="Y3" s="500"/>
      <c r="Z3" s="500"/>
      <c r="AA3" s="500"/>
    </row>
    <row r="4" spans="1:27" ht="15">
      <c r="A4" s="319" t="s">
        <v>696</v>
      </c>
      <c r="B4" s="525">
        <v>0</v>
      </c>
      <c r="C4" s="525">
        <v>0</v>
      </c>
      <c r="D4" s="525">
        <f>Work!D4</f>
        <v>0</v>
      </c>
      <c r="E4" s="525">
        <f>Work!E4</f>
        <v>0</v>
      </c>
      <c r="F4" s="525">
        <f>Work!F4</f>
        <v>0</v>
      </c>
      <c r="G4" s="525">
        <f>Work!G4</f>
        <v>1.2488896753616525</v>
      </c>
      <c r="H4" s="525">
        <f>Work!H4</f>
        <v>1.1011452887781485</v>
      </c>
      <c r="I4" s="525">
        <f>Work!I4</f>
        <v>2.2366204763829565</v>
      </c>
      <c r="J4" s="525">
        <f>Work!J4</f>
        <v>2.0214879419805101</v>
      </c>
      <c r="K4" s="525">
        <f>Work!K4</f>
        <v>0</v>
      </c>
      <c r="L4" s="525">
        <f>Work!L4</f>
        <v>0</v>
      </c>
      <c r="M4" s="525">
        <f>Work!M4</f>
        <v>0</v>
      </c>
      <c r="N4" s="525">
        <f>Work!N4</f>
        <v>0</v>
      </c>
      <c r="O4" s="525">
        <f>Work!O4</f>
        <v>0</v>
      </c>
      <c r="P4" s="525">
        <f>Work!P4</f>
        <v>0</v>
      </c>
      <c r="Q4" s="525">
        <f>Work!Q4</f>
        <v>0</v>
      </c>
      <c r="R4" s="525">
        <f>Work!R4</f>
        <v>0</v>
      </c>
      <c r="S4" s="525">
        <f>Work!S4</f>
        <v>0</v>
      </c>
      <c r="T4" s="500"/>
      <c r="U4" s="500"/>
      <c r="V4" s="500"/>
      <c r="W4" s="500"/>
      <c r="X4" s="500"/>
      <c r="Y4" s="500"/>
      <c r="Z4" s="500"/>
      <c r="AA4" s="500"/>
    </row>
    <row r="5" spans="1:27" ht="15">
      <c r="A5" s="319" t="s">
        <v>837</v>
      </c>
      <c r="B5" s="525">
        <f>Work!D5*25%</f>
        <v>0</v>
      </c>
      <c r="C5" s="525">
        <f>Work!E5*25%</f>
        <v>8.2871616000000009E-2</v>
      </c>
      <c r="D5" s="525">
        <f>Work!F5*25%+Work!D5*75%</f>
        <v>0.51953868463999997</v>
      </c>
      <c r="E5" s="525">
        <f>Work!G5*25%+Work!E5*75%</f>
        <v>0.54384082954240009</v>
      </c>
      <c r="F5" s="525">
        <f>Work!H5*25%+Work!F5*75%</f>
        <v>1.7310716831999997</v>
      </c>
      <c r="G5" s="525">
        <f>Work!I5*25%+Work!G5*75%</f>
        <v>1.3605807742864</v>
      </c>
      <c r="H5" s="525">
        <f>Work!J5*25%+Work!H5*75%</f>
        <v>0.51736688783999996</v>
      </c>
      <c r="I5" s="525">
        <f>Work!K5*25%+Work!I5*75%</f>
        <v>1.4247084889776001</v>
      </c>
      <c r="J5" s="525">
        <f>Work!L5*25%+Work!J5*75%</f>
        <v>0</v>
      </c>
      <c r="K5" s="525">
        <f>Work!M5*25%+Work!K5*75%</f>
        <v>0</v>
      </c>
      <c r="L5" s="525">
        <f>Work!N5*25%+Work!L5*75%</f>
        <v>0</v>
      </c>
      <c r="M5" s="525">
        <f>Work!O5*25%+Work!M5*75%</f>
        <v>0</v>
      </c>
      <c r="N5" s="525">
        <f>Work!P5*25%+Work!N5*75%</f>
        <v>0</v>
      </c>
      <c r="O5" s="525">
        <f>Work!Q5*25%+Work!O5*75%</f>
        <v>0</v>
      </c>
      <c r="P5" s="525">
        <f>Work!R5*25%+Work!P5*75%</f>
        <v>0</v>
      </c>
      <c r="Q5" s="525">
        <f>Work!S5*25%+Work!Q5*75%</f>
        <v>0</v>
      </c>
      <c r="R5" s="525">
        <f>Work!T5*25%+Work!R5*75%</f>
        <v>0</v>
      </c>
      <c r="S5" s="525">
        <f>Work!U5*25%+Work!S5*75%</f>
        <v>0</v>
      </c>
      <c r="T5" s="500"/>
      <c r="U5" s="500"/>
      <c r="V5" s="500"/>
      <c r="W5" s="500"/>
      <c r="X5" s="500"/>
      <c r="Y5" s="500"/>
      <c r="Z5" s="500"/>
      <c r="AA5" s="500"/>
    </row>
    <row r="6" spans="1:27" ht="15">
      <c r="A6" s="319" t="s">
        <v>695</v>
      </c>
      <c r="B6" s="525">
        <f>Work!D6*25%</f>
        <v>0.28335911482142878</v>
      </c>
      <c r="C6" s="525">
        <f>Work!E6*25%</f>
        <v>0.23335911482142876</v>
      </c>
      <c r="D6" s="525">
        <f>Work!F6*25%+Work!D6*75%</f>
        <v>1.0654558150357152</v>
      </c>
      <c r="E6" s="525">
        <f>Work!G6*25%+Work!E6*75%</f>
        <v>1.013242008885715</v>
      </c>
      <c r="F6" s="525">
        <f>Work!H6*25%+Work!F6*75%</f>
        <v>1.2294945265357127</v>
      </c>
      <c r="G6" s="525">
        <f>Work!I6*25%+Work!G6*75%</f>
        <v>1.5989531080857127</v>
      </c>
      <c r="H6" s="525">
        <f>Work!J6*25%+Work!H6*75%</f>
        <v>2.1463599772357083</v>
      </c>
      <c r="I6" s="525">
        <f>Work!K6*25%+Work!I6*75%</f>
        <v>1.9783773444642794</v>
      </c>
      <c r="J6" s="525">
        <f>Work!L6*25%+Work!J6*75%</f>
        <v>1.1888478983142861</v>
      </c>
      <c r="K6" s="525">
        <f>Work!M6*25%+Work!K6*75%</f>
        <v>0</v>
      </c>
      <c r="L6" s="525">
        <f>Work!N6*25%+Work!L6*75%</f>
        <v>0</v>
      </c>
      <c r="M6" s="525">
        <f>Work!O6*25%+Work!M6*75%</f>
        <v>0</v>
      </c>
      <c r="N6" s="525">
        <f>Work!P6*25%+Work!N6*75%</f>
        <v>0</v>
      </c>
      <c r="O6" s="525">
        <f>Work!Q6*25%+Work!O6*75%</f>
        <v>0</v>
      </c>
      <c r="P6" s="525">
        <f>Work!R6*25%+Work!P6*75%</f>
        <v>0</v>
      </c>
      <c r="Q6" s="525">
        <f>Work!S6*25%+Work!Q6*75%</f>
        <v>0</v>
      </c>
      <c r="R6" s="525">
        <f>Work!T6*25%+Work!R6*75%</f>
        <v>0</v>
      </c>
      <c r="S6" s="525">
        <f>Work!U6*25%+Work!S6*75%</f>
        <v>0</v>
      </c>
      <c r="T6" s="500"/>
      <c r="U6" s="500"/>
      <c r="V6" s="500"/>
      <c r="W6" s="500"/>
      <c r="X6" s="500"/>
      <c r="Y6" s="500"/>
      <c r="Z6" s="500"/>
      <c r="AA6" s="500"/>
    </row>
    <row r="7" spans="1:27" ht="15">
      <c r="A7" s="319" t="s">
        <v>698</v>
      </c>
      <c r="B7" s="525">
        <f>Work!D7*25%</f>
        <v>0</v>
      </c>
      <c r="C7" s="525">
        <f>Work!E7*25%</f>
        <v>0</v>
      </c>
      <c r="D7" s="525">
        <f>Work!F7*25%+Work!D7*75%</f>
        <v>0</v>
      </c>
      <c r="E7" s="525">
        <f>Work!G7*25%+Work!E7*75%</f>
        <v>0.27332499999999998</v>
      </c>
      <c r="F7" s="525">
        <f>Work!H7*25%+Work!F7*75%</f>
        <v>0.86832500000000001</v>
      </c>
      <c r="G7" s="525">
        <f>Work!I7*25%+Work!G7*75%</f>
        <v>0.8199749999999999</v>
      </c>
      <c r="H7" s="525">
        <f>Work!J7*25%+Work!H7*75%</f>
        <v>2.604975</v>
      </c>
      <c r="I7" s="525">
        <f>Work!K7*25%+Work!I7*75%</f>
        <v>0</v>
      </c>
      <c r="J7" s="525">
        <f>Work!L7*25%+Work!J7*75%</f>
        <v>0</v>
      </c>
      <c r="K7" s="525">
        <f>Work!M7*25%+Work!K7*75%</f>
        <v>0</v>
      </c>
      <c r="L7" s="525">
        <f>Work!N7*25%+Work!L7*75%</f>
        <v>0</v>
      </c>
      <c r="M7" s="525">
        <f>Work!O7*25%+Work!M7*75%</f>
        <v>0</v>
      </c>
      <c r="N7" s="525">
        <f>Work!P7*25%+Work!N7*75%</f>
        <v>0</v>
      </c>
      <c r="O7" s="525">
        <f>Work!Q7*25%+Work!O7*75%</f>
        <v>0</v>
      </c>
      <c r="P7" s="525">
        <f>Work!R7*25%+Work!P7*75%</f>
        <v>0</v>
      </c>
      <c r="Q7" s="525">
        <f>Work!S7*25%+Work!Q7*75%</f>
        <v>0</v>
      </c>
      <c r="R7" s="525">
        <f>Work!T7*25%+Work!R7*75%</f>
        <v>0</v>
      </c>
      <c r="S7" s="525">
        <f>Work!U7*25%+Work!S7*75%</f>
        <v>0</v>
      </c>
      <c r="T7" s="500"/>
      <c r="U7" s="500"/>
      <c r="V7" s="500"/>
      <c r="W7" s="500"/>
      <c r="X7" s="500"/>
      <c r="Y7" s="500"/>
      <c r="Z7" s="500"/>
      <c r="AA7" s="500"/>
    </row>
    <row r="8" spans="1:27" ht="12.75" thickBot="1">
      <c r="A8" s="321" t="s">
        <v>104</v>
      </c>
      <c r="B8" s="526">
        <f>SUM(B2:B7)</f>
        <v>0.28335911482142878</v>
      </c>
      <c r="C8" s="526">
        <f t="shared" ref="C8:S8" si="0">SUM(C2:C7)</f>
        <v>2.0309182308214289</v>
      </c>
      <c r="D8" s="526">
        <f t="shared" si="0"/>
        <v>8.372420120729668</v>
      </c>
      <c r="E8" s="526">
        <f t="shared" si="0"/>
        <v>13.418746178428115</v>
      </c>
      <c r="F8" s="526">
        <f t="shared" si="0"/>
        <v>13.442692739735714</v>
      </c>
      <c r="G8" s="526">
        <f t="shared" si="0"/>
        <v>15.748333117733765</v>
      </c>
      <c r="H8" s="526">
        <f t="shared" si="0"/>
        <v>15.446724835853855</v>
      </c>
      <c r="I8" s="526">
        <f t="shared" si="0"/>
        <v>14.025048693825715</v>
      </c>
      <c r="J8" s="526">
        <f t="shared" si="0"/>
        <v>8.2131932028227972</v>
      </c>
      <c r="K8" s="526">
        <f t="shared" si="0"/>
        <v>5.046697952877504</v>
      </c>
      <c r="L8" s="526">
        <f t="shared" si="0"/>
        <v>4.0410802751519999</v>
      </c>
      <c r="M8" s="526">
        <f t="shared" si="0"/>
        <v>4.193342971190912</v>
      </c>
      <c r="N8" s="526">
        <f t="shared" si="0"/>
        <v>3.77336969</v>
      </c>
      <c r="O8" s="526">
        <f t="shared" si="0"/>
        <v>3.09942568</v>
      </c>
      <c r="P8" s="526">
        <f t="shared" si="0"/>
        <v>1.1312425499999998</v>
      </c>
      <c r="Q8" s="526">
        <f t="shared" si="0"/>
        <v>0.52559820000000002</v>
      </c>
      <c r="R8" s="526">
        <f t="shared" si="0"/>
        <v>0.55539062699999997</v>
      </c>
      <c r="S8" s="526">
        <f t="shared" si="0"/>
        <v>0</v>
      </c>
      <c r="T8" s="323"/>
      <c r="U8" s="388"/>
      <c r="V8" s="500"/>
      <c r="W8" s="500"/>
      <c r="X8" s="500"/>
      <c r="Y8" s="500"/>
      <c r="Z8" s="500"/>
      <c r="AA8" s="500"/>
    </row>
    <row r="9" spans="1:27" ht="12.75" thickTop="1">
      <c r="B9" s="500"/>
      <c r="C9" s="500"/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</row>
    <row r="10" spans="1:27">
      <c r="A10" s="321" t="s">
        <v>82</v>
      </c>
      <c r="B10" s="512">
        <v>44764</v>
      </c>
      <c r="C10" s="512">
        <v>44795</v>
      </c>
      <c r="D10" s="512">
        <v>44826</v>
      </c>
      <c r="E10" s="512">
        <v>44856</v>
      </c>
      <c r="F10" s="512">
        <v>44887</v>
      </c>
      <c r="G10" s="512">
        <v>44917</v>
      </c>
      <c r="H10" s="512">
        <v>44948</v>
      </c>
      <c r="I10" s="512">
        <v>44979</v>
      </c>
      <c r="J10" s="512">
        <v>45007</v>
      </c>
      <c r="K10" s="512">
        <v>45038</v>
      </c>
      <c r="L10" s="512">
        <v>45068</v>
      </c>
      <c r="M10" s="512">
        <v>45099</v>
      </c>
      <c r="N10" s="512">
        <v>45129</v>
      </c>
      <c r="O10" s="512">
        <v>45160</v>
      </c>
      <c r="P10" s="512">
        <v>45191</v>
      </c>
      <c r="Q10" s="512">
        <v>45221</v>
      </c>
      <c r="R10" s="512">
        <v>45252</v>
      </c>
      <c r="S10" s="512">
        <v>45282</v>
      </c>
      <c r="T10" s="500"/>
      <c r="U10" s="500"/>
      <c r="V10" s="500"/>
      <c r="W10" s="500"/>
      <c r="X10" s="500"/>
      <c r="Y10" s="500"/>
      <c r="Z10" s="500"/>
      <c r="AA10" s="500"/>
    </row>
    <row r="11" spans="1:27" ht="15">
      <c r="A11" s="319" t="s">
        <v>755</v>
      </c>
      <c r="B11" s="527">
        <v>0</v>
      </c>
      <c r="C11" s="527">
        <v>0</v>
      </c>
      <c r="D11" s="527">
        <v>0</v>
      </c>
      <c r="E11" s="525">
        <f>Work!D11</f>
        <v>0.51743492105395195</v>
      </c>
      <c r="F11" s="525">
        <f>Work!E11</f>
        <v>0.48264449999999998</v>
      </c>
      <c r="G11" s="525">
        <f>Work!F11</f>
        <v>1.0941110000000001</v>
      </c>
      <c r="H11" s="525">
        <f>Work!G11</f>
        <v>1.9770524</v>
      </c>
      <c r="I11" s="525">
        <f>Work!H11</f>
        <v>3.0406059999999999</v>
      </c>
      <c r="J11" s="525">
        <f>Work!I11</f>
        <v>3.4646565251519998</v>
      </c>
      <c r="K11" s="525">
        <f>Work!J11</f>
        <v>3.8032327125280001</v>
      </c>
      <c r="L11" s="525">
        <f>Work!K11</f>
        <v>3.8559722728775041</v>
      </c>
      <c r="M11" s="525">
        <f>Work!L11</f>
        <v>2.8473961251520001</v>
      </c>
      <c r="N11" s="525">
        <f>Work!M11</f>
        <v>3.1397782511909118</v>
      </c>
      <c r="O11" s="525">
        <f>Work!N11</f>
        <v>2.7406839999999999</v>
      </c>
      <c r="P11" s="525">
        <f>Work!O11</f>
        <v>2.6569424000000001</v>
      </c>
      <c r="Q11" s="525">
        <f>Work!P11</f>
        <v>0.91780150000000005</v>
      </c>
      <c r="R11" s="525">
        <f>Work!Q11</f>
        <v>0.63965799999999995</v>
      </c>
      <c r="S11" s="525">
        <f>Work!R11</f>
        <v>0.67659627300000003</v>
      </c>
      <c r="T11" s="500"/>
      <c r="U11" s="500"/>
      <c r="V11" s="500"/>
      <c r="W11" s="500"/>
      <c r="X11" s="500"/>
      <c r="Y11" s="500"/>
      <c r="Z11" s="500"/>
      <c r="AA11" s="500"/>
    </row>
    <row r="12" spans="1:27" ht="15">
      <c r="A12" s="319" t="s">
        <v>822</v>
      </c>
      <c r="B12" s="525">
        <v>0</v>
      </c>
      <c r="C12" s="525">
        <f>Work!D12</f>
        <v>0</v>
      </c>
      <c r="D12" s="525">
        <f>Work!E12</f>
        <v>1.02216</v>
      </c>
      <c r="E12" s="525">
        <f>Work!F12</f>
        <v>6.9981245000000003</v>
      </c>
      <c r="F12" s="525">
        <f>Work!G12</f>
        <v>7.986676365000001</v>
      </c>
      <c r="G12" s="525">
        <f>Work!H12</f>
        <v>7.3758064679999995</v>
      </c>
      <c r="H12" s="525">
        <f>Work!I12</f>
        <v>1.95929</v>
      </c>
      <c r="I12" s="525">
        <f>Work!J12</f>
        <v>0</v>
      </c>
      <c r="J12" s="525">
        <f>Work!K12</f>
        <v>2.3326751968370663</v>
      </c>
      <c r="K12" s="525">
        <f>Work!L12</f>
        <v>0</v>
      </c>
      <c r="L12" s="525">
        <f>Work!M12</f>
        <v>0.80537999999999987</v>
      </c>
      <c r="M12" s="525">
        <f>Work!N12</f>
        <v>0</v>
      </c>
      <c r="N12" s="525">
        <f>Work!O12</f>
        <v>0.53691999999999995</v>
      </c>
      <c r="O12" s="525">
        <f>Work!P12</f>
        <v>0</v>
      </c>
      <c r="P12" s="525">
        <f>Work!Q12</f>
        <v>0</v>
      </c>
      <c r="Q12" s="525">
        <f>Work!R12</f>
        <v>0</v>
      </c>
      <c r="R12" s="525">
        <f>Work!S12</f>
        <v>0</v>
      </c>
      <c r="S12" s="525">
        <f>Work!T12</f>
        <v>0</v>
      </c>
      <c r="T12" s="500"/>
      <c r="U12" s="500"/>
      <c r="V12" s="500"/>
      <c r="W12" s="500"/>
      <c r="X12" s="500"/>
      <c r="Y12" s="500"/>
      <c r="Z12" s="500"/>
      <c r="AA12" s="500"/>
    </row>
    <row r="13" spans="1:27" ht="15">
      <c r="A13" s="319" t="s">
        <v>696</v>
      </c>
      <c r="B13" s="525">
        <v>0</v>
      </c>
      <c r="C13" s="525">
        <v>0</v>
      </c>
      <c r="D13" s="525">
        <f>Work!D13</f>
        <v>0</v>
      </c>
      <c r="E13" s="525">
        <f>Work!E13</f>
        <v>0</v>
      </c>
      <c r="F13" s="525">
        <f>Work!F13</f>
        <v>0.75121183480400144</v>
      </c>
      <c r="G13" s="525">
        <f>Work!G13</f>
        <v>0.66234303084399904</v>
      </c>
      <c r="H13" s="525">
        <f>Work!H13</f>
        <v>1.3453356248920041</v>
      </c>
      <c r="I13" s="525">
        <f>Work!I13</f>
        <v>0.50932618480000003</v>
      </c>
      <c r="J13" s="525">
        <f>Work!J13</f>
        <v>1.2159325966800061</v>
      </c>
      <c r="K13" s="525">
        <f>Work!K13</f>
        <v>0</v>
      </c>
      <c r="L13" s="525">
        <f>Work!L13</f>
        <v>0</v>
      </c>
      <c r="M13" s="525">
        <f>Work!M13</f>
        <v>0</v>
      </c>
      <c r="N13" s="525">
        <f>Work!N13</f>
        <v>0</v>
      </c>
      <c r="O13" s="525">
        <f>Work!O13</f>
        <v>0</v>
      </c>
      <c r="P13" s="525">
        <f>Work!P13</f>
        <v>0</v>
      </c>
      <c r="Q13" s="525">
        <f>Work!Q13</f>
        <v>0</v>
      </c>
      <c r="R13" s="525">
        <f>Work!R13</f>
        <v>0</v>
      </c>
      <c r="S13" s="525">
        <f>Work!S13</f>
        <v>0</v>
      </c>
      <c r="T13" s="500"/>
      <c r="U13" s="500"/>
      <c r="V13" s="500"/>
      <c r="W13" s="500"/>
      <c r="X13" s="500"/>
      <c r="Y13" s="500"/>
      <c r="Z13" s="500"/>
      <c r="AA13" s="500"/>
    </row>
    <row r="14" spans="1:27" ht="15">
      <c r="A14" s="319" t="s">
        <v>837</v>
      </c>
      <c r="B14" s="525">
        <v>0</v>
      </c>
      <c r="C14" s="525">
        <v>0</v>
      </c>
      <c r="D14" s="525">
        <f>Work!D14</f>
        <v>0</v>
      </c>
      <c r="E14" s="525">
        <f>Work!E14</f>
        <v>0.20717903999999998</v>
      </c>
      <c r="F14" s="525">
        <f>Work!F14</f>
        <v>1.2988467115999998</v>
      </c>
      <c r="G14" s="525">
        <f>Work!G14</f>
        <v>0.73806495385600002</v>
      </c>
      <c r="H14" s="525">
        <f>Work!H14</f>
        <v>0.4311390732</v>
      </c>
      <c r="I14" s="525">
        <f>Work!I14</f>
        <v>1.1872570741479997</v>
      </c>
      <c r="J14" s="525">
        <f>Work!J14</f>
        <v>0</v>
      </c>
      <c r="K14" s="525">
        <f>Work!K14</f>
        <v>0</v>
      </c>
      <c r="L14" s="525">
        <f>Work!L14</f>
        <v>0</v>
      </c>
      <c r="M14" s="525">
        <f>Work!M14</f>
        <v>0</v>
      </c>
      <c r="N14" s="525">
        <f>Work!N14</f>
        <v>0</v>
      </c>
      <c r="O14" s="525">
        <f>Work!O14</f>
        <v>0</v>
      </c>
      <c r="P14" s="525">
        <f>Work!P14</f>
        <v>0</v>
      </c>
      <c r="Q14" s="525">
        <f>Work!Q14</f>
        <v>0</v>
      </c>
      <c r="R14" s="525">
        <f>Work!R14</f>
        <v>0</v>
      </c>
      <c r="S14" s="525">
        <f>Work!S14</f>
        <v>0</v>
      </c>
      <c r="T14" s="500"/>
      <c r="U14" s="500"/>
      <c r="V14" s="500"/>
      <c r="W14" s="500"/>
      <c r="X14" s="500"/>
      <c r="Y14" s="500"/>
      <c r="Z14" s="500"/>
      <c r="AA14" s="500"/>
    </row>
    <row r="15" spans="1:27" ht="15">
      <c r="A15" s="319" t="s">
        <v>695</v>
      </c>
      <c r="B15" s="525">
        <v>0</v>
      </c>
      <c r="C15" s="525">
        <v>0</v>
      </c>
      <c r="D15" s="525">
        <f>Work!D15</f>
        <v>0</v>
      </c>
      <c r="E15" s="525">
        <f>Work!E15</f>
        <v>0.68487517260000208</v>
      </c>
      <c r="F15" s="525">
        <f>Work!F15</f>
        <v>1.4379174006000002</v>
      </c>
      <c r="G15" s="525">
        <f>Work!G15</f>
        <v>1.9165366482000012</v>
      </c>
      <c r="H15" s="525">
        <f>Work!H15</f>
        <v>1.3379914456000011</v>
      </c>
      <c r="I15" s="525">
        <f>Work!I15</f>
        <v>1.3044</v>
      </c>
      <c r="J15" s="525">
        <f>Work!J15</f>
        <v>2.8742098559999958</v>
      </c>
      <c r="K15" s="525">
        <f>Work!K15</f>
        <v>0</v>
      </c>
      <c r="L15" s="525">
        <f>Work!L15</f>
        <v>0</v>
      </c>
      <c r="M15" s="525">
        <f>Work!M15</f>
        <v>0</v>
      </c>
      <c r="N15" s="525">
        <f>Work!N15</f>
        <v>0</v>
      </c>
      <c r="O15" s="525">
        <f>Work!O15</f>
        <v>0</v>
      </c>
      <c r="P15" s="525">
        <f>Work!P15</f>
        <v>0</v>
      </c>
      <c r="Q15" s="525">
        <f>Work!Q15</f>
        <v>0</v>
      </c>
      <c r="R15" s="525">
        <f>Work!R15</f>
        <v>0</v>
      </c>
      <c r="S15" s="525">
        <f>Work!S15</f>
        <v>0</v>
      </c>
      <c r="T15" s="500"/>
      <c r="U15" s="500"/>
      <c r="V15" s="500"/>
      <c r="W15" s="500"/>
      <c r="X15" s="500"/>
      <c r="Y15" s="500"/>
      <c r="Z15" s="500"/>
      <c r="AA15" s="500"/>
    </row>
    <row r="16" spans="1:27" ht="15">
      <c r="A16" s="319" t="s">
        <v>698</v>
      </c>
      <c r="B16" s="525">
        <v>0</v>
      </c>
      <c r="C16" s="525">
        <v>0</v>
      </c>
      <c r="D16" s="525">
        <f>Work!D16</f>
        <v>0</v>
      </c>
      <c r="E16" s="525">
        <f>Work!E16</f>
        <v>0</v>
      </c>
      <c r="F16" s="525">
        <f>Work!F16</f>
        <v>0</v>
      </c>
      <c r="G16" s="525">
        <f>Work!G16</f>
        <v>1.0932999999999999</v>
      </c>
      <c r="H16" s="525">
        <f>Work!H16</f>
        <v>3.4733000000000001</v>
      </c>
      <c r="I16" s="525">
        <f>Work!I16</f>
        <v>0</v>
      </c>
      <c r="J16" s="525">
        <f>Work!J16</f>
        <v>0</v>
      </c>
      <c r="K16" s="525">
        <f>Work!K16</f>
        <v>0</v>
      </c>
      <c r="L16" s="525">
        <f>Work!L16</f>
        <v>0</v>
      </c>
      <c r="M16" s="525">
        <f>Work!M16</f>
        <v>0</v>
      </c>
      <c r="N16" s="525">
        <f>Work!N16</f>
        <v>0</v>
      </c>
      <c r="O16" s="525">
        <f>Work!O16</f>
        <v>0</v>
      </c>
      <c r="P16" s="525">
        <f>Work!P16</f>
        <v>0</v>
      </c>
      <c r="Q16" s="525">
        <f>Work!Q16</f>
        <v>0</v>
      </c>
      <c r="R16" s="525">
        <f>Work!R16</f>
        <v>0</v>
      </c>
      <c r="S16" s="525">
        <f>Work!S16</f>
        <v>0</v>
      </c>
      <c r="T16" s="500"/>
      <c r="U16" s="500"/>
      <c r="V16" s="500"/>
      <c r="W16" s="500"/>
      <c r="X16" s="500"/>
      <c r="Y16" s="500"/>
      <c r="Z16" s="500"/>
      <c r="AA16" s="500"/>
    </row>
    <row r="17" spans="1:27" ht="12.75" thickBot="1">
      <c r="A17" s="321" t="s">
        <v>104</v>
      </c>
      <c r="B17" s="526">
        <f>SUM(B11:B16)</f>
        <v>0</v>
      </c>
      <c r="C17" s="526">
        <f t="shared" ref="C17:S17" si="1">SUM(C11:C16)</f>
        <v>0</v>
      </c>
      <c r="D17" s="526">
        <f t="shared" si="1"/>
        <v>1.02216</v>
      </c>
      <c r="E17" s="526">
        <f t="shared" si="1"/>
        <v>8.4076136336539538</v>
      </c>
      <c r="F17" s="526">
        <f t="shared" si="1"/>
        <v>11.957296812004001</v>
      </c>
      <c r="G17" s="526">
        <f t="shared" si="1"/>
        <v>12.8801621009</v>
      </c>
      <c r="H17" s="526">
        <f t="shared" si="1"/>
        <v>10.524108543692005</v>
      </c>
      <c r="I17" s="526">
        <f t="shared" si="1"/>
        <v>6.041589258948</v>
      </c>
      <c r="J17" s="526">
        <f t="shared" si="1"/>
        <v>9.8874741746690678</v>
      </c>
      <c r="K17" s="526">
        <f t="shared" si="1"/>
        <v>3.8032327125280001</v>
      </c>
      <c r="L17" s="526">
        <f t="shared" si="1"/>
        <v>4.6613522728775036</v>
      </c>
      <c r="M17" s="526">
        <f t="shared" si="1"/>
        <v>2.8473961251520001</v>
      </c>
      <c r="N17" s="526">
        <f t="shared" si="1"/>
        <v>3.6766982511909116</v>
      </c>
      <c r="O17" s="526">
        <f t="shared" si="1"/>
        <v>2.7406839999999999</v>
      </c>
      <c r="P17" s="526">
        <f t="shared" si="1"/>
        <v>2.6569424000000001</v>
      </c>
      <c r="Q17" s="526">
        <f t="shared" si="1"/>
        <v>0.91780150000000005</v>
      </c>
      <c r="R17" s="526">
        <f t="shared" si="1"/>
        <v>0.63965799999999995</v>
      </c>
      <c r="S17" s="526">
        <f t="shared" si="1"/>
        <v>0.67659627300000003</v>
      </c>
      <c r="T17" s="500"/>
      <c r="U17" s="500"/>
      <c r="V17" s="500"/>
      <c r="W17" s="500"/>
      <c r="X17" s="500"/>
      <c r="Y17" s="500"/>
      <c r="Z17" s="500"/>
      <c r="AA17" s="500"/>
    </row>
    <row r="18" spans="1:27" ht="12" customHeight="1" thickTop="1"/>
  </sheetData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22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Q17" sqref="Q17"/>
    </sheetView>
  </sheetViews>
  <sheetFormatPr defaultColWidth="9.140625" defaultRowHeight="12"/>
  <cols>
    <col min="1" max="1" width="19.140625" style="319" bestFit="1" customWidth="1"/>
    <col min="2" max="3" width="5.85546875" style="319" customWidth="1"/>
    <col min="4" max="4" width="5.28515625" style="319" bestFit="1" customWidth="1"/>
    <col min="5" max="6" width="6" style="319" bestFit="1" customWidth="1"/>
    <col min="7" max="8" width="6.140625" style="319" bestFit="1" customWidth="1"/>
    <col min="9" max="9" width="6" style="319" bestFit="1" customWidth="1"/>
    <col min="10" max="10" width="6.140625" style="319" bestFit="1" customWidth="1"/>
    <col min="11" max="11" width="6" style="319" bestFit="1" customWidth="1"/>
    <col min="12" max="12" width="6.28515625" style="319" bestFit="1" customWidth="1"/>
    <col min="13" max="13" width="5.85546875" style="319" bestFit="1" customWidth="1"/>
    <col min="14" max="14" width="6.42578125" style="319" bestFit="1" customWidth="1"/>
    <col min="15" max="15" width="5.7109375" style="319" bestFit="1" customWidth="1"/>
    <col min="16" max="16" width="5.28515625" style="319" bestFit="1" customWidth="1"/>
    <col min="17" max="18" width="6" style="319" bestFit="1" customWidth="1"/>
    <col min="19" max="22" width="6" style="319" customWidth="1"/>
    <col min="23" max="23" width="12.85546875" style="319" bestFit="1" customWidth="1"/>
    <col min="24" max="16384" width="9.140625" style="319"/>
  </cols>
  <sheetData>
    <row r="1" spans="1:33">
      <c r="A1" s="321" t="s">
        <v>188</v>
      </c>
      <c r="B1" s="321"/>
      <c r="C1" s="321"/>
      <c r="D1" s="512">
        <v>44764</v>
      </c>
      <c r="E1" s="512">
        <v>44795</v>
      </c>
      <c r="F1" s="512">
        <v>44826</v>
      </c>
      <c r="G1" s="512">
        <v>44856</v>
      </c>
      <c r="H1" s="512">
        <v>44887</v>
      </c>
      <c r="I1" s="512">
        <v>44917</v>
      </c>
      <c r="J1" s="512">
        <v>44948</v>
      </c>
      <c r="K1" s="512">
        <v>44979</v>
      </c>
      <c r="L1" s="512">
        <v>45007</v>
      </c>
      <c r="M1" s="512">
        <v>45038</v>
      </c>
      <c r="N1" s="512">
        <v>45068</v>
      </c>
      <c r="O1" s="512">
        <v>45099</v>
      </c>
      <c r="P1" s="512">
        <v>45129</v>
      </c>
      <c r="Q1" s="512">
        <v>45160</v>
      </c>
      <c r="R1" s="512">
        <v>45191</v>
      </c>
      <c r="S1" s="512"/>
      <c r="T1" s="512"/>
      <c r="U1" s="512"/>
      <c r="V1" s="512"/>
    </row>
    <row r="2" spans="1:33" ht="15">
      <c r="A2" s="319" t="s">
        <v>838</v>
      </c>
      <c r="D2" s="525">
        <f>(SUM('Execution Cost'!V2:V18))/10000000</f>
        <v>0.45921692105395195</v>
      </c>
      <c r="E2" s="525">
        <f>(SUM('Execution Cost'!W2:W18))/10000000</f>
        <v>0.42561460000000001</v>
      </c>
      <c r="F2" s="525">
        <f>(SUM('Execution Cost'!X2:X18))/10000000</f>
        <v>0.99990319999999999</v>
      </c>
      <c r="G2" s="525">
        <f>(SUM('Execution Cost'!Y2:Y18))/10000000</f>
        <v>1.8496893999999999</v>
      </c>
      <c r="H2" s="525">
        <f>(SUM('Execution Cost'!Z2:Z18))/10000000</f>
        <v>2.9628730000000001</v>
      </c>
      <c r="I2" s="525">
        <f>(SUM('Execution Cost'!AA2:AA18))/10000000</f>
        <v>3.386923525152</v>
      </c>
      <c r="J2" s="525">
        <f>(SUM('Execution Cost'!AB2:AB18))/10000000</f>
        <v>3.761218212528</v>
      </c>
      <c r="K2" s="525">
        <f>(SUM('Execution Cost'!AC2:AC18))/10000000</f>
        <v>3.813957772877504</v>
      </c>
      <c r="L2" s="525">
        <f>(SUM('Execution Cost'!AD2:AD18))/10000000</f>
        <v>2.7994411251520002</v>
      </c>
      <c r="M2" s="525">
        <f>(SUM('Execution Cost'!AE2:AE18))/10000000</f>
        <v>3.1258952511909119</v>
      </c>
      <c r="N2" s="525">
        <f>(SUM('Execution Cost'!AF2:AF18))/10000000</f>
        <v>2.6970230000000002</v>
      </c>
      <c r="O2" s="525">
        <f>(SUM('Execution Cost'!AG2:AG18))/10000000</f>
        <v>2.5811272000000001</v>
      </c>
      <c r="P2" s="525">
        <f>(SUM('Execution Cost'!AH2:AH18))/10000000</f>
        <v>0.80730599999999997</v>
      </c>
      <c r="Q2" s="525">
        <f>(SUM('Execution Cost'!AI2:AI18))/10000000</f>
        <v>0.52559820000000002</v>
      </c>
      <c r="R2" s="525">
        <f>(SUM('Execution Cost'!AJ2:AJ18))/10000000</f>
        <v>0.55539062699999997</v>
      </c>
      <c r="S2" s="525"/>
      <c r="T2" s="525"/>
      <c r="U2" s="525"/>
      <c r="V2" s="525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</row>
    <row r="3" spans="1:33" ht="15">
      <c r="A3" s="319" t="s">
        <v>839</v>
      </c>
      <c r="D3" s="525">
        <v>0</v>
      </c>
      <c r="E3" s="525">
        <f>(SUM('Supply Cost'!U2:U14))/10000000</f>
        <v>1.7146874999999999</v>
      </c>
      <c r="F3" s="525">
        <f>(SUM('Supply Cost'!V2:V14))/10000000</f>
        <v>6.3282087000000011</v>
      </c>
      <c r="G3" s="525">
        <f>(SUM('Supply Cost'!W2:W14))/10000000</f>
        <v>11.162723740000001</v>
      </c>
      <c r="H3" s="525">
        <f>(SUM('Supply Cost'!X2:X14))/10000000</f>
        <v>8.6138983299999996</v>
      </c>
      <c r="I3" s="525">
        <f>(SUM('Supply Cost'!Y2:Y14))/10000000</f>
        <v>8.8702451599999996</v>
      </c>
      <c r="J3" s="525">
        <f>(SUM('Supply Cost'!Z2:Z14))/10000000</f>
        <v>6.114004682</v>
      </c>
      <c r="K3" s="525">
        <f>(SUM('Supply Cost'!AA2:AA14))/10000000</f>
        <v>4.9984188588488792</v>
      </c>
      <c r="L3" s="525">
        <f>(SUM('Supply Cost'!AB2:AB14))/10000000</f>
        <v>1.2416391499999999</v>
      </c>
      <c r="M3" s="525">
        <f>(SUM('Supply Cost'!AC2:AC14))/10000000</f>
        <v>1.2327401799999997</v>
      </c>
      <c r="N3" s="525">
        <f>(SUM('Supply Cost'!AD2:AD14))/10000000</f>
        <v>1.2416391499999999</v>
      </c>
      <c r="O3" s="525">
        <f>(SUM('Supply Cost'!AE2:AE14))/10000000</f>
        <v>1.0674477199999999</v>
      </c>
      <c r="P3" s="525">
        <f>(SUM('Supply Cost'!AF2:AF14))/10000000</f>
        <v>1.0763466899999998</v>
      </c>
      <c r="Q3" s="525">
        <f>(SUM('Supply Cost'!AG2:AG14))/10000000</f>
        <v>0.51829847999999989</v>
      </c>
      <c r="R3" s="525">
        <f>(SUM('Supply Cost'!AH2:AH14))/10000000</f>
        <v>0.32393654999999993</v>
      </c>
      <c r="S3" s="525"/>
      <c r="T3" s="525"/>
      <c r="U3" s="525"/>
      <c r="V3" s="525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</row>
    <row r="4" spans="1:33" ht="15">
      <c r="A4" s="319" t="s">
        <v>696</v>
      </c>
      <c r="D4" s="525">
        <f>(WTP!I17)/10000000</f>
        <v>0</v>
      </c>
      <c r="E4" s="525">
        <f>(WTP!J17)/10000000</f>
        <v>0</v>
      </c>
      <c r="F4" s="525">
        <f>(WTP!K17)/10000000</f>
        <v>0</v>
      </c>
      <c r="G4" s="525">
        <f>(WTP!L17)/10000000</f>
        <v>1.2488896753616525</v>
      </c>
      <c r="H4" s="525">
        <f>(WTP!M17)/10000000</f>
        <v>1.1011452887781485</v>
      </c>
      <c r="I4" s="525">
        <f>(WTP!N17)/10000000</f>
        <v>2.2366204763829565</v>
      </c>
      <c r="J4" s="525">
        <f>(WTP!P17)/10000000</f>
        <v>2.0214879419805101</v>
      </c>
      <c r="K4" s="525">
        <f>(WTP!Q17)/10000000</f>
        <v>0</v>
      </c>
      <c r="L4" s="525">
        <f>(WTP!R17)/10000000</f>
        <v>0</v>
      </c>
      <c r="M4" s="525">
        <f>(WTP!S17)/10000000</f>
        <v>0</v>
      </c>
      <c r="N4" s="525">
        <f>(WTP!T17)/10000000</f>
        <v>0</v>
      </c>
      <c r="O4" s="525">
        <f>(WTP!U17)/10000000</f>
        <v>0</v>
      </c>
      <c r="P4" s="525">
        <f>(WTP!V17)/10000000</f>
        <v>0</v>
      </c>
      <c r="Q4" s="525">
        <f>(WTP!W17)/10000000</f>
        <v>0</v>
      </c>
      <c r="R4" s="525">
        <f>(WTP!X17)/10000000</f>
        <v>0</v>
      </c>
      <c r="S4" s="525"/>
      <c r="T4" s="525"/>
      <c r="U4" s="525"/>
      <c r="V4" s="525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</row>
    <row r="5" spans="1:33" ht="15">
      <c r="A5" s="319" t="s">
        <v>837</v>
      </c>
      <c r="D5" s="525">
        <f>'Existing UGRs'!I29/10000000</f>
        <v>0</v>
      </c>
      <c r="E5" s="525">
        <f>'Existing UGRs'!J29/10000000</f>
        <v>0.33148646400000004</v>
      </c>
      <c r="F5" s="525">
        <f>'Existing UGRs'!K29/10000000</f>
        <v>2.0781547385599999</v>
      </c>
      <c r="G5" s="525">
        <f>'Existing UGRs'!L29/10000000</f>
        <v>1.1809039261696002</v>
      </c>
      <c r="H5" s="525">
        <f>'Existing UGRs'!M29/10000000</f>
        <v>0.68982251711999998</v>
      </c>
      <c r="I5" s="525">
        <f>'Existing UGRs'!N29/10000000</f>
        <v>1.8996113186368</v>
      </c>
      <c r="J5" s="525">
        <f>'Existing UGRs'!O29/10000000</f>
        <v>0</v>
      </c>
      <c r="K5" s="525">
        <f>'Existing UGRs'!P29/10000000</f>
        <v>0</v>
      </c>
      <c r="L5" s="525">
        <f>'Existing UGRs'!Q29/10000000</f>
        <v>0</v>
      </c>
      <c r="M5" s="525">
        <f>'Existing UGRs'!R29/10000000</f>
        <v>0</v>
      </c>
      <c r="N5" s="525">
        <f>'Existing UGRs'!S29/10000000</f>
        <v>0</v>
      </c>
      <c r="O5" s="525">
        <f>'Existing UGRs'!T29/10000000</f>
        <v>0</v>
      </c>
      <c r="P5" s="525">
        <f>'Existing UGRs'!U29/10000000</f>
        <v>0</v>
      </c>
      <c r="Q5" s="525">
        <f>'Existing UGRs'!V29/10000000</f>
        <v>0</v>
      </c>
      <c r="R5" s="525">
        <f>'Existing UGRs'!W29/10000000</f>
        <v>0</v>
      </c>
      <c r="S5" s="525"/>
      <c r="T5" s="525"/>
      <c r="U5" s="525"/>
      <c r="V5" s="525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</row>
    <row r="6" spans="1:33" ht="15">
      <c r="A6" s="319" t="s">
        <v>695</v>
      </c>
      <c r="D6" s="525">
        <f>'New UGRs'!J27/10000000</f>
        <v>1.1334364592857151</v>
      </c>
      <c r="E6" s="525">
        <f>'New UGRs'!K27/10000000</f>
        <v>0.93343645928571506</v>
      </c>
      <c r="F6" s="525">
        <f>'New UGRs'!L27/10000000</f>
        <v>0.8615138822857149</v>
      </c>
      <c r="G6" s="525">
        <f>'New UGRs'!M27/10000000</f>
        <v>1.252658657685715</v>
      </c>
      <c r="H6" s="525">
        <f>'New UGRs'!N27/10000000</f>
        <v>2.3334364592857058</v>
      </c>
      <c r="I6" s="525">
        <f>'New UGRs'!O27/10000000</f>
        <v>2.637836459285706</v>
      </c>
      <c r="J6" s="525">
        <f>'New UGRs'!P27/10000000</f>
        <v>1.5851305310857149</v>
      </c>
      <c r="K6" s="525">
        <f>'New UGRs'!Q27/10000000</f>
        <v>0</v>
      </c>
      <c r="L6" s="525">
        <f>'New UGRs'!R27/10000000</f>
        <v>0</v>
      </c>
      <c r="M6" s="525">
        <f>'New UGRs'!S27/10000000</f>
        <v>0</v>
      </c>
      <c r="N6" s="525">
        <f>'New UGRs'!T27/10000000</f>
        <v>0</v>
      </c>
      <c r="O6" s="525">
        <f>'New UGRs'!U27/10000000</f>
        <v>0</v>
      </c>
      <c r="P6" s="525">
        <f>'New UGRs'!V27/10000000</f>
        <v>0</v>
      </c>
      <c r="Q6" s="525">
        <f>'New UGRs'!W27/10000000</f>
        <v>0</v>
      </c>
      <c r="R6" s="525">
        <f>'New UGRs'!X27/10000000</f>
        <v>0</v>
      </c>
      <c r="S6" s="525"/>
      <c r="T6" s="525"/>
      <c r="U6" s="525"/>
      <c r="V6" s="525"/>
      <c r="W6" s="500"/>
      <c r="X6" s="500"/>
      <c r="Y6" s="500"/>
      <c r="Z6" s="500"/>
      <c r="AA6" s="500"/>
      <c r="AB6" s="500"/>
      <c r="AC6" s="500"/>
      <c r="AD6" s="500"/>
      <c r="AE6" s="500"/>
      <c r="AF6" s="500"/>
      <c r="AG6" s="500"/>
    </row>
    <row r="7" spans="1:33" ht="15">
      <c r="A7" s="319" t="s">
        <v>698</v>
      </c>
      <c r="D7" s="525">
        <f>(Automation!I6)/10000000</f>
        <v>0</v>
      </c>
      <c r="E7" s="525">
        <f>(Automation!J6)/10000000</f>
        <v>0</v>
      </c>
      <c r="F7" s="525">
        <f>(Automation!K6)/10000000</f>
        <v>0</v>
      </c>
      <c r="G7" s="525">
        <f>(Automation!L6)/10000000</f>
        <v>1.0932999999999999</v>
      </c>
      <c r="H7" s="525">
        <f>(Automation!M6)/10000000</f>
        <v>3.4733000000000001</v>
      </c>
      <c r="I7" s="525">
        <f>(Automation!N6)/10000000</f>
        <v>0</v>
      </c>
      <c r="J7" s="525">
        <f>(Automation!O6)/10000000</f>
        <v>0</v>
      </c>
      <c r="K7" s="525">
        <f>(Automation!P6)/10000000</f>
        <v>0</v>
      </c>
      <c r="L7" s="525">
        <f>(Automation!Q6)/10000000</f>
        <v>0</v>
      </c>
      <c r="M7" s="525">
        <f>(Automation!R6)/10000000</f>
        <v>0</v>
      </c>
      <c r="N7" s="525">
        <f>(Automation!S6)/10000000</f>
        <v>0</v>
      </c>
      <c r="O7" s="525">
        <f>(Automation!T6)/10000000</f>
        <v>0</v>
      </c>
      <c r="P7" s="525">
        <f>(Automation!U6)/10000000</f>
        <v>0</v>
      </c>
      <c r="Q7" s="525">
        <f>(Automation!V6)/10000000</f>
        <v>0</v>
      </c>
      <c r="R7" s="525">
        <f>(Automation!W6)/10000000</f>
        <v>0</v>
      </c>
      <c r="S7" s="525"/>
      <c r="T7" s="525"/>
      <c r="U7" s="525"/>
      <c r="V7" s="525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</row>
    <row r="8" spans="1:33" ht="15.75" thickBot="1">
      <c r="A8" s="321" t="s">
        <v>104</v>
      </c>
      <c r="B8" s="321"/>
      <c r="C8" s="321"/>
      <c r="D8" s="526">
        <f>SUM(D2:D7)</f>
        <v>1.5926533803396672</v>
      </c>
      <c r="E8" s="526">
        <f t="shared" ref="E8:R8" si="0">SUM(E2:E7)</f>
        <v>3.4052250232857153</v>
      </c>
      <c r="F8" s="526">
        <f t="shared" si="0"/>
        <v>10.267780520845717</v>
      </c>
      <c r="G8" s="526">
        <f t="shared" si="0"/>
        <v>17.788165399216968</v>
      </c>
      <c r="H8" s="526">
        <f t="shared" si="0"/>
        <v>19.174475595183853</v>
      </c>
      <c r="I8" s="526">
        <f t="shared" si="0"/>
        <v>19.031236939457461</v>
      </c>
      <c r="J8" s="526">
        <f t="shared" si="0"/>
        <v>13.481841367594226</v>
      </c>
      <c r="K8" s="526">
        <f t="shared" si="0"/>
        <v>8.8123766317263836</v>
      </c>
      <c r="L8" s="526">
        <f t="shared" si="0"/>
        <v>4.0410802751519999</v>
      </c>
      <c r="M8" s="526">
        <f t="shared" si="0"/>
        <v>4.3586354311909119</v>
      </c>
      <c r="N8" s="526">
        <f t="shared" si="0"/>
        <v>3.9386621499999999</v>
      </c>
      <c r="O8" s="526">
        <f t="shared" si="0"/>
        <v>3.6485749199999997</v>
      </c>
      <c r="P8" s="526">
        <f t="shared" si="0"/>
        <v>1.8836526899999999</v>
      </c>
      <c r="Q8" s="526">
        <f t="shared" si="0"/>
        <v>1.04389668</v>
      </c>
      <c r="R8" s="526">
        <f t="shared" si="0"/>
        <v>0.87932717699999996</v>
      </c>
      <c r="S8" s="528"/>
      <c r="T8" s="528"/>
      <c r="U8" s="528"/>
      <c r="V8" s="528"/>
      <c r="W8" s="528">
        <f>SUM(D8:R8)</f>
        <v>113.34758418099291</v>
      </c>
      <c r="X8" s="525">
        <f>W8</f>
        <v>113.34758418099291</v>
      </c>
      <c r="Y8" s="525">
        <f>'CF Capex'!W7+'CF Capex'!AG7</f>
        <v>6</v>
      </c>
      <c r="Z8" s="525">
        <f>X8-Y8</f>
        <v>107.34758418099291</v>
      </c>
      <c r="AA8" s="528">
        <f>'Summary '!D2</f>
        <v>141.5775841809928</v>
      </c>
      <c r="AB8" s="525">
        <f>Z8-AA8</f>
        <v>-34.22999999999989</v>
      </c>
      <c r="AC8" s="529" t="s">
        <v>840</v>
      </c>
      <c r="AD8" s="500"/>
      <c r="AE8" s="500"/>
      <c r="AF8" s="500"/>
      <c r="AG8" s="500"/>
    </row>
    <row r="9" spans="1:33" ht="12.75" thickTop="1"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</row>
    <row r="10" spans="1:33">
      <c r="A10" s="321" t="s">
        <v>82</v>
      </c>
      <c r="B10" s="321"/>
      <c r="C10" s="321"/>
      <c r="D10" s="512">
        <v>44764</v>
      </c>
      <c r="E10" s="512">
        <v>44795</v>
      </c>
      <c r="F10" s="512">
        <v>44826</v>
      </c>
      <c r="G10" s="512">
        <v>44856</v>
      </c>
      <c r="H10" s="512">
        <v>44887</v>
      </c>
      <c r="I10" s="512">
        <v>44917</v>
      </c>
      <c r="J10" s="512">
        <v>44948</v>
      </c>
      <c r="K10" s="512">
        <v>44979</v>
      </c>
      <c r="L10" s="512">
        <v>45007</v>
      </c>
      <c r="M10" s="512">
        <v>45038</v>
      </c>
      <c r="N10" s="512">
        <v>45068</v>
      </c>
      <c r="O10" s="512">
        <v>45099</v>
      </c>
      <c r="P10" s="512">
        <v>45129</v>
      </c>
      <c r="Q10" s="512">
        <v>45160</v>
      </c>
      <c r="R10" s="512">
        <v>45191</v>
      </c>
      <c r="S10" s="512"/>
      <c r="T10" s="512"/>
      <c r="U10" s="512"/>
      <c r="V10" s="512"/>
    </row>
    <row r="11" spans="1:33" ht="15">
      <c r="A11" s="319" t="s">
        <v>838</v>
      </c>
      <c r="D11" s="525">
        <f>(SUM('Execulation Revenue'!V2:V19))/10000000</f>
        <v>0.51743492105395195</v>
      </c>
      <c r="E11" s="525">
        <f>(SUM('Execulation Revenue'!W2:W19))/10000000</f>
        <v>0.48264449999999998</v>
      </c>
      <c r="F11" s="525">
        <f>(SUM('Execulation Revenue'!X2:X19))/10000000</f>
        <v>1.0941110000000001</v>
      </c>
      <c r="G11" s="525">
        <f>(SUM('Execulation Revenue'!Y2:Y19))/10000000</f>
        <v>1.9770524</v>
      </c>
      <c r="H11" s="525">
        <f>(SUM('Execulation Revenue'!Z2:Z19))/10000000</f>
        <v>3.0406059999999999</v>
      </c>
      <c r="I11" s="525">
        <f>(SUM('Execulation Revenue'!AA2:AA19))/10000000</f>
        <v>3.4646565251519998</v>
      </c>
      <c r="J11" s="525">
        <f>(SUM('Execulation Revenue'!AB2:AB19))/10000000</f>
        <v>3.8032327125280001</v>
      </c>
      <c r="K11" s="525">
        <f>(SUM('Execulation Revenue'!AC2:AC19))/10000000</f>
        <v>3.8559722728775041</v>
      </c>
      <c r="L11" s="525">
        <f>(SUM('Execulation Revenue'!AD2:AD19))/10000000</f>
        <v>2.8473961251520001</v>
      </c>
      <c r="M11" s="525">
        <f>(SUM('Execulation Revenue'!AE2:AE19))/10000000</f>
        <v>3.1397782511909118</v>
      </c>
      <c r="N11" s="525">
        <f>(SUM('Execulation Revenue'!AF2:AF19))/10000000</f>
        <v>2.7406839999999999</v>
      </c>
      <c r="O11" s="525">
        <f>(SUM('Execulation Revenue'!AG2:AG19))/10000000</f>
        <v>2.6569424000000001</v>
      </c>
      <c r="P11" s="525">
        <f>(SUM('Execulation Revenue'!AH2:AH19))/10000000</f>
        <v>0.91780150000000005</v>
      </c>
      <c r="Q11" s="525">
        <f>(SUM('Execulation Revenue'!AI2:AI19))/10000000</f>
        <v>0.63965799999999995</v>
      </c>
      <c r="R11" s="525">
        <f>(SUM('Execulation Revenue'!AJ2:AJ19))/10000000</f>
        <v>0.67659627300000003</v>
      </c>
      <c r="S11" s="525"/>
      <c r="T11" s="525"/>
      <c r="U11" s="525"/>
      <c r="V11" s="525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500"/>
    </row>
    <row r="12" spans="1:33" ht="15">
      <c r="A12" s="319" t="s">
        <v>839</v>
      </c>
      <c r="D12" s="525">
        <v>0</v>
      </c>
      <c r="E12" s="525">
        <f>(SUM('Supply Revenue'!U2:U9))/10000000</f>
        <v>1.02216</v>
      </c>
      <c r="F12" s="525">
        <f>(SUM('Supply Revenue'!V2:V9))/10000000</f>
        <v>6.9981245000000003</v>
      </c>
      <c r="G12" s="525">
        <f>(SUM('Supply Revenue'!W2:W9))/10000000</f>
        <v>7.986676365000001</v>
      </c>
      <c r="H12" s="525">
        <f>(SUM('Supply Revenue'!X2:X9))/10000000</f>
        <v>7.3758064679999995</v>
      </c>
      <c r="I12" s="525">
        <f>(SUM('Supply Revenue'!Y2:Y9))/10000000</f>
        <v>1.95929</v>
      </c>
      <c r="J12" s="525">
        <f>(SUM('Supply Revenue'!Z2:Z9))/10000000</f>
        <v>0</v>
      </c>
      <c r="K12" s="525">
        <f>(SUM('Supply Revenue'!AA2:AA9))/10000000</f>
        <v>2.3326751968370663</v>
      </c>
      <c r="L12" s="525">
        <f>(SUM('Supply Revenue'!AB2:AB9))/10000000</f>
        <v>0</v>
      </c>
      <c r="M12" s="525">
        <f>(SUM('Supply Revenue'!AC2:AC9))/10000000</f>
        <v>0.80537999999999987</v>
      </c>
      <c r="N12" s="525">
        <f>(SUM('Supply Revenue'!AD2:AD9))/10000000</f>
        <v>0</v>
      </c>
      <c r="O12" s="525">
        <f>(SUM('Supply Revenue'!AE2:AE9))/10000000</f>
        <v>0.53691999999999995</v>
      </c>
      <c r="P12" s="525">
        <f>(SUM('Supply Revenue'!AF2:AF9))/10000000</f>
        <v>0</v>
      </c>
      <c r="Q12" s="525">
        <f>(SUM('Supply Revenue'!AG2:AG9))/10000000</f>
        <v>0</v>
      </c>
      <c r="R12" s="525">
        <f>(SUM('Supply Revenue'!AH2:AH9))/10000000</f>
        <v>0</v>
      </c>
      <c r="S12" s="525"/>
      <c r="T12" s="525"/>
      <c r="U12" s="525"/>
      <c r="V12" s="525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500"/>
    </row>
    <row r="13" spans="1:33" ht="15">
      <c r="A13" s="319" t="s">
        <v>696</v>
      </c>
      <c r="D13" s="525">
        <f>WTP!I8/10000000</f>
        <v>0</v>
      </c>
      <c r="E13" s="525">
        <f>WTP!J8/10000000</f>
        <v>0</v>
      </c>
      <c r="F13" s="525">
        <f>WTP!K8/10000000</f>
        <v>0.75121183480400144</v>
      </c>
      <c r="G13" s="525">
        <f>WTP!L8/10000000</f>
        <v>0.66234303084399904</v>
      </c>
      <c r="H13" s="525">
        <f>WTP!M8/10000000</f>
        <v>1.3453356248920041</v>
      </c>
      <c r="I13" s="525">
        <f>WTP!N8/10000000</f>
        <v>0.50932618480000003</v>
      </c>
      <c r="J13" s="525">
        <f>WTP!O8/10000000</f>
        <v>1.2159325966800061</v>
      </c>
      <c r="K13" s="525">
        <f>WTP!P8/10000000</f>
        <v>0</v>
      </c>
      <c r="L13" s="525">
        <f>WTP!Q8/10000000</f>
        <v>0</v>
      </c>
      <c r="M13" s="525">
        <f>WTP!R8/10000000</f>
        <v>0</v>
      </c>
      <c r="N13" s="525">
        <f>WTP!S8/10000000</f>
        <v>0</v>
      </c>
      <c r="O13" s="525">
        <f>WTP!T8/10000000</f>
        <v>0</v>
      </c>
      <c r="P13" s="525">
        <f>WTP!U8/10000000</f>
        <v>0</v>
      </c>
      <c r="Q13" s="525">
        <f>WTP!V8/10000000</f>
        <v>0</v>
      </c>
      <c r="R13" s="525">
        <f>WTP!W8/10000000</f>
        <v>0</v>
      </c>
      <c r="S13" s="525"/>
      <c r="T13" s="525"/>
      <c r="U13" s="525"/>
      <c r="V13" s="525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</row>
    <row r="14" spans="1:33" ht="15">
      <c r="A14" s="319" t="s">
        <v>837</v>
      </c>
      <c r="D14" s="525">
        <f>('Existing UGRs'!I14)/10000000</f>
        <v>0</v>
      </c>
      <c r="E14" s="525">
        <f>('Existing UGRs'!J14)/10000000</f>
        <v>0.20717903999999998</v>
      </c>
      <c r="F14" s="525">
        <f>('Existing UGRs'!K14)/10000000</f>
        <v>1.2988467115999998</v>
      </c>
      <c r="G14" s="525">
        <f>('Existing UGRs'!L14)/10000000</f>
        <v>0.73806495385600002</v>
      </c>
      <c r="H14" s="525">
        <f>('Existing UGRs'!M14)/10000000</f>
        <v>0.4311390732</v>
      </c>
      <c r="I14" s="525">
        <f>('Existing UGRs'!N14)/10000000</f>
        <v>1.1872570741479997</v>
      </c>
      <c r="J14" s="525">
        <f>('Existing UGRs'!O14)/10000000</f>
        <v>0</v>
      </c>
      <c r="K14" s="525">
        <f>('Existing UGRs'!P14)/10000000</f>
        <v>0</v>
      </c>
      <c r="L14" s="525">
        <f>('Existing UGRs'!Q14)/10000000</f>
        <v>0</v>
      </c>
      <c r="M14" s="525">
        <f>('Existing UGRs'!R14)/10000000</f>
        <v>0</v>
      </c>
      <c r="N14" s="525">
        <f>('Existing UGRs'!S14)/10000000</f>
        <v>0</v>
      </c>
      <c r="O14" s="525">
        <f>('Existing UGRs'!T14)/10000000</f>
        <v>0</v>
      </c>
      <c r="P14" s="525">
        <f>('Existing UGRs'!U14)/10000000</f>
        <v>0</v>
      </c>
      <c r="Q14" s="525">
        <f>('Existing UGRs'!V14)/10000000</f>
        <v>0</v>
      </c>
      <c r="R14" s="525">
        <f>('Existing UGRs'!W14)/10000000</f>
        <v>0</v>
      </c>
      <c r="S14" s="525"/>
      <c r="T14" s="525"/>
      <c r="U14" s="525"/>
      <c r="V14" s="525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500"/>
    </row>
    <row r="15" spans="1:33" ht="15">
      <c r="A15" s="319" t="s">
        <v>695</v>
      </c>
      <c r="D15" s="525">
        <f>'New UGRs'!J13/10000000</f>
        <v>0</v>
      </c>
      <c r="E15" s="525">
        <f>'New UGRs'!K13/10000000</f>
        <v>0.68487517260000208</v>
      </c>
      <c r="F15" s="525">
        <f>'New UGRs'!L13/10000000</f>
        <v>1.4379174006000002</v>
      </c>
      <c r="G15" s="525">
        <f>'New UGRs'!M13/10000000</f>
        <v>1.9165366482000012</v>
      </c>
      <c r="H15" s="525">
        <f>'New UGRs'!N13/10000000</f>
        <v>1.3379914456000011</v>
      </c>
      <c r="I15" s="525">
        <f>'New UGRs'!O13/10000000</f>
        <v>1.3044</v>
      </c>
      <c r="J15" s="525">
        <f>'New UGRs'!P13/10000000</f>
        <v>2.8742098559999958</v>
      </c>
      <c r="K15" s="525">
        <f>'New UGRs'!Q13/10000000</f>
        <v>0</v>
      </c>
      <c r="L15" s="525">
        <f>'New UGRs'!R13/10000000</f>
        <v>0</v>
      </c>
      <c r="M15" s="525">
        <f>'New UGRs'!S13/10000000</f>
        <v>0</v>
      </c>
      <c r="N15" s="525">
        <f>'New UGRs'!T13/10000000</f>
        <v>0</v>
      </c>
      <c r="O15" s="525">
        <f>'New UGRs'!U13/10000000</f>
        <v>0</v>
      </c>
      <c r="P15" s="525">
        <f>'New UGRs'!V13/10000000</f>
        <v>0</v>
      </c>
      <c r="Q15" s="525">
        <f>'New UGRs'!W13/10000000</f>
        <v>0</v>
      </c>
      <c r="R15" s="525">
        <f>'New UGRs'!X13/10000000</f>
        <v>0</v>
      </c>
      <c r="S15" s="525"/>
      <c r="T15" s="525"/>
      <c r="U15" s="525"/>
      <c r="V15" s="525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500"/>
    </row>
    <row r="16" spans="1:33" ht="15">
      <c r="A16" s="319" t="s">
        <v>698</v>
      </c>
      <c r="D16" s="525">
        <f t="shared" ref="D16:R16" si="1">D7</f>
        <v>0</v>
      </c>
      <c r="E16" s="525">
        <f t="shared" si="1"/>
        <v>0</v>
      </c>
      <c r="F16" s="525">
        <f t="shared" si="1"/>
        <v>0</v>
      </c>
      <c r="G16" s="525">
        <f t="shared" si="1"/>
        <v>1.0932999999999999</v>
      </c>
      <c r="H16" s="525">
        <f t="shared" si="1"/>
        <v>3.4733000000000001</v>
      </c>
      <c r="I16" s="525">
        <f t="shared" si="1"/>
        <v>0</v>
      </c>
      <c r="J16" s="525">
        <f t="shared" si="1"/>
        <v>0</v>
      </c>
      <c r="K16" s="525">
        <f t="shared" si="1"/>
        <v>0</v>
      </c>
      <c r="L16" s="525">
        <f t="shared" si="1"/>
        <v>0</v>
      </c>
      <c r="M16" s="525">
        <f t="shared" si="1"/>
        <v>0</v>
      </c>
      <c r="N16" s="525">
        <f t="shared" si="1"/>
        <v>0</v>
      </c>
      <c r="O16" s="525">
        <f t="shared" si="1"/>
        <v>0</v>
      </c>
      <c r="P16" s="525">
        <f t="shared" si="1"/>
        <v>0</v>
      </c>
      <c r="Q16" s="525">
        <f t="shared" si="1"/>
        <v>0</v>
      </c>
      <c r="R16" s="525">
        <f t="shared" si="1"/>
        <v>0</v>
      </c>
      <c r="S16" s="525"/>
      <c r="T16" s="525"/>
      <c r="U16" s="525"/>
      <c r="V16" s="525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</row>
    <row r="17" spans="1:33" ht="12.75" thickBot="1">
      <c r="A17" s="321" t="s">
        <v>104</v>
      </c>
      <c r="B17" s="321"/>
      <c r="C17" s="321"/>
      <c r="D17" s="526">
        <f>SUM(D11:D16)</f>
        <v>0.51743492105395195</v>
      </c>
      <c r="E17" s="526">
        <f t="shared" ref="E17:R17" si="2">SUM(E11:E16)</f>
        <v>2.3968587126000021</v>
      </c>
      <c r="F17" s="526">
        <f t="shared" si="2"/>
        <v>11.580211447004002</v>
      </c>
      <c r="G17" s="526">
        <f t="shared" si="2"/>
        <v>14.3739733979</v>
      </c>
      <c r="H17" s="526">
        <f t="shared" si="2"/>
        <v>17.004178611692005</v>
      </c>
      <c r="I17" s="526">
        <f t="shared" si="2"/>
        <v>8.4249297840999997</v>
      </c>
      <c r="J17" s="526">
        <f t="shared" si="2"/>
        <v>7.8933751652080018</v>
      </c>
      <c r="K17" s="526">
        <f t="shared" si="2"/>
        <v>6.1886474697145708</v>
      </c>
      <c r="L17" s="526">
        <f t="shared" si="2"/>
        <v>2.8473961251520001</v>
      </c>
      <c r="M17" s="526">
        <f t="shared" si="2"/>
        <v>3.9451582511909118</v>
      </c>
      <c r="N17" s="526">
        <f t="shared" si="2"/>
        <v>2.7406839999999999</v>
      </c>
      <c r="O17" s="526">
        <f t="shared" si="2"/>
        <v>3.1938624</v>
      </c>
      <c r="P17" s="526">
        <f t="shared" si="2"/>
        <v>0.91780150000000005</v>
      </c>
      <c r="Q17" s="526">
        <f t="shared" si="2"/>
        <v>0.63965799999999995</v>
      </c>
      <c r="R17" s="526">
        <f t="shared" si="2"/>
        <v>0.67659627300000003</v>
      </c>
      <c r="S17" s="528"/>
      <c r="T17" s="528"/>
      <c r="U17" s="528"/>
      <c r="V17" s="528"/>
      <c r="W17" s="528">
        <f>SUM(D17:R17)</f>
        <v>83.340766058615444</v>
      </c>
      <c r="X17" s="500"/>
      <c r="Y17" s="500"/>
      <c r="Z17" s="500"/>
      <c r="AA17" s="500"/>
      <c r="AB17" s="500"/>
      <c r="AC17" s="500"/>
      <c r="AD17" s="500"/>
      <c r="AE17" s="500"/>
      <c r="AF17" s="500"/>
      <c r="AG17" s="500"/>
    </row>
    <row r="18" spans="1:33" ht="12" customHeight="1" thickTop="1"/>
    <row r="22" spans="1:33">
      <c r="W22" s="323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60"/>
  <sheetViews>
    <sheetView showGridLines="0" zoomScaleNormal="100" workbookViewId="0"/>
  </sheetViews>
  <sheetFormatPr defaultColWidth="9.140625" defaultRowHeight="12.75" outlineLevelRow="1"/>
  <cols>
    <col min="1" max="1" width="9.140625" style="1"/>
    <col min="2" max="2" width="47.42578125" style="1" customWidth="1"/>
    <col min="3" max="7" width="10.140625" style="1" bestFit="1" customWidth="1"/>
    <col min="8" max="16384" width="9.140625" style="1"/>
  </cols>
  <sheetData>
    <row r="2" spans="2:7" ht="18.75">
      <c r="B2" s="14" t="s">
        <v>841</v>
      </c>
    </row>
    <row r="3" spans="2:7">
      <c r="B3" s="11" t="s">
        <v>55</v>
      </c>
    </row>
    <row r="4" spans="2:7">
      <c r="B4" s="8" t="s">
        <v>126</v>
      </c>
      <c r="C4" s="12" t="s">
        <v>842</v>
      </c>
    </row>
    <row r="5" spans="2:7">
      <c r="B5" s="8" t="s">
        <v>0</v>
      </c>
      <c r="C5" s="12" t="s">
        <v>107</v>
      </c>
    </row>
    <row r="7" spans="2:7" ht="15.75">
      <c r="B7" s="142" t="s">
        <v>134</v>
      </c>
    </row>
    <row r="8" spans="2:7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</row>
    <row r="9" spans="2:7">
      <c r="B9" s="158" t="s">
        <v>44</v>
      </c>
      <c r="C9" s="159"/>
      <c r="D9" s="159"/>
      <c r="E9" s="159"/>
      <c r="F9" s="159"/>
      <c r="G9" s="160"/>
    </row>
    <row r="10" spans="2:7">
      <c r="B10" s="7" t="s">
        <v>21</v>
      </c>
      <c r="C10" s="161"/>
      <c r="D10" s="161"/>
      <c r="E10" s="161"/>
      <c r="F10" s="161">
        <f>SUM(F11:F16)</f>
        <v>239.44900000000001</v>
      </c>
      <c r="G10" s="163">
        <f>SUM(G11:G16)</f>
        <v>203.35049999999998</v>
      </c>
    </row>
    <row r="11" spans="2:7">
      <c r="B11" s="9" t="s">
        <v>135</v>
      </c>
      <c r="C11" s="144"/>
      <c r="D11" s="144"/>
      <c r="E11" s="144"/>
      <c r="F11" s="144">
        <v>0.86140000000000005</v>
      </c>
      <c r="G11" s="5">
        <v>0.79159999999999997</v>
      </c>
    </row>
    <row r="12" spans="2:7">
      <c r="B12" s="9" t="s">
        <v>843</v>
      </c>
      <c r="C12" s="144"/>
      <c r="D12" s="144"/>
      <c r="E12" s="144"/>
      <c r="F12" s="144">
        <v>0.62380000000000002</v>
      </c>
      <c r="G12" s="5">
        <v>0.35399999999999998</v>
      </c>
    </row>
    <row r="13" spans="2:7">
      <c r="B13" s="9" t="s">
        <v>136</v>
      </c>
      <c r="C13" s="144"/>
      <c r="D13" s="144"/>
      <c r="E13" s="144"/>
      <c r="F13" s="144">
        <v>226.65440000000001</v>
      </c>
      <c r="G13" s="5">
        <v>191.34479999999999</v>
      </c>
    </row>
    <row r="14" spans="2:7">
      <c r="B14" s="9" t="s">
        <v>137</v>
      </c>
      <c r="C14" s="144"/>
      <c r="D14" s="144"/>
      <c r="E14" s="144"/>
      <c r="F14" s="144">
        <v>3.5036999999999998</v>
      </c>
      <c r="G14" s="5">
        <v>3.5154999999999998</v>
      </c>
    </row>
    <row r="15" spans="2:7">
      <c r="B15" s="9" t="s">
        <v>138</v>
      </c>
      <c r="C15" s="144"/>
      <c r="D15" s="144"/>
      <c r="E15" s="144"/>
      <c r="F15" s="144">
        <v>4.2652000000000001</v>
      </c>
      <c r="G15" s="5">
        <v>5.2127999999999997</v>
      </c>
    </row>
    <row r="16" spans="2:7">
      <c r="B16" s="9" t="s">
        <v>139</v>
      </c>
      <c r="C16" s="144"/>
      <c r="D16" s="144"/>
      <c r="E16" s="144"/>
      <c r="F16" s="144">
        <v>3.5405000000000002</v>
      </c>
      <c r="G16" s="5">
        <v>2.1318000000000001</v>
      </c>
    </row>
    <row r="17" spans="2:7">
      <c r="C17" s="144"/>
      <c r="D17" s="144"/>
      <c r="E17" s="144"/>
      <c r="F17" s="144"/>
      <c r="G17" s="5"/>
    </row>
    <row r="18" spans="2:7">
      <c r="B18" s="7" t="s">
        <v>140</v>
      </c>
      <c r="C18" s="162"/>
      <c r="D18" s="162"/>
      <c r="E18" s="162"/>
      <c r="F18" s="162">
        <f>F19+F21+F22+F23+F24</f>
        <v>60.962100000000007</v>
      </c>
      <c r="G18" s="163">
        <f>G19+G21+G22+G23+G24</f>
        <v>64.0244</v>
      </c>
    </row>
    <row r="19" spans="2:7">
      <c r="B19" s="1" t="s">
        <v>25</v>
      </c>
      <c r="C19" s="144"/>
      <c r="D19" s="144"/>
      <c r="E19" s="144"/>
      <c r="F19" s="144">
        <v>0.18609999999999999</v>
      </c>
      <c r="G19" s="5">
        <v>0.1772</v>
      </c>
    </row>
    <row r="20" spans="2:7">
      <c r="B20" s="1" t="s">
        <v>22</v>
      </c>
      <c r="C20" s="144"/>
      <c r="D20" s="144"/>
      <c r="E20" s="144"/>
      <c r="F20" s="144"/>
      <c r="G20" s="5"/>
    </row>
    <row r="21" spans="2:7">
      <c r="B21" s="10" t="s">
        <v>23</v>
      </c>
      <c r="C21" s="144"/>
      <c r="D21" s="144"/>
      <c r="E21" s="144"/>
      <c r="F21" s="144">
        <v>25.2317</v>
      </c>
      <c r="G21" s="5">
        <v>30.433599999999998</v>
      </c>
    </row>
    <row r="22" spans="2:7">
      <c r="B22" s="10" t="s">
        <v>141</v>
      </c>
      <c r="C22" s="144"/>
      <c r="D22" s="144"/>
      <c r="E22" s="144"/>
      <c r="F22" s="144">
        <v>17.483799999999999</v>
      </c>
      <c r="G22" s="5">
        <v>17.032299999999999</v>
      </c>
    </row>
    <row r="23" spans="2:7">
      <c r="B23" s="10" t="s">
        <v>27</v>
      </c>
      <c r="C23" s="144"/>
      <c r="D23" s="144"/>
      <c r="E23" s="144"/>
      <c r="F23" s="144">
        <v>3.0200000000000001E-2</v>
      </c>
      <c r="G23" s="5">
        <v>4.1500000000000002E-2</v>
      </c>
    </row>
    <row r="24" spans="2:7">
      <c r="B24" s="1" t="s">
        <v>28</v>
      </c>
      <c r="C24" s="144"/>
      <c r="D24" s="144"/>
      <c r="E24" s="144"/>
      <c r="F24" s="144">
        <v>18.0303</v>
      </c>
      <c r="G24" s="5">
        <v>16.3398</v>
      </c>
    </row>
    <row r="25" spans="2:7">
      <c r="C25" s="144"/>
      <c r="D25" s="144"/>
      <c r="E25" s="144"/>
      <c r="F25" s="144"/>
      <c r="G25" s="5"/>
    </row>
    <row r="26" spans="2:7">
      <c r="B26" s="11" t="s">
        <v>29</v>
      </c>
      <c r="C26" s="145"/>
      <c r="D26" s="145"/>
      <c r="E26" s="145"/>
      <c r="F26" s="145">
        <f>F10+F18</f>
        <v>300.41110000000003</v>
      </c>
      <c r="G26" s="146">
        <f>G10+G18</f>
        <v>267.37489999999997</v>
      </c>
    </row>
    <row r="27" spans="2:7">
      <c r="C27" s="144"/>
      <c r="D27" s="144"/>
      <c r="E27" s="144"/>
      <c r="F27" s="144"/>
      <c r="G27" s="5"/>
    </row>
    <row r="28" spans="2:7">
      <c r="B28" s="158" t="s">
        <v>142</v>
      </c>
      <c r="C28" s="164"/>
      <c r="D28" s="164"/>
      <c r="E28" s="164"/>
      <c r="F28" s="164"/>
      <c r="G28" s="165"/>
    </row>
    <row r="29" spans="2:7">
      <c r="B29" s="1" t="s">
        <v>844</v>
      </c>
      <c r="C29" s="144"/>
      <c r="D29" s="144"/>
      <c r="E29" s="144"/>
      <c r="F29" s="144">
        <v>1.01</v>
      </c>
      <c r="G29" s="5">
        <v>1.01</v>
      </c>
    </row>
    <row r="30" spans="2:7">
      <c r="B30" s="1" t="s">
        <v>143</v>
      </c>
      <c r="C30" s="144"/>
      <c r="D30" s="144"/>
      <c r="E30" s="144"/>
      <c r="F30" s="144">
        <v>-124.1469</v>
      </c>
      <c r="G30" s="5">
        <v>-196.90170000000001</v>
      </c>
    </row>
    <row r="31" spans="2:7">
      <c r="B31" s="8" t="s">
        <v>144</v>
      </c>
      <c r="C31" s="166"/>
      <c r="D31" s="166"/>
      <c r="E31" s="166"/>
      <c r="F31" s="166">
        <f>F29+F30</f>
        <v>-123.1369</v>
      </c>
      <c r="G31" s="167">
        <f>G29+G30</f>
        <v>-195.89170000000001</v>
      </c>
    </row>
    <row r="32" spans="2:7">
      <c r="C32" s="144"/>
      <c r="D32" s="144"/>
      <c r="E32" s="144"/>
      <c r="F32" s="144"/>
      <c r="G32" s="5"/>
    </row>
    <row r="33" spans="2:10">
      <c r="B33" s="7" t="s">
        <v>13</v>
      </c>
      <c r="C33" s="144"/>
      <c r="D33" s="144"/>
      <c r="E33" s="144"/>
      <c r="F33" s="144">
        <f>F34+F40+F41</f>
        <v>323.86189999999999</v>
      </c>
      <c r="G33" s="5">
        <f>G34+G40+G41</f>
        <v>314.63830000000002</v>
      </c>
    </row>
    <row r="34" spans="2:10">
      <c r="B34" s="1" t="s">
        <v>14</v>
      </c>
      <c r="C34" s="144"/>
      <c r="D34" s="144"/>
      <c r="E34" s="144"/>
      <c r="F34" s="144">
        <f>SUM(F35:F39)</f>
        <v>321.54579999999999</v>
      </c>
      <c r="G34" s="5">
        <f>SUM(G35:G39)</f>
        <v>312.60270000000003</v>
      </c>
      <c r="H34" s="6"/>
      <c r="I34" s="6"/>
      <c r="J34" s="6"/>
    </row>
    <row r="35" spans="2:10" outlineLevel="1">
      <c r="B35" s="168" t="s">
        <v>145</v>
      </c>
      <c r="C35" s="144"/>
      <c r="D35" s="144"/>
      <c r="E35" s="144"/>
      <c r="F35" s="144"/>
      <c r="G35" s="5"/>
      <c r="I35" s="6"/>
      <c r="J35" s="6"/>
    </row>
    <row r="36" spans="2:10" outlineLevel="1">
      <c r="B36" s="13" t="s">
        <v>146</v>
      </c>
      <c r="C36" s="144"/>
      <c r="D36" s="144"/>
      <c r="E36" s="144"/>
      <c r="F36" s="144">
        <f>90.7373+68.8394+19.5537</f>
        <v>179.13040000000001</v>
      </c>
      <c r="G36" s="5">
        <f>78.5772+61.7715+6.5205</f>
        <v>146.86920000000001</v>
      </c>
      <c r="I36" s="6"/>
      <c r="J36" s="6"/>
    </row>
    <row r="37" spans="2:10" outlineLevel="1">
      <c r="B37" s="13" t="s">
        <v>147</v>
      </c>
      <c r="C37" s="144"/>
      <c r="D37" s="144"/>
      <c r="E37" s="144"/>
      <c r="F37" s="144">
        <v>0.49740000000000001</v>
      </c>
      <c r="G37" s="5">
        <v>0.1227</v>
      </c>
      <c r="I37" s="6"/>
      <c r="J37" s="6"/>
    </row>
    <row r="38" spans="2:10" outlineLevel="1">
      <c r="B38" s="168" t="s">
        <v>148</v>
      </c>
      <c r="C38" s="169"/>
      <c r="D38" s="144"/>
      <c r="E38" s="144"/>
      <c r="F38" s="144"/>
      <c r="G38" s="5"/>
    </row>
    <row r="39" spans="2:10" outlineLevel="1">
      <c r="B39" s="13" t="s">
        <v>149</v>
      </c>
      <c r="C39" s="144"/>
      <c r="D39" s="144"/>
      <c r="E39" s="144"/>
      <c r="F39" s="144">
        <f>96.2112+45.7068</f>
        <v>141.91800000000001</v>
      </c>
      <c r="G39" s="5">
        <f>111.605+54.0058</f>
        <v>165.61080000000001</v>
      </c>
      <c r="I39" s="6"/>
    </row>
    <row r="40" spans="2:10">
      <c r="B40" s="1" t="s">
        <v>18</v>
      </c>
      <c r="C40" s="144"/>
      <c r="D40" s="144"/>
      <c r="E40" s="144"/>
      <c r="F40" s="144">
        <v>0</v>
      </c>
      <c r="G40" s="5"/>
    </row>
    <row r="41" spans="2:10">
      <c r="B41" s="1" t="s">
        <v>15</v>
      </c>
      <c r="C41" s="144"/>
      <c r="D41" s="144"/>
      <c r="E41" s="144"/>
      <c r="F41" s="144">
        <v>2.3161</v>
      </c>
      <c r="G41" s="5">
        <v>2.0356000000000001</v>
      </c>
    </row>
    <row r="42" spans="2:10">
      <c r="C42" s="144"/>
      <c r="D42" s="144"/>
      <c r="E42" s="144"/>
      <c r="F42" s="144"/>
      <c r="G42" s="5"/>
    </row>
    <row r="43" spans="2:10">
      <c r="B43" s="7" t="s">
        <v>17</v>
      </c>
      <c r="C43" s="144"/>
      <c r="D43" s="144"/>
      <c r="E43" s="144"/>
      <c r="F43" s="144">
        <f>F44+F49+F52+F53+F54+F48</f>
        <v>99.686099999999996</v>
      </c>
      <c r="G43" s="5">
        <f>G44+G49+G52+G53+G54+G48</f>
        <v>148.6283</v>
      </c>
    </row>
    <row r="44" spans="2:10">
      <c r="B44" s="1" t="s">
        <v>14</v>
      </c>
      <c r="C44" s="144"/>
      <c r="D44" s="144"/>
      <c r="E44" s="144"/>
      <c r="F44" s="144">
        <f>SUM(F45:F47)</f>
        <v>28.1982</v>
      </c>
      <c r="G44" s="5">
        <f>SUM(G45:G47)</f>
        <v>57.5229</v>
      </c>
      <c r="J44" s="6"/>
    </row>
    <row r="45" spans="2:10" outlineLevel="1">
      <c r="B45" s="4" t="s">
        <v>243</v>
      </c>
      <c r="C45" s="144"/>
      <c r="D45" s="144"/>
      <c r="E45" s="144"/>
      <c r="F45" s="144">
        <f>7.5763+16.7861</f>
        <v>24.362400000000001</v>
      </c>
      <c r="G45" s="5">
        <f>14.354+37.2806</f>
        <v>51.634599999999999</v>
      </c>
      <c r="I45" s="6"/>
    </row>
    <row r="46" spans="2:10" outlineLevel="1">
      <c r="B46" s="4" t="s">
        <v>150</v>
      </c>
      <c r="C46" s="144"/>
      <c r="D46" s="144"/>
      <c r="E46" s="144"/>
      <c r="F46" s="144">
        <v>0.83579999999999999</v>
      </c>
      <c r="G46" s="5">
        <v>2.8883000000000001</v>
      </c>
      <c r="I46" s="6"/>
    </row>
    <row r="47" spans="2:10" outlineLevel="1">
      <c r="B47" s="4" t="s">
        <v>151</v>
      </c>
      <c r="C47" s="144"/>
      <c r="D47" s="144"/>
      <c r="E47" s="144"/>
      <c r="F47" s="144">
        <v>3</v>
      </c>
      <c r="G47" s="5">
        <v>3</v>
      </c>
      <c r="I47" s="6"/>
    </row>
    <row r="48" spans="2:10" outlineLevel="1">
      <c r="B48" s="1" t="s">
        <v>845</v>
      </c>
      <c r="C48" s="144"/>
      <c r="D48" s="144"/>
      <c r="E48" s="144"/>
      <c r="F48" s="144">
        <v>0.30170000000000002</v>
      </c>
      <c r="G48" s="5">
        <v>0.37469999999999998</v>
      </c>
      <c r="I48" s="6"/>
    </row>
    <row r="49" spans="2:8">
      <c r="B49" s="1" t="s">
        <v>152</v>
      </c>
      <c r="C49" s="144"/>
      <c r="D49" s="144"/>
      <c r="E49" s="144"/>
      <c r="F49" s="144">
        <f t="shared" ref="F49:G49" si="1">SUM(F50:F51)</f>
        <v>21.636499999999998</v>
      </c>
      <c r="G49" s="5">
        <f t="shared" si="1"/>
        <v>27.810400000000001</v>
      </c>
    </row>
    <row r="50" spans="2:8" outlineLevel="1">
      <c r="B50" s="10" t="s">
        <v>153</v>
      </c>
      <c r="C50" s="144"/>
      <c r="D50" s="144"/>
      <c r="E50" s="144"/>
      <c r="F50" s="144">
        <v>9.7149000000000001</v>
      </c>
      <c r="G50" s="5">
        <v>12.821300000000001</v>
      </c>
    </row>
    <row r="51" spans="2:8" outlineLevel="1">
      <c r="B51" s="10" t="s">
        <v>154</v>
      </c>
      <c r="C51" s="144"/>
      <c r="D51" s="144"/>
      <c r="E51" s="144"/>
      <c r="F51" s="144">
        <v>11.9216</v>
      </c>
      <c r="G51" s="5">
        <v>14.989100000000001</v>
      </c>
    </row>
    <row r="52" spans="2:8">
      <c r="B52" s="1" t="s">
        <v>16</v>
      </c>
      <c r="C52" s="144"/>
      <c r="D52" s="144"/>
      <c r="E52" s="144"/>
      <c r="F52" s="144">
        <v>30.673200000000001</v>
      </c>
      <c r="G52" s="5">
        <v>41.080100000000002</v>
      </c>
    </row>
    <row r="53" spans="2:8">
      <c r="B53" s="1" t="s">
        <v>19</v>
      </c>
      <c r="C53" s="144"/>
      <c r="D53" s="144"/>
      <c r="E53" s="144"/>
      <c r="F53" s="144">
        <v>0.78039999999999998</v>
      </c>
      <c r="G53" s="5">
        <v>0.75490000000000002</v>
      </c>
    </row>
    <row r="54" spans="2:8">
      <c r="B54" s="1" t="s">
        <v>15</v>
      </c>
      <c r="C54" s="144"/>
      <c r="D54" s="144"/>
      <c r="E54" s="144"/>
      <c r="F54" s="144">
        <v>18.0961</v>
      </c>
      <c r="G54" s="5">
        <v>21.0853</v>
      </c>
    </row>
    <row r="55" spans="2:8">
      <c r="C55" s="144"/>
      <c r="D55" s="144"/>
      <c r="E55" s="144"/>
      <c r="F55" s="144"/>
      <c r="G55" s="5"/>
    </row>
    <row r="56" spans="2:8" ht="13.5" thickBot="1">
      <c r="B56" s="170" t="s">
        <v>20</v>
      </c>
      <c r="C56" s="171"/>
      <c r="D56" s="171"/>
      <c r="E56" s="171"/>
      <c r="F56" s="171">
        <f>F31+F33+F43</f>
        <v>300.41109999999998</v>
      </c>
      <c r="G56" s="172">
        <f>G31+G33+G43</f>
        <v>267.37490000000003</v>
      </c>
    </row>
    <row r="57" spans="2:8">
      <c r="B57" s="1" t="s">
        <v>155</v>
      </c>
      <c r="C57" s="6"/>
      <c r="D57" s="6"/>
      <c r="E57" s="6"/>
      <c r="F57" s="6">
        <f>F26-F56</f>
        <v>0</v>
      </c>
      <c r="G57" s="6">
        <f>G26-G56</f>
        <v>0</v>
      </c>
      <c r="H57" s="8" t="s">
        <v>156</v>
      </c>
    </row>
    <row r="59" spans="2:8">
      <c r="B59" s="279" t="s">
        <v>259</v>
      </c>
      <c r="C59" s="147" t="e">
        <f>(C34+C44)/C31</f>
        <v>#DIV/0!</v>
      </c>
      <c r="D59" s="147" t="e">
        <f>(D34+D44)/D31</f>
        <v>#DIV/0!</v>
      </c>
      <c r="E59" s="147" t="e">
        <f>(E34+E44)/E31</f>
        <v>#DIV/0!</v>
      </c>
      <c r="F59" s="147">
        <f>(F34+F44)/F31</f>
        <v>-2.8402858931806794</v>
      </c>
      <c r="G59" s="278">
        <f>(G34+G44)/G31</f>
        <v>-1.88943993032885</v>
      </c>
    </row>
    <row r="60" spans="2:8">
      <c r="B60" s="219"/>
      <c r="C60" s="277" t="e">
        <f>C59/(1+C59)</f>
        <v>#DIV/0!</v>
      </c>
      <c r="D60" s="277" t="e">
        <f t="shared" ref="D60:G60" si="2">D59/(1+D59)</f>
        <v>#DIV/0!</v>
      </c>
      <c r="E60" s="277" t="e">
        <f t="shared" si="2"/>
        <v>#DIV/0!</v>
      </c>
      <c r="F60" s="277">
        <f t="shared" si="2"/>
        <v>1.5433938301138843</v>
      </c>
      <c r="G60" s="276">
        <f t="shared" si="2"/>
        <v>2.1243030202503648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L51"/>
  <sheetViews>
    <sheetView showGridLines="0" topLeftCell="A4" zoomScale="90" zoomScaleNormal="90" workbookViewId="0">
      <selection activeCell="G23" sqref="G23"/>
    </sheetView>
  </sheetViews>
  <sheetFormatPr defaultColWidth="9.140625" defaultRowHeight="12.75" outlineLevelRow="1"/>
  <cols>
    <col min="1" max="1" width="8" style="50" customWidth="1"/>
    <col min="2" max="2" width="50.42578125" style="50" customWidth="1"/>
    <col min="3" max="3" width="22.42578125" style="50" customWidth="1"/>
    <col min="4" max="4" width="35.42578125" style="50" bestFit="1" customWidth="1"/>
    <col min="5" max="5" width="21" style="50" bestFit="1" customWidth="1"/>
    <col min="6" max="6" width="6.28515625" style="50" bestFit="1" customWidth="1"/>
    <col min="7" max="7" width="26.28515625" style="50" bestFit="1" customWidth="1"/>
    <col min="8" max="10" width="9.140625" style="50"/>
    <col min="11" max="11" width="23.42578125" style="50" bestFit="1" customWidth="1"/>
    <col min="12" max="12" width="9.140625" style="50"/>
    <col min="13" max="13" width="18" style="50" bestFit="1" customWidth="1"/>
    <col min="14" max="15" width="9.140625" style="50"/>
    <col min="16" max="16" width="18.42578125" style="50" bestFit="1" customWidth="1"/>
    <col min="17" max="16384" width="9.140625" style="50"/>
  </cols>
  <sheetData>
    <row r="2" spans="2:11" ht="18.75">
      <c r="B2" s="14" t="s">
        <v>841</v>
      </c>
      <c r="C2" s="14"/>
      <c r="D2" s="14"/>
      <c r="E2" s="1"/>
      <c r="F2" s="1"/>
    </row>
    <row r="3" spans="2:11" ht="15">
      <c r="B3" t="s">
        <v>100</v>
      </c>
      <c r="C3"/>
      <c r="D3"/>
      <c r="E3" s="1"/>
      <c r="F3" s="1"/>
    </row>
    <row r="4" spans="2:11">
      <c r="B4" s="8" t="s">
        <v>0</v>
      </c>
      <c r="C4" s="12" t="s">
        <v>1</v>
      </c>
      <c r="D4" s="8"/>
    </row>
    <row r="5" spans="2:11">
      <c r="B5" s="56" t="s">
        <v>31</v>
      </c>
      <c r="C5" s="57">
        <f>+DATE(2023,12,30)</f>
        <v>45290</v>
      </c>
      <c r="D5" s="56"/>
    </row>
    <row r="6" spans="2:11">
      <c r="B6" s="60"/>
      <c r="C6" s="60"/>
      <c r="D6" s="60"/>
      <c r="E6" s="61"/>
      <c r="F6" s="61"/>
      <c r="G6" s="62"/>
    </row>
    <row r="7" spans="2:11">
      <c r="B7" s="60"/>
      <c r="C7" s="60"/>
      <c r="D7" s="60"/>
      <c r="E7" s="60"/>
      <c r="F7" s="60"/>
      <c r="G7" s="62"/>
    </row>
    <row r="8" spans="2:11" ht="15">
      <c r="B8" s="589" t="s">
        <v>43</v>
      </c>
      <c r="C8" s="589"/>
      <c r="D8" s="589"/>
      <c r="E8" s="589"/>
      <c r="F8" s="589"/>
      <c r="G8" s="589"/>
    </row>
    <row r="9" spans="2:11">
      <c r="B9" s="89" t="s">
        <v>2</v>
      </c>
      <c r="C9" s="90" t="s">
        <v>846</v>
      </c>
      <c r="D9" s="90" t="s">
        <v>98</v>
      </c>
      <c r="E9" s="90" t="s">
        <v>99</v>
      </c>
      <c r="F9" s="90"/>
      <c r="G9" s="91" t="s">
        <v>850</v>
      </c>
      <c r="K9" s="63"/>
    </row>
    <row r="10" spans="2:11">
      <c r="B10" s="92" t="s">
        <v>44</v>
      </c>
      <c r="C10" s="92"/>
      <c r="D10" s="92"/>
      <c r="E10" s="93"/>
      <c r="F10" s="93"/>
      <c r="G10" s="94"/>
    </row>
    <row r="11" spans="2:11">
      <c r="B11" s="92" t="s">
        <v>45</v>
      </c>
      <c r="C11" s="95"/>
      <c r="D11" s="95"/>
      <c r="E11" s="96"/>
      <c r="F11" s="96"/>
      <c r="G11" s="126">
        <f>SUM(G12:G17)</f>
        <v>12.005699999999999</v>
      </c>
      <c r="H11" s="66"/>
      <c r="I11" s="66"/>
    </row>
    <row r="12" spans="2:11">
      <c r="B12" s="127" t="s">
        <v>30</v>
      </c>
      <c r="C12" s="111">
        <f>'BS '!G11</f>
        <v>0.79159999999999997</v>
      </c>
      <c r="D12" s="108" t="s">
        <v>105</v>
      </c>
      <c r="E12" s="124">
        <v>1</v>
      </c>
      <c r="F12" s="124"/>
      <c r="G12" s="109">
        <f>C12*E12</f>
        <v>0.79159999999999997</v>
      </c>
      <c r="H12" s="66"/>
    </row>
    <row r="13" spans="2:11">
      <c r="B13" s="127" t="s">
        <v>843</v>
      </c>
      <c r="C13" s="111">
        <f>'BS '!G12</f>
        <v>0.35399999999999998</v>
      </c>
      <c r="D13" s="108" t="s">
        <v>105</v>
      </c>
      <c r="E13" s="124">
        <v>1</v>
      </c>
      <c r="F13" s="124"/>
      <c r="G13" s="109">
        <f t="shared" ref="G13:G17" si="0">C13*E13</f>
        <v>0.35399999999999998</v>
      </c>
      <c r="H13" s="66"/>
    </row>
    <row r="14" spans="2:11">
      <c r="B14" s="127" t="str">
        <f>'BS '!B13</f>
        <v>Intangible Assets</v>
      </c>
      <c r="C14" s="111">
        <f>'BS '!G13</f>
        <v>191.34479999999999</v>
      </c>
      <c r="D14" s="108" t="s">
        <v>105</v>
      </c>
      <c r="E14" s="124">
        <v>0</v>
      </c>
      <c r="F14" s="124"/>
      <c r="G14" s="109">
        <f t="shared" si="0"/>
        <v>0</v>
      </c>
      <c r="H14" s="66" t="s">
        <v>847</v>
      </c>
    </row>
    <row r="15" spans="2:11">
      <c r="B15" s="127" t="str">
        <f>'BS '!B14</f>
        <v>Other Financial Assets</v>
      </c>
      <c r="C15" s="111">
        <f>'BS '!G14</f>
        <v>3.5154999999999998</v>
      </c>
      <c r="D15" s="108" t="s">
        <v>105</v>
      </c>
      <c r="E15" s="124">
        <v>1</v>
      </c>
      <c r="F15" s="124"/>
      <c r="G15" s="109">
        <f t="shared" si="0"/>
        <v>3.5154999999999998</v>
      </c>
      <c r="H15" s="66"/>
    </row>
    <row r="16" spans="2:11">
      <c r="B16" s="127" t="str">
        <f>'BS '!B15</f>
        <v>Income tax Assets (Net)</v>
      </c>
      <c r="C16" s="111">
        <f>'BS '!G15</f>
        <v>5.2127999999999997</v>
      </c>
      <c r="D16" s="108" t="s">
        <v>105</v>
      </c>
      <c r="E16" s="124">
        <v>1</v>
      </c>
      <c r="F16" s="124"/>
      <c r="G16" s="109">
        <f t="shared" si="0"/>
        <v>5.2127999999999997</v>
      </c>
      <c r="H16" s="66"/>
    </row>
    <row r="17" spans="2:12">
      <c r="B17" s="127" t="s">
        <v>24</v>
      </c>
      <c r="C17" s="110">
        <f>'BS '!G16</f>
        <v>2.1318000000000001</v>
      </c>
      <c r="D17" s="108" t="s">
        <v>105</v>
      </c>
      <c r="E17" s="124">
        <v>1</v>
      </c>
      <c r="F17" s="124"/>
      <c r="G17" s="109">
        <f t="shared" si="0"/>
        <v>2.1318000000000001</v>
      </c>
      <c r="H17" s="66"/>
    </row>
    <row r="18" spans="2:12">
      <c r="B18" s="97"/>
      <c r="C18" s="111"/>
      <c r="D18" s="111"/>
      <c r="E18" s="108"/>
      <c r="F18" s="108"/>
      <c r="G18" s="109"/>
      <c r="I18" s="64"/>
    </row>
    <row r="19" spans="2:12">
      <c r="B19" s="92" t="s">
        <v>106</v>
      </c>
      <c r="C19" s="111"/>
      <c r="D19" s="111"/>
      <c r="E19" s="108"/>
      <c r="F19" s="108"/>
      <c r="G19" s="126">
        <f>SUM(G20:G25)</f>
        <v>64.0244</v>
      </c>
      <c r="H19" s="66"/>
      <c r="I19" s="66"/>
    </row>
    <row r="20" spans="2:12">
      <c r="B20" s="123" t="s">
        <v>25</v>
      </c>
      <c r="C20" s="110">
        <f>'BS '!G19</f>
        <v>0.1772</v>
      </c>
      <c r="D20" s="108" t="s">
        <v>105</v>
      </c>
      <c r="E20" s="124">
        <v>1</v>
      </c>
      <c r="F20" s="124"/>
      <c r="G20" s="109">
        <f t="shared" ref="G20" si="1">C20*E20</f>
        <v>0.1772</v>
      </c>
      <c r="H20" s="66"/>
    </row>
    <row r="21" spans="2:12">
      <c r="B21" s="128" t="s">
        <v>22</v>
      </c>
      <c r="C21" s="110"/>
      <c r="D21" s="110"/>
      <c r="E21" s="108"/>
      <c r="F21" s="108"/>
      <c r="G21" s="109"/>
    </row>
    <row r="22" spans="2:12" ht="18.75" customHeight="1" outlineLevel="1">
      <c r="B22" s="129" t="s">
        <v>23</v>
      </c>
      <c r="C22" s="110">
        <f>'BS '!G21</f>
        <v>30.433599999999998</v>
      </c>
      <c r="D22" s="108" t="s">
        <v>105</v>
      </c>
      <c r="E22" s="124">
        <v>1</v>
      </c>
      <c r="F22" s="124"/>
      <c r="G22" s="109">
        <f>C22*E22</f>
        <v>30.433599999999998</v>
      </c>
      <c r="H22" s="66"/>
    </row>
    <row r="23" spans="2:12" outlineLevel="1">
      <c r="B23" s="129" t="s">
        <v>26</v>
      </c>
      <c r="C23" s="110">
        <f>'BS '!G22</f>
        <v>17.032299999999999</v>
      </c>
      <c r="D23" s="108" t="s">
        <v>105</v>
      </c>
      <c r="E23" s="124">
        <v>1</v>
      </c>
      <c r="F23" s="108"/>
      <c r="G23" s="109">
        <f>C23*E23</f>
        <v>17.032299999999999</v>
      </c>
      <c r="H23" s="66"/>
    </row>
    <row r="24" spans="2:12" outlineLevel="1">
      <c r="B24" s="129" t="s">
        <v>27</v>
      </c>
      <c r="C24" s="110">
        <f>'BS '!G23</f>
        <v>4.1500000000000002E-2</v>
      </c>
      <c r="D24" s="108" t="s">
        <v>105</v>
      </c>
      <c r="E24" s="124">
        <v>1</v>
      </c>
      <c r="F24" s="108"/>
      <c r="G24" s="109">
        <f>C24*E24</f>
        <v>4.1500000000000002E-2</v>
      </c>
      <c r="H24" s="66"/>
      <c r="K24" s="63"/>
      <c r="L24" s="55"/>
    </row>
    <row r="25" spans="2:12">
      <c r="B25" s="128" t="s">
        <v>28</v>
      </c>
      <c r="C25" s="112">
        <f>'BS '!G24</f>
        <v>16.3398</v>
      </c>
      <c r="D25" s="108" t="s">
        <v>105</v>
      </c>
      <c r="E25" s="124">
        <v>1</v>
      </c>
      <c r="F25" s="108"/>
      <c r="G25" s="109">
        <f>C25*E25</f>
        <v>16.3398</v>
      </c>
      <c r="K25" s="63"/>
      <c r="L25" s="55"/>
    </row>
    <row r="26" spans="2:12">
      <c r="B26" s="98"/>
      <c r="C26" s="112"/>
      <c r="D26" s="112"/>
      <c r="E26" s="108"/>
      <c r="F26" s="108"/>
      <c r="G26" s="109"/>
      <c r="I26" s="65"/>
      <c r="K26" s="63"/>
      <c r="L26" s="55"/>
    </row>
    <row r="27" spans="2:12">
      <c r="B27" s="92" t="s">
        <v>46</v>
      </c>
      <c r="C27" s="110"/>
      <c r="D27" s="110"/>
      <c r="E27" s="108"/>
      <c r="F27" s="108"/>
      <c r="G27" s="126">
        <f>SUM(G29:G38)</f>
        <v>148.6283</v>
      </c>
      <c r="H27" s="66"/>
      <c r="I27" s="66"/>
      <c r="K27" s="63"/>
      <c r="L27" s="55"/>
    </row>
    <row r="28" spans="2:12">
      <c r="B28" s="128" t="s">
        <v>14</v>
      </c>
      <c r="C28" s="110"/>
      <c r="D28" s="110"/>
      <c r="E28" s="108"/>
      <c r="F28" s="108"/>
      <c r="G28" s="126"/>
      <c r="H28" s="66"/>
      <c r="I28" s="66"/>
      <c r="K28" s="63"/>
      <c r="L28" s="55"/>
    </row>
    <row r="29" spans="2:12">
      <c r="B29" s="129" t="str">
        <f>'BS '!B45</f>
        <v>Current Maturities of Long Term debt</v>
      </c>
      <c r="C29" s="110">
        <f>'BS '!G45</f>
        <v>51.634599999999999</v>
      </c>
      <c r="D29" s="108" t="s">
        <v>105</v>
      </c>
      <c r="E29" s="124">
        <v>1</v>
      </c>
      <c r="F29" s="108"/>
      <c r="G29" s="126">
        <f>C29*E29</f>
        <v>51.634599999999999</v>
      </c>
      <c r="H29" s="66"/>
      <c r="I29" s="66"/>
      <c r="K29" s="63"/>
      <c r="L29" s="55"/>
    </row>
    <row r="30" spans="2:12">
      <c r="B30" s="129" t="s">
        <v>260</v>
      </c>
      <c r="C30" s="110">
        <f>'BS '!G46</f>
        <v>2.8883000000000001</v>
      </c>
      <c r="D30" s="108" t="s">
        <v>105</v>
      </c>
      <c r="E30" s="124">
        <v>1</v>
      </c>
      <c r="F30" s="108"/>
      <c r="G30" s="126">
        <f>C30*E30</f>
        <v>2.8883000000000001</v>
      </c>
      <c r="H30" s="66"/>
      <c r="I30" s="66"/>
      <c r="K30" s="63"/>
      <c r="L30" s="55"/>
    </row>
    <row r="31" spans="2:12">
      <c r="B31" s="129" t="s">
        <v>151</v>
      </c>
      <c r="C31" s="110">
        <f>'BS '!G47</f>
        <v>3</v>
      </c>
      <c r="D31" s="108" t="s">
        <v>105</v>
      </c>
      <c r="E31" s="124">
        <v>1</v>
      </c>
      <c r="F31" s="108"/>
      <c r="G31" s="126">
        <f t="shared" ref="G31" si="2">C31*E31</f>
        <v>3</v>
      </c>
      <c r="H31" s="66"/>
      <c r="I31" s="66"/>
      <c r="K31" s="63"/>
      <c r="L31" s="55"/>
    </row>
    <row r="32" spans="2:12">
      <c r="B32" s="128" t="s">
        <v>848</v>
      </c>
      <c r="C32" s="110">
        <f>'BS '!G48</f>
        <v>0.37469999999999998</v>
      </c>
      <c r="D32" s="108" t="s">
        <v>105</v>
      </c>
      <c r="E32" s="124">
        <v>1</v>
      </c>
      <c r="F32" s="108"/>
      <c r="G32" s="126">
        <f t="shared" ref="G32" si="3">C32*E32</f>
        <v>0.37469999999999998</v>
      </c>
      <c r="H32" s="66"/>
      <c r="I32" s="66"/>
      <c r="K32" s="63"/>
      <c r="L32" s="55"/>
    </row>
    <row r="33" spans="2:12">
      <c r="B33" s="128" t="s">
        <v>152</v>
      </c>
      <c r="C33" s="110"/>
      <c r="D33" s="110"/>
      <c r="E33" s="108"/>
      <c r="F33" s="108"/>
      <c r="G33" s="109"/>
      <c r="K33" s="63"/>
      <c r="L33" s="55"/>
    </row>
    <row r="34" spans="2:12" outlineLevel="1">
      <c r="B34" s="129" t="s">
        <v>153</v>
      </c>
      <c r="C34" s="110">
        <f>'BS '!G50</f>
        <v>12.821300000000001</v>
      </c>
      <c r="D34" s="108" t="s">
        <v>105</v>
      </c>
      <c r="E34" s="124">
        <v>1</v>
      </c>
      <c r="F34" s="124"/>
      <c r="G34" s="109">
        <f t="shared" ref="G34:G38" si="4">C34*E34</f>
        <v>12.821300000000001</v>
      </c>
      <c r="H34" s="66"/>
      <c r="K34" s="63"/>
      <c r="L34" s="55"/>
    </row>
    <row r="35" spans="2:12" outlineLevel="1">
      <c r="B35" s="129" t="s">
        <v>154</v>
      </c>
      <c r="C35" s="110">
        <f>'BS '!G51</f>
        <v>14.989100000000001</v>
      </c>
      <c r="D35" s="108" t="s">
        <v>105</v>
      </c>
      <c r="E35" s="124">
        <v>1</v>
      </c>
      <c r="F35" s="124"/>
      <c r="G35" s="109">
        <f t="shared" si="4"/>
        <v>14.989100000000001</v>
      </c>
      <c r="H35" s="66"/>
      <c r="K35" s="63"/>
      <c r="L35" s="55"/>
    </row>
    <row r="36" spans="2:12">
      <c r="B36" s="128" t="s">
        <v>18</v>
      </c>
      <c r="C36" s="110">
        <f>'BS '!G52</f>
        <v>41.080100000000002</v>
      </c>
      <c r="D36" s="108" t="s">
        <v>105</v>
      </c>
      <c r="E36" s="124">
        <v>1</v>
      </c>
      <c r="F36" s="108"/>
      <c r="G36" s="109">
        <f t="shared" si="4"/>
        <v>41.080100000000002</v>
      </c>
      <c r="K36" s="63"/>
      <c r="L36" s="55"/>
    </row>
    <row r="37" spans="2:12">
      <c r="B37" s="128" t="s">
        <v>19</v>
      </c>
      <c r="C37" s="110">
        <f>'BS '!G53</f>
        <v>0.75490000000000002</v>
      </c>
      <c r="D37" s="108" t="s">
        <v>105</v>
      </c>
      <c r="E37" s="124">
        <v>1</v>
      </c>
      <c r="F37" s="108"/>
      <c r="G37" s="109">
        <f t="shared" si="4"/>
        <v>0.75490000000000002</v>
      </c>
      <c r="H37" s="66"/>
      <c r="K37" s="63"/>
      <c r="L37" s="55"/>
    </row>
    <row r="38" spans="2:12">
      <c r="B38" s="128" t="s">
        <v>15</v>
      </c>
      <c r="C38" s="110">
        <f>'BS '!G54</f>
        <v>21.0853</v>
      </c>
      <c r="D38" s="108" t="s">
        <v>105</v>
      </c>
      <c r="E38" s="124">
        <v>1</v>
      </c>
      <c r="F38" s="124"/>
      <c r="G38" s="109">
        <f t="shared" si="4"/>
        <v>21.0853</v>
      </c>
      <c r="H38" s="66"/>
      <c r="K38" s="63"/>
      <c r="L38" s="55"/>
    </row>
    <row r="39" spans="2:12">
      <c r="B39" s="98"/>
      <c r="C39" s="112"/>
      <c r="D39" s="112"/>
      <c r="E39" s="108"/>
      <c r="F39" s="108"/>
      <c r="G39" s="109"/>
      <c r="K39" s="63"/>
    </row>
    <row r="40" spans="2:12">
      <c r="B40" s="99" t="s">
        <v>47</v>
      </c>
      <c r="C40" s="119"/>
      <c r="D40" s="119"/>
      <c r="E40" s="120"/>
      <c r="F40" s="120"/>
      <c r="G40" s="118">
        <f>(G11+G19)-G27</f>
        <v>-72.598199999999991</v>
      </c>
      <c r="I40" s="66"/>
      <c r="K40" s="63"/>
    </row>
    <row r="41" spans="2:12">
      <c r="B41" s="100" t="s">
        <v>48</v>
      </c>
      <c r="C41" s="111"/>
      <c r="D41" s="111"/>
      <c r="E41" s="108"/>
      <c r="F41" s="108"/>
      <c r="G41" s="109"/>
      <c r="K41" s="63"/>
    </row>
    <row r="42" spans="2:12">
      <c r="B42" s="101" t="s">
        <v>49</v>
      </c>
      <c r="C42" s="113"/>
      <c r="D42" s="113"/>
      <c r="E42" s="108"/>
      <c r="F42" s="108"/>
      <c r="G42" s="109">
        <f>'BS '!G36+'BS '!G45+'BS '!G46</f>
        <v>201.3921</v>
      </c>
      <c r="H42" s="59" t="s">
        <v>853</v>
      </c>
      <c r="K42" s="63"/>
    </row>
    <row r="43" spans="2:12">
      <c r="B43" s="99" t="s">
        <v>50</v>
      </c>
      <c r="C43" s="119"/>
      <c r="D43" s="119"/>
      <c r="E43" s="120"/>
      <c r="F43" s="120"/>
      <c r="G43" s="118">
        <f>SUM(G42:G42)</f>
        <v>201.3921</v>
      </c>
      <c r="K43" s="63"/>
    </row>
    <row r="44" spans="2:12">
      <c r="B44" s="100"/>
      <c r="C44" s="111"/>
      <c r="D44" s="111"/>
      <c r="E44" s="108"/>
      <c r="F44" s="108"/>
      <c r="G44" s="109"/>
      <c r="K44" s="63"/>
    </row>
    <row r="45" spans="2:12">
      <c r="B45" s="102" t="s">
        <v>51</v>
      </c>
      <c r="C45" s="116"/>
      <c r="D45" s="116"/>
      <c r="E45" s="117"/>
      <c r="F45" s="117"/>
      <c r="G45" s="118">
        <f>G40-G43</f>
        <v>-273.99029999999999</v>
      </c>
      <c r="K45" s="63"/>
    </row>
    <row r="46" spans="2:12">
      <c r="B46" s="103" t="s">
        <v>52</v>
      </c>
      <c r="C46" s="114"/>
      <c r="D46" s="114"/>
      <c r="E46" s="115"/>
      <c r="F46" s="115"/>
      <c r="G46" s="109">
        <v>0</v>
      </c>
      <c r="K46" s="63"/>
    </row>
    <row r="47" spans="2:12">
      <c r="B47" s="103" t="s">
        <v>53</v>
      </c>
      <c r="C47" s="114"/>
      <c r="D47" s="114"/>
      <c r="E47" s="115"/>
      <c r="F47" s="115"/>
      <c r="G47" s="109">
        <v>0</v>
      </c>
    </row>
    <row r="48" spans="2:12">
      <c r="B48" s="104" t="s">
        <v>54</v>
      </c>
      <c r="C48" s="116"/>
      <c r="D48" s="116"/>
      <c r="E48" s="117"/>
      <c r="F48" s="117"/>
      <c r="G48" s="118">
        <f>SUM(G45:G47)</f>
        <v>-273.99029999999999</v>
      </c>
    </row>
    <row r="49" spans="2:8">
      <c r="B49" s="97" t="s">
        <v>849</v>
      </c>
      <c r="C49" s="111"/>
      <c r="D49" s="111"/>
      <c r="E49" s="108"/>
      <c r="F49" s="108"/>
      <c r="G49" s="109">
        <f>G42</f>
        <v>201.3921</v>
      </c>
      <c r="H49" s="66"/>
    </row>
    <row r="50" spans="2:8" ht="13.5" thickBot="1">
      <c r="B50" s="105" t="s">
        <v>55</v>
      </c>
      <c r="C50" s="121"/>
      <c r="D50" s="121"/>
      <c r="E50" s="122"/>
      <c r="F50" s="122"/>
      <c r="G50" s="273">
        <f>+G48+G49</f>
        <v>-72.598199999999991</v>
      </c>
    </row>
    <row r="51" spans="2:8" ht="13.5" thickTop="1">
      <c r="B51" s="86"/>
      <c r="C51" s="86"/>
      <c r="D51" s="86"/>
      <c r="E51" s="87"/>
      <c r="F51" s="87"/>
      <c r="G51" s="88"/>
    </row>
  </sheetData>
  <mergeCells count="1">
    <mergeCell ref="B8:G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783A"/>
  </sheetPr>
  <dimension ref="B2:G18"/>
  <sheetViews>
    <sheetView showGridLines="0" workbookViewId="0"/>
  </sheetViews>
  <sheetFormatPr defaultColWidth="9.140625" defaultRowHeight="12.75"/>
  <cols>
    <col min="1" max="1" width="7.85546875" style="50" customWidth="1"/>
    <col min="2" max="2" width="41.7109375" style="50" bestFit="1" customWidth="1"/>
    <col min="3" max="3" width="16.5703125" style="50" customWidth="1"/>
    <col min="4" max="4" width="30" style="50" bestFit="1" customWidth="1"/>
    <col min="5" max="5" width="6" style="50" customWidth="1"/>
    <col min="6" max="6" width="29.140625" style="50" bestFit="1" customWidth="1"/>
    <col min="7" max="7" width="20" style="50" bestFit="1" customWidth="1"/>
    <col min="8" max="16384" width="9.140625" style="50"/>
  </cols>
  <sheetData>
    <row r="2" spans="2:7" ht="18.75">
      <c r="B2" s="14" t="s">
        <v>841</v>
      </c>
      <c r="C2" s="14"/>
    </row>
    <row r="3" spans="2:7" ht="15">
      <c r="B3" t="s">
        <v>157</v>
      </c>
      <c r="C3"/>
    </row>
    <row r="4" spans="2:7">
      <c r="B4" s="8" t="s">
        <v>0</v>
      </c>
      <c r="C4" s="12" t="s">
        <v>1</v>
      </c>
    </row>
    <row r="5" spans="2:7">
      <c r="B5" s="56" t="s">
        <v>31</v>
      </c>
      <c r="C5" s="57">
        <f>+DATE(2023,12,30)</f>
        <v>45290</v>
      </c>
    </row>
    <row r="6" spans="2:7">
      <c r="B6" s="56"/>
      <c r="C6" s="57"/>
    </row>
    <row r="7" spans="2:7" ht="13.5" thickBot="1">
      <c r="B7" s="73"/>
      <c r="C7" s="73"/>
      <c r="D7" s="59" t="s">
        <v>112</v>
      </c>
      <c r="E7" s="59"/>
      <c r="F7" s="131" t="s">
        <v>113</v>
      </c>
    </row>
    <row r="8" spans="2:7" ht="13.5" thickBot="1">
      <c r="B8" s="282" t="s">
        <v>56</v>
      </c>
      <c r="C8" s="283"/>
      <c r="D8" s="284" t="s">
        <v>102</v>
      </c>
    </row>
    <row r="9" spans="2:7">
      <c r="B9" s="77" t="s">
        <v>101</v>
      </c>
      <c r="C9" s="63"/>
      <c r="D9" s="80">
        <f>'PL '!G18</f>
        <v>17.824100000000001</v>
      </c>
      <c r="E9" s="63"/>
      <c r="F9" s="125">
        <f>D9</f>
        <v>17.824100000000001</v>
      </c>
      <c r="G9" s="74"/>
    </row>
    <row r="10" spans="2:7">
      <c r="B10" s="77" t="s">
        <v>57</v>
      </c>
      <c r="C10" s="75"/>
      <c r="D10" s="79">
        <f>'CCM Inputs'!AE15</f>
        <v>3.7001471325525173</v>
      </c>
      <c r="E10" s="63"/>
      <c r="F10" s="125">
        <f>'CCM Inputs'!AE16</f>
        <v>3.472068848830812</v>
      </c>
      <c r="G10" s="74"/>
    </row>
    <row r="11" spans="2:7">
      <c r="B11" s="82" t="s">
        <v>242</v>
      </c>
      <c r="C11" s="83">
        <v>0.2</v>
      </c>
      <c r="D11" s="79">
        <f>D10*C11</f>
        <v>0.74002942651050352</v>
      </c>
      <c r="E11" s="63"/>
      <c r="F11" s="125">
        <f>F10*C11</f>
        <v>0.69441376976616243</v>
      </c>
      <c r="G11" s="74"/>
    </row>
    <row r="12" spans="2:7">
      <c r="B12" s="77" t="s">
        <v>58</v>
      </c>
      <c r="C12" s="75"/>
      <c r="D12" s="79">
        <f>D10-D11</f>
        <v>2.9601177060420136</v>
      </c>
      <c r="E12" s="63"/>
      <c r="F12" s="125">
        <f>F10-F11</f>
        <v>2.7776550790646497</v>
      </c>
      <c r="G12" s="74"/>
    </row>
    <row r="13" spans="2:7" ht="13.5" thickBot="1">
      <c r="B13" s="78" t="s">
        <v>256</v>
      </c>
      <c r="C13" s="76"/>
      <c r="D13" s="81">
        <f>D9*D12</f>
        <v>52.761434004263457</v>
      </c>
      <c r="E13" s="63"/>
      <c r="F13" s="66">
        <f>F9*F12</f>
        <v>49.509201894756224</v>
      </c>
      <c r="G13" s="74"/>
    </row>
    <row r="14" spans="2:7" ht="13.5" thickTop="1">
      <c r="B14" s="84" t="s">
        <v>254</v>
      </c>
    </row>
    <row r="15" spans="2:7">
      <c r="B15" s="85" t="s">
        <v>59</v>
      </c>
      <c r="D15" s="286">
        <v>0.25030000000000002</v>
      </c>
    </row>
    <row r="16" spans="2:7">
      <c r="B16" s="85" t="s">
        <v>255</v>
      </c>
      <c r="D16" s="286">
        <v>41.1967</v>
      </c>
    </row>
    <row r="17" spans="2:4" ht="13.5" thickBot="1">
      <c r="B17" s="78" t="s">
        <v>38</v>
      </c>
      <c r="C17" s="78"/>
      <c r="D17" s="280">
        <f>D13+D15+D16</f>
        <v>94.208434004263466</v>
      </c>
    </row>
    <row r="18" spans="2:4" ht="13.5" thickTop="1"/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S1252"/>
  <sheetViews>
    <sheetView showGridLines="0" workbookViewId="0"/>
  </sheetViews>
  <sheetFormatPr defaultColWidth="9.140625" defaultRowHeight="12.75"/>
  <cols>
    <col min="1" max="1" width="4.85546875" style="1" customWidth="1"/>
    <col min="2" max="2" width="11.42578125" style="1" customWidth="1"/>
    <col min="3" max="3" width="9.85546875" style="1" customWidth="1"/>
    <col min="4" max="4" width="14.5703125" style="1" customWidth="1"/>
    <col min="5" max="5" width="10.85546875" style="1" customWidth="1"/>
    <col min="6" max="6" width="10.140625" style="1" customWidth="1"/>
    <col min="7" max="9" width="9.140625" style="1"/>
    <col min="10" max="10" width="2.7109375" style="1" customWidth="1"/>
    <col min="11" max="11" width="13.28515625" style="1" customWidth="1"/>
    <col min="12" max="12" width="9.140625" style="1"/>
    <col min="13" max="13" width="13.42578125" style="1" customWidth="1"/>
    <col min="14" max="17" width="9.140625" style="1"/>
    <col min="18" max="18" width="11" style="1" bestFit="1" customWidth="1"/>
    <col min="19" max="19" width="3" style="1" customWidth="1"/>
    <col min="20" max="20" width="11.7109375" style="1" customWidth="1"/>
    <col min="21" max="21" width="9.140625" style="1"/>
    <col min="22" max="22" width="13.42578125" style="1" customWidth="1"/>
    <col min="23" max="26" width="9.140625" style="1"/>
    <col min="27" max="27" width="11" style="1" bestFit="1" customWidth="1"/>
    <col min="28" max="28" width="2.140625" style="1" customWidth="1"/>
    <col min="29" max="29" width="11.140625" style="1" customWidth="1"/>
    <col min="30" max="30" width="9.140625" style="1"/>
    <col min="31" max="31" width="13.7109375" style="1" customWidth="1"/>
    <col min="32" max="35" width="9.140625" style="1"/>
    <col min="36" max="36" width="11" style="1" bestFit="1" customWidth="1"/>
    <col min="37" max="37" width="2.7109375" style="1" customWidth="1"/>
    <col min="38" max="38" width="9.5703125" style="1" bestFit="1" customWidth="1"/>
    <col min="39" max="39" width="9.140625" style="1"/>
    <col min="40" max="40" width="13.5703125" style="1" customWidth="1"/>
    <col min="41" max="44" width="9.140625" style="1"/>
    <col min="45" max="45" width="10" style="1" bestFit="1" customWidth="1"/>
    <col min="46" max="46" width="2.5703125" style="1" customWidth="1"/>
    <col min="47" max="16384" width="9.140625" style="1"/>
  </cols>
  <sheetData>
    <row r="2" spans="2:45">
      <c r="B2" s="212" t="s">
        <v>194</v>
      </c>
      <c r="C2" s="213"/>
      <c r="D2" s="213"/>
      <c r="E2" s="214" t="s">
        <v>195</v>
      </c>
    </row>
    <row r="3" spans="2:45">
      <c r="B3" s="1" t="s">
        <v>116</v>
      </c>
      <c r="E3" s="215">
        <f>G12</f>
        <v>0.9848598742943907</v>
      </c>
    </row>
    <row r="4" spans="2:45">
      <c r="B4" s="1" t="s">
        <v>117</v>
      </c>
      <c r="E4" s="215">
        <f>P12</f>
        <v>1.0412620527747527</v>
      </c>
    </row>
    <row r="5" spans="2:45">
      <c r="B5" s="1" t="s">
        <v>118</v>
      </c>
      <c r="E5" s="215">
        <f>Y12</f>
        <v>1.1791185521681347</v>
      </c>
    </row>
    <row r="6" spans="2:45">
      <c r="B6" s="1" t="s">
        <v>119</v>
      </c>
      <c r="E6" s="215">
        <f>AH12</f>
        <v>0.64172294095584614</v>
      </c>
    </row>
    <row r="7" spans="2:45">
      <c r="B7" s="1" t="s">
        <v>235</v>
      </c>
      <c r="E7" s="215">
        <f>AQ12</f>
        <v>0.88631711392871504</v>
      </c>
    </row>
    <row r="9" spans="2:45">
      <c r="B9" s="216" t="s">
        <v>196</v>
      </c>
      <c r="C9" s="217"/>
      <c r="D9" s="217"/>
      <c r="E9" s="218"/>
      <c r="K9" s="216" t="s">
        <v>196</v>
      </c>
      <c r="L9" s="217"/>
      <c r="M9" s="217"/>
      <c r="N9" s="218"/>
      <c r="T9" s="216" t="s">
        <v>196</v>
      </c>
      <c r="U9" s="217"/>
      <c r="V9" s="217"/>
      <c r="W9" s="218"/>
      <c r="AC9" s="216" t="s">
        <v>196</v>
      </c>
      <c r="AD9" s="217"/>
      <c r="AE9" s="217"/>
      <c r="AF9" s="218"/>
      <c r="AL9" s="216" t="s">
        <v>196</v>
      </c>
      <c r="AM9" s="217"/>
      <c r="AN9" s="217"/>
      <c r="AO9" s="218"/>
    </row>
    <row r="10" spans="2:45">
      <c r="B10" s="219" t="s">
        <v>197</v>
      </c>
      <c r="C10" s="220"/>
      <c r="D10" s="220"/>
      <c r="E10" s="221">
        <f>AVERAGE(C1004:C1251)</f>
        <v>420.72883064516111</v>
      </c>
      <c r="K10" s="219" t="s">
        <v>197</v>
      </c>
      <c r="L10" s="220"/>
      <c r="M10" s="220"/>
      <c r="N10" s="221">
        <f>AVERAGE(L1005:L1252)</f>
        <v>313.40967741935492</v>
      </c>
      <c r="T10" s="219" t="s">
        <v>197</v>
      </c>
      <c r="U10" s="220"/>
      <c r="V10" s="220"/>
      <c r="W10" s="221">
        <f>AVERAGE(U1005:U1252)</f>
        <v>58.691935483870957</v>
      </c>
      <c r="AC10" s="219" t="s">
        <v>197</v>
      </c>
      <c r="AD10" s="220"/>
      <c r="AE10" s="220"/>
      <c r="AF10" s="221">
        <f>AVERAGE(AD982:AD1229)</f>
        <v>66.647379032258044</v>
      </c>
      <c r="AL10" s="219" t="s">
        <v>197</v>
      </c>
      <c r="AM10" s="220"/>
      <c r="AN10" s="220"/>
      <c r="AO10" s="221">
        <f>AVERAGE(AM145:AM392)</f>
        <v>312.10020161290328</v>
      </c>
    </row>
    <row r="12" spans="2:45" ht="15.75">
      <c r="B12" s="222" t="s">
        <v>226</v>
      </c>
      <c r="F12" s="223" t="s">
        <v>198</v>
      </c>
      <c r="G12" s="224">
        <f>COVAR(H14:H1251,G14:G1251)/VAR(G14:G1251)</f>
        <v>0.9848598742943907</v>
      </c>
      <c r="H12" s="224">
        <f>SLOPE(H14:H1251,G14:G1251)</f>
        <v>0.9856566864904216</v>
      </c>
      <c r="K12" s="222" t="s">
        <v>227</v>
      </c>
      <c r="O12" s="223" t="s">
        <v>198</v>
      </c>
      <c r="P12" s="224">
        <f>COVAR(Q14:Q1252,P14:P1252)/VAR(P14:P1252)</f>
        <v>1.0412620527747527</v>
      </c>
      <c r="Q12" s="224">
        <f>SLOPE(Q14:Q1252,P14:P1252)</f>
        <v>1.0421038167624468</v>
      </c>
      <c r="T12" s="222" t="s">
        <v>228</v>
      </c>
      <c r="X12" s="223" t="s">
        <v>198</v>
      </c>
      <c r="Y12" s="224">
        <f>COVAR(Z14:Z1252,Y14:Y1252)/VAR(Y14:Y1252)</f>
        <v>1.1791185521681347</v>
      </c>
      <c r="Z12" s="224">
        <f>SLOPE(Z14:Z1252,Y14:Y1252)</f>
        <v>1.1800717603752255</v>
      </c>
      <c r="AC12" s="222" t="s">
        <v>229</v>
      </c>
      <c r="AG12" s="223" t="s">
        <v>198</v>
      </c>
      <c r="AH12" s="224">
        <f>COVAR(AI14:AI1229,AH14:AH1229)/VAR(AH14:AH1229)</f>
        <v>0.64172294095584614</v>
      </c>
      <c r="AI12" s="224">
        <f>SLOPE(AI14:AI1229,AH14:AH1229)</f>
        <v>0.64225154304889043</v>
      </c>
      <c r="AL12" s="222" t="s">
        <v>236</v>
      </c>
      <c r="AP12" s="223" t="s">
        <v>198</v>
      </c>
      <c r="AQ12" s="224">
        <f>COVAR(AR14:AR1252,AQ14:AQ1252)/VAR(AQ14:AQ1252)</f>
        <v>0.88631711392871504</v>
      </c>
      <c r="AR12" s="224">
        <f>SLOPE(AR14:AR1252,AQ14:AQ1252)</f>
        <v>0.88866808770571448</v>
      </c>
    </row>
    <row r="13" spans="2:45" ht="25.5">
      <c r="B13" s="225" t="s">
        <v>95</v>
      </c>
      <c r="C13" s="225" t="s">
        <v>199</v>
      </c>
      <c r="D13" s="225" t="s">
        <v>200</v>
      </c>
      <c r="E13" s="225" t="s">
        <v>201</v>
      </c>
      <c r="F13" s="225" t="s">
        <v>202</v>
      </c>
      <c r="G13" s="226" t="s">
        <v>203</v>
      </c>
      <c r="H13" s="226" t="s">
        <v>204</v>
      </c>
      <c r="I13" s="226" t="s">
        <v>205</v>
      </c>
      <c r="K13" s="255" t="s">
        <v>95</v>
      </c>
      <c r="L13" s="255" t="s">
        <v>199</v>
      </c>
      <c r="M13" s="255" t="s">
        <v>200</v>
      </c>
      <c r="N13" s="255" t="s">
        <v>201</v>
      </c>
      <c r="O13" s="255" t="s">
        <v>202</v>
      </c>
      <c r="P13" s="227" t="s">
        <v>203</v>
      </c>
      <c r="Q13" s="227" t="s">
        <v>204</v>
      </c>
      <c r="R13" s="227" t="s">
        <v>205</v>
      </c>
      <c r="T13" s="225" t="s">
        <v>95</v>
      </c>
      <c r="U13" s="225" t="s">
        <v>199</v>
      </c>
      <c r="V13" s="225" t="s">
        <v>200</v>
      </c>
      <c r="W13" s="225" t="s">
        <v>201</v>
      </c>
      <c r="X13" s="225" t="s">
        <v>202</v>
      </c>
      <c r="Y13" s="226" t="s">
        <v>203</v>
      </c>
      <c r="Z13" s="226" t="s">
        <v>204</v>
      </c>
      <c r="AA13" s="226" t="s">
        <v>205</v>
      </c>
      <c r="AC13" s="225" t="s">
        <v>95</v>
      </c>
      <c r="AD13" s="225" t="s">
        <v>199</v>
      </c>
      <c r="AE13" s="225" t="s">
        <v>200</v>
      </c>
      <c r="AF13" s="225" t="s">
        <v>201</v>
      </c>
      <c r="AG13" s="225" t="s">
        <v>202</v>
      </c>
      <c r="AH13" s="226" t="s">
        <v>203</v>
      </c>
      <c r="AI13" s="226" t="s">
        <v>204</v>
      </c>
      <c r="AJ13" s="226" t="s">
        <v>205</v>
      </c>
      <c r="AL13" s="255" t="s">
        <v>95</v>
      </c>
      <c r="AM13" s="255" t="s">
        <v>199</v>
      </c>
      <c r="AN13" s="255" t="s">
        <v>200</v>
      </c>
      <c r="AO13" s="255" t="s">
        <v>201</v>
      </c>
      <c r="AP13" s="255" t="s">
        <v>202</v>
      </c>
      <c r="AQ13" s="227" t="s">
        <v>203</v>
      </c>
      <c r="AR13" s="227" t="s">
        <v>204</v>
      </c>
      <c r="AS13" s="227" t="s">
        <v>205</v>
      </c>
    </row>
    <row r="14" spans="2:45">
      <c r="B14" s="228">
        <v>43101</v>
      </c>
      <c r="C14" s="217">
        <v>507.7</v>
      </c>
      <c r="D14" s="217">
        <v>504.01983218916803</v>
      </c>
      <c r="E14" s="217">
        <v>2622</v>
      </c>
      <c r="F14" s="229">
        <v>33812.75</v>
      </c>
      <c r="G14" s="229">
        <f>IF(ISERROR(F14/F15-1),"NA",F14/F15-1)</f>
        <v>1.4491784932291196E-5</v>
      </c>
      <c r="H14" s="229">
        <f t="shared" ref="H14:H77" si="0">IF(ISERROR(C14/C15-1),"NA",C14/C15-1)</f>
        <v>-4.4121972742425797E-3</v>
      </c>
      <c r="I14" s="218">
        <v>1321540</v>
      </c>
      <c r="K14" s="228">
        <v>43101</v>
      </c>
      <c r="L14" s="217">
        <v>347.95</v>
      </c>
      <c r="M14" s="217">
        <v>347.60774579521802</v>
      </c>
      <c r="N14" s="217">
        <v>126701</v>
      </c>
      <c r="O14" s="217">
        <v>33812.75</v>
      </c>
      <c r="P14" s="229">
        <f>IF(ISERROR(O14/O15-1),"NA",O14/O15-1)</f>
        <v>1.4491784932291196E-5</v>
      </c>
      <c r="Q14" s="229">
        <f t="shared" ref="Q14:Q77" si="1">IF(ISERROR(L14/L15-1),"NA",L14/L15-1)</f>
        <v>-4.0402647545504822E-2</v>
      </c>
      <c r="R14" s="218">
        <v>44042249</v>
      </c>
      <c r="T14" s="228">
        <v>43101</v>
      </c>
      <c r="U14" s="217">
        <v>198.45</v>
      </c>
      <c r="V14" s="217">
        <v>203.11497086057599</v>
      </c>
      <c r="W14" s="217">
        <v>1193572</v>
      </c>
      <c r="X14" s="217">
        <v>33812.75</v>
      </c>
      <c r="Y14" s="229">
        <f>IF(ISERROR(X14/X15-1),"NA",X14/X15-1)</f>
        <v>1.4491784932291196E-5</v>
      </c>
      <c r="Z14" s="229">
        <f t="shared" ref="Z14:Z77" si="2">IF(ISERROR(U14/U15-1),"NA",U14/U15-1)</f>
        <v>-1.9515810276679924E-2</v>
      </c>
      <c r="AA14" s="218">
        <v>242432342</v>
      </c>
      <c r="AC14" s="228">
        <v>43101</v>
      </c>
      <c r="AD14" s="217">
        <v>40.549999999999997</v>
      </c>
      <c r="AE14" s="217">
        <v>40.577891859000097</v>
      </c>
      <c r="AF14" s="217">
        <v>233362</v>
      </c>
      <c r="AG14" s="217">
        <v>33812.75</v>
      </c>
      <c r="AH14" s="229">
        <f>IF(ISERROR(AG14/AG15-1),"NA",AG14/AG15-1)</f>
        <v>1.4491784932291196E-5</v>
      </c>
      <c r="AI14" s="229">
        <f t="shared" ref="AI14:AI77" si="3">IF(ISERROR(AD14/AD15-1),"NA",AD14/AD15-1)</f>
        <v>-0.16649537512846868</v>
      </c>
      <c r="AJ14" s="218">
        <v>9469338</v>
      </c>
      <c r="AL14" s="228">
        <v>44371</v>
      </c>
      <c r="AM14" s="217">
        <v>375.85</v>
      </c>
      <c r="AN14" s="217">
        <v>382.989222453087</v>
      </c>
      <c r="AO14" s="217">
        <v>1973733</v>
      </c>
      <c r="AP14" s="217">
        <v>52699</v>
      </c>
      <c r="AQ14" s="229">
        <f>IF(ISERROR(AP14/AP15-1),"NA",AP14/AP15-1)</f>
        <v>-4.2709462288550437E-3</v>
      </c>
      <c r="AR14" s="229">
        <f t="shared" ref="AR14:AR77" si="4">IF(ISERROR(AM14/AM15-1),"NA",AM14/AM15-1)</f>
        <v>-3.3804627249357289E-2</v>
      </c>
      <c r="AS14" s="218">
        <v>755918467</v>
      </c>
    </row>
    <row r="15" spans="2:45">
      <c r="B15" s="230">
        <v>43102</v>
      </c>
      <c r="C15" s="1">
        <v>509.95</v>
      </c>
      <c r="D15" s="1">
        <v>507.39312406576897</v>
      </c>
      <c r="E15" s="1">
        <v>1338</v>
      </c>
      <c r="F15" s="215">
        <v>33812.26</v>
      </c>
      <c r="G15" s="215">
        <f t="shared" ref="G15:G78" si="5">IF(ISERROR(F15/F16-1),"NA",F15/F16-1)</f>
        <v>5.5868930542035677E-4</v>
      </c>
      <c r="H15" s="215">
        <f t="shared" si="0"/>
        <v>-3.8283828382838281E-2</v>
      </c>
      <c r="I15" s="231">
        <v>678892</v>
      </c>
      <c r="K15" s="230">
        <v>43102</v>
      </c>
      <c r="L15" s="1">
        <v>362.6</v>
      </c>
      <c r="M15" s="1">
        <v>359.10321719544999</v>
      </c>
      <c r="N15" s="1">
        <v>107889</v>
      </c>
      <c r="O15" s="1">
        <v>33812.26</v>
      </c>
      <c r="P15" s="215">
        <f t="shared" ref="P15:P78" si="6">IF(ISERROR(O15/O16-1),"NA",O15/O16-1)</f>
        <v>5.5868930542035677E-4</v>
      </c>
      <c r="Q15" s="215">
        <f t="shared" si="1"/>
        <v>-2.6838432635534093E-2</v>
      </c>
      <c r="R15" s="231">
        <v>38743287</v>
      </c>
      <c r="T15" s="230">
        <v>43102</v>
      </c>
      <c r="U15" s="1">
        <v>202.4</v>
      </c>
      <c r="V15" s="1">
        <v>200.83927162679299</v>
      </c>
      <c r="W15" s="1">
        <v>680695</v>
      </c>
      <c r="X15" s="1">
        <v>33812.26</v>
      </c>
      <c r="Y15" s="215">
        <f t="shared" ref="Y15:Y78" si="7">IF(ISERROR(X15/X16-1),"NA",X15/X16-1)</f>
        <v>5.5868930542035677E-4</v>
      </c>
      <c r="Z15" s="215">
        <f t="shared" si="2"/>
        <v>-3.2735961768219801E-2</v>
      </c>
      <c r="AA15" s="231">
        <v>136710288</v>
      </c>
      <c r="AC15" s="230">
        <v>43102</v>
      </c>
      <c r="AD15" s="1">
        <v>48.65</v>
      </c>
      <c r="AE15" s="1">
        <v>47.326274258739303</v>
      </c>
      <c r="AF15" s="1">
        <v>259288</v>
      </c>
      <c r="AG15" s="1">
        <v>33812.26</v>
      </c>
      <c r="AH15" s="215">
        <f t="shared" ref="AH15:AH78" si="8">IF(ISERROR(AG15/AG16-1),"NA",AG15/AG16-1)</f>
        <v>5.5868930542035677E-4</v>
      </c>
      <c r="AI15" s="215">
        <f t="shared" si="3"/>
        <v>-9.0654205607476612E-2</v>
      </c>
      <c r="AJ15" s="231">
        <v>12271135</v>
      </c>
      <c r="AL15" s="230">
        <v>44372</v>
      </c>
      <c r="AM15" s="1">
        <v>389</v>
      </c>
      <c r="AN15" s="1">
        <v>389.86299612699401</v>
      </c>
      <c r="AO15" s="1">
        <v>644719</v>
      </c>
      <c r="AP15" s="1">
        <v>52925.04</v>
      </c>
      <c r="AQ15" s="215">
        <f t="shared" ref="AQ15:AQ78" si="9">IF(ISERROR(AP15/AP16-1),"NA",AP15/AP16-1)</f>
        <v>3.592450563272509E-3</v>
      </c>
      <c r="AR15" s="215">
        <f t="shared" si="4"/>
        <v>2.8148539711907006E-2</v>
      </c>
      <c r="AS15" s="231">
        <v>251352081</v>
      </c>
    </row>
    <row r="16" spans="2:45">
      <c r="B16" s="230">
        <v>43103</v>
      </c>
      <c r="C16" s="1">
        <v>530.25</v>
      </c>
      <c r="D16" s="1">
        <v>524.78404487379203</v>
      </c>
      <c r="E16" s="1">
        <v>3209</v>
      </c>
      <c r="F16" s="215">
        <v>33793.379999999997</v>
      </c>
      <c r="G16" s="215">
        <f t="shared" si="5"/>
        <v>-5.1887508963887052E-3</v>
      </c>
      <c r="H16" s="215">
        <f t="shared" si="0"/>
        <v>-1.2201937406855379E-2</v>
      </c>
      <c r="I16" s="231">
        <v>1684032</v>
      </c>
      <c r="K16" s="230">
        <v>43103</v>
      </c>
      <c r="L16" s="1">
        <v>372.6</v>
      </c>
      <c r="M16" s="1">
        <v>369.05196300694502</v>
      </c>
      <c r="N16" s="1">
        <v>138945</v>
      </c>
      <c r="O16" s="1">
        <v>33793.379999999997</v>
      </c>
      <c r="P16" s="215">
        <f t="shared" si="6"/>
        <v>-5.1887508963887052E-3</v>
      </c>
      <c r="Q16" s="215">
        <f t="shared" si="1"/>
        <v>-4.7546012269938598E-2</v>
      </c>
      <c r="R16" s="231">
        <v>51277925</v>
      </c>
      <c r="T16" s="230">
        <v>43103</v>
      </c>
      <c r="U16" s="1">
        <v>209.25</v>
      </c>
      <c r="V16" s="1">
        <v>207.28174738475801</v>
      </c>
      <c r="W16" s="1">
        <v>478063</v>
      </c>
      <c r="X16" s="1">
        <v>33793.379999999997</v>
      </c>
      <c r="Y16" s="215">
        <f t="shared" si="7"/>
        <v>-5.1887508963887052E-3</v>
      </c>
      <c r="Z16" s="215">
        <f t="shared" si="2"/>
        <v>-1.2738853503184711E-2</v>
      </c>
      <c r="AA16" s="231">
        <v>99093734</v>
      </c>
      <c r="AC16" s="230">
        <v>43103</v>
      </c>
      <c r="AD16" s="1">
        <v>53.5</v>
      </c>
      <c r="AE16" s="1">
        <v>52.9826557935735</v>
      </c>
      <c r="AF16" s="1">
        <v>197184</v>
      </c>
      <c r="AG16" s="1">
        <v>33793.379999999997</v>
      </c>
      <c r="AH16" s="215">
        <f t="shared" si="8"/>
        <v>-5.1887508963887052E-3</v>
      </c>
      <c r="AI16" s="215">
        <f t="shared" si="3"/>
        <v>-9.0909090909090939E-2</v>
      </c>
      <c r="AJ16" s="231">
        <v>10447332</v>
      </c>
      <c r="AL16" s="230">
        <v>44375</v>
      </c>
      <c r="AM16" s="1">
        <v>378.35</v>
      </c>
      <c r="AN16" s="1">
        <v>382.14798475214002</v>
      </c>
      <c r="AO16" s="1">
        <v>243444</v>
      </c>
      <c r="AP16" s="1">
        <v>52735.59</v>
      </c>
      <c r="AQ16" s="215">
        <f t="shared" si="9"/>
        <v>3.5381770310216609E-3</v>
      </c>
      <c r="AR16" s="215">
        <f t="shared" si="4"/>
        <v>3.8994919675957807E-2</v>
      </c>
      <c r="AS16" s="231">
        <v>93031634</v>
      </c>
    </row>
    <row r="17" spans="2:45">
      <c r="B17" s="230">
        <v>43104</v>
      </c>
      <c r="C17" s="1">
        <v>536.79999999999995</v>
      </c>
      <c r="D17" s="1">
        <v>542.18292682926801</v>
      </c>
      <c r="E17" s="1">
        <v>1640</v>
      </c>
      <c r="F17" s="215">
        <v>33969.64</v>
      </c>
      <c r="G17" s="215">
        <f t="shared" si="5"/>
        <v>-5.3935354286559489E-3</v>
      </c>
      <c r="H17" s="215">
        <f t="shared" si="0"/>
        <v>1.5032617944596538E-2</v>
      </c>
      <c r="I17" s="231">
        <v>889180</v>
      </c>
      <c r="K17" s="230">
        <v>43104</v>
      </c>
      <c r="L17" s="1">
        <v>391.2</v>
      </c>
      <c r="M17" s="1">
        <v>388.32513332431398</v>
      </c>
      <c r="N17" s="1">
        <v>140447</v>
      </c>
      <c r="O17" s="1">
        <v>33969.64</v>
      </c>
      <c r="P17" s="215">
        <f t="shared" si="6"/>
        <v>-5.3935354286559489E-3</v>
      </c>
      <c r="Q17" s="215">
        <f t="shared" si="1"/>
        <v>-4.7595861229458358E-2</v>
      </c>
      <c r="R17" s="231">
        <v>54539100</v>
      </c>
      <c r="T17" s="230">
        <v>43104</v>
      </c>
      <c r="U17" s="1">
        <v>211.95</v>
      </c>
      <c r="V17" s="1">
        <v>213.78479354074</v>
      </c>
      <c r="W17" s="1">
        <v>583844</v>
      </c>
      <c r="X17" s="1">
        <v>33969.64</v>
      </c>
      <c r="Y17" s="215">
        <f t="shared" si="7"/>
        <v>-5.3935354286559489E-3</v>
      </c>
      <c r="Z17" s="215">
        <f t="shared" si="2"/>
        <v>3.6430317848410665E-2</v>
      </c>
      <c r="AA17" s="231">
        <v>124816969</v>
      </c>
      <c r="AC17" s="230">
        <v>43104</v>
      </c>
      <c r="AD17" s="1">
        <v>58.85</v>
      </c>
      <c r="AE17" s="1">
        <v>58.3113487847084</v>
      </c>
      <c r="AF17" s="1">
        <v>214393</v>
      </c>
      <c r="AG17" s="1">
        <v>33969.64</v>
      </c>
      <c r="AH17" s="215">
        <f t="shared" si="8"/>
        <v>-5.3935354286559489E-3</v>
      </c>
      <c r="AI17" s="215">
        <f t="shared" si="3"/>
        <v>0.11037735849056607</v>
      </c>
      <c r="AJ17" s="231">
        <v>12501545</v>
      </c>
      <c r="AL17" s="230">
        <v>44376</v>
      </c>
      <c r="AM17" s="1">
        <v>364.15</v>
      </c>
      <c r="AN17" s="1">
        <v>372.61745575221198</v>
      </c>
      <c r="AO17" s="1">
        <v>271200</v>
      </c>
      <c r="AP17" s="1">
        <v>52549.66</v>
      </c>
      <c r="AQ17" s="215">
        <f t="shared" si="9"/>
        <v>1.2756582120092563E-3</v>
      </c>
      <c r="AR17" s="215">
        <f t="shared" si="4"/>
        <v>-1.4345648937610034E-2</v>
      </c>
      <c r="AS17" s="231">
        <v>101053854</v>
      </c>
    </row>
    <row r="18" spans="2:45">
      <c r="B18" s="230">
        <v>43105</v>
      </c>
      <c r="C18" s="1">
        <v>528.85</v>
      </c>
      <c r="D18" s="1">
        <v>537.81673306772905</v>
      </c>
      <c r="E18" s="1">
        <v>753</v>
      </c>
      <c r="F18" s="215">
        <v>34153.85</v>
      </c>
      <c r="G18" s="215">
        <f t="shared" si="5"/>
        <v>-5.7910871285855592E-3</v>
      </c>
      <c r="H18" s="215">
        <f t="shared" si="0"/>
        <v>1.5652006913769778E-2</v>
      </c>
      <c r="I18" s="231">
        <v>404976</v>
      </c>
      <c r="K18" s="230">
        <v>43105</v>
      </c>
      <c r="L18" s="1">
        <v>410.75</v>
      </c>
      <c r="M18" s="1">
        <v>405.52885398407102</v>
      </c>
      <c r="N18" s="1">
        <v>217353</v>
      </c>
      <c r="O18" s="1">
        <v>34153.85</v>
      </c>
      <c r="P18" s="215">
        <f t="shared" si="6"/>
        <v>-5.7910871285855592E-3</v>
      </c>
      <c r="Q18" s="215">
        <f t="shared" si="1"/>
        <v>-4.7536231884057978E-2</v>
      </c>
      <c r="R18" s="231">
        <v>88142913</v>
      </c>
      <c r="T18" s="230">
        <v>43105</v>
      </c>
      <c r="U18" s="1">
        <v>204.5</v>
      </c>
      <c r="V18" s="1">
        <v>204.69778142957699</v>
      </c>
      <c r="W18" s="1">
        <v>977296</v>
      </c>
      <c r="X18" s="1">
        <v>34153.85</v>
      </c>
      <c r="Y18" s="215">
        <f t="shared" si="7"/>
        <v>-5.7910871285855592E-3</v>
      </c>
      <c r="Z18" s="215">
        <f t="shared" si="2"/>
        <v>-6.5356489945155416E-2</v>
      </c>
      <c r="AA18" s="231">
        <v>200050323</v>
      </c>
      <c r="AC18" s="230">
        <v>43105</v>
      </c>
      <c r="AD18" s="1">
        <v>53</v>
      </c>
      <c r="AE18" s="1">
        <v>54.744668450787898</v>
      </c>
      <c r="AF18" s="1">
        <v>168150</v>
      </c>
      <c r="AG18" s="1">
        <v>34153.85</v>
      </c>
      <c r="AH18" s="215">
        <f t="shared" si="8"/>
        <v>-5.7910871285855592E-3</v>
      </c>
      <c r="AI18" s="215">
        <f t="shared" si="3"/>
        <v>9.9585062240663769E-2</v>
      </c>
      <c r="AJ18" s="231">
        <v>9205316</v>
      </c>
      <c r="AL18" s="230">
        <v>44377</v>
      </c>
      <c r="AM18" s="1">
        <v>369.45</v>
      </c>
      <c r="AN18" s="1">
        <v>369.202782842077</v>
      </c>
      <c r="AO18" s="1">
        <v>147547</v>
      </c>
      <c r="AP18" s="1">
        <v>52482.71</v>
      </c>
      <c r="AQ18" s="215">
        <f t="shared" si="9"/>
        <v>3.1367429556601323E-3</v>
      </c>
      <c r="AR18" s="215">
        <f t="shared" si="4"/>
        <v>-3.1030760928225654E-3</v>
      </c>
      <c r="AS18" s="231">
        <v>54474763</v>
      </c>
    </row>
    <row r="19" spans="2:45">
      <c r="B19" s="230">
        <v>43108</v>
      </c>
      <c r="C19" s="1">
        <v>520.70000000000005</v>
      </c>
      <c r="D19" s="1">
        <v>524.90952380952297</v>
      </c>
      <c r="E19" s="1">
        <v>1050</v>
      </c>
      <c r="F19" s="215">
        <v>34352.79</v>
      </c>
      <c r="G19" s="215">
        <f t="shared" si="5"/>
        <v>-2.6246117156977222E-3</v>
      </c>
      <c r="H19" s="215">
        <f t="shared" si="0"/>
        <v>1.7886814583129684E-2</v>
      </c>
      <c r="I19" s="231">
        <v>551155</v>
      </c>
      <c r="K19" s="230">
        <v>43108</v>
      </c>
      <c r="L19" s="1">
        <v>431.25</v>
      </c>
      <c r="M19" s="1">
        <v>430.44490257812203</v>
      </c>
      <c r="N19" s="1">
        <v>89251</v>
      </c>
      <c r="O19" s="1">
        <v>34352.79</v>
      </c>
      <c r="P19" s="215">
        <f t="shared" si="6"/>
        <v>-2.6246117156977222E-3</v>
      </c>
      <c r="Q19" s="215">
        <f t="shared" si="1"/>
        <v>-3.0245109062289166E-2</v>
      </c>
      <c r="R19" s="231">
        <v>38417638</v>
      </c>
      <c r="T19" s="230">
        <v>43108</v>
      </c>
      <c r="U19" s="1">
        <v>218.8</v>
      </c>
      <c r="V19" s="1">
        <v>216.20456018992101</v>
      </c>
      <c r="W19" s="1">
        <v>2028205</v>
      </c>
      <c r="X19" s="1">
        <v>34352.79</v>
      </c>
      <c r="Y19" s="215">
        <f t="shared" si="7"/>
        <v>-2.6246117156977222E-3</v>
      </c>
      <c r="Z19" s="215">
        <f t="shared" si="2"/>
        <v>-7.0912951167728222E-2</v>
      </c>
      <c r="AA19" s="231">
        <v>438507170</v>
      </c>
      <c r="AC19" s="230">
        <v>43108</v>
      </c>
      <c r="AD19" s="1">
        <v>48.2</v>
      </c>
      <c r="AE19" s="1">
        <v>48.893594449150001</v>
      </c>
      <c r="AF19" s="1">
        <v>116883</v>
      </c>
      <c r="AG19" s="1">
        <v>34352.79</v>
      </c>
      <c r="AH19" s="215">
        <f t="shared" si="8"/>
        <v>-2.6246117156977222E-3</v>
      </c>
      <c r="AI19" s="215">
        <f t="shared" si="3"/>
        <v>-9.0566037735849036E-2</v>
      </c>
      <c r="AJ19" s="231">
        <v>5714830</v>
      </c>
      <c r="AL19" s="230">
        <v>44378</v>
      </c>
      <c r="AM19" s="1">
        <v>370.6</v>
      </c>
      <c r="AN19" s="1">
        <v>371.845792149418</v>
      </c>
      <c r="AO19" s="1">
        <v>91662</v>
      </c>
      <c r="AP19" s="1">
        <v>52318.6</v>
      </c>
      <c r="AQ19" s="215">
        <f t="shared" si="9"/>
        <v>-3.1641620305510321E-3</v>
      </c>
      <c r="AR19" s="215">
        <f t="shared" si="4"/>
        <v>-2.6910656620021678E-3</v>
      </c>
      <c r="AS19" s="231">
        <v>34084129</v>
      </c>
    </row>
    <row r="20" spans="2:45">
      <c r="B20" s="230">
        <v>43109</v>
      </c>
      <c r="C20" s="1">
        <v>511.55</v>
      </c>
      <c r="D20" s="1">
        <v>510.58206106870199</v>
      </c>
      <c r="E20" s="1">
        <v>1572</v>
      </c>
      <c r="F20" s="215">
        <v>34443.19</v>
      </c>
      <c r="G20" s="215">
        <f t="shared" si="5"/>
        <v>2.9390350613534011E-4</v>
      </c>
      <c r="H20" s="215">
        <f t="shared" si="0"/>
        <v>-1.6249999999999987E-2</v>
      </c>
      <c r="I20" s="231">
        <v>802635</v>
      </c>
      <c r="K20" s="230">
        <v>43109</v>
      </c>
      <c r="L20" s="1">
        <v>444.7</v>
      </c>
      <c r="M20" s="1">
        <v>444.99934740731999</v>
      </c>
      <c r="N20" s="1">
        <v>127185</v>
      </c>
      <c r="O20" s="1">
        <v>34443.19</v>
      </c>
      <c r="P20" s="215">
        <f t="shared" si="6"/>
        <v>2.9390350613534011E-4</v>
      </c>
      <c r="Q20" s="215">
        <f t="shared" si="1"/>
        <v>3.6838423875029225E-2</v>
      </c>
      <c r="R20" s="231">
        <v>56597242</v>
      </c>
      <c r="T20" s="230">
        <v>43109</v>
      </c>
      <c r="U20" s="1">
        <v>235.5</v>
      </c>
      <c r="V20" s="1">
        <v>230.66774950868199</v>
      </c>
      <c r="W20" s="1">
        <v>1955964</v>
      </c>
      <c r="X20" s="1">
        <v>34443.19</v>
      </c>
      <c r="Y20" s="215">
        <f t="shared" si="7"/>
        <v>2.9390350613534011E-4</v>
      </c>
      <c r="Z20" s="215">
        <f t="shared" si="2"/>
        <v>2.4358416702914276E-2</v>
      </c>
      <c r="AA20" s="231">
        <v>451177814</v>
      </c>
      <c r="AC20" s="230">
        <v>43109</v>
      </c>
      <c r="AD20" s="1">
        <v>53</v>
      </c>
      <c r="AE20" s="1">
        <v>52.141185212706603</v>
      </c>
      <c r="AF20" s="1">
        <v>123809</v>
      </c>
      <c r="AG20" s="1">
        <v>34443.19</v>
      </c>
      <c r="AH20" s="215">
        <f t="shared" si="8"/>
        <v>2.9390350613534011E-4</v>
      </c>
      <c r="AI20" s="215">
        <f t="shared" si="3"/>
        <v>5.1587301587301626E-2</v>
      </c>
      <c r="AJ20" s="231">
        <v>6455548</v>
      </c>
      <c r="AL20" s="230">
        <v>44379</v>
      </c>
      <c r="AM20" s="1">
        <v>371.6</v>
      </c>
      <c r="AN20" s="1">
        <v>372.609355263694</v>
      </c>
      <c r="AO20" s="1">
        <v>73627</v>
      </c>
      <c r="AP20" s="1">
        <v>52484.67</v>
      </c>
      <c r="AQ20" s="215">
        <f t="shared" si="9"/>
        <v>-7.4759833585477109E-3</v>
      </c>
      <c r="AR20" s="215">
        <f t="shared" si="4"/>
        <v>-2.7606960617558407E-2</v>
      </c>
      <c r="AS20" s="231">
        <v>27434109</v>
      </c>
    </row>
    <row r="21" spans="2:45">
      <c r="B21" s="230">
        <v>43110</v>
      </c>
      <c r="C21" s="1">
        <v>520</v>
      </c>
      <c r="D21" s="1">
        <v>513.39812646370001</v>
      </c>
      <c r="E21" s="1">
        <v>427</v>
      </c>
      <c r="F21" s="215">
        <v>34433.07</v>
      </c>
      <c r="G21" s="215">
        <f t="shared" si="5"/>
        <v>-2.0409529586716824E-3</v>
      </c>
      <c r="H21" s="215">
        <f t="shared" si="0"/>
        <v>1.6916006649066118E-2</v>
      </c>
      <c r="I21" s="231">
        <v>219221</v>
      </c>
      <c r="K21" s="230">
        <v>43110</v>
      </c>
      <c r="L21" s="1">
        <v>428.9</v>
      </c>
      <c r="M21" s="1">
        <v>433.92732459990498</v>
      </c>
      <c r="N21" s="1">
        <v>59236</v>
      </c>
      <c r="O21" s="1">
        <v>34433.07</v>
      </c>
      <c r="P21" s="215">
        <f t="shared" si="6"/>
        <v>-2.0409529586716824E-3</v>
      </c>
      <c r="Q21" s="215">
        <f t="shared" si="1"/>
        <v>-4.75238729735733E-2</v>
      </c>
      <c r="R21" s="231">
        <v>25704119</v>
      </c>
      <c r="T21" s="230">
        <v>43110</v>
      </c>
      <c r="U21" s="1">
        <v>229.9</v>
      </c>
      <c r="V21" s="1">
        <v>231.103880273074</v>
      </c>
      <c r="W21" s="1">
        <v>665314</v>
      </c>
      <c r="X21" s="1">
        <v>34433.07</v>
      </c>
      <c r="Y21" s="215">
        <f t="shared" si="7"/>
        <v>-2.0409529586716824E-3</v>
      </c>
      <c r="Z21" s="215">
        <f t="shared" si="2"/>
        <v>2.5423728813559476E-2</v>
      </c>
      <c r="AA21" s="231">
        <v>153756647</v>
      </c>
      <c r="AC21" s="230">
        <v>43110</v>
      </c>
      <c r="AD21" s="1">
        <v>50.4</v>
      </c>
      <c r="AE21" s="1">
        <v>50.744886304641199</v>
      </c>
      <c r="AF21" s="1">
        <v>48155</v>
      </c>
      <c r="AG21" s="1">
        <v>34433.07</v>
      </c>
      <c r="AH21" s="215">
        <f t="shared" si="8"/>
        <v>-2.0409529586716824E-3</v>
      </c>
      <c r="AI21" s="215">
        <f t="shared" si="3"/>
        <v>-2.0408163265306256E-2</v>
      </c>
      <c r="AJ21" s="231">
        <v>2443620</v>
      </c>
      <c r="AL21" s="230">
        <v>44382</v>
      </c>
      <c r="AM21" s="1">
        <v>382.15</v>
      </c>
      <c r="AN21" s="1">
        <v>385.46189815808202</v>
      </c>
      <c r="AO21" s="1">
        <v>312229</v>
      </c>
      <c r="AP21" s="1">
        <v>52880</v>
      </c>
      <c r="AQ21" s="215">
        <f t="shared" si="9"/>
        <v>3.56026861299652E-4</v>
      </c>
      <c r="AR21" s="215">
        <f t="shared" si="4"/>
        <v>-2.3383593151035109E-2</v>
      </c>
      <c r="AS21" s="231">
        <v>120352383</v>
      </c>
    </row>
    <row r="22" spans="2:45">
      <c r="B22" s="230">
        <v>43111</v>
      </c>
      <c r="C22" s="1">
        <v>511.35</v>
      </c>
      <c r="D22" s="1">
        <v>512.29375951293696</v>
      </c>
      <c r="E22" s="1">
        <v>657</v>
      </c>
      <c r="F22" s="215">
        <v>34503.49</v>
      </c>
      <c r="G22" s="215">
        <f t="shared" si="5"/>
        <v>-2.5699293977664572E-3</v>
      </c>
      <c r="H22" s="215">
        <f t="shared" si="0"/>
        <v>4.3571428571428594E-2</v>
      </c>
      <c r="I22" s="231">
        <v>336577</v>
      </c>
      <c r="K22" s="230">
        <v>43111</v>
      </c>
      <c r="L22" s="1">
        <v>450.3</v>
      </c>
      <c r="M22" s="1">
        <v>446.329985769465</v>
      </c>
      <c r="N22" s="1">
        <v>49190</v>
      </c>
      <c r="O22" s="1">
        <v>34503.49</v>
      </c>
      <c r="P22" s="215">
        <f t="shared" si="6"/>
        <v>-2.5699293977664572E-3</v>
      </c>
      <c r="Q22" s="215">
        <f t="shared" si="1"/>
        <v>-4.7588832487309607E-2</v>
      </c>
      <c r="R22" s="231">
        <v>21954972</v>
      </c>
      <c r="T22" s="230">
        <v>43111</v>
      </c>
      <c r="U22" s="1">
        <v>224.2</v>
      </c>
      <c r="V22" s="1">
        <v>225.57576165464701</v>
      </c>
      <c r="W22" s="1">
        <v>349174</v>
      </c>
      <c r="X22" s="1">
        <v>34503.49</v>
      </c>
      <c r="Y22" s="215">
        <f t="shared" si="7"/>
        <v>-2.5699293977664572E-3</v>
      </c>
      <c r="Z22" s="215">
        <f t="shared" si="2"/>
        <v>1.6780045351473927E-2</v>
      </c>
      <c r="AA22" s="231">
        <v>78765191</v>
      </c>
      <c r="AC22" s="230">
        <v>43111</v>
      </c>
      <c r="AD22" s="1">
        <v>51.45</v>
      </c>
      <c r="AE22" s="1">
        <v>51.570066940304599</v>
      </c>
      <c r="AF22" s="1">
        <v>36301</v>
      </c>
      <c r="AG22" s="1">
        <v>34503.49</v>
      </c>
      <c r="AH22" s="215">
        <f t="shared" si="8"/>
        <v>-2.5699293977664572E-3</v>
      </c>
      <c r="AI22" s="215">
        <f t="shared" si="3"/>
        <v>1.9821605550049526E-2</v>
      </c>
      <c r="AJ22" s="231">
        <v>1872045</v>
      </c>
      <c r="AL22" s="230">
        <v>44383</v>
      </c>
      <c r="AM22" s="1">
        <v>391.3</v>
      </c>
      <c r="AN22" s="1">
        <v>398.03039868533398</v>
      </c>
      <c r="AO22" s="1">
        <v>338337</v>
      </c>
      <c r="AP22" s="1">
        <v>52861.18</v>
      </c>
      <c r="AQ22" s="215">
        <f t="shared" si="9"/>
        <v>-3.6486829833930479E-3</v>
      </c>
      <c r="AR22" s="215">
        <f t="shared" si="4"/>
        <v>-5.3000968054210951E-2</v>
      </c>
      <c r="AS22" s="231">
        <v>134668411</v>
      </c>
    </row>
    <row r="23" spans="2:45">
      <c r="B23" s="230">
        <v>43112</v>
      </c>
      <c r="C23" s="1">
        <v>490</v>
      </c>
      <c r="D23" s="1">
        <v>497.44637462235602</v>
      </c>
      <c r="E23" s="1">
        <v>1324</v>
      </c>
      <c r="F23" s="215">
        <v>34592.39</v>
      </c>
      <c r="G23" s="215">
        <f t="shared" si="5"/>
        <v>-7.2070810317330647E-3</v>
      </c>
      <c r="H23" s="215">
        <f t="shared" si="0"/>
        <v>-1.8036072144288595E-2</v>
      </c>
      <c r="I23" s="231">
        <v>658619</v>
      </c>
      <c r="K23" s="230">
        <v>43112</v>
      </c>
      <c r="L23" s="1">
        <v>472.8</v>
      </c>
      <c r="M23" s="1">
        <v>470.15869426597999</v>
      </c>
      <c r="N23" s="1">
        <v>186623</v>
      </c>
      <c r="O23" s="1">
        <v>34592.39</v>
      </c>
      <c r="P23" s="215">
        <f t="shared" si="6"/>
        <v>-7.2070810317330647E-3</v>
      </c>
      <c r="Q23" s="215">
        <f t="shared" si="1"/>
        <v>-4.7542304593070073E-2</v>
      </c>
      <c r="R23" s="231">
        <v>87742426</v>
      </c>
      <c r="T23" s="230">
        <v>43112</v>
      </c>
      <c r="U23" s="1">
        <v>220.5</v>
      </c>
      <c r="V23" s="1">
        <v>221.85752803977499</v>
      </c>
      <c r="W23" s="1">
        <v>394618</v>
      </c>
      <c r="X23" s="1">
        <v>34592.39</v>
      </c>
      <c r="Y23" s="215">
        <f t="shared" si="7"/>
        <v>-7.2070810317330647E-3</v>
      </c>
      <c r="Z23" s="215">
        <f t="shared" si="2"/>
        <v>-0.14018327159290311</v>
      </c>
      <c r="AA23" s="231">
        <v>87548974</v>
      </c>
      <c r="AC23" s="230">
        <v>43112</v>
      </c>
      <c r="AD23" s="1">
        <v>50.45</v>
      </c>
      <c r="AE23" s="1">
        <v>50.221261129268498</v>
      </c>
      <c r="AF23" s="1">
        <v>35492</v>
      </c>
      <c r="AG23" s="1">
        <v>34592.39</v>
      </c>
      <c r="AH23" s="215">
        <f t="shared" si="8"/>
        <v>-7.2070810317330647E-3</v>
      </c>
      <c r="AI23" s="215">
        <f t="shared" si="3"/>
        <v>-3.2598274209012401E-2</v>
      </c>
      <c r="AJ23" s="231">
        <v>1782453</v>
      </c>
      <c r="AL23" s="230">
        <v>44384</v>
      </c>
      <c r="AM23" s="1">
        <v>413.2</v>
      </c>
      <c r="AN23" s="1">
        <v>406.95248076527298</v>
      </c>
      <c r="AO23" s="1">
        <v>602556</v>
      </c>
      <c r="AP23" s="1">
        <v>53054.76</v>
      </c>
      <c r="AQ23" s="215">
        <f t="shared" si="9"/>
        <v>9.2415787725603771E-3</v>
      </c>
      <c r="AR23" s="215">
        <f t="shared" si="4"/>
        <v>-7.2080730418068173E-3</v>
      </c>
      <c r="AS23" s="231">
        <v>245211659</v>
      </c>
    </row>
    <row r="24" spans="2:45">
      <c r="B24" s="230">
        <v>43115</v>
      </c>
      <c r="C24" s="1">
        <v>499</v>
      </c>
      <c r="D24" s="1">
        <v>498.95791245791202</v>
      </c>
      <c r="E24" s="1">
        <v>594</v>
      </c>
      <c r="F24" s="215">
        <v>34843.51</v>
      </c>
      <c r="G24" s="215">
        <f t="shared" si="5"/>
        <v>2.0839175118381181E-3</v>
      </c>
      <c r="H24" s="215">
        <f t="shared" si="0"/>
        <v>3.0459473412493443E-2</v>
      </c>
      <c r="I24" s="231">
        <v>296381</v>
      </c>
      <c r="K24" s="230">
        <v>43115</v>
      </c>
      <c r="L24" s="1">
        <v>496.4</v>
      </c>
      <c r="M24" s="1">
        <v>495.60627596570299</v>
      </c>
      <c r="N24" s="1">
        <v>56565</v>
      </c>
      <c r="O24" s="1">
        <v>34843.51</v>
      </c>
      <c r="P24" s="215">
        <f t="shared" si="6"/>
        <v>2.0839175118381181E-3</v>
      </c>
      <c r="Q24" s="215">
        <f t="shared" si="1"/>
        <v>-4.5843344545891451E-2</v>
      </c>
      <c r="R24" s="231">
        <v>28033969</v>
      </c>
      <c r="T24" s="230">
        <v>43115</v>
      </c>
      <c r="U24" s="1">
        <v>256.45</v>
      </c>
      <c r="V24" s="1">
        <v>247.79127169781299</v>
      </c>
      <c r="W24" s="1">
        <v>2240894</v>
      </c>
      <c r="X24" s="1">
        <v>34843.51</v>
      </c>
      <c r="Y24" s="215">
        <f t="shared" si="7"/>
        <v>2.0839175118381181E-3</v>
      </c>
      <c r="Z24" s="215">
        <f t="shared" si="2"/>
        <v>2.68268268268268E-2</v>
      </c>
      <c r="AA24" s="231">
        <v>555273974</v>
      </c>
      <c r="AC24" s="230">
        <v>43115</v>
      </c>
      <c r="AD24" s="1">
        <v>52.15</v>
      </c>
      <c r="AE24" s="1">
        <v>51.9634041147429</v>
      </c>
      <c r="AF24" s="1">
        <v>54487</v>
      </c>
      <c r="AG24" s="1">
        <v>34843.51</v>
      </c>
      <c r="AH24" s="215">
        <f t="shared" si="8"/>
        <v>2.0839175118381181E-3</v>
      </c>
      <c r="AI24" s="215">
        <f t="shared" si="3"/>
        <v>-3.3364226135310537E-2</v>
      </c>
      <c r="AJ24" s="231">
        <v>2831330</v>
      </c>
      <c r="AL24" s="230">
        <v>44385</v>
      </c>
      <c r="AM24" s="1">
        <v>416.2</v>
      </c>
      <c r="AN24" s="1">
        <v>415.69148862047098</v>
      </c>
      <c r="AO24" s="1">
        <v>803724</v>
      </c>
      <c r="AP24" s="1">
        <v>52568.94</v>
      </c>
      <c r="AQ24" s="215">
        <f t="shared" si="9"/>
        <v>3.4885148165957336E-3</v>
      </c>
      <c r="AR24" s="215">
        <f t="shared" si="4"/>
        <v>-5.8521437955332267E-3</v>
      </c>
      <c r="AS24" s="231">
        <v>334101226</v>
      </c>
    </row>
    <row r="25" spans="2:45">
      <c r="B25" s="230">
        <v>43116</v>
      </c>
      <c r="C25" s="1">
        <v>484.25</v>
      </c>
      <c r="D25" s="1">
        <v>488.88705416116198</v>
      </c>
      <c r="E25" s="1">
        <v>1514</v>
      </c>
      <c r="F25" s="215">
        <v>34771.050000000003</v>
      </c>
      <c r="G25" s="215">
        <f t="shared" si="5"/>
        <v>-8.858434368570256E-3</v>
      </c>
      <c r="H25" s="215">
        <f t="shared" si="0"/>
        <v>-5.0676337972946572E-2</v>
      </c>
      <c r="I25" s="231">
        <v>740175</v>
      </c>
      <c r="K25" s="230">
        <v>43116</v>
      </c>
      <c r="L25" s="1">
        <v>520.25</v>
      </c>
      <c r="M25" s="1">
        <v>518.94562490464898</v>
      </c>
      <c r="N25" s="1">
        <v>235972</v>
      </c>
      <c r="O25" s="1">
        <v>34771.050000000003</v>
      </c>
      <c r="P25" s="215">
        <f t="shared" si="6"/>
        <v>-8.858434368570256E-3</v>
      </c>
      <c r="Q25" s="215">
        <f t="shared" si="1"/>
        <v>-3.5412997126170409E-2</v>
      </c>
      <c r="R25" s="231">
        <v>122456637</v>
      </c>
      <c r="T25" s="230">
        <v>43116</v>
      </c>
      <c r="U25" s="1">
        <v>249.75</v>
      </c>
      <c r="V25" s="1">
        <v>260.060468263605</v>
      </c>
      <c r="W25" s="1">
        <v>2702922</v>
      </c>
      <c r="X25" s="1">
        <v>34771.050000000003</v>
      </c>
      <c r="Y25" s="215">
        <f t="shared" si="7"/>
        <v>-8.858434368570256E-3</v>
      </c>
      <c r="Z25" s="215">
        <f t="shared" si="2"/>
        <v>5.4464851171627693E-2</v>
      </c>
      <c r="AA25" s="231">
        <v>702923161</v>
      </c>
      <c r="AC25" s="230">
        <v>43116</v>
      </c>
      <c r="AD25" s="1">
        <v>53.95</v>
      </c>
      <c r="AE25" s="1">
        <v>54.829097211243997</v>
      </c>
      <c r="AF25" s="1">
        <v>170793</v>
      </c>
      <c r="AG25" s="1">
        <v>34771.050000000003</v>
      </c>
      <c r="AH25" s="215">
        <f t="shared" si="8"/>
        <v>-8.858434368570256E-3</v>
      </c>
      <c r="AI25" s="215">
        <f t="shared" si="3"/>
        <v>3.2535885167464196E-2</v>
      </c>
      <c r="AJ25" s="231">
        <v>9364426</v>
      </c>
      <c r="AL25" s="230">
        <v>44386</v>
      </c>
      <c r="AM25" s="1">
        <v>418.65</v>
      </c>
      <c r="AN25" s="1">
        <v>422.11039527056101</v>
      </c>
      <c r="AO25" s="1">
        <v>231740</v>
      </c>
      <c r="AP25" s="1">
        <v>52386.19</v>
      </c>
      <c r="AQ25" s="215">
        <f t="shared" si="9"/>
        <v>2.5776793210363635E-4</v>
      </c>
      <c r="AR25" s="215">
        <f t="shared" si="4"/>
        <v>-1.5502027188171175E-3</v>
      </c>
      <c r="AS25" s="231">
        <v>97819863</v>
      </c>
    </row>
    <row r="26" spans="2:45">
      <c r="B26" s="230">
        <v>43117</v>
      </c>
      <c r="C26" s="1">
        <v>510.1</v>
      </c>
      <c r="D26" s="1">
        <v>506.616262482168</v>
      </c>
      <c r="E26" s="1">
        <v>1402</v>
      </c>
      <c r="F26" s="215">
        <v>35081.82</v>
      </c>
      <c r="G26" s="215">
        <f t="shared" si="5"/>
        <v>-5.0615011958211609E-3</v>
      </c>
      <c r="H26" s="215">
        <f t="shared" si="0"/>
        <v>1.2203591626153365E-2</v>
      </c>
      <c r="I26" s="231">
        <v>710276</v>
      </c>
      <c r="K26" s="230">
        <v>43117</v>
      </c>
      <c r="L26" s="1">
        <v>539.35</v>
      </c>
      <c r="M26" s="1">
        <v>523.32104963243</v>
      </c>
      <c r="N26" s="1">
        <v>212341</v>
      </c>
      <c r="O26" s="1">
        <v>35081.82</v>
      </c>
      <c r="P26" s="215">
        <f t="shared" si="6"/>
        <v>-5.0615011958211609E-3</v>
      </c>
      <c r="Q26" s="215">
        <f t="shared" si="1"/>
        <v>5.2595628415300633E-2</v>
      </c>
      <c r="R26" s="231">
        <v>111122515</v>
      </c>
      <c r="T26" s="230">
        <v>43117</v>
      </c>
      <c r="U26" s="1">
        <v>236.85</v>
      </c>
      <c r="V26" s="1">
        <v>237.15207807169099</v>
      </c>
      <c r="W26" s="1">
        <v>2347176</v>
      </c>
      <c r="X26" s="1">
        <v>35081.82</v>
      </c>
      <c r="Y26" s="215">
        <f t="shared" si="7"/>
        <v>-5.0615011958211609E-3</v>
      </c>
      <c r="Z26" s="215">
        <f t="shared" si="2"/>
        <v>1.0021321961620533E-2</v>
      </c>
      <c r="AA26" s="231">
        <v>556637666</v>
      </c>
      <c r="AC26" s="230">
        <v>43117</v>
      </c>
      <c r="AD26" s="1">
        <v>52.25</v>
      </c>
      <c r="AE26" s="1">
        <v>52.485812663393403</v>
      </c>
      <c r="AF26" s="1">
        <v>62732</v>
      </c>
      <c r="AG26" s="1">
        <v>35081.82</v>
      </c>
      <c r="AH26" s="215">
        <f t="shared" si="8"/>
        <v>-5.0615011958211609E-3</v>
      </c>
      <c r="AI26" s="215">
        <f t="shared" si="3"/>
        <v>4.0836653386454147E-2</v>
      </c>
      <c r="AJ26" s="231">
        <v>3292540</v>
      </c>
      <c r="AL26" s="230">
        <v>44389</v>
      </c>
      <c r="AM26" s="1">
        <v>419.3</v>
      </c>
      <c r="AN26" s="1">
        <v>421.63810503418699</v>
      </c>
      <c r="AO26" s="1">
        <v>237218</v>
      </c>
      <c r="AP26" s="1">
        <v>52372.69</v>
      </c>
      <c r="AQ26" s="215">
        <f t="shared" si="9"/>
        <v>-7.5240104506882899E-3</v>
      </c>
      <c r="AR26" s="215">
        <f t="shared" si="4"/>
        <v>2.5104602510459539E-3</v>
      </c>
      <c r="AS26" s="231">
        <v>100020148</v>
      </c>
    </row>
    <row r="27" spans="2:45">
      <c r="B27" s="230">
        <v>43118</v>
      </c>
      <c r="C27" s="1">
        <v>503.95</v>
      </c>
      <c r="D27" s="1">
        <v>513.72727272727195</v>
      </c>
      <c r="E27" s="1">
        <v>1562</v>
      </c>
      <c r="F27" s="215">
        <v>35260.29</v>
      </c>
      <c r="G27" s="215">
        <f t="shared" si="5"/>
        <v>-7.0762832856212654E-3</v>
      </c>
      <c r="H27" s="215">
        <f t="shared" si="0"/>
        <v>3.0361889184215896E-2</v>
      </c>
      <c r="I27" s="231">
        <v>802442</v>
      </c>
      <c r="K27" s="230">
        <v>43118</v>
      </c>
      <c r="L27" s="1">
        <v>512.4</v>
      </c>
      <c r="M27" s="1">
        <v>528.69410980958105</v>
      </c>
      <c r="N27" s="1">
        <v>126091</v>
      </c>
      <c r="O27" s="1">
        <v>35260.29</v>
      </c>
      <c r="P27" s="215">
        <f t="shared" si="6"/>
        <v>-7.0762832856212654E-3</v>
      </c>
      <c r="Q27" s="215">
        <f t="shared" si="1"/>
        <v>3.4420106995053823E-2</v>
      </c>
      <c r="R27" s="231">
        <v>66663569</v>
      </c>
      <c r="T27" s="230">
        <v>43118</v>
      </c>
      <c r="U27" s="1">
        <v>234.5</v>
      </c>
      <c r="V27" s="1">
        <v>241.86405009584999</v>
      </c>
      <c r="W27" s="1">
        <v>890453</v>
      </c>
      <c r="X27" s="1">
        <v>35260.29</v>
      </c>
      <c r="Y27" s="215">
        <f t="shared" si="7"/>
        <v>-7.0762832856212654E-3</v>
      </c>
      <c r="Z27" s="215">
        <f t="shared" si="2"/>
        <v>-3.0591153369160851E-2</v>
      </c>
      <c r="AA27" s="231">
        <v>215368569</v>
      </c>
      <c r="AC27" s="230">
        <v>43118</v>
      </c>
      <c r="AD27" s="1">
        <v>50.2</v>
      </c>
      <c r="AE27" s="1">
        <v>51.149702823179702</v>
      </c>
      <c r="AF27" s="1">
        <v>37688</v>
      </c>
      <c r="AG27" s="1">
        <v>35260.29</v>
      </c>
      <c r="AH27" s="215">
        <f t="shared" si="8"/>
        <v>-7.0762832856212654E-3</v>
      </c>
      <c r="AI27" s="215">
        <f t="shared" si="3"/>
        <v>4.1493775933610033E-2</v>
      </c>
      <c r="AJ27" s="231">
        <v>1927730</v>
      </c>
      <c r="AL27" s="230">
        <v>44390</v>
      </c>
      <c r="AM27" s="1">
        <v>418.25</v>
      </c>
      <c r="AN27" s="1">
        <v>420.55141045461602</v>
      </c>
      <c r="AO27" s="1">
        <v>89262</v>
      </c>
      <c r="AP27" s="1">
        <v>52769.73</v>
      </c>
      <c r="AQ27" s="215">
        <f t="shared" si="9"/>
        <v>-2.5389360549901152E-3</v>
      </c>
      <c r="AR27" s="215">
        <f t="shared" si="4"/>
        <v>1.1120512510576663E-2</v>
      </c>
      <c r="AS27" s="231">
        <v>37539260</v>
      </c>
    </row>
    <row r="28" spans="2:45">
      <c r="B28" s="230">
        <v>43119</v>
      </c>
      <c r="C28" s="1">
        <v>489.1</v>
      </c>
      <c r="D28" s="1">
        <v>490.53032659409001</v>
      </c>
      <c r="E28" s="1">
        <v>3858</v>
      </c>
      <c r="F28" s="215">
        <v>35511.58</v>
      </c>
      <c r="G28" s="215">
        <f t="shared" si="5"/>
        <v>-8.0012827528681552E-3</v>
      </c>
      <c r="H28" s="215">
        <f t="shared" si="0"/>
        <v>-1.7871485943775078E-2</v>
      </c>
      <c r="I28" s="231">
        <v>1892466</v>
      </c>
      <c r="K28" s="230">
        <v>43119</v>
      </c>
      <c r="L28" s="1">
        <v>495.35</v>
      </c>
      <c r="M28" s="1">
        <v>495.08115980889198</v>
      </c>
      <c r="N28" s="1">
        <v>164096</v>
      </c>
      <c r="O28" s="1">
        <v>35511.58</v>
      </c>
      <c r="P28" s="215">
        <f t="shared" si="6"/>
        <v>-8.0012827528681552E-3</v>
      </c>
      <c r="Q28" s="215">
        <f t="shared" si="1"/>
        <v>-4.7587002499519304E-2</v>
      </c>
      <c r="R28" s="231">
        <v>81240838</v>
      </c>
      <c r="T28" s="230">
        <v>43119</v>
      </c>
      <c r="U28" s="1">
        <v>241.9</v>
      </c>
      <c r="V28" s="1">
        <v>239.81200191374401</v>
      </c>
      <c r="W28" s="1">
        <v>731550</v>
      </c>
      <c r="X28" s="1">
        <v>35511.58</v>
      </c>
      <c r="Y28" s="215">
        <f t="shared" si="7"/>
        <v>-8.0012827528681552E-3</v>
      </c>
      <c r="Z28" s="215">
        <f t="shared" si="2"/>
        <v>-1.4447884416924905E-3</v>
      </c>
      <c r="AA28" s="231">
        <v>175434470</v>
      </c>
      <c r="AC28" s="230">
        <v>43119</v>
      </c>
      <c r="AD28" s="1">
        <v>48.2</v>
      </c>
      <c r="AE28" s="1">
        <v>48.641325030271503</v>
      </c>
      <c r="AF28" s="1">
        <v>11562</v>
      </c>
      <c r="AG28" s="1">
        <v>35511.58</v>
      </c>
      <c r="AH28" s="215">
        <f t="shared" si="8"/>
        <v>-8.0012827528681552E-3</v>
      </c>
      <c r="AI28" s="215">
        <f t="shared" si="3"/>
        <v>1.048218029350112E-2</v>
      </c>
      <c r="AJ28" s="231">
        <v>562391</v>
      </c>
      <c r="AL28" s="230">
        <v>44391</v>
      </c>
      <c r="AM28" s="1">
        <v>413.65</v>
      </c>
      <c r="AN28" s="1">
        <v>414.62944366937899</v>
      </c>
      <c r="AO28" s="1">
        <v>134039</v>
      </c>
      <c r="AP28" s="1">
        <v>52904.05</v>
      </c>
      <c r="AQ28" s="215">
        <f t="shared" si="9"/>
        <v>-4.7931811918429101E-3</v>
      </c>
      <c r="AR28" s="215">
        <f t="shared" si="4"/>
        <v>1.8591479931051369E-2</v>
      </c>
      <c r="AS28" s="231">
        <v>55576516</v>
      </c>
    </row>
    <row r="29" spans="2:45">
      <c r="B29" s="230">
        <v>43122</v>
      </c>
      <c r="C29" s="1">
        <v>498</v>
      </c>
      <c r="D29" s="1">
        <v>490.642857142857</v>
      </c>
      <c r="E29" s="1">
        <v>714</v>
      </c>
      <c r="F29" s="215">
        <v>35798.01</v>
      </c>
      <c r="G29" s="215">
        <f t="shared" si="5"/>
        <v>-9.4623738031952564E-3</v>
      </c>
      <c r="H29" s="215">
        <f t="shared" si="0"/>
        <v>2.2587268993839782E-2</v>
      </c>
      <c r="I29" s="231">
        <v>350319</v>
      </c>
      <c r="K29" s="230">
        <v>43122</v>
      </c>
      <c r="L29" s="1">
        <v>520.1</v>
      </c>
      <c r="M29" s="1">
        <v>520.09998481858202</v>
      </c>
      <c r="N29" s="1">
        <v>32935</v>
      </c>
      <c r="O29" s="1">
        <v>35798.01</v>
      </c>
      <c r="P29" s="215">
        <f t="shared" si="6"/>
        <v>-9.4623738031952564E-3</v>
      </c>
      <c r="Q29" s="215">
        <f t="shared" si="1"/>
        <v>-4.7610327778795036E-2</v>
      </c>
      <c r="R29" s="231">
        <v>17129493</v>
      </c>
      <c r="T29" s="230">
        <v>43122</v>
      </c>
      <c r="U29" s="1">
        <v>242.25</v>
      </c>
      <c r="V29" s="1">
        <v>246.498581156108</v>
      </c>
      <c r="W29" s="1">
        <v>680836</v>
      </c>
      <c r="X29" s="1">
        <v>35798.01</v>
      </c>
      <c r="Y29" s="215">
        <f t="shared" si="7"/>
        <v>-9.4623738031952564E-3</v>
      </c>
      <c r="Z29" s="215">
        <f t="shared" si="2"/>
        <v>1.1693464188766045E-2</v>
      </c>
      <c r="AA29" s="231">
        <v>167825108</v>
      </c>
      <c r="AC29" s="230">
        <v>43122</v>
      </c>
      <c r="AD29" s="1">
        <v>47.7</v>
      </c>
      <c r="AE29" s="1">
        <v>47.972076236307203</v>
      </c>
      <c r="AF29" s="1">
        <v>15793</v>
      </c>
      <c r="AG29" s="1">
        <v>35798.01</v>
      </c>
      <c r="AH29" s="215">
        <f t="shared" si="8"/>
        <v>-9.4623738031952564E-3</v>
      </c>
      <c r="AI29" s="215">
        <f t="shared" si="3"/>
        <v>-2.0920502092048876E-3</v>
      </c>
      <c r="AJ29" s="231">
        <v>757623</v>
      </c>
      <c r="AL29" s="230">
        <v>44392</v>
      </c>
      <c r="AM29" s="1">
        <v>406.1</v>
      </c>
      <c r="AN29" s="1">
        <v>409.15725651546899</v>
      </c>
      <c r="AO29" s="1">
        <v>179611</v>
      </c>
      <c r="AP29" s="1">
        <v>53158.85</v>
      </c>
      <c r="AQ29" s="215">
        <f t="shared" si="9"/>
        <v>3.5359388002187409E-4</v>
      </c>
      <c r="AR29" s="215">
        <f t="shared" si="4"/>
        <v>-1.765844218674395E-2</v>
      </c>
      <c r="AS29" s="231">
        <v>73489144</v>
      </c>
    </row>
    <row r="30" spans="2:45">
      <c r="B30" s="230">
        <v>43123</v>
      </c>
      <c r="C30" s="1">
        <v>487</v>
      </c>
      <c r="D30" s="1">
        <v>486.86993006992998</v>
      </c>
      <c r="E30" s="1">
        <v>715</v>
      </c>
      <c r="F30" s="215">
        <v>36139.980000000003</v>
      </c>
      <c r="G30" s="215">
        <f t="shared" si="5"/>
        <v>-5.989772587746689E-4</v>
      </c>
      <c r="H30" s="215">
        <f t="shared" si="0"/>
        <v>2.5155246816124688E-2</v>
      </c>
      <c r="I30" s="231">
        <v>348112</v>
      </c>
      <c r="K30" s="230">
        <v>43123</v>
      </c>
      <c r="L30" s="1">
        <v>546.1</v>
      </c>
      <c r="M30" s="1">
        <v>546.09998071731502</v>
      </c>
      <c r="N30" s="1">
        <v>20744</v>
      </c>
      <c r="O30" s="1">
        <v>36139.980000000003</v>
      </c>
      <c r="P30" s="215">
        <f t="shared" si="6"/>
        <v>-5.989772587746689E-4</v>
      </c>
      <c r="Q30" s="215">
        <f t="shared" si="1"/>
        <v>-4.7610742936867734E-2</v>
      </c>
      <c r="R30" s="231">
        <v>11328298</v>
      </c>
      <c r="T30" s="230">
        <v>43123</v>
      </c>
      <c r="U30" s="1">
        <v>239.45</v>
      </c>
      <c r="V30" s="1">
        <v>242.425458070047</v>
      </c>
      <c r="W30" s="1">
        <v>804735</v>
      </c>
      <c r="X30" s="1">
        <v>36139.980000000003</v>
      </c>
      <c r="Y30" s="215">
        <f t="shared" si="7"/>
        <v>-5.989772587746689E-4</v>
      </c>
      <c r="Z30" s="215">
        <f t="shared" si="2"/>
        <v>7.3622212873369897E-3</v>
      </c>
      <c r="AA30" s="231">
        <v>195088251</v>
      </c>
      <c r="AC30" s="230">
        <v>43123</v>
      </c>
      <c r="AD30" s="1">
        <v>47.8</v>
      </c>
      <c r="AE30" s="1">
        <v>48.693978282329702</v>
      </c>
      <c r="AF30" s="1">
        <v>28364</v>
      </c>
      <c r="AG30" s="1">
        <v>36139.980000000003</v>
      </c>
      <c r="AH30" s="215">
        <f t="shared" si="8"/>
        <v>-5.989772587746689E-4</v>
      </c>
      <c r="AI30" s="215">
        <f t="shared" si="3"/>
        <v>2.0277481323372371E-2</v>
      </c>
      <c r="AJ30" s="231">
        <v>1381156</v>
      </c>
      <c r="AL30" s="230">
        <v>44393</v>
      </c>
      <c r="AM30" s="1">
        <v>413.4</v>
      </c>
      <c r="AN30" s="1">
        <v>412.64471787899299</v>
      </c>
      <c r="AO30" s="1">
        <v>73550</v>
      </c>
      <c r="AP30" s="1">
        <v>53140.06</v>
      </c>
      <c r="AQ30" s="215">
        <f t="shared" si="9"/>
        <v>1.1163121700974665E-2</v>
      </c>
      <c r="AR30" s="215">
        <f t="shared" si="4"/>
        <v>-3.8604651162790771E-2</v>
      </c>
      <c r="AS30" s="231">
        <v>30350019</v>
      </c>
    </row>
    <row r="31" spans="2:45">
      <c r="B31" s="230">
        <v>43124</v>
      </c>
      <c r="C31" s="1">
        <v>475.05</v>
      </c>
      <c r="D31" s="1">
        <v>479.492957746478</v>
      </c>
      <c r="E31" s="1">
        <v>284</v>
      </c>
      <c r="F31" s="215">
        <v>36161.64</v>
      </c>
      <c r="G31" s="215">
        <f t="shared" si="5"/>
        <v>3.0845670676973302E-3</v>
      </c>
      <c r="H31" s="215">
        <f t="shared" si="0"/>
        <v>1.0744680851063837E-2</v>
      </c>
      <c r="I31" s="231">
        <v>136176</v>
      </c>
      <c r="K31" s="230">
        <v>43124</v>
      </c>
      <c r="L31" s="1">
        <v>573.4</v>
      </c>
      <c r="M31" s="1">
        <v>571.88917230121001</v>
      </c>
      <c r="N31" s="1">
        <v>362644</v>
      </c>
      <c r="O31" s="1">
        <v>36161.64</v>
      </c>
      <c r="P31" s="215">
        <f t="shared" si="6"/>
        <v>3.0845670676973302E-3</v>
      </c>
      <c r="Q31" s="215">
        <f t="shared" si="1"/>
        <v>-4.1137123745819459E-2</v>
      </c>
      <c r="R31" s="231">
        <v>207392177</v>
      </c>
      <c r="T31" s="230">
        <v>43124</v>
      </c>
      <c r="U31" s="1">
        <v>237.7</v>
      </c>
      <c r="V31" s="1">
        <v>236.75170323743501</v>
      </c>
      <c r="W31" s="1">
        <v>428302</v>
      </c>
      <c r="X31" s="1">
        <v>36161.64</v>
      </c>
      <c r="Y31" s="215">
        <f t="shared" si="7"/>
        <v>3.0845670676973302E-3</v>
      </c>
      <c r="Z31" s="215">
        <f t="shared" si="2"/>
        <v>1.4746155466609512E-3</v>
      </c>
      <c r="AA31" s="231">
        <v>101401228</v>
      </c>
      <c r="AC31" s="230">
        <v>43124</v>
      </c>
      <c r="AD31" s="1">
        <v>46.85</v>
      </c>
      <c r="AE31" s="1">
        <v>46.480878350325199</v>
      </c>
      <c r="AF31" s="1">
        <v>21677</v>
      </c>
      <c r="AG31" s="1">
        <v>36161.64</v>
      </c>
      <c r="AH31" s="215">
        <f t="shared" si="8"/>
        <v>3.0845670676973302E-3</v>
      </c>
      <c r="AI31" s="215">
        <f t="shared" si="3"/>
        <v>-9.5137420718814925E-3</v>
      </c>
      <c r="AJ31" s="231">
        <v>1007566</v>
      </c>
      <c r="AL31" s="230">
        <v>44396</v>
      </c>
      <c r="AM31" s="1">
        <v>430</v>
      </c>
      <c r="AN31" s="1">
        <v>424.41215465360699</v>
      </c>
      <c r="AO31" s="1">
        <v>415742</v>
      </c>
      <c r="AP31" s="1">
        <v>52553.4</v>
      </c>
      <c r="AQ31" s="215">
        <f t="shared" si="9"/>
        <v>6.7988530707101535E-3</v>
      </c>
      <c r="AR31" s="215">
        <f t="shared" si="4"/>
        <v>-2.8028933092224206E-2</v>
      </c>
      <c r="AS31" s="231">
        <v>176445958</v>
      </c>
    </row>
    <row r="32" spans="2:45">
      <c r="B32" s="230">
        <v>43125</v>
      </c>
      <c r="C32" s="1">
        <v>470</v>
      </c>
      <c r="D32" s="1">
        <v>474.187699680511</v>
      </c>
      <c r="E32" s="1">
        <v>1252</v>
      </c>
      <c r="F32" s="215">
        <v>36050.44</v>
      </c>
      <c r="G32" s="215">
        <f t="shared" si="5"/>
        <v>-6.4164593855290386E-3</v>
      </c>
      <c r="H32" s="215">
        <f t="shared" si="0"/>
        <v>0</v>
      </c>
      <c r="I32" s="231">
        <v>593683</v>
      </c>
      <c r="K32" s="230">
        <v>43125</v>
      </c>
      <c r="L32" s="1">
        <v>598</v>
      </c>
      <c r="M32" s="1">
        <v>591.93183212735096</v>
      </c>
      <c r="N32" s="1">
        <v>259125</v>
      </c>
      <c r="O32" s="1">
        <v>36050.44</v>
      </c>
      <c r="P32" s="215">
        <f t="shared" si="6"/>
        <v>-6.4164593855290386E-3</v>
      </c>
      <c r="Q32" s="215">
        <f t="shared" si="1"/>
        <v>4.2084168336673278E-2</v>
      </c>
      <c r="R32" s="231">
        <v>153384336</v>
      </c>
      <c r="T32" s="230">
        <v>43125</v>
      </c>
      <c r="U32" s="1">
        <v>237.35</v>
      </c>
      <c r="V32" s="1">
        <v>235.94000135666801</v>
      </c>
      <c r="W32" s="1">
        <v>324324</v>
      </c>
      <c r="X32" s="1">
        <v>36050.44</v>
      </c>
      <c r="Y32" s="215">
        <f t="shared" si="7"/>
        <v>-6.4164593855290386E-3</v>
      </c>
      <c r="Z32" s="215">
        <f t="shared" si="2"/>
        <v>8.0828779599271483E-2</v>
      </c>
      <c r="AA32" s="231">
        <v>76521005</v>
      </c>
      <c r="AC32" s="230">
        <v>43125</v>
      </c>
      <c r="AD32" s="1">
        <v>47.3</v>
      </c>
      <c r="AE32" s="1">
        <v>47.4838858460651</v>
      </c>
      <c r="AF32" s="1">
        <v>17345</v>
      </c>
      <c r="AG32" s="1">
        <v>36050.44</v>
      </c>
      <c r="AH32" s="215">
        <f t="shared" si="8"/>
        <v>-6.4164593855290386E-3</v>
      </c>
      <c r="AI32" s="215">
        <f t="shared" si="3"/>
        <v>8.237986270022879E-2</v>
      </c>
      <c r="AJ32" s="231">
        <v>823608</v>
      </c>
      <c r="AL32" s="230">
        <v>44397</v>
      </c>
      <c r="AM32" s="1">
        <v>442.4</v>
      </c>
      <c r="AN32" s="1">
        <v>444.73364865900498</v>
      </c>
      <c r="AO32" s="1">
        <v>600226</v>
      </c>
      <c r="AP32" s="1">
        <v>52198.51</v>
      </c>
      <c r="AQ32" s="215">
        <f t="shared" si="9"/>
        <v>-1.2088072023484941E-2</v>
      </c>
      <c r="AR32" s="215">
        <f t="shared" si="4"/>
        <v>-4.2763898266937606E-3</v>
      </c>
      <c r="AS32" s="231">
        <v>266940699</v>
      </c>
    </row>
    <row r="33" spans="2:45">
      <c r="B33" s="230">
        <v>43129</v>
      </c>
      <c r="C33" s="1">
        <v>470</v>
      </c>
      <c r="D33" s="1">
        <v>472.841766329346</v>
      </c>
      <c r="E33" s="1">
        <v>1087</v>
      </c>
      <c r="F33" s="215">
        <v>36283.25</v>
      </c>
      <c r="G33" s="215">
        <f t="shared" si="5"/>
        <v>6.9246231239452616E-3</v>
      </c>
      <c r="H33" s="215">
        <f t="shared" si="0"/>
        <v>3.9823008849557473E-2</v>
      </c>
      <c r="I33" s="231">
        <v>513979</v>
      </c>
      <c r="K33" s="230">
        <v>43129</v>
      </c>
      <c r="L33" s="1">
        <v>573.85</v>
      </c>
      <c r="M33" s="1">
        <v>590.18688090521096</v>
      </c>
      <c r="N33" s="1">
        <v>104992</v>
      </c>
      <c r="O33" s="1">
        <v>36283.25</v>
      </c>
      <c r="P33" s="215">
        <f t="shared" si="6"/>
        <v>6.9246231239452616E-3</v>
      </c>
      <c r="Q33" s="215">
        <f t="shared" si="1"/>
        <v>5.254952311078509E-2</v>
      </c>
      <c r="R33" s="231">
        <v>61964901</v>
      </c>
      <c r="T33" s="230">
        <v>43129</v>
      </c>
      <c r="U33" s="1">
        <v>219.6</v>
      </c>
      <c r="V33" s="1">
        <v>229.41482075923099</v>
      </c>
      <c r="W33" s="1">
        <v>802496</v>
      </c>
      <c r="X33" s="1">
        <v>36283.25</v>
      </c>
      <c r="Y33" s="215">
        <f t="shared" si="7"/>
        <v>6.9246231239452616E-3</v>
      </c>
      <c r="Z33" s="215">
        <f t="shared" si="2"/>
        <v>2.329916123019582E-2</v>
      </c>
      <c r="AA33" s="231">
        <v>184104476</v>
      </c>
      <c r="AC33" s="230">
        <v>43129</v>
      </c>
      <c r="AD33" s="1">
        <v>43.7</v>
      </c>
      <c r="AE33" s="1">
        <v>45.466473821232199</v>
      </c>
      <c r="AF33" s="1">
        <v>17285</v>
      </c>
      <c r="AG33" s="1">
        <v>36283.25</v>
      </c>
      <c r="AH33" s="215">
        <f t="shared" si="8"/>
        <v>6.9246231239452616E-3</v>
      </c>
      <c r="AI33" s="215">
        <f t="shared" si="3"/>
        <v>1.5098722415795685E-2</v>
      </c>
      <c r="AJ33" s="231">
        <v>785888</v>
      </c>
      <c r="AL33" s="230">
        <v>44399</v>
      </c>
      <c r="AM33" s="1">
        <v>444.3</v>
      </c>
      <c r="AN33" s="1">
        <v>446.51054939819801</v>
      </c>
      <c r="AO33" s="1">
        <v>356845</v>
      </c>
      <c r="AP33" s="1">
        <v>52837.21</v>
      </c>
      <c r="AQ33" s="215">
        <f t="shared" si="9"/>
        <v>-2.6161001815924179E-3</v>
      </c>
      <c r="AR33" s="215">
        <f t="shared" si="4"/>
        <v>2.918693537178596E-2</v>
      </c>
      <c r="AS33" s="231">
        <v>159335057</v>
      </c>
    </row>
    <row r="34" spans="2:45">
      <c r="B34" s="230">
        <v>43130</v>
      </c>
      <c r="C34" s="1">
        <v>452</v>
      </c>
      <c r="D34" s="1">
        <v>452.04199475065599</v>
      </c>
      <c r="E34" s="1">
        <v>381</v>
      </c>
      <c r="F34" s="215">
        <v>36033.730000000003</v>
      </c>
      <c r="G34" s="215">
        <f t="shared" si="5"/>
        <v>1.9104674486489781E-3</v>
      </c>
      <c r="H34" s="215">
        <f t="shared" si="0"/>
        <v>5.4719402636798531E-2</v>
      </c>
      <c r="I34" s="231">
        <v>172228</v>
      </c>
      <c r="K34" s="230">
        <v>43130</v>
      </c>
      <c r="L34" s="1">
        <v>545.20000000000005</v>
      </c>
      <c r="M34" s="1">
        <v>551.26029955644003</v>
      </c>
      <c r="N34" s="1">
        <v>81387</v>
      </c>
      <c r="O34" s="1">
        <v>36033.730000000003</v>
      </c>
      <c r="P34" s="215">
        <f t="shared" si="6"/>
        <v>1.9104674486489781E-3</v>
      </c>
      <c r="Q34" s="215">
        <f t="shared" si="1"/>
        <v>3.2771358211782564E-2</v>
      </c>
      <c r="R34" s="231">
        <v>44865422</v>
      </c>
      <c r="T34" s="230">
        <v>43130</v>
      </c>
      <c r="U34" s="1">
        <v>214.6</v>
      </c>
      <c r="V34" s="1">
        <v>216.99391639795201</v>
      </c>
      <c r="W34" s="1">
        <v>979354</v>
      </c>
      <c r="X34" s="1">
        <v>36033.730000000003</v>
      </c>
      <c r="Y34" s="215">
        <f t="shared" si="7"/>
        <v>1.9104674486489781E-3</v>
      </c>
      <c r="Z34" s="215">
        <f t="shared" si="2"/>
        <v>1.0357815442561202E-2</v>
      </c>
      <c r="AA34" s="231">
        <v>212513860</v>
      </c>
      <c r="AC34" s="230">
        <v>43130</v>
      </c>
      <c r="AD34" s="1">
        <v>43.05</v>
      </c>
      <c r="AE34" s="1">
        <v>43.112235746316401</v>
      </c>
      <c r="AF34" s="1">
        <v>7805</v>
      </c>
      <c r="AG34" s="1">
        <v>36033.730000000003</v>
      </c>
      <c r="AH34" s="215">
        <f t="shared" si="8"/>
        <v>1.9104674486489781E-3</v>
      </c>
      <c r="AI34" s="215">
        <f t="shared" si="3"/>
        <v>8.1967213114753079E-3</v>
      </c>
      <c r="AJ34" s="231">
        <v>336491</v>
      </c>
      <c r="AL34" s="230">
        <v>44400</v>
      </c>
      <c r="AM34" s="1">
        <v>431.7</v>
      </c>
      <c r="AN34" s="1">
        <v>436.78819593915898</v>
      </c>
      <c r="AO34" s="1">
        <v>111504</v>
      </c>
      <c r="AP34" s="1">
        <v>52975.8</v>
      </c>
      <c r="AQ34" s="215">
        <f t="shared" si="9"/>
        <v>2.3372695250365449E-3</v>
      </c>
      <c r="AR34" s="215">
        <f t="shared" si="4"/>
        <v>9.588400374181294E-3</v>
      </c>
      <c r="AS34" s="231">
        <v>48703631</v>
      </c>
    </row>
    <row r="35" spans="2:45">
      <c r="B35" s="230">
        <v>43131</v>
      </c>
      <c r="C35" s="1">
        <v>428.55</v>
      </c>
      <c r="D35" s="1">
        <v>439.84767025089599</v>
      </c>
      <c r="E35" s="1">
        <v>2232</v>
      </c>
      <c r="F35" s="215">
        <v>35965.019999999997</v>
      </c>
      <c r="G35" s="215">
        <f t="shared" si="5"/>
        <v>1.6253252182183431E-3</v>
      </c>
      <c r="H35" s="215">
        <f t="shared" si="0"/>
        <v>4.5754026354319244E-2</v>
      </c>
      <c r="I35" s="231">
        <v>981740</v>
      </c>
      <c r="K35" s="230">
        <v>43131</v>
      </c>
      <c r="L35" s="1">
        <v>527.9</v>
      </c>
      <c r="M35" s="1">
        <v>534.45911325465602</v>
      </c>
      <c r="N35" s="1">
        <v>128966</v>
      </c>
      <c r="O35" s="1">
        <v>35965.019999999997</v>
      </c>
      <c r="P35" s="215">
        <f t="shared" si="6"/>
        <v>1.6253252182183431E-3</v>
      </c>
      <c r="Q35" s="215">
        <f t="shared" si="1"/>
        <v>2.5446775446775538E-2</v>
      </c>
      <c r="R35" s="231">
        <v>68927054</v>
      </c>
      <c r="T35" s="230">
        <v>43131</v>
      </c>
      <c r="U35" s="1">
        <v>212.4</v>
      </c>
      <c r="V35" s="1">
        <v>213.44819651153401</v>
      </c>
      <c r="W35" s="1">
        <v>550156</v>
      </c>
      <c r="X35" s="1">
        <v>35965.019999999997</v>
      </c>
      <c r="Y35" s="215">
        <f t="shared" si="7"/>
        <v>1.6253252182183431E-3</v>
      </c>
      <c r="Z35" s="215">
        <f t="shared" si="2"/>
        <v>-2.344827586206899E-2</v>
      </c>
      <c r="AA35" s="231">
        <v>117429806</v>
      </c>
      <c r="AC35" s="230">
        <v>43131</v>
      </c>
      <c r="AD35" s="1">
        <v>42.7</v>
      </c>
      <c r="AE35" s="1">
        <v>42.513385006187697</v>
      </c>
      <c r="AF35" s="1">
        <v>15353</v>
      </c>
      <c r="AG35" s="1">
        <v>35965.019999999997</v>
      </c>
      <c r="AH35" s="215">
        <f t="shared" si="8"/>
        <v>1.6253252182183431E-3</v>
      </c>
      <c r="AI35" s="215">
        <f t="shared" si="3"/>
        <v>1.9093078758950055E-2</v>
      </c>
      <c r="AJ35" s="231">
        <v>652708</v>
      </c>
      <c r="AL35" s="230">
        <v>44403</v>
      </c>
      <c r="AM35" s="1">
        <v>427.6</v>
      </c>
      <c r="AN35" s="1">
        <v>427.30289188167899</v>
      </c>
      <c r="AO35" s="1">
        <v>148208</v>
      </c>
      <c r="AP35" s="1">
        <v>52852.27</v>
      </c>
      <c r="AQ35" s="215">
        <f t="shared" si="9"/>
        <v>5.2019104292302387E-3</v>
      </c>
      <c r="AR35" s="215">
        <f t="shared" si="4"/>
        <v>-2.3331777881474558E-3</v>
      </c>
      <c r="AS35" s="231">
        <v>63329707</v>
      </c>
    </row>
    <row r="36" spans="2:45">
      <c r="B36" s="230">
        <v>43132</v>
      </c>
      <c r="C36" s="1">
        <v>409.8</v>
      </c>
      <c r="D36" s="1">
        <v>418.92289047114002</v>
      </c>
      <c r="E36" s="1">
        <v>33005</v>
      </c>
      <c r="F36" s="215">
        <v>35906.660000000003</v>
      </c>
      <c r="G36" s="215">
        <f t="shared" si="5"/>
        <v>2.3951749164094371E-2</v>
      </c>
      <c r="H36" s="215">
        <f t="shared" si="0"/>
        <v>4.2350247996947754E-2</v>
      </c>
      <c r="I36" s="231">
        <v>13826550</v>
      </c>
      <c r="K36" s="230">
        <v>43132</v>
      </c>
      <c r="L36" s="1">
        <v>514.79999999999995</v>
      </c>
      <c r="M36" s="1">
        <v>518.40744127222797</v>
      </c>
      <c r="N36" s="1">
        <v>117023</v>
      </c>
      <c r="O36" s="1">
        <v>35906.660000000003</v>
      </c>
      <c r="P36" s="215">
        <f t="shared" si="6"/>
        <v>2.3951749164094371E-2</v>
      </c>
      <c r="Q36" s="215">
        <f t="shared" si="1"/>
        <v>5.2545491719484527E-2</v>
      </c>
      <c r="R36" s="231">
        <v>60665594</v>
      </c>
      <c r="T36" s="230">
        <v>43132</v>
      </c>
      <c r="U36" s="1">
        <v>217.5</v>
      </c>
      <c r="V36" s="1">
        <v>218.10256748392101</v>
      </c>
      <c r="W36" s="1">
        <v>1213289</v>
      </c>
      <c r="X36" s="1">
        <v>35906.660000000003</v>
      </c>
      <c r="Y36" s="215">
        <f t="shared" si="7"/>
        <v>2.3951749164094371E-2</v>
      </c>
      <c r="Z36" s="215">
        <f t="shared" si="2"/>
        <v>7.8869047619047672E-2</v>
      </c>
      <c r="AA36" s="231">
        <v>264621446</v>
      </c>
      <c r="AC36" s="230">
        <v>43132</v>
      </c>
      <c r="AD36" s="1">
        <v>41.9</v>
      </c>
      <c r="AE36" s="1">
        <v>42.906594433028197</v>
      </c>
      <c r="AF36" s="1">
        <v>5353</v>
      </c>
      <c r="AG36" s="1">
        <v>35906.660000000003</v>
      </c>
      <c r="AH36" s="215">
        <f t="shared" si="8"/>
        <v>2.3951749164094371E-2</v>
      </c>
      <c r="AI36" s="215">
        <f t="shared" si="3"/>
        <v>5.5415617128463435E-2</v>
      </c>
      <c r="AJ36" s="231">
        <v>229679</v>
      </c>
      <c r="AL36" s="230">
        <v>44404</v>
      </c>
      <c r="AM36" s="1">
        <v>428.6</v>
      </c>
      <c r="AN36" s="1">
        <v>430.37772962393399</v>
      </c>
      <c r="AO36" s="1">
        <v>71530</v>
      </c>
      <c r="AP36" s="1">
        <v>52578.76</v>
      </c>
      <c r="AQ36" s="215">
        <f t="shared" si="9"/>
        <v>2.575141995103003E-3</v>
      </c>
      <c r="AR36" s="215">
        <f t="shared" si="4"/>
        <v>2.1692491060786745E-2</v>
      </c>
      <c r="AS36" s="231">
        <v>30784919</v>
      </c>
    </row>
    <row r="37" spans="2:45">
      <c r="B37" s="230">
        <v>43133</v>
      </c>
      <c r="C37" s="1">
        <v>393.15</v>
      </c>
      <c r="D37" s="1">
        <v>403.034415425921</v>
      </c>
      <c r="E37" s="1">
        <v>4097</v>
      </c>
      <c r="F37" s="215">
        <v>35066.75</v>
      </c>
      <c r="G37" s="215">
        <f t="shared" si="5"/>
        <v>8.9072294744447778E-3</v>
      </c>
      <c r="H37" s="215">
        <f t="shared" si="0"/>
        <v>-2.6374442793462238E-2</v>
      </c>
      <c r="I37" s="231">
        <v>1651232</v>
      </c>
      <c r="K37" s="230">
        <v>43133</v>
      </c>
      <c r="L37" s="1">
        <v>489.1</v>
      </c>
      <c r="M37" s="1">
        <v>492.87895371811197</v>
      </c>
      <c r="N37" s="1">
        <v>57193</v>
      </c>
      <c r="O37" s="1">
        <v>35066.75</v>
      </c>
      <c r="P37" s="215">
        <f t="shared" si="6"/>
        <v>8.9072294744447778E-3</v>
      </c>
      <c r="Q37" s="215">
        <f t="shared" si="1"/>
        <v>5.2620251802432128E-2</v>
      </c>
      <c r="R37" s="231">
        <v>28189226</v>
      </c>
      <c r="T37" s="230">
        <v>43133</v>
      </c>
      <c r="U37" s="1">
        <v>201.6</v>
      </c>
      <c r="V37" s="1">
        <v>203.02878193409299</v>
      </c>
      <c r="W37" s="1">
        <v>1178795</v>
      </c>
      <c r="X37" s="1">
        <v>35066.75</v>
      </c>
      <c r="Y37" s="215">
        <f t="shared" si="7"/>
        <v>8.9072294744447778E-3</v>
      </c>
      <c r="Z37" s="215">
        <f t="shared" si="2"/>
        <v>-1.9931939718035974E-2</v>
      </c>
      <c r="AA37" s="231">
        <v>239329313</v>
      </c>
      <c r="AC37" s="230">
        <v>43133</v>
      </c>
      <c r="AD37" s="1">
        <v>39.700000000000003</v>
      </c>
      <c r="AE37" s="1">
        <v>39.841870824053402</v>
      </c>
      <c r="AF37" s="1">
        <v>12572</v>
      </c>
      <c r="AG37" s="1">
        <v>35066.75</v>
      </c>
      <c r="AH37" s="215">
        <f t="shared" si="8"/>
        <v>8.9072294744447778E-3</v>
      </c>
      <c r="AI37" s="215">
        <f t="shared" si="3"/>
        <v>1.5345268542199531E-2</v>
      </c>
      <c r="AJ37" s="231">
        <v>500892</v>
      </c>
      <c r="AL37" s="230">
        <v>44405</v>
      </c>
      <c r="AM37" s="1">
        <v>419.5</v>
      </c>
      <c r="AN37" s="1">
        <v>420.21996162941099</v>
      </c>
      <c r="AO37" s="1">
        <v>112065</v>
      </c>
      <c r="AP37" s="1">
        <v>52443.71</v>
      </c>
      <c r="AQ37" s="215">
        <f t="shared" si="9"/>
        <v>-3.9762163915608717E-3</v>
      </c>
      <c r="AR37" s="215">
        <f t="shared" si="4"/>
        <v>-3.9606227106227077E-2</v>
      </c>
      <c r="AS37" s="231">
        <v>47091950</v>
      </c>
    </row>
    <row r="38" spans="2:45">
      <c r="B38" s="230">
        <v>43136</v>
      </c>
      <c r="C38" s="1">
        <v>403.8</v>
      </c>
      <c r="D38" s="1">
        <v>388.32195121951202</v>
      </c>
      <c r="E38" s="1">
        <v>820</v>
      </c>
      <c r="F38" s="215">
        <v>34757.160000000003</v>
      </c>
      <c r="G38" s="215">
        <f t="shared" si="5"/>
        <v>1.6411889832535609E-2</v>
      </c>
      <c r="H38" s="215">
        <f t="shared" si="0"/>
        <v>0</v>
      </c>
      <c r="I38" s="231">
        <v>318424</v>
      </c>
      <c r="K38" s="230">
        <v>43136</v>
      </c>
      <c r="L38" s="1">
        <v>464.65</v>
      </c>
      <c r="M38" s="1">
        <v>464.64997925598101</v>
      </c>
      <c r="N38" s="1">
        <v>7231</v>
      </c>
      <c r="O38" s="1">
        <v>34757.160000000003</v>
      </c>
      <c r="P38" s="215">
        <f t="shared" si="6"/>
        <v>1.6411889832535609E-2</v>
      </c>
      <c r="Q38" s="215">
        <f t="shared" si="1"/>
        <v>5.2554083135122776E-2</v>
      </c>
      <c r="R38" s="231">
        <v>3359884</v>
      </c>
      <c r="T38" s="230">
        <v>43136</v>
      </c>
      <c r="U38" s="1">
        <v>205.7</v>
      </c>
      <c r="V38" s="1">
        <v>199.47803599568701</v>
      </c>
      <c r="W38" s="1">
        <v>904275</v>
      </c>
      <c r="X38" s="1">
        <v>34757.160000000003</v>
      </c>
      <c r="Y38" s="215">
        <f t="shared" si="7"/>
        <v>1.6411889832535609E-2</v>
      </c>
      <c r="Z38" s="215">
        <f t="shared" si="2"/>
        <v>5.3521126760563309E-2</v>
      </c>
      <c r="AA38" s="231">
        <v>180383001</v>
      </c>
      <c r="AC38" s="230">
        <v>43136</v>
      </c>
      <c r="AD38" s="1">
        <v>39.1</v>
      </c>
      <c r="AE38" s="1">
        <v>38.949705482555501</v>
      </c>
      <c r="AF38" s="1">
        <v>4414</v>
      </c>
      <c r="AG38" s="1">
        <v>34757.160000000003</v>
      </c>
      <c r="AH38" s="215">
        <f t="shared" si="8"/>
        <v>1.6411889832535609E-2</v>
      </c>
      <c r="AI38" s="215">
        <f t="shared" si="3"/>
        <v>6.2500000000000222E-2</v>
      </c>
      <c r="AJ38" s="231">
        <v>171924</v>
      </c>
      <c r="AL38" s="230">
        <v>44406</v>
      </c>
      <c r="AM38" s="1">
        <v>436.8</v>
      </c>
      <c r="AN38" s="1">
        <v>435.82415977340003</v>
      </c>
      <c r="AO38" s="1">
        <v>270433</v>
      </c>
      <c r="AP38" s="1">
        <v>52653.07</v>
      </c>
      <c r="AQ38" s="215">
        <f t="shared" si="9"/>
        <v>1.2594405748662663E-3</v>
      </c>
      <c r="AR38" s="215">
        <f t="shared" si="4"/>
        <v>1.6051364365969878E-3</v>
      </c>
      <c r="AS38" s="231">
        <v>117861235</v>
      </c>
    </row>
    <row r="39" spans="2:45">
      <c r="B39" s="230">
        <v>43137</v>
      </c>
      <c r="C39" s="1">
        <v>403.8</v>
      </c>
      <c r="D39" s="1">
        <v>391.73801742919301</v>
      </c>
      <c r="E39" s="1">
        <v>1836</v>
      </c>
      <c r="F39" s="215">
        <v>34195.94</v>
      </c>
      <c r="G39" s="215">
        <f t="shared" si="5"/>
        <v>3.3222123475511456E-3</v>
      </c>
      <c r="H39" s="215">
        <f t="shared" si="0"/>
        <v>2.5523809523809504E-2</v>
      </c>
      <c r="I39" s="231">
        <v>719231</v>
      </c>
      <c r="K39" s="230">
        <v>43137</v>
      </c>
      <c r="L39" s="1">
        <v>441.45</v>
      </c>
      <c r="M39" s="1">
        <v>441.44990512333902</v>
      </c>
      <c r="N39" s="1">
        <v>5270</v>
      </c>
      <c r="O39" s="1">
        <v>34195.94</v>
      </c>
      <c r="P39" s="215">
        <f t="shared" si="6"/>
        <v>3.3222123475511456E-3</v>
      </c>
      <c r="Q39" s="215">
        <f t="shared" si="1"/>
        <v>-4.2615484710475049E-2</v>
      </c>
      <c r="R39" s="231">
        <v>2326441</v>
      </c>
      <c r="T39" s="230">
        <v>43137</v>
      </c>
      <c r="U39" s="1">
        <v>195.25</v>
      </c>
      <c r="V39" s="1">
        <v>193.61951695385099</v>
      </c>
      <c r="W39" s="1">
        <v>973820</v>
      </c>
      <c r="X39" s="1">
        <v>34195.94</v>
      </c>
      <c r="Y39" s="215">
        <f t="shared" si="7"/>
        <v>3.3222123475511456E-3</v>
      </c>
      <c r="Z39" s="215">
        <f t="shared" si="2"/>
        <v>-1.2142676448267165E-2</v>
      </c>
      <c r="AA39" s="231">
        <v>188550558</v>
      </c>
      <c r="AC39" s="230">
        <v>43137</v>
      </c>
      <c r="AD39" s="1">
        <v>36.799999999999997</v>
      </c>
      <c r="AE39" s="1">
        <v>37.090213791026699</v>
      </c>
      <c r="AF39" s="1">
        <v>16605</v>
      </c>
      <c r="AG39" s="1">
        <v>34195.94</v>
      </c>
      <c r="AH39" s="215">
        <f t="shared" si="8"/>
        <v>3.3222123475511456E-3</v>
      </c>
      <c r="AI39" s="215">
        <f t="shared" si="3"/>
        <v>9.6021947873798918E-3</v>
      </c>
      <c r="AJ39" s="231">
        <v>615883</v>
      </c>
      <c r="AL39" s="230">
        <v>44407</v>
      </c>
      <c r="AM39" s="1">
        <v>436.1</v>
      </c>
      <c r="AN39" s="1">
        <v>435.931732272945</v>
      </c>
      <c r="AO39" s="1">
        <v>127249</v>
      </c>
      <c r="AP39" s="1">
        <v>52586.84</v>
      </c>
      <c r="AQ39" s="215">
        <f t="shared" si="9"/>
        <v>-6.8703620712350366E-3</v>
      </c>
      <c r="AR39" s="215">
        <f t="shared" si="4"/>
        <v>1.6431651322689644E-2</v>
      </c>
      <c r="AS39" s="231">
        <v>55471877</v>
      </c>
    </row>
    <row r="40" spans="2:45">
      <c r="B40" s="230">
        <v>43138</v>
      </c>
      <c r="C40" s="1">
        <v>393.75</v>
      </c>
      <c r="D40" s="1">
        <v>401.76921688920902</v>
      </c>
      <c r="E40" s="1">
        <v>5542</v>
      </c>
      <c r="F40" s="215">
        <v>34082.71</v>
      </c>
      <c r="G40" s="215">
        <f t="shared" si="5"/>
        <v>-9.6024311629622217E-3</v>
      </c>
      <c r="H40" s="215">
        <f t="shared" si="0"/>
        <v>-3.0052962187461452E-2</v>
      </c>
      <c r="I40" s="231">
        <v>2226605</v>
      </c>
      <c r="K40" s="230">
        <v>43138</v>
      </c>
      <c r="L40" s="1">
        <v>461.1</v>
      </c>
      <c r="M40" s="1">
        <v>449.66844947419997</v>
      </c>
      <c r="N40" s="1">
        <v>232218</v>
      </c>
      <c r="O40" s="1">
        <v>34082.71</v>
      </c>
      <c r="P40" s="215">
        <f t="shared" si="6"/>
        <v>-9.6024311629622217E-3</v>
      </c>
      <c r="Q40" s="215">
        <f t="shared" si="1"/>
        <v>-4.7609212021067715E-2</v>
      </c>
      <c r="R40" s="231">
        <v>104421108</v>
      </c>
      <c r="T40" s="230">
        <v>43138</v>
      </c>
      <c r="U40" s="1">
        <v>197.65</v>
      </c>
      <c r="V40" s="1">
        <v>200.460138903608</v>
      </c>
      <c r="W40" s="1">
        <v>603872</v>
      </c>
      <c r="X40" s="1">
        <v>34082.71</v>
      </c>
      <c r="Y40" s="215">
        <f t="shared" si="7"/>
        <v>-9.6024311629622217E-3</v>
      </c>
      <c r="Z40" s="215">
        <f t="shared" si="2"/>
        <v>-3.866731517509725E-2</v>
      </c>
      <c r="AA40" s="231">
        <v>121052265</v>
      </c>
      <c r="AC40" s="230">
        <v>43138</v>
      </c>
      <c r="AD40" s="1">
        <v>36.450000000000003</v>
      </c>
      <c r="AE40" s="1">
        <v>36.553312472662398</v>
      </c>
      <c r="AF40" s="1">
        <v>29721</v>
      </c>
      <c r="AG40" s="1">
        <v>34082.71</v>
      </c>
      <c r="AH40" s="215">
        <f t="shared" si="8"/>
        <v>-9.6024311629622217E-3</v>
      </c>
      <c r="AI40" s="215">
        <f t="shared" si="3"/>
        <v>-4.7058823529411709E-2</v>
      </c>
      <c r="AJ40" s="231">
        <v>1086401</v>
      </c>
      <c r="AL40" s="230">
        <v>44410</v>
      </c>
      <c r="AM40" s="1">
        <v>429.05</v>
      </c>
      <c r="AN40" s="1">
        <v>434.17294925330799</v>
      </c>
      <c r="AO40" s="1">
        <v>70645</v>
      </c>
      <c r="AP40" s="1">
        <v>52950.63</v>
      </c>
      <c r="AQ40" s="215">
        <f t="shared" si="9"/>
        <v>-1.6214706774159038E-2</v>
      </c>
      <c r="AR40" s="215">
        <f t="shared" si="4"/>
        <v>7.0414270625513975E-3</v>
      </c>
      <c r="AS40" s="231">
        <v>30672148</v>
      </c>
    </row>
    <row r="41" spans="2:45">
      <c r="B41" s="230">
        <v>43139</v>
      </c>
      <c r="C41" s="1">
        <v>405.95</v>
      </c>
      <c r="D41" s="1">
        <v>408.14047207829498</v>
      </c>
      <c r="E41" s="1">
        <v>1737</v>
      </c>
      <c r="F41" s="215">
        <v>34413.160000000003</v>
      </c>
      <c r="G41" s="215">
        <f t="shared" si="5"/>
        <v>1.1980323333458776E-2</v>
      </c>
      <c r="H41" s="215">
        <f t="shared" si="0"/>
        <v>4.7023883182772952E-3</v>
      </c>
      <c r="I41" s="231">
        <v>708940</v>
      </c>
      <c r="K41" s="230">
        <v>43139</v>
      </c>
      <c r="L41" s="1">
        <v>484.15</v>
      </c>
      <c r="M41" s="1">
        <v>477.52354013451497</v>
      </c>
      <c r="N41" s="1">
        <v>31818</v>
      </c>
      <c r="O41" s="1">
        <v>34413.160000000003</v>
      </c>
      <c r="P41" s="215">
        <f t="shared" si="6"/>
        <v>1.1980323333458776E-2</v>
      </c>
      <c r="Q41" s="215">
        <f t="shared" si="1"/>
        <v>-4.7604996557489954E-2</v>
      </c>
      <c r="R41" s="231">
        <v>15193844</v>
      </c>
      <c r="T41" s="230">
        <v>43139</v>
      </c>
      <c r="U41" s="1">
        <v>205.6</v>
      </c>
      <c r="V41" s="1">
        <v>205.84519120544999</v>
      </c>
      <c r="W41" s="1">
        <v>776390</v>
      </c>
      <c r="X41" s="1">
        <v>34413.160000000003</v>
      </c>
      <c r="Y41" s="215">
        <f t="shared" si="7"/>
        <v>1.1980323333458776E-2</v>
      </c>
      <c r="Z41" s="215">
        <f t="shared" si="2"/>
        <v>-2.8814359943315937E-2</v>
      </c>
      <c r="AA41" s="231">
        <v>159816148</v>
      </c>
      <c r="AC41" s="230">
        <v>43139</v>
      </c>
      <c r="AD41" s="1">
        <v>38.25</v>
      </c>
      <c r="AE41" s="1">
        <v>37.009199483537699</v>
      </c>
      <c r="AF41" s="1">
        <v>30980</v>
      </c>
      <c r="AG41" s="1">
        <v>34413.160000000003</v>
      </c>
      <c r="AH41" s="215">
        <f t="shared" si="8"/>
        <v>1.1980323333458776E-2</v>
      </c>
      <c r="AI41" s="215">
        <f t="shared" si="3"/>
        <v>-1.7971758664955151E-2</v>
      </c>
      <c r="AJ41" s="231">
        <v>1146545</v>
      </c>
      <c r="AL41" s="230">
        <v>44411</v>
      </c>
      <c r="AM41" s="1">
        <v>426.05</v>
      </c>
      <c r="AN41" s="1">
        <v>425.73136262375402</v>
      </c>
      <c r="AO41" s="1">
        <v>156661</v>
      </c>
      <c r="AP41" s="1">
        <v>53823.360000000001</v>
      </c>
      <c r="AQ41" s="215">
        <f t="shared" si="9"/>
        <v>-1.0049886177557754E-2</v>
      </c>
      <c r="AR41" s="215">
        <f t="shared" si="4"/>
        <v>3.6513545347467424E-3</v>
      </c>
      <c r="AS41" s="231">
        <v>66695501</v>
      </c>
    </row>
    <row r="42" spans="2:45">
      <c r="B42" s="230">
        <v>43140</v>
      </c>
      <c r="C42" s="1">
        <v>404.05</v>
      </c>
      <c r="D42" s="1">
        <v>405.36138415245699</v>
      </c>
      <c r="E42" s="1">
        <v>9970</v>
      </c>
      <c r="F42" s="215">
        <v>34005.760000000002</v>
      </c>
      <c r="G42" s="215">
        <f t="shared" si="5"/>
        <v>-8.5920105467942598E-3</v>
      </c>
      <c r="H42" s="215">
        <f t="shared" si="0"/>
        <v>-6.9973529750258945E-2</v>
      </c>
      <c r="I42" s="231">
        <v>4041453</v>
      </c>
      <c r="K42" s="230">
        <v>43140</v>
      </c>
      <c r="L42" s="1">
        <v>508.35</v>
      </c>
      <c r="M42" s="1">
        <v>502.04938802606802</v>
      </c>
      <c r="N42" s="1">
        <v>106949</v>
      </c>
      <c r="O42" s="1">
        <v>34005.760000000002</v>
      </c>
      <c r="P42" s="215">
        <f t="shared" si="6"/>
        <v>-8.5920105467942598E-3</v>
      </c>
      <c r="Q42" s="215">
        <f t="shared" si="1"/>
        <v>-4.7587822014051429E-2</v>
      </c>
      <c r="R42" s="231">
        <v>53693680</v>
      </c>
      <c r="T42" s="230">
        <v>43140</v>
      </c>
      <c r="U42" s="1">
        <v>211.7</v>
      </c>
      <c r="V42" s="1">
        <v>206.53049425838901</v>
      </c>
      <c r="W42" s="1">
        <v>629266</v>
      </c>
      <c r="X42" s="1">
        <v>34005.760000000002</v>
      </c>
      <c r="Y42" s="215">
        <f t="shared" si="7"/>
        <v>-8.5920105467942598E-3</v>
      </c>
      <c r="Z42" s="215">
        <f t="shared" si="2"/>
        <v>-3.0011454753722799E-2</v>
      </c>
      <c r="AA42" s="231">
        <v>129962618</v>
      </c>
      <c r="AC42" s="230">
        <v>43140</v>
      </c>
      <c r="AD42" s="1">
        <v>38.950000000000003</v>
      </c>
      <c r="AE42" s="1">
        <v>38.910073597056098</v>
      </c>
      <c r="AF42" s="1">
        <v>8696</v>
      </c>
      <c r="AG42" s="1">
        <v>34005.760000000002</v>
      </c>
      <c r="AH42" s="215">
        <f t="shared" si="8"/>
        <v>-8.5920105467942598E-3</v>
      </c>
      <c r="AI42" s="215">
        <f t="shared" si="3"/>
        <v>-4.6511627906976716E-2</v>
      </c>
      <c r="AJ42" s="231">
        <v>338362</v>
      </c>
      <c r="AL42" s="230">
        <v>44412</v>
      </c>
      <c r="AM42" s="1">
        <v>424.5</v>
      </c>
      <c r="AN42" s="1">
        <v>427.73754765283599</v>
      </c>
      <c r="AO42" s="1">
        <v>143748</v>
      </c>
      <c r="AP42" s="1">
        <v>54369.77</v>
      </c>
      <c r="AQ42" s="215">
        <f t="shared" si="9"/>
        <v>-2.2584618456296113E-3</v>
      </c>
      <c r="AR42" s="215">
        <f t="shared" si="4"/>
        <v>2.5980160604630598E-3</v>
      </c>
      <c r="AS42" s="231">
        <v>61486417</v>
      </c>
    </row>
    <row r="43" spans="2:45">
      <c r="B43" s="230">
        <v>43143</v>
      </c>
      <c r="C43" s="1">
        <v>434.45</v>
      </c>
      <c r="D43" s="1">
        <v>428.324702886247</v>
      </c>
      <c r="E43" s="1">
        <v>4712</v>
      </c>
      <c r="F43" s="215">
        <v>34300.47</v>
      </c>
      <c r="G43" s="215">
        <f t="shared" si="5"/>
        <v>4.2311808045158994E-3</v>
      </c>
      <c r="H43" s="215">
        <f t="shared" si="0"/>
        <v>7.7504960317460236E-2</v>
      </c>
      <c r="I43" s="231">
        <v>2018266</v>
      </c>
      <c r="K43" s="230">
        <v>43143</v>
      </c>
      <c r="L43" s="1">
        <v>533.75</v>
      </c>
      <c r="M43" s="1">
        <v>533.49113764927699</v>
      </c>
      <c r="N43" s="1">
        <v>7955</v>
      </c>
      <c r="O43" s="1">
        <v>34300.47</v>
      </c>
      <c r="P43" s="215">
        <f t="shared" si="6"/>
        <v>4.2311808045158994E-3</v>
      </c>
      <c r="Q43" s="215">
        <f t="shared" si="1"/>
        <v>-4.7555317630264105E-2</v>
      </c>
      <c r="R43" s="231">
        <v>4243922</v>
      </c>
      <c r="T43" s="230">
        <v>43143</v>
      </c>
      <c r="U43" s="1">
        <v>218.25</v>
      </c>
      <c r="V43" s="1">
        <v>219.09063235119899</v>
      </c>
      <c r="W43" s="1">
        <v>472712</v>
      </c>
      <c r="X43" s="1">
        <v>34300.47</v>
      </c>
      <c r="Y43" s="215">
        <f t="shared" si="7"/>
        <v>4.2311808045158994E-3</v>
      </c>
      <c r="Z43" s="215">
        <f t="shared" si="2"/>
        <v>-1.1996378451788137E-2</v>
      </c>
      <c r="AA43" s="231">
        <v>103566771</v>
      </c>
      <c r="AC43" s="230">
        <v>43143</v>
      </c>
      <c r="AD43" s="1">
        <v>40.85</v>
      </c>
      <c r="AE43" s="1">
        <v>40.7294817753533</v>
      </c>
      <c r="AF43" s="1">
        <v>4033</v>
      </c>
      <c r="AG43" s="1">
        <v>34300.47</v>
      </c>
      <c r="AH43" s="215">
        <f t="shared" si="8"/>
        <v>4.2311808045158994E-3</v>
      </c>
      <c r="AI43" s="215">
        <f t="shared" si="3"/>
        <v>-4.6674445740956805E-2</v>
      </c>
      <c r="AJ43" s="231">
        <v>164262</v>
      </c>
      <c r="AL43" s="230">
        <v>44413</v>
      </c>
      <c r="AM43" s="1">
        <v>423.4</v>
      </c>
      <c r="AN43" s="1">
        <v>421.468897462943</v>
      </c>
      <c r="AO43" s="1">
        <v>72052</v>
      </c>
      <c r="AP43" s="1">
        <v>54492.84</v>
      </c>
      <c r="AQ43" s="215">
        <f t="shared" si="9"/>
        <v>3.9633204931968091E-3</v>
      </c>
      <c r="AR43" s="215">
        <f t="shared" si="4"/>
        <v>4.8653138720777811E-3</v>
      </c>
      <c r="AS43" s="231">
        <v>30367677</v>
      </c>
    </row>
    <row r="44" spans="2:45">
      <c r="B44" s="230">
        <v>43145</v>
      </c>
      <c r="C44" s="1">
        <v>403.2</v>
      </c>
      <c r="D44" s="1">
        <v>411.68250581846303</v>
      </c>
      <c r="E44" s="1">
        <v>10312</v>
      </c>
      <c r="F44" s="215">
        <v>34155.949999999997</v>
      </c>
      <c r="G44" s="215">
        <f t="shared" si="5"/>
        <v>-4.1262518780540436E-3</v>
      </c>
      <c r="H44" s="215">
        <f t="shared" si="0"/>
        <v>2.0501138952163878E-2</v>
      </c>
      <c r="I44" s="231">
        <v>4245270</v>
      </c>
      <c r="K44" s="230">
        <v>43145</v>
      </c>
      <c r="L44" s="1">
        <v>560.4</v>
      </c>
      <c r="M44" s="1">
        <v>560.39998215560297</v>
      </c>
      <c r="N44" s="1">
        <v>11208</v>
      </c>
      <c r="O44" s="1">
        <v>34155.949999999997</v>
      </c>
      <c r="P44" s="215">
        <f t="shared" si="6"/>
        <v>-4.1262518780540436E-3</v>
      </c>
      <c r="Q44" s="215">
        <f t="shared" si="1"/>
        <v>2.5997803002562936E-2</v>
      </c>
      <c r="R44" s="231">
        <v>6280963</v>
      </c>
      <c r="T44" s="230">
        <v>43145</v>
      </c>
      <c r="U44" s="1">
        <v>220.9</v>
      </c>
      <c r="V44" s="1">
        <v>223.63880067690599</v>
      </c>
      <c r="W44" s="1">
        <v>617515</v>
      </c>
      <c r="X44" s="1">
        <v>34155.949999999997</v>
      </c>
      <c r="Y44" s="215">
        <f t="shared" si="7"/>
        <v>-4.1262518780540436E-3</v>
      </c>
      <c r="Z44" s="215">
        <f t="shared" si="2"/>
        <v>7.525655644241791E-3</v>
      </c>
      <c r="AA44" s="231">
        <v>138100314</v>
      </c>
      <c r="AC44" s="230">
        <v>43145</v>
      </c>
      <c r="AD44" s="1">
        <v>42.85</v>
      </c>
      <c r="AE44" s="1">
        <v>42.843623361144203</v>
      </c>
      <c r="AF44" s="1">
        <v>4195</v>
      </c>
      <c r="AG44" s="1">
        <v>34155.949999999997</v>
      </c>
      <c r="AH44" s="215">
        <f t="shared" si="8"/>
        <v>-4.1262518780540436E-3</v>
      </c>
      <c r="AI44" s="215">
        <f t="shared" si="3"/>
        <v>-4.1387024608501188E-2</v>
      </c>
      <c r="AJ44" s="231">
        <v>179729</v>
      </c>
      <c r="AL44" s="230">
        <v>44414</v>
      </c>
      <c r="AM44" s="1">
        <v>421.35</v>
      </c>
      <c r="AN44" s="1">
        <v>422.72073258937701</v>
      </c>
      <c r="AO44" s="1">
        <v>38712</v>
      </c>
      <c r="AP44" s="1">
        <v>54277.72</v>
      </c>
      <c r="AQ44" s="215">
        <f t="shared" si="9"/>
        <v>-2.3000633238883239E-3</v>
      </c>
      <c r="AR44" s="215">
        <f t="shared" si="4"/>
        <v>-1.4219694276572659E-3</v>
      </c>
      <c r="AS44" s="231">
        <v>16364365</v>
      </c>
    </row>
    <row r="45" spans="2:45">
      <c r="B45" s="230">
        <v>43146</v>
      </c>
      <c r="C45" s="1">
        <v>395.1</v>
      </c>
      <c r="D45" s="1">
        <v>410.21628921670401</v>
      </c>
      <c r="E45" s="1">
        <v>4813</v>
      </c>
      <c r="F45" s="215">
        <v>34297.47</v>
      </c>
      <c r="G45" s="215">
        <f t="shared" si="5"/>
        <v>8.4299792183415434E-3</v>
      </c>
      <c r="H45" s="215">
        <f t="shared" si="0"/>
        <v>2.4102499048586079E-3</v>
      </c>
      <c r="I45" s="231">
        <v>1974371</v>
      </c>
      <c r="K45" s="230">
        <v>43146</v>
      </c>
      <c r="L45" s="1">
        <v>546.20000000000005</v>
      </c>
      <c r="M45" s="1">
        <v>560.80978180452303</v>
      </c>
      <c r="N45" s="1">
        <v>87857</v>
      </c>
      <c r="O45" s="1">
        <v>34297.47</v>
      </c>
      <c r="P45" s="215">
        <f t="shared" si="6"/>
        <v>8.4299792183415434E-3</v>
      </c>
      <c r="Q45" s="215">
        <f t="shared" si="1"/>
        <v>5.2611293120061742E-2</v>
      </c>
      <c r="R45" s="231">
        <v>49271065</v>
      </c>
      <c r="T45" s="230">
        <v>43146</v>
      </c>
      <c r="U45" s="1">
        <v>219.25</v>
      </c>
      <c r="V45" s="1">
        <v>220.645848858905</v>
      </c>
      <c r="W45" s="1">
        <v>356938</v>
      </c>
      <c r="X45" s="1">
        <v>34297.47</v>
      </c>
      <c r="Y45" s="215">
        <f t="shared" si="7"/>
        <v>8.4299792183415434E-3</v>
      </c>
      <c r="Z45" s="215">
        <f t="shared" si="2"/>
        <v>-2.7291335001137229E-3</v>
      </c>
      <c r="AA45" s="231">
        <v>78756888</v>
      </c>
      <c r="AC45" s="230">
        <v>43146</v>
      </c>
      <c r="AD45" s="1">
        <v>44.7</v>
      </c>
      <c r="AE45" s="1">
        <v>44.640103109746001</v>
      </c>
      <c r="AF45" s="1">
        <v>18233</v>
      </c>
      <c r="AG45" s="1">
        <v>34297.47</v>
      </c>
      <c r="AH45" s="215">
        <f t="shared" si="8"/>
        <v>8.4299792183415434E-3</v>
      </c>
      <c r="AI45" s="215">
        <f t="shared" si="3"/>
        <v>1.1198208286675726E-3</v>
      </c>
      <c r="AJ45" s="231">
        <v>813923</v>
      </c>
      <c r="AL45" s="230">
        <v>44417</v>
      </c>
      <c r="AM45" s="1">
        <v>421.95</v>
      </c>
      <c r="AN45" s="1">
        <v>422.17812853177901</v>
      </c>
      <c r="AO45" s="1">
        <v>130069</v>
      </c>
      <c r="AP45" s="1">
        <v>54402.85</v>
      </c>
      <c r="AQ45" s="215">
        <f t="shared" si="9"/>
        <v>-2.7827137040172811E-3</v>
      </c>
      <c r="AR45" s="215">
        <f t="shared" si="4"/>
        <v>3.4952170713760111E-2</v>
      </c>
      <c r="AS45" s="231">
        <v>54912287</v>
      </c>
    </row>
    <row r="46" spans="2:45">
      <c r="B46" s="230">
        <v>43147</v>
      </c>
      <c r="C46" s="1">
        <v>394.15</v>
      </c>
      <c r="D46" s="1">
        <v>397.324690630524</v>
      </c>
      <c r="E46" s="1">
        <v>1697</v>
      </c>
      <c r="F46" s="215">
        <v>34010.76</v>
      </c>
      <c r="G46" s="215">
        <f t="shared" si="5"/>
        <v>6.9904478683131543E-3</v>
      </c>
      <c r="H46" s="215">
        <f t="shared" si="0"/>
        <v>1.0252466999871812E-2</v>
      </c>
      <c r="I46" s="231">
        <v>674260</v>
      </c>
      <c r="K46" s="230">
        <v>43147</v>
      </c>
      <c r="L46" s="1">
        <v>518.9</v>
      </c>
      <c r="M46" s="1">
        <v>527.15405815074996</v>
      </c>
      <c r="N46" s="1">
        <v>65313</v>
      </c>
      <c r="O46" s="1">
        <v>34010.76</v>
      </c>
      <c r="P46" s="215">
        <f t="shared" si="6"/>
        <v>6.9904478683131543E-3</v>
      </c>
      <c r="Q46" s="215">
        <f t="shared" si="1"/>
        <v>4.8600586036172455E-2</v>
      </c>
      <c r="R46" s="231">
        <v>34430013</v>
      </c>
      <c r="T46" s="230">
        <v>43147</v>
      </c>
      <c r="U46" s="1">
        <v>219.85</v>
      </c>
      <c r="V46" s="1">
        <v>225.34800685133001</v>
      </c>
      <c r="W46" s="1">
        <v>662645</v>
      </c>
      <c r="X46" s="1">
        <v>34010.76</v>
      </c>
      <c r="Y46" s="215">
        <f t="shared" si="7"/>
        <v>6.9904478683131543E-3</v>
      </c>
      <c r="Z46" s="215">
        <f t="shared" si="2"/>
        <v>9.8759761139182167E-3</v>
      </c>
      <c r="AA46" s="231">
        <v>149325730</v>
      </c>
      <c r="AC46" s="230">
        <v>43147</v>
      </c>
      <c r="AD46" s="1">
        <v>44.65</v>
      </c>
      <c r="AE46" s="1">
        <v>44.682292250756902</v>
      </c>
      <c r="AF46" s="1">
        <v>8917</v>
      </c>
      <c r="AG46" s="1">
        <v>34010.76</v>
      </c>
      <c r="AH46" s="215">
        <f t="shared" si="8"/>
        <v>6.9904478683131543E-3</v>
      </c>
      <c r="AI46" s="215">
        <f t="shared" si="3"/>
        <v>4.8122065727699503E-2</v>
      </c>
      <c r="AJ46" s="231">
        <v>398432</v>
      </c>
      <c r="AL46" s="230">
        <v>44418</v>
      </c>
      <c r="AM46" s="1">
        <v>407.7</v>
      </c>
      <c r="AN46" s="1">
        <v>412.518870491293</v>
      </c>
      <c r="AO46" s="1">
        <v>51456</v>
      </c>
      <c r="AP46" s="1">
        <v>54554.66</v>
      </c>
      <c r="AQ46" s="215">
        <f t="shared" si="9"/>
        <v>5.2690527240906171E-4</v>
      </c>
      <c r="AR46" s="215">
        <f t="shared" si="4"/>
        <v>4.0635389730327987E-3</v>
      </c>
      <c r="AS46" s="231">
        <v>21226571</v>
      </c>
    </row>
    <row r="47" spans="2:45">
      <c r="B47" s="230">
        <v>43150</v>
      </c>
      <c r="C47" s="1">
        <v>390.15</v>
      </c>
      <c r="D47" s="1">
        <v>398.17378681045199</v>
      </c>
      <c r="E47" s="1">
        <v>2411</v>
      </c>
      <c r="F47" s="215">
        <v>33774.660000000003</v>
      </c>
      <c r="G47" s="215">
        <f t="shared" si="5"/>
        <v>2.1086774435603584E-3</v>
      </c>
      <c r="H47" s="215">
        <f t="shared" si="0"/>
        <v>1.9067519916416309E-2</v>
      </c>
      <c r="I47" s="231">
        <v>959997</v>
      </c>
      <c r="K47" s="230">
        <v>43150</v>
      </c>
      <c r="L47" s="1">
        <v>494.85</v>
      </c>
      <c r="M47" s="1">
        <v>498.74736227719598</v>
      </c>
      <c r="N47" s="1">
        <v>66819</v>
      </c>
      <c r="O47" s="1">
        <v>33774.660000000003</v>
      </c>
      <c r="P47" s="215">
        <f t="shared" si="6"/>
        <v>2.1086774435603584E-3</v>
      </c>
      <c r="Q47" s="215">
        <f t="shared" si="1"/>
        <v>4.7190773463125613E-2</v>
      </c>
      <c r="R47" s="231">
        <v>33325800</v>
      </c>
      <c r="T47" s="230">
        <v>43150</v>
      </c>
      <c r="U47" s="1">
        <v>217.7</v>
      </c>
      <c r="V47" s="1">
        <v>217.49626531717101</v>
      </c>
      <c r="W47" s="1">
        <v>362012</v>
      </c>
      <c r="X47" s="1">
        <v>33774.660000000003</v>
      </c>
      <c r="Y47" s="215">
        <f t="shared" si="7"/>
        <v>2.1086774435603584E-3</v>
      </c>
      <c r="Z47" s="215">
        <f t="shared" si="2"/>
        <v>6.4724919093850364E-3</v>
      </c>
      <c r="AA47" s="231">
        <v>78736258</v>
      </c>
      <c r="AC47" s="230">
        <v>43150</v>
      </c>
      <c r="AD47" s="1">
        <v>42.6</v>
      </c>
      <c r="AE47" s="1">
        <v>42.899715747583798</v>
      </c>
      <c r="AF47" s="1">
        <v>8795</v>
      </c>
      <c r="AG47" s="1">
        <v>33774.660000000003</v>
      </c>
      <c r="AH47" s="215">
        <f t="shared" si="8"/>
        <v>2.1086774435603584E-3</v>
      </c>
      <c r="AI47" s="215">
        <f t="shared" si="3"/>
        <v>-3.8374717832956984E-2</v>
      </c>
      <c r="AJ47" s="231">
        <v>377303</v>
      </c>
      <c r="AL47" s="230">
        <v>44419</v>
      </c>
      <c r="AM47" s="1">
        <v>406.05</v>
      </c>
      <c r="AN47" s="1">
        <v>400.832308518567</v>
      </c>
      <c r="AO47" s="1">
        <v>182472</v>
      </c>
      <c r="AP47" s="1">
        <v>54525.93</v>
      </c>
      <c r="AQ47" s="215">
        <f t="shared" si="9"/>
        <v>-5.7991779590029768E-3</v>
      </c>
      <c r="AR47" s="215">
        <f t="shared" si="4"/>
        <v>-2.6142223288163957E-2</v>
      </c>
      <c r="AS47" s="231">
        <v>73140673</v>
      </c>
    </row>
    <row r="48" spans="2:45">
      <c r="B48" s="230">
        <v>43151</v>
      </c>
      <c r="C48" s="1">
        <v>382.85</v>
      </c>
      <c r="D48" s="1">
        <v>385.64756828780799</v>
      </c>
      <c r="E48" s="1">
        <v>1501</v>
      </c>
      <c r="F48" s="215">
        <v>33703.589999999997</v>
      </c>
      <c r="G48" s="215">
        <f t="shared" si="5"/>
        <v>-4.1740459260284357E-3</v>
      </c>
      <c r="H48" s="215">
        <f t="shared" si="0"/>
        <v>4.1967213114755264E-3</v>
      </c>
      <c r="I48" s="231">
        <v>578857</v>
      </c>
      <c r="K48" s="230">
        <v>43151</v>
      </c>
      <c r="L48" s="1">
        <v>472.55</v>
      </c>
      <c r="M48" s="1">
        <v>478.16821928692002</v>
      </c>
      <c r="N48" s="1">
        <v>50345</v>
      </c>
      <c r="O48" s="1">
        <v>33703.589999999997</v>
      </c>
      <c r="P48" s="215">
        <f t="shared" si="6"/>
        <v>-4.1740459260284357E-3</v>
      </c>
      <c r="Q48" s="215">
        <f t="shared" si="1"/>
        <v>-4.7566260203567357E-2</v>
      </c>
      <c r="R48" s="231">
        <v>24073379</v>
      </c>
      <c r="T48" s="230">
        <v>43151</v>
      </c>
      <c r="U48" s="1">
        <v>216.3</v>
      </c>
      <c r="V48" s="1">
        <v>217.932918529125</v>
      </c>
      <c r="W48" s="1">
        <v>212309</v>
      </c>
      <c r="X48" s="1">
        <v>33703.589999999997</v>
      </c>
      <c r="Y48" s="215">
        <f t="shared" si="7"/>
        <v>-4.1740459260284357E-3</v>
      </c>
      <c r="Z48" s="215">
        <f t="shared" si="2"/>
        <v>9.8039215686276382E-3</v>
      </c>
      <c r="AA48" s="231">
        <v>46269120</v>
      </c>
      <c r="AC48" s="230">
        <v>43151</v>
      </c>
      <c r="AD48" s="1">
        <v>44.3</v>
      </c>
      <c r="AE48" s="1">
        <v>43.1781623128674</v>
      </c>
      <c r="AF48" s="1">
        <v>32998</v>
      </c>
      <c r="AG48" s="1">
        <v>33703.589999999997</v>
      </c>
      <c r="AH48" s="215">
        <f t="shared" si="8"/>
        <v>-4.1740459260284357E-3</v>
      </c>
      <c r="AI48" s="215">
        <f t="shared" si="3"/>
        <v>-1.3363028953229383E-2</v>
      </c>
      <c r="AJ48" s="231">
        <v>1424793</v>
      </c>
      <c r="AL48" s="230">
        <v>44420</v>
      </c>
      <c r="AM48" s="1">
        <v>416.95</v>
      </c>
      <c r="AN48" s="1">
        <v>414.38860988976597</v>
      </c>
      <c r="AO48" s="1">
        <v>47989</v>
      </c>
      <c r="AP48" s="1">
        <v>54843.98</v>
      </c>
      <c r="AQ48" s="215">
        <f t="shared" si="9"/>
        <v>-1.0702362976256596E-2</v>
      </c>
      <c r="AR48" s="215">
        <f t="shared" si="4"/>
        <v>3.973031543462513E-3</v>
      </c>
      <c r="AS48" s="231">
        <v>19886095</v>
      </c>
    </row>
    <row r="49" spans="2:45">
      <c r="B49" s="230">
        <v>43152</v>
      </c>
      <c r="C49" s="1">
        <v>381.25</v>
      </c>
      <c r="D49" s="1">
        <v>377.86927560366303</v>
      </c>
      <c r="E49" s="1">
        <v>1201</v>
      </c>
      <c r="F49" s="215">
        <v>33844.86</v>
      </c>
      <c r="G49" s="215">
        <f t="shared" si="5"/>
        <v>7.4986324457793074E-4</v>
      </c>
      <c r="H49" s="215">
        <f t="shared" si="0"/>
        <v>1.4772424807026896E-2</v>
      </c>
      <c r="I49" s="231">
        <v>453821</v>
      </c>
      <c r="K49" s="230">
        <v>43152</v>
      </c>
      <c r="L49" s="1">
        <v>496.15</v>
      </c>
      <c r="M49" s="1">
        <v>473.83963369183198</v>
      </c>
      <c r="N49" s="1">
        <v>37564</v>
      </c>
      <c r="O49" s="1">
        <v>33844.86</v>
      </c>
      <c r="P49" s="215">
        <f t="shared" si="6"/>
        <v>7.4986324457793074E-4</v>
      </c>
      <c r="Q49" s="215">
        <f t="shared" si="1"/>
        <v>1.9311761684642992E-2</v>
      </c>
      <c r="R49" s="231">
        <v>17799312</v>
      </c>
      <c r="T49" s="230">
        <v>43152</v>
      </c>
      <c r="U49" s="1">
        <v>214.2</v>
      </c>
      <c r="V49" s="1">
        <v>215.35672748334699</v>
      </c>
      <c r="W49" s="1">
        <v>172650</v>
      </c>
      <c r="X49" s="1">
        <v>33844.86</v>
      </c>
      <c r="Y49" s="215">
        <f t="shared" si="7"/>
        <v>7.4986324457793074E-4</v>
      </c>
      <c r="Z49" s="215">
        <f t="shared" si="2"/>
        <v>1.396449704142011E-2</v>
      </c>
      <c r="AA49" s="231">
        <v>37181339</v>
      </c>
      <c r="AC49" s="230">
        <v>43152</v>
      </c>
      <c r="AD49" s="1">
        <v>44.9</v>
      </c>
      <c r="AE49" s="1">
        <v>44.758628869647701</v>
      </c>
      <c r="AF49" s="1">
        <v>8431</v>
      </c>
      <c r="AG49" s="1">
        <v>33844.86</v>
      </c>
      <c r="AH49" s="215">
        <f t="shared" si="8"/>
        <v>7.4986324457793074E-4</v>
      </c>
      <c r="AI49" s="215">
        <f t="shared" si="3"/>
        <v>2.7459954233409523E-2</v>
      </c>
      <c r="AJ49" s="231">
        <v>377360</v>
      </c>
      <c r="AL49" s="230">
        <v>44421</v>
      </c>
      <c r="AM49" s="1">
        <v>415.3</v>
      </c>
      <c r="AN49" s="1">
        <v>416.82747191579699</v>
      </c>
      <c r="AO49" s="1">
        <v>39524</v>
      </c>
      <c r="AP49" s="1">
        <v>55437.29</v>
      </c>
      <c r="AQ49" s="215">
        <f t="shared" si="9"/>
        <v>-2.6139484709057914E-3</v>
      </c>
      <c r="AR49" s="215">
        <f t="shared" si="4"/>
        <v>0</v>
      </c>
      <c r="AS49" s="231">
        <v>16474689</v>
      </c>
    </row>
    <row r="50" spans="2:45">
      <c r="B50" s="230">
        <v>43153</v>
      </c>
      <c r="C50" s="1">
        <v>375.7</v>
      </c>
      <c r="D50" s="1">
        <v>377.60806916426498</v>
      </c>
      <c r="E50" s="1">
        <v>347</v>
      </c>
      <c r="F50" s="215">
        <v>33819.5</v>
      </c>
      <c r="G50" s="215">
        <f t="shared" si="5"/>
        <v>-9.4501957258110725E-3</v>
      </c>
      <c r="H50" s="215">
        <f t="shared" si="0"/>
        <v>-2.3521767381416536E-2</v>
      </c>
      <c r="I50" s="231">
        <v>131030</v>
      </c>
      <c r="K50" s="230">
        <v>43153</v>
      </c>
      <c r="L50" s="1">
        <v>486.75</v>
      </c>
      <c r="M50" s="1">
        <v>504.06508756174202</v>
      </c>
      <c r="N50" s="1">
        <v>44540</v>
      </c>
      <c r="O50" s="1">
        <v>33819.5</v>
      </c>
      <c r="P50" s="215">
        <f t="shared" si="6"/>
        <v>-9.4501957258110725E-3</v>
      </c>
      <c r="Q50" s="215">
        <f t="shared" si="1"/>
        <v>-1.8253327954820486E-2</v>
      </c>
      <c r="R50" s="231">
        <v>22451059</v>
      </c>
      <c r="T50" s="230">
        <v>43153</v>
      </c>
      <c r="U50" s="1">
        <v>211.25</v>
      </c>
      <c r="V50" s="1">
        <v>212.312545008705</v>
      </c>
      <c r="W50" s="1">
        <v>219402</v>
      </c>
      <c r="X50" s="1">
        <v>33819.5</v>
      </c>
      <c r="Y50" s="215">
        <f t="shared" si="7"/>
        <v>-9.4501957258110725E-3</v>
      </c>
      <c r="Z50" s="215">
        <f t="shared" si="2"/>
        <v>-2.4474717155391401E-2</v>
      </c>
      <c r="AA50" s="231">
        <v>46581797</v>
      </c>
      <c r="AC50" s="230">
        <v>43153</v>
      </c>
      <c r="AD50" s="1">
        <v>43.7</v>
      </c>
      <c r="AE50" s="1">
        <v>43.855865334034704</v>
      </c>
      <c r="AF50" s="1">
        <v>1901</v>
      </c>
      <c r="AG50" s="1">
        <v>33819.5</v>
      </c>
      <c r="AH50" s="215">
        <f t="shared" si="8"/>
        <v>-9.4501957258110725E-3</v>
      </c>
      <c r="AI50" s="215">
        <f t="shared" si="3"/>
        <v>-3.5320088300220598E-2</v>
      </c>
      <c r="AJ50" s="231">
        <v>83370</v>
      </c>
      <c r="AL50" s="230">
        <v>44424</v>
      </c>
      <c r="AM50" s="1">
        <v>415.3</v>
      </c>
      <c r="AN50" s="1">
        <v>414.56547855377198</v>
      </c>
      <c r="AO50" s="1">
        <v>156158</v>
      </c>
      <c r="AP50" s="1">
        <v>55582.58</v>
      </c>
      <c r="AQ50" s="215">
        <f t="shared" si="9"/>
        <v>-3.7584059583880558E-3</v>
      </c>
      <c r="AR50" s="215">
        <f t="shared" si="4"/>
        <v>-2.1624219125420119E-3</v>
      </c>
      <c r="AS50" s="231">
        <v>64737716</v>
      </c>
    </row>
    <row r="51" spans="2:45">
      <c r="B51" s="230">
        <v>43154</v>
      </c>
      <c r="C51" s="1">
        <v>384.75</v>
      </c>
      <c r="D51" s="1">
        <v>381.01683029453</v>
      </c>
      <c r="E51" s="1">
        <v>713</v>
      </c>
      <c r="F51" s="215">
        <v>34142.15</v>
      </c>
      <c r="G51" s="215">
        <f t="shared" si="5"/>
        <v>-8.8138594746811627E-3</v>
      </c>
      <c r="H51" s="215">
        <f t="shared" si="0"/>
        <v>-3.1953704868536881E-2</v>
      </c>
      <c r="I51" s="231">
        <v>271665</v>
      </c>
      <c r="K51" s="230">
        <v>43154</v>
      </c>
      <c r="L51" s="1">
        <v>495.8</v>
      </c>
      <c r="M51" s="1">
        <v>498.33617227979198</v>
      </c>
      <c r="N51" s="1">
        <v>30880</v>
      </c>
      <c r="O51" s="1">
        <v>34142.15</v>
      </c>
      <c r="P51" s="215">
        <f t="shared" si="6"/>
        <v>-8.8138594746811627E-3</v>
      </c>
      <c r="Q51" s="215">
        <f t="shared" si="1"/>
        <v>-4.7545864950533034E-2</v>
      </c>
      <c r="R51" s="231">
        <v>15388621</v>
      </c>
      <c r="T51" s="230">
        <v>43154</v>
      </c>
      <c r="U51" s="1">
        <v>216.55</v>
      </c>
      <c r="V51" s="1">
        <v>215.74027317434701</v>
      </c>
      <c r="W51" s="1">
        <v>232013</v>
      </c>
      <c r="X51" s="1">
        <v>34142.15</v>
      </c>
      <c r="Y51" s="215">
        <f t="shared" si="7"/>
        <v>-8.8138594746811627E-3</v>
      </c>
      <c r="Z51" s="215">
        <f t="shared" si="2"/>
        <v>-3.9098436062556807E-3</v>
      </c>
      <c r="AA51" s="231">
        <v>50054548</v>
      </c>
      <c r="AC51" s="230">
        <v>43154</v>
      </c>
      <c r="AD51" s="1">
        <v>45.3</v>
      </c>
      <c r="AE51" s="1">
        <v>43.002290076335797</v>
      </c>
      <c r="AF51" s="1">
        <v>1310</v>
      </c>
      <c r="AG51" s="1">
        <v>34142.15</v>
      </c>
      <c r="AH51" s="215">
        <f t="shared" si="8"/>
        <v>-8.8138594746811627E-3</v>
      </c>
      <c r="AI51" s="215">
        <f t="shared" si="3"/>
        <v>1.1160714285714191E-2</v>
      </c>
      <c r="AJ51" s="231">
        <v>56333</v>
      </c>
      <c r="AL51" s="230">
        <v>44425</v>
      </c>
      <c r="AM51" s="1">
        <v>416.2</v>
      </c>
      <c r="AN51" s="1">
        <v>422.18286262174303</v>
      </c>
      <c r="AO51" s="1">
        <v>59449</v>
      </c>
      <c r="AP51" s="1">
        <v>55792.27</v>
      </c>
      <c r="AQ51" s="215">
        <f t="shared" si="9"/>
        <v>2.926145826610993E-3</v>
      </c>
      <c r="AR51" s="215">
        <f t="shared" si="4"/>
        <v>1.0562097851159358E-2</v>
      </c>
      <c r="AS51" s="231">
        <v>25098349</v>
      </c>
    </row>
    <row r="52" spans="2:45">
      <c r="B52" s="230">
        <v>43157</v>
      </c>
      <c r="C52" s="1">
        <v>397.45</v>
      </c>
      <c r="D52" s="1">
        <v>406.29592165453198</v>
      </c>
      <c r="E52" s="1">
        <v>15521</v>
      </c>
      <c r="F52" s="215">
        <v>34445.75</v>
      </c>
      <c r="G52" s="215">
        <f t="shared" si="5"/>
        <v>2.8928804453685064E-3</v>
      </c>
      <c r="H52" s="215">
        <f t="shared" si="0"/>
        <v>-3.8847117794486019E-3</v>
      </c>
      <c r="I52" s="231">
        <v>6306119</v>
      </c>
      <c r="K52" s="230">
        <v>43157</v>
      </c>
      <c r="L52" s="1">
        <v>520.54999999999995</v>
      </c>
      <c r="M52" s="1">
        <v>516.92100947039796</v>
      </c>
      <c r="N52" s="1">
        <v>18901</v>
      </c>
      <c r="O52" s="1">
        <v>34445.75</v>
      </c>
      <c r="P52" s="215">
        <f t="shared" si="6"/>
        <v>2.8928804453685064E-3</v>
      </c>
      <c r="Q52" s="215">
        <f t="shared" si="1"/>
        <v>-9.8906324298622117E-3</v>
      </c>
      <c r="R52" s="231">
        <v>9770324</v>
      </c>
      <c r="T52" s="230">
        <v>43157</v>
      </c>
      <c r="U52" s="1">
        <v>217.4</v>
      </c>
      <c r="V52" s="1">
        <v>219.58750357821299</v>
      </c>
      <c r="W52" s="1">
        <v>307416</v>
      </c>
      <c r="X52" s="1">
        <v>34445.75</v>
      </c>
      <c r="Y52" s="215">
        <f t="shared" si="7"/>
        <v>2.8928804453685064E-3</v>
      </c>
      <c r="Z52" s="215">
        <f t="shared" si="2"/>
        <v>2.3781492818460093E-2</v>
      </c>
      <c r="AA52" s="231">
        <v>67504712</v>
      </c>
      <c r="AC52" s="230">
        <v>43157</v>
      </c>
      <c r="AD52" s="1">
        <v>44.8</v>
      </c>
      <c r="AE52" s="1">
        <v>45.160763336706601</v>
      </c>
      <c r="AF52" s="1">
        <v>6917</v>
      </c>
      <c r="AG52" s="1">
        <v>34445.75</v>
      </c>
      <c r="AH52" s="215">
        <f t="shared" si="8"/>
        <v>2.8928804453685064E-3</v>
      </c>
      <c r="AI52" s="215">
        <f t="shared" si="3"/>
        <v>2.5171624713958618E-2</v>
      </c>
      <c r="AJ52" s="231">
        <v>312377</v>
      </c>
      <c r="AL52" s="230">
        <v>44426</v>
      </c>
      <c r="AM52" s="1">
        <v>411.85</v>
      </c>
      <c r="AN52" s="1">
        <v>412.87231379994802</v>
      </c>
      <c r="AO52" s="1">
        <v>23174</v>
      </c>
      <c r="AP52" s="1">
        <v>55629.49</v>
      </c>
      <c r="AQ52" s="215">
        <f t="shared" si="9"/>
        <v>5.425152523110599E-3</v>
      </c>
      <c r="AR52" s="215">
        <f t="shared" si="4"/>
        <v>5.2248339294839186E-2</v>
      </c>
      <c r="AS52" s="231">
        <v>9567903</v>
      </c>
    </row>
    <row r="53" spans="2:45">
      <c r="B53" s="230">
        <v>43158</v>
      </c>
      <c r="C53" s="1">
        <v>399</v>
      </c>
      <c r="D53" s="1">
        <v>399.35876163496499</v>
      </c>
      <c r="E53" s="1">
        <v>4942</v>
      </c>
      <c r="F53" s="215">
        <v>34346.39</v>
      </c>
      <c r="G53" s="215">
        <f t="shared" si="5"/>
        <v>4.7492923598264625E-3</v>
      </c>
      <c r="H53" s="215">
        <f t="shared" si="0"/>
        <v>6.5590312815337892E-3</v>
      </c>
      <c r="I53" s="231">
        <v>1973631</v>
      </c>
      <c r="K53" s="230">
        <v>43158</v>
      </c>
      <c r="L53" s="1">
        <v>525.75</v>
      </c>
      <c r="M53" s="1">
        <v>527.89064712683899</v>
      </c>
      <c r="N53" s="1">
        <v>76971</v>
      </c>
      <c r="O53" s="1">
        <v>34346.39</v>
      </c>
      <c r="P53" s="215">
        <f t="shared" si="6"/>
        <v>4.7492923598264625E-3</v>
      </c>
      <c r="Q53" s="215">
        <f t="shared" si="1"/>
        <v>2.685546875E-2</v>
      </c>
      <c r="R53" s="231">
        <v>40632271</v>
      </c>
      <c r="T53" s="230">
        <v>43158</v>
      </c>
      <c r="U53" s="1">
        <v>212.35</v>
      </c>
      <c r="V53" s="1">
        <v>214.56217258573801</v>
      </c>
      <c r="W53" s="1">
        <v>190317</v>
      </c>
      <c r="X53" s="1">
        <v>34346.39</v>
      </c>
      <c r="Y53" s="215">
        <f t="shared" si="7"/>
        <v>4.7492923598264625E-3</v>
      </c>
      <c r="Z53" s="215">
        <f t="shared" si="2"/>
        <v>1.5057361376673128E-2</v>
      </c>
      <c r="AA53" s="231">
        <v>40834829</v>
      </c>
      <c r="AC53" s="230">
        <v>43158</v>
      </c>
      <c r="AD53" s="1">
        <v>43.7</v>
      </c>
      <c r="AE53" s="1">
        <v>44.152649617716797</v>
      </c>
      <c r="AF53" s="1">
        <v>3793</v>
      </c>
      <c r="AG53" s="1">
        <v>34346.39</v>
      </c>
      <c r="AH53" s="215">
        <f t="shared" si="8"/>
        <v>4.7492923598264625E-3</v>
      </c>
      <c r="AI53" s="215">
        <f t="shared" si="3"/>
        <v>-6.8181818181817233E-3</v>
      </c>
      <c r="AJ53" s="231">
        <v>167471</v>
      </c>
      <c r="AL53" s="230">
        <v>44428</v>
      </c>
      <c r="AM53" s="1">
        <v>391.4</v>
      </c>
      <c r="AN53" s="1">
        <v>398.116943848029</v>
      </c>
      <c r="AO53" s="1">
        <v>54958</v>
      </c>
      <c r="AP53" s="1">
        <v>55329.32</v>
      </c>
      <c r="AQ53" s="215">
        <f t="shared" si="9"/>
        <v>-4.0764427974113726E-3</v>
      </c>
      <c r="AR53" s="215">
        <f t="shared" si="4"/>
        <v>7.4684239428885135E-2</v>
      </c>
      <c r="AS53" s="231">
        <v>21879711</v>
      </c>
    </row>
    <row r="54" spans="2:45">
      <c r="B54" s="230">
        <v>43159</v>
      </c>
      <c r="C54" s="1">
        <v>396.4</v>
      </c>
      <c r="D54" s="1">
        <v>397.66254635352198</v>
      </c>
      <c r="E54" s="1">
        <v>809</v>
      </c>
      <c r="F54" s="215">
        <v>34184.04</v>
      </c>
      <c r="G54" s="215">
        <f t="shared" si="5"/>
        <v>4.0267935973099522E-3</v>
      </c>
      <c r="H54" s="215">
        <f t="shared" si="0"/>
        <v>6.2190633329102241E-3</v>
      </c>
      <c r="I54" s="231">
        <v>321709</v>
      </c>
      <c r="K54" s="230">
        <v>43159</v>
      </c>
      <c r="L54" s="1">
        <v>512</v>
      </c>
      <c r="M54" s="1">
        <v>520.79710633601997</v>
      </c>
      <c r="N54" s="1">
        <v>32623</v>
      </c>
      <c r="O54" s="1">
        <v>34184.04</v>
      </c>
      <c r="P54" s="215">
        <f t="shared" si="6"/>
        <v>4.0267935973099522E-3</v>
      </c>
      <c r="Q54" s="215">
        <f t="shared" si="1"/>
        <v>-3.9047247169088362E-4</v>
      </c>
      <c r="R54" s="231">
        <v>16989964</v>
      </c>
      <c r="T54" s="230">
        <v>43159</v>
      </c>
      <c r="U54" s="1">
        <v>209.2</v>
      </c>
      <c r="V54" s="1">
        <v>209.00492438635101</v>
      </c>
      <c r="W54" s="1">
        <v>197385</v>
      </c>
      <c r="X54" s="1">
        <v>34184.04</v>
      </c>
      <c r="Y54" s="215">
        <f t="shared" si="7"/>
        <v>4.0267935973099522E-3</v>
      </c>
      <c r="Z54" s="215">
        <f t="shared" si="2"/>
        <v>7.4644835058992332E-3</v>
      </c>
      <c r="AA54" s="231">
        <v>41254437</v>
      </c>
      <c r="AC54" s="230">
        <v>43159</v>
      </c>
      <c r="AD54" s="1">
        <v>44</v>
      </c>
      <c r="AE54" s="1">
        <v>43.868644067796602</v>
      </c>
      <c r="AF54" s="1">
        <v>472</v>
      </c>
      <c r="AG54" s="1">
        <v>34184.04</v>
      </c>
      <c r="AH54" s="215">
        <f t="shared" si="8"/>
        <v>4.0267935973099522E-3</v>
      </c>
      <c r="AI54" s="215">
        <f t="shared" si="3"/>
        <v>1.0332950631458226E-2</v>
      </c>
      <c r="AJ54" s="231">
        <v>20706</v>
      </c>
      <c r="AL54" s="230">
        <v>44431</v>
      </c>
      <c r="AM54" s="1">
        <v>364.2</v>
      </c>
      <c r="AN54" s="1">
        <v>372.57951883222199</v>
      </c>
      <c r="AO54" s="1">
        <v>66588</v>
      </c>
      <c r="AP54" s="1">
        <v>55555.79</v>
      </c>
      <c r="AQ54" s="215">
        <f t="shared" si="9"/>
        <v>-7.2050991637089279E-3</v>
      </c>
      <c r="AR54" s="215">
        <f t="shared" si="4"/>
        <v>-5.1562500000000067E-2</v>
      </c>
      <c r="AS54" s="231">
        <v>24809325</v>
      </c>
    </row>
    <row r="55" spans="2:45">
      <c r="B55" s="230">
        <v>43160</v>
      </c>
      <c r="C55" s="1">
        <v>393.95</v>
      </c>
      <c r="D55" s="1">
        <v>395.78122380553202</v>
      </c>
      <c r="E55" s="1">
        <v>1193</v>
      </c>
      <c r="F55" s="215">
        <v>34046.94</v>
      </c>
      <c r="G55" s="215">
        <f t="shared" si="5"/>
        <v>8.8944782287376789E-3</v>
      </c>
      <c r="H55" s="215">
        <f t="shared" si="0"/>
        <v>3.6846953546519234E-2</v>
      </c>
      <c r="I55" s="231">
        <v>472167</v>
      </c>
      <c r="K55" s="230">
        <v>43160</v>
      </c>
      <c r="L55" s="1">
        <v>512.20000000000005</v>
      </c>
      <c r="M55" s="1">
        <v>519.12683723462101</v>
      </c>
      <c r="N55" s="1">
        <v>22044</v>
      </c>
      <c r="O55" s="1">
        <v>34046.94</v>
      </c>
      <c r="P55" s="215">
        <f t="shared" si="6"/>
        <v>8.8944782287376789E-3</v>
      </c>
      <c r="Q55" s="215">
        <f t="shared" si="1"/>
        <v>5.2609946568022981E-2</v>
      </c>
      <c r="R55" s="231">
        <v>11443632</v>
      </c>
      <c r="T55" s="230">
        <v>43160</v>
      </c>
      <c r="U55" s="1">
        <v>207.65</v>
      </c>
      <c r="V55" s="1">
        <v>210.71358711285799</v>
      </c>
      <c r="W55" s="1">
        <v>260725</v>
      </c>
      <c r="X55" s="1">
        <v>34046.94</v>
      </c>
      <c r="Y55" s="215">
        <f t="shared" si="7"/>
        <v>8.8944782287376789E-3</v>
      </c>
      <c r="Z55" s="215">
        <f t="shared" si="2"/>
        <v>8.6035564853556679E-2</v>
      </c>
      <c r="AA55" s="231">
        <v>54938300</v>
      </c>
      <c r="AC55" s="230">
        <v>43160</v>
      </c>
      <c r="AD55" s="1">
        <v>43.55</v>
      </c>
      <c r="AE55" s="1">
        <v>43.951807228915598</v>
      </c>
      <c r="AF55" s="1">
        <v>2075</v>
      </c>
      <c r="AG55" s="1">
        <v>34046.94</v>
      </c>
      <c r="AH55" s="215">
        <f t="shared" si="8"/>
        <v>8.8944782287376789E-3</v>
      </c>
      <c r="AI55" s="215">
        <f t="shared" si="3"/>
        <v>1.2790697674418539E-2</v>
      </c>
      <c r="AJ55" s="231">
        <v>91200</v>
      </c>
      <c r="AL55" s="230">
        <v>44432</v>
      </c>
      <c r="AM55" s="1">
        <v>384</v>
      </c>
      <c r="AN55" s="1">
        <v>378.88312724746203</v>
      </c>
      <c r="AO55" s="1">
        <v>106509</v>
      </c>
      <c r="AP55" s="1">
        <v>55958.98</v>
      </c>
      <c r="AQ55" s="215">
        <f t="shared" si="9"/>
        <v>2.6401302297429652E-4</v>
      </c>
      <c r="AR55" s="215">
        <f t="shared" si="4"/>
        <v>-1.6141429669485063E-2</v>
      </c>
      <c r="AS55" s="231">
        <v>40354463</v>
      </c>
    </row>
    <row r="56" spans="2:45">
      <c r="B56" s="230">
        <v>43164</v>
      </c>
      <c r="C56" s="1">
        <v>379.95</v>
      </c>
      <c r="D56" s="1">
        <v>383.82448630136901</v>
      </c>
      <c r="E56" s="1">
        <v>2336</v>
      </c>
      <c r="F56" s="215">
        <v>33746.78</v>
      </c>
      <c r="G56" s="215">
        <f t="shared" si="5"/>
        <v>1.2893640522012806E-2</v>
      </c>
      <c r="H56" s="215">
        <f t="shared" si="0"/>
        <v>2.3296525720441608E-2</v>
      </c>
      <c r="I56" s="231">
        <v>896614</v>
      </c>
      <c r="K56" s="230">
        <v>43164</v>
      </c>
      <c r="L56" s="1">
        <v>486.6</v>
      </c>
      <c r="M56" s="1">
        <v>487.88423507689299</v>
      </c>
      <c r="N56" s="1">
        <v>41161</v>
      </c>
      <c r="O56" s="1">
        <v>33746.78</v>
      </c>
      <c r="P56" s="215">
        <f t="shared" si="6"/>
        <v>1.2893640522012806E-2</v>
      </c>
      <c r="Q56" s="215">
        <f t="shared" si="1"/>
        <v>5.0518134715026086E-2</v>
      </c>
      <c r="R56" s="231">
        <v>20081803</v>
      </c>
      <c r="T56" s="230">
        <v>43164</v>
      </c>
      <c r="U56" s="1">
        <v>191.2</v>
      </c>
      <c r="V56" s="1">
        <v>194.59341660842699</v>
      </c>
      <c r="W56" s="1">
        <v>668227</v>
      </c>
      <c r="X56" s="1">
        <v>33746.78</v>
      </c>
      <c r="Y56" s="215">
        <f t="shared" si="7"/>
        <v>1.2893640522012806E-2</v>
      </c>
      <c r="Z56" s="215">
        <f t="shared" si="2"/>
        <v>4.7958344751986903E-2</v>
      </c>
      <c r="AA56" s="231">
        <v>130032575</v>
      </c>
      <c r="AC56" s="230">
        <v>43164</v>
      </c>
      <c r="AD56" s="1">
        <v>43</v>
      </c>
      <c r="AE56" s="1">
        <v>43.007259528130596</v>
      </c>
      <c r="AF56" s="1">
        <v>551</v>
      </c>
      <c r="AG56" s="1">
        <v>33746.78</v>
      </c>
      <c r="AH56" s="215">
        <f t="shared" si="8"/>
        <v>1.2893640522012806E-2</v>
      </c>
      <c r="AI56" s="215">
        <f t="shared" si="3"/>
        <v>1.057579318448898E-2</v>
      </c>
      <c r="AJ56" s="231">
        <v>23697</v>
      </c>
      <c r="AL56" s="230">
        <v>44433</v>
      </c>
      <c r="AM56" s="1">
        <v>390.3</v>
      </c>
      <c r="AN56" s="1">
        <v>392.25049296700399</v>
      </c>
      <c r="AO56" s="1">
        <v>45642</v>
      </c>
      <c r="AP56" s="1">
        <v>55944.21</v>
      </c>
      <c r="AQ56" s="215">
        <f t="shared" si="9"/>
        <v>-8.7400869719034269E-5</v>
      </c>
      <c r="AR56" s="215">
        <f t="shared" si="4"/>
        <v>1.350298623734103E-2</v>
      </c>
      <c r="AS56" s="231">
        <v>17903097</v>
      </c>
    </row>
    <row r="57" spans="2:45">
      <c r="B57" s="230">
        <v>43165</v>
      </c>
      <c r="C57" s="1">
        <v>371.3</v>
      </c>
      <c r="D57" s="1">
        <v>373.931006819093</v>
      </c>
      <c r="E57" s="1">
        <v>2493</v>
      </c>
      <c r="F57" s="215">
        <v>33317.199999999997</v>
      </c>
      <c r="G57" s="215">
        <f t="shared" si="5"/>
        <v>8.6007697130363603E-3</v>
      </c>
      <c r="H57" s="215">
        <f t="shared" si="0"/>
        <v>3.2967032967033072E-2</v>
      </c>
      <c r="I57" s="231">
        <v>932210</v>
      </c>
      <c r="K57" s="230">
        <v>43165</v>
      </c>
      <c r="L57" s="1">
        <v>463.2</v>
      </c>
      <c r="M57" s="1">
        <v>479.493235596707</v>
      </c>
      <c r="N57" s="1">
        <v>38880</v>
      </c>
      <c r="O57" s="1">
        <v>33317.199999999997</v>
      </c>
      <c r="P57" s="215">
        <f t="shared" si="6"/>
        <v>8.6007697130363603E-3</v>
      </c>
      <c r="Q57" s="215">
        <f t="shared" si="1"/>
        <v>5.2607658220656717E-2</v>
      </c>
      <c r="R57" s="231">
        <v>18642697</v>
      </c>
      <c r="T57" s="230">
        <v>43165</v>
      </c>
      <c r="U57" s="1">
        <v>182.45</v>
      </c>
      <c r="V57" s="1">
        <v>189.802279803587</v>
      </c>
      <c r="W57" s="1">
        <v>439687</v>
      </c>
      <c r="X57" s="1">
        <v>33317.199999999997</v>
      </c>
      <c r="Y57" s="215">
        <f t="shared" si="7"/>
        <v>8.6007697130363603E-3</v>
      </c>
      <c r="Z57" s="215">
        <f t="shared" si="2"/>
        <v>5.890887986070803E-2</v>
      </c>
      <c r="AA57" s="231">
        <v>83453595</v>
      </c>
      <c r="AC57" s="230">
        <v>43165</v>
      </c>
      <c r="AD57" s="1">
        <v>42.55</v>
      </c>
      <c r="AE57" s="1">
        <v>42.518333333333302</v>
      </c>
      <c r="AF57" s="1">
        <v>600</v>
      </c>
      <c r="AG57" s="1">
        <v>33317.199999999997</v>
      </c>
      <c r="AH57" s="215">
        <f t="shared" si="8"/>
        <v>8.6007697130363603E-3</v>
      </c>
      <c r="AI57" s="215">
        <f t="shared" si="3"/>
        <v>1.7942583732057482E-2</v>
      </c>
      <c r="AJ57" s="231">
        <v>25511</v>
      </c>
      <c r="AL57" s="230">
        <v>44434</v>
      </c>
      <c r="AM57" s="1">
        <v>385.1</v>
      </c>
      <c r="AN57" s="1">
        <v>385.64547402249502</v>
      </c>
      <c r="AO57" s="1">
        <v>37340</v>
      </c>
      <c r="AP57" s="1">
        <v>55949.1</v>
      </c>
      <c r="AQ57" s="215">
        <f t="shared" si="9"/>
        <v>-3.1291024703553605E-3</v>
      </c>
      <c r="AR57" s="215">
        <f t="shared" si="4"/>
        <v>1.6907270126154117E-3</v>
      </c>
      <c r="AS57" s="231">
        <v>14400002</v>
      </c>
    </row>
    <row r="58" spans="2:45">
      <c r="B58" s="230">
        <v>43166</v>
      </c>
      <c r="C58" s="1">
        <v>359.45</v>
      </c>
      <c r="D58" s="1">
        <v>363.02900378310198</v>
      </c>
      <c r="E58" s="1">
        <v>2379</v>
      </c>
      <c r="F58" s="215">
        <v>33033.089999999997</v>
      </c>
      <c r="G58" s="215">
        <f t="shared" si="5"/>
        <v>-9.5491756460042154E-3</v>
      </c>
      <c r="H58" s="215">
        <f t="shared" si="0"/>
        <v>-2.0438751873552263E-2</v>
      </c>
      <c r="I58" s="231">
        <v>863646</v>
      </c>
      <c r="K58" s="230">
        <v>43166</v>
      </c>
      <c r="L58" s="1">
        <v>440.05</v>
      </c>
      <c r="M58" s="1">
        <v>445.553846153846</v>
      </c>
      <c r="N58" s="1">
        <v>46865</v>
      </c>
      <c r="O58" s="1">
        <v>33033.089999999997</v>
      </c>
      <c r="P58" s="215">
        <f t="shared" si="6"/>
        <v>-9.5491756460042154E-3</v>
      </c>
      <c r="Q58" s="215">
        <f t="shared" si="1"/>
        <v>1.8280689575379094E-2</v>
      </c>
      <c r="R58" s="231">
        <v>20880881</v>
      </c>
      <c r="T58" s="230">
        <v>43166</v>
      </c>
      <c r="U58" s="1">
        <v>172.3</v>
      </c>
      <c r="V58" s="1">
        <v>176.53603423959399</v>
      </c>
      <c r="W58" s="1">
        <v>654447</v>
      </c>
      <c r="X58" s="1">
        <v>33033.089999999997</v>
      </c>
      <c r="Y58" s="215">
        <f t="shared" si="7"/>
        <v>-9.5491756460042154E-3</v>
      </c>
      <c r="Z58" s="215">
        <f t="shared" si="2"/>
        <v>-4.5164865613743332E-2</v>
      </c>
      <c r="AA58" s="231">
        <v>115533478</v>
      </c>
      <c r="AC58" s="230">
        <v>43166</v>
      </c>
      <c r="AD58" s="1">
        <v>41.8</v>
      </c>
      <c r="AE58" s="1">
        <v>41.743182801904403</v>
      </c>
      <c r="AF58" s="1">
        <v>6931</v>
      </c>
      <c r="AG58" s="1">
        <v>33033.089999999997</v>
      </c>
      <c r="AH58" s="215">
        <f t="shared" si="8"/>
        <v>-9.5491756460042154E-3</v>
      </c>
      <c r="AI58" s="215">
        <f t="shared" si="3"/>
        <v>1.703163017031617E-2</v>
      </c>
      <c r="AJ58" s="231">
        <v>289322</v>
      </c>
      <c r="AL58" s="230">
        <v>44435</v>
      </c>
      <c r="AM58" s="1">
        <v>384.45</v>
      </c>
      <c r="AN58" s="1">
        <v>384.399602276873</v>
      </c>
      <c r="AO58" s="1">
        <v>54812</v>
      </c>
      <c r="AP58" s="1">
        <v>56124.72</v>
      </c>
      <c r="AQ58" s="215">
        <f t="shared" si="9"/>
        <v>-1.3447762831131693E-2</v>
      </c>
      <c r="AR58" s="215">
        <f t="shared" si="4"/>
        <v>-2.5969090448441867E-2</v>
      </c>
      <c r="AS58" s="231">
        <v>21069711</v>
      </c>
    </row>
    <row r="59" spans="2:45">
      <c r="B59" s="230">
        <v>43167</v>
      </c>
      <c r="C59" s="1">
        <v>366.95</v>
      </c>
      <c r="D59" s="1">
        <v>360.81764705882301</v>
      </c>
      <c r="E59" s="1">
        <v>340</v>
      </c>
      <c r="F59" s="215">
        <v>33351.57</v>
      </c>
      <c r="G59" s="215">
        <f t="shared" si="5"/>
        <v>1.3339482165084515E-3</v>
      </c>
      <c r="H59" s="215">
        <f t="shared" si="0"/>
        <v>1.7327418907679526E-2</v>
      </c>
      <c r="I59" s="231">
        <v>122678</v>
      </c>
      <c r="K59" s="230">
        <v>43167</v>
      </c>
      <c r="L59" s="1">
        <v>432.15</v>
      </c>
      <c r="M59" s="1">
        <v>433.25211377579399</v>
      </c>
      <c r="N59" s="1">
        <v>44825</v>
      </c>
      <c r="O59" s="1">
        <v>33351.57</v>
      </c>
      <c r="P59" s="215">
        <f t="shared" si="6"/>
        <v>1.3339482165084515E-3</v>
      </c>
      <c r="Q59" s="215">
        <f t="shared" si="1"/>
        <v>-2.3720772619451047E-2</v>
      </c>
      <c r="R59" s="231">
        <v>19420526</v>
      </c>
      <c r="T59" s="230">
        <v>43167</v>
      </c>
      <c r="U59" s="1">
        <v>180.45</v>
      </c>
      <c r="V59" s="1">
        <v>176.28777025820901</v>
      </c>
      <c r="W59" s="1">
        <v>834711</v>
      </c>
      <c r="X59" s="1">
        <v>33351.57</v>
      </c>
      <c r="Y59" s="215">
        <f t="shared" si="7"/>
        <v>1.3339482165084515E-3</v>
      </c>
      <c r="Z59" s="215">
        <f t="shared" si="2"/>
        <v>3.6175710594315236E-2</v>
      </c>
      <c r="AA59" s="231">
        <v>147149341</v>
      </c>
      <c r="AC59" s="230">
        <v>43167</v>
      </c>
      <c r="AD59" s="1">
        <v>41.1</v>
      </c>
      <c r="AE59" s="1">
        <v>40.927095990279398</v>
      </c>
      <c r="AF59" s="1">
        <v>4115</v>
      </c>
      <c r="AG59" s="1">
        <v>33351.57</v>
      </c>
      <c r="AH59" s="215">
        <f t="shared" si="8"/>
        <v>1.3339482165084515E-3</v>
      </c>
      <c r="AI59" s="215">
        <f t="shared" si="3"/>
        <v>-3.2941176470588251E-2</v>
      </c>
      <c r="AJ59" s="231">
        <v>168415</v>
      </c>
      <c r="AL59" s="230">
        <v>44438</v>
      </c>
      <c r="AM59" s="1">
        <v>394.7</v>
      </c>
      <c r="AN59" s="1">
        <v>394.77836562344697</v>
      </c>
      <c r="AO59" s="1">
        <v>40260</v>
      </c>
      <c r="AP59" s="1">
        <v>56889.760000000002</v>
      </c>
      <c r="AQ59" s="215">
        <f t="shared" si="9"/>
        <v>-1.1513509690909363E-2</v>
      </c>
      <c r="AR59" s="215">
        <f t="shared" si="4"/>
        <v>7.9162410623083712E-3</v>
      </c>
      <c r="AS59" s="231">
        <v>15893777</v>
      </c>
    </row>
    <row r="60" spans="2:45">
      <c r="B60" s="230">
        <v>43168</v>
      </c>
      <c r="C60" s="1">
        <v>360.7</v>
      </c>
      <c r="D60" s="1">
        <v>365.89238845144303</v>
      </c>
      <c r="E60" s="1">
        <v>2667</v>
      </c>
      <c r="F60" s="215">
        <v>33307.14</v>
      </c>
      <c r="G60" s="215">
        <f t="shared" si="5"/>
        <v>-1.8008169128195917E-2</v>
      </c>
      <c r="H60" s="215">
        <f t="shared" si="0"/>
        <v>3.0589543937706853E-3</v>
      </c>
      <c r="I60" s="231">
        <v>975835</v>
      </c>
      <c r="K60" s="230">
        <v>43168</v>
      </c>
      <c r="L60" s="1">
        <v>442.65</v>
      </c>
      <c r="M60" s="1">
        <v>442.53601574355002</v>
      </c>
      <c r="N60" s="1">
        <v>42176</v>
      </c>
      <c r="O60" s="1">
        <v>33307.14</v>
      </c>
      <c r="P60" s="215">
        <f t="shared" si="6"/>
        <v>-1.8008169128195917E-2</v>
      </c>
      <c r="Q60" s="215">
        <f t="shared" si="1"/>
        <v>-4.1571938941214803E-2</v>
      </c>
      <c r="R60" s="231">
        <v>18664399</v>
      </c>
      <c r="T60" s="230">
        <v>43168</v>
      </c>
      <c r="U60" s="1">
        <v>174.15</v>
      </c>
      <c r="V60" s="1">
        <v>177.61145717900899</v>
      </c>
      <c r="W60" s="1">
        <v>636195</v>
      </c>
      <c r="X60" s="1">
        <v>33307.14</v>
      </c>
      <c r="Y60" s="215">
        <f t="shared" si="7"/>
        <v>-1.8008169128195917E-2</v>
      </c>
      <c r="Z60" s="215">
        <f t="shared" si="2"/>
        <v>-2.7638190954773822E-2</v>
      </c>
      <c r="AA60" s="231">
        <v>112995521</v>
      </c>
      <c r="AC60" s="230">
        <v>43168</v>
      </c>
      <c r="AD60" s="1">
        <v>42.5</v>
      </c>
      <c r="AE60" s="1">
        <v>41.8494558645707</v>
      </c>
      <c r="AF60" s="1">
        <v>1654</v>
      </c>
      <c r="AG60" s="1">
        <v>33307.14</v>
      </c>
      <c r="AH60" s="215">
        <f t="shared" si="8"/>
        <v>-1.8008169128195917E-2</v>
      </c>
      <c r="AI60" s="215">
        <f t="shared" si="3"/>
        <v>3.6585365853658569E-2</v>
      </c>
      <c r="AJ60" s="231">
        <v>69219</v>
      </c>
      <c r="AL60" s="230">
        <v>44439</v>
      </c>
      <c r="AM60" s="1">
        <v>391.6</v>
      </c>
      <c r="AN60" s="1">
        <v>392.14583098061303</v>
      </c>
      <c r="AO60" s="1">
        <v>53130</v>
      </c>
      <c r="AP60" s="1">
        <v>57552.39</v>
      </c>
      <c r="AQ60" s="215">
        <f t="shared" si="9"/>
        <v>3.7353799499495466E-3</v>
      </c>
      <c r="AR60" s="215">
        <f t="shared" si="4"/>
        <v>2.0470829068577334E-3</v>
      </c>
      <c r="AS60" s="231">
        <v>20834708</v>
      </c>
    </row>
    <row r="61" spans="2:45">
      <c r="B61" s="230">
        <v>43171</v>
      </c>
      <c r="C61" s="1">
        <v>359.6</v>
      </c>
      <c r="D61" s="1">
        <v>364.51001602564099</v>
      </c>
      <c r="E61" s="1">
        <v>2496</v>
      </c>
      <c r="F61" s="215">
        <v>33917.94</v>
      </c>
      <c r="G61" s="215">
        <f t="shared" si="5"/>
        <v>1.8064328621920644E-3</v>
      </c>
      <c r="H61" s="215">
        <f t="shared" si="0"/>
        <v>-1.1111111111110628E-3</v>
      </c>
      <c r="I61" s="231">
        <v>909817</v>
      </c>
      <c r="K61" s="230">
        <v>43171</v>
      </c>
      <c r="L61" s="1">
        <v>461.85</v>
      </c>
      <c r="M61" s="1">
        <v>452.91162977779697</v>
      </c>
      <c r="N61" s="1">
        <v>91988</v>
      </c>
      <c r="O61" s="1">
        <v>33917.94</v>
      </c>
      <c r="P61" s="215">
        <f t="shared" si="6"/>
        <v>1.8064328621920644E-3</v>
      </c>
      <c r="Q61" s="215">
        <f t="shared" si="1"/>
        <v>-4.7535574345225706E-2</v>
      </c>
      <c r="R61" s="231">
        <v>41662435</v>
      </c>
      <c r="T61" s="230">
        <v>43171</v>
      </c>
      <c r="U61" s="1">
        <v>179.1</v>
      </c>
      <c r="V61" s="1">
        <v>176.54593684793701</v>
      </c>
      <c r="W61" s="1">
        <v>332119</v>
      </c>
      <c r="X61" s="1">
        <v>33917.94</v>
      </c>
      <c r="Y61" s="215">
        <f t="shared" si="7"/>
        <v>1.8064328621920644E-3</v>
      </c>
      <c r="Z61" s="215">
        <f t="shared" si="2"/>
        <v>-3.9163090128755407E-2</v>
      </c>
      <c r="AA61" s="231">
        <v>58634260</v>
      </c>
      <c r="AC61" s="230">
        <v>43171</v>
      </c>
      <c r="AD61" s="1">
        <v>41</v>
      </c>
      <c r="AE61" s="1">
        <v>42.370630957784797</v>
      </c>
      <c r="AF61" s="1">
        <v>4406</v>
      </c>
      <c r="AG61" s="1">
        <v>33917.94</v>
      </c>
      <c r="AH61" s="215">
        <f t="shared" si="8"/>
        <v>1.8064328621920644E-3</v>
      </c>
      <c r="AI61" s="215">
        <f t="shared" si="3"/>
        <v>-4.3173862310385114E-2</v>
      </c>
      <c r="AJ61" s="231">
        <v>186685</v>
      </c>
      <c r="AL61" s="230">
        <v>44440</v>
      </c>
      <c r="AM61" s="1">
        <v>390.8</v>
      </c>
      <c r="AN61" s="1">
        <v>393.66306361951803</v>
      </c>
      <c r="AO61" s="1">
        <v>35618</v>
      </c>
      <c r="AP61" s="1">
        <v>57338.21</v>
      </c>
      <c r="AQ61" s="215">
        <f t="shared" si="9"/>
        <v>-8.890361598643759E-3</v>
      </c>
      <c r="AR61" s="215">
        <f t="shared" si="4"/>
        <v>-1.2383118524134429E-2</v>
      </c>
      <c r="AS61" s="231">
        <v>14021491</v>
      </c>
    </row>
    <row r="62" spans="2:45">
      <c r="B62" s="230">
        <v>43172</v>
      </c>
      <c r="C62" s="1">
        <v>360</v>
      </c>
      <c r="D62" s="1">
        <v>361.406037735849</v>
      </c>
      <c r="E62" s="1">
        <v>1325</v>
      </c>
      <c r="F62" s="215">
        <v>33856.78</v>
      </c>
      <c r="G62" s="215">
        <f t="shared" si="5"/>
        <v>6.2182768871021921E-4</v>
      </c>
      <c r="H62" s="215">
        <f t="shared" si="0"/>
        <v>-2.4918743228602325E-2</v>
      </c>
      <c r="I62" s="231">
        <v>478863</v>
      </c>
      <c r="K62" s="230">
        <v>43172</v>
      </c>
      <c r="L62" s="1">
        <v>484.9</v>
      </c>
      <c r="M62" s="1">
        <v>480.95368249545402</v>
      </c>
      <c r="N62" s="1">
        <v>169396</v>
      </c>
      <c r="O62" s="1">
        <v>33856.78</v>
      </c>
      <c r="P62" s="215">
        <f t="shared" si="6"/>
        <v>6.2182768871021921E-4</v>
      </c>
      <c r="Q62" s="215">
        <f t="shared" si="1"/>
        <v>8.255933952527883E-4</v>
      </c>
      <c r="R62" s="231">
        <v>81471630</v>
      </c>
      <c r="T62" s="230">
        <v>43172</v>
      </c>
      <c r="U62" s="1">
        <v>186.4</v>
      </c>
      <c r="V62" s="1">
        <v>184.047086315711</v>
      </c>
      <c r="W62" s="1">
        <v>543470</v>
      </c>
      <c r="X62" s="1">
        <v>33856.78</v>
      </c>
      <c r="Y62" s="215">
        <f t="shared" si="7"/>
        <v>6.2182768871021921E-4</v>
      </c>
      <c r="Z62" s="215">
        <f t="shared" si="2"/>
        <v>-1.7395888244596591E-2</v>
      </c>
      <c r="AA62" s="231">
        <v>100024070</v>
      </c>
      <c r="AC62" s="230">
        <v>43172</v>
      </c>
      <c r="AD62" s="1">
        <v>42.85</v>
      </c>
      <c r="AE62" s="1">
        <v>42.727554179566503</v>
      </c>
      <c r="AF62" s="1">
        <v>6137</v>
      </c>
      <c r="AG62" s="1">
        <v>33856.78</v>
      </c>
      <c r="AH62" s="215">
        <f t="shared" si="8"/>
        <v>6.2182768871021921E-4</v>
      </c>
      <c r="AI62" s="215">
        <f t="shared" si="3"/>
        <v>8.2352941176471184E-3</v>
      </c>
      <c r="AJ62" s="231">
        <v>262219</v>
      </c>
      <c r="AL62" s="230">
        <v>44441</v>
      </c>
      <c r="AM62" s="1">
        <v>395.7</v>
      </c>
      <c r="AN62" s="1">
        <v>394.143439352001</v>
      </c>
      <c r="AO62" s="1">
        <v>58889</v>
      </c>
      <c r="AP62" s="1">
        <v>57852.54</v>
      </c>
      <c r="AQ62" s="215">
        <f t="shared" si="9"/>
        <v>-4.772238751280522E-3</v>
      </c>
      <c r="AR62" s="215">
        <f t="shared" si="4"/>
        <v>1.3918765025939805E-3</v>
      </c>
      <c r="AS62" s="231">
        <v>23210713</v>
      </c>
    </row>
    <row r="63" spans="2:45">
      <c r="B63" s="230">
        <v>43173</v>
      </c>
      <c r="C63" s="1">
        <v>369.2</v>
      </c>
      <c r="D63" s="1">
        <v>367.96394984326002</v>
      </c>
      <c r="E63" s="1">
        <v>638</v>
      </c>
      <c r="F63" s="215">
        <v>33835.74</v>
      </c>
      <c r="G63" s="215">
        <f t="shared" si="5"/>
        <v>4.4588865133228239E-3</v>
      </c>
      <c r="H63" s="215">
        <f t="shared" si="0"/>
        <v>-9.4709782167512468E-4</v>
      </c>
      <c r="I63" s="231">
        <v>234761</v>
      </c>
      <c r="K63" s="230">
        <v>43173</v>
      </c>
      <c r="L63" s="1">
        <v>484.5</v>
      </c>
      <c r="M63" s="1">
        <v>485.791549967224</v>
      </c>
      <c r="N63" s="1">
        <v>33562</v>
      </c>
      <c r="O63" s="1">
        <v>33835.74</v>
      </c>
      <c r="P63" s="215">
        <f t="shared" si="6"/>
        <v>4.4588865133228239E-3</v>
      </c>
      <c r="Q63" s="215">
        <f t="shared" si="1"/>
        <v>3.8330052833317474E-3</v>
      </c>
      <c r="R63" s="231">
        <v>16304136</v>
      </c>
      <c r="T63" s="230">
        <v>43173</v>
      </c>
      <c r="U63" s="1">
        <v>189.7</v>
      </c>
      <c r="V63" s="1">
        <v>185.993509427823</v>
      </c>
      <c r="W63" s="1">
        <v>663886</v>
      </c>
      <c r="X63" s="1">
        <v>33835.74</v>
      </c>
      <c r="Y63" s="215">
        <f t="shared" si="7"/>
        <v>4.4588865133228239E-3</v>
      </c>
      <c r="Z63" s="215">
        <f t="shared" si="2"/>
        <v>6.900212314224996E-3</v>
      </c>
      <c r="AA63" s="231">
        <v>123478487</v>
      </c>
      <c r="AC63" s="230">
        <v>43173</v>
      </c>
      <c r="AD63" s="1">
        <v>42.5</v>
      </c>
      <c r="AE63" s="1">
        <v>42.907010014306103</v>
      </c>
      <c r="AF63" s="1">
        <v>699</v>
      </c>
      <c r="AG63" s="1">
        <v>33835.74</v>
      </c>
      <c r="AH63" s="215">
        <f t="shared" si="8"/>
        <v>4.4588865133228239E-3</v>
      </c>
      <c r="AI63" s="215">
        <f t="shared" si="3"/>
        <v>-3.5169988276669839E-3</v>
      </c>
      <c r="AJ63" s="231">
        <v>29992</v>
      </c>
      <c r="AL63" s="230">
        <v>44442</v>
      </c>
      <c r="AM63" s="1">
        <v>395.15</v>
      </c>
      <c r="AN63" s="1">
        <v>394.75316067553501</v>
      </c>
      <c r="AO63" s="1">
        <v>42396</v>
      </c>
      <c r="AP63" s="1">
        <v>58129.95</v>
      </c>
      <c r="AQ63" s="215">
        <f t="shared" si="9"/>
        <v>-2.8639596849988624E-3</v>
      </c>
      <c r="AR63" s="215">
        <f t="shared" si="4"/>
        <v>7.6501338773429239E-3</v>
      </c>
      <c r="AS63" s="231">
        <v>16735955</v>
      </c>
    </row>
    <row r="64" spans="2:45">
      <c r="B64" s="230">
        <v>43174</v>
      </c>
      <c r="C64" s="1">
        <v>369.55</v>
      </c>
      <c r="D64" s="1">
        <v>371.06795224976997</v>
      </c>
      <c r="E64" s="1">
        <v>2178</v>
      </c>
      <c r="F64" s="215">
        <v>33685.54</v>
      </c>
      <c r="G64" s="215">
        <f t="shared" si="5"/>
        <v>1.5358693031106929E-2</v>
      </c>
      <c r="H64" s="215">
        <f t="shared" si="0"/>
        <v>-3.908355795148255E-3</v>
      </c>
      <c r="I64" s="231">
        <v>808186</v>
      </c>
      <c r="K64" s="230">
        <v>43174</v>
      </c>
      <c r="L64" s="1">
        <v>482.65</v>
      </c>
      <c r="M64" s="1">
        <v>482.68794037940302</v>
      </c>
      <c r="N64" s="1">
        <v>36900</v>
      </c>
      <c r="O64" s="1">
        <v>33685.54</v>
      </c>
      <c r="P64" s="215">
        <f t="shared" si="6"/>
        <v>1.5358693031106929E-2</v>
      </c>
      <c r="Q64" s="215">
        <f t="shared" si="1"/>
        <v>-1.1382450331126615E-3</v>
      </c>
      <c r="R64" s="231">
        <v>17811185</v>
      </c>
      <c r="T64" s="230">
        <v>43174</v>
      </c>
      <c r="U64" s="1">
        <v>188.4</v>
      </c>
      <c r="V64" s="1">
        <v>190.005625585171</v>
      </c>
      <c r="W64" s="1">
        <v>378094</v>
      </c>
      <c r="X64" s="1">
        <v>33685.54</v>
      </c>
      <c r="Y64" s="215">
        <f t="shared" si="7"/>
        <v>1.5358693031106929E-2</v>
      </c>
      <c r="Z64" s="215">
        <f t="shared" si="2"/>
        <v>3.6588720770288852E-2</v>
      </c>
      <c r="AA64" s="231">
        <v>71839987</v>
      </c>
      <c r="AC64" s="230">
        <v>43174</v>
      </c>
      <c r="AD64" s="1">
        <v>42.65</v>
      </c>
      <c r="AE64" s="1">
        <v>42.5411802853437</v>
      </c>
      <c r="AF64" s="1">
        <v>3084</v>
      </c>
      <c r="AG64" s="1">
        <v>33685.54</v>
      </c>
      <c r="AH64" s="215">
        <f t="shared" si="8"/>
        <v>1.5358693031106929E-2</v>
      </c>
      <c r="AI64" s="215">
        <f t="shared" si="3"/>
        <v>1.6686531585220488E-2</v>
      </c>
      <c r="AJ64" s="231">
        <v>131197</v>
      </c>
      <c r="AL64" s="230">
        <v>44445</v>
      </c>
      <c r="AM64" s="1">
        <v>392.15</v>
      </c>
      <c r="AN64" s="1">
        <v>394.97713029362802</v>
      </c>
      <c r="AO64" s="1">
        <v>48667</v>
      </c>
      <c r="AP64" s="1">
        <v>58296.91</v>
      </c>
      <c r="AQ64" s="215">
        <f t="shared" si="9"/>
        <v>2.9907610706203513E-4</v>
      </c>
      <c r="AR64" s="215">
        <f t="shared" si="4"/>
        <v>3.1977487848555697E-3</v>
      </c>
      <c r="AS64" s="231">
        <v>19222352</v>
      </c>
    </row>
    <row r="65" spans="2:45">
      <c r="B65" s="230">
        <v>43175</v>
      </c>
      <c r="C65" s="1">
        <v>371</v>
      </c>
      <c r="D65" s="1">
        <v>366.00271002710002</v>
      </c>
      <c r="E65" s="1">
        <v>1476</v>
      </c>
      <c r="F65" s="215">
        <v>33176</v>
      </c>
      <c r="G65" s="215">
        <f t="shared" si="5"/>
        <v>7.6809245296314277E-3</v>
      </c>
      <c r="H65" s="215">
        <f t="shared" si="0"/>
        <v>3.7037037037036979E-2</v>
      </c>
      <c r="I65" s="231">
        <v>540220</v>
      </c>
      <c r="K65" s="230">
        <v>43175</v>
      </c>
      <c r="L65" s="1">
        <v>483.2</v>
      </c>
      <c r="M65" s="1">
        <v>482.31825926778703</v>
      </c>
      <c r="N65" s="1">
        <v>21715</v>
      </c>
      <c r="O65" s="1">
        <v>33176</v>
      </c>
      <c r="P65" s="215">
        <f t="shared" si="6"/>
        <v>7.6809245296314277E-3</v>
      </c>
      <c r="Q65" s="215">
        <f t="shared" si="1"/>
        <v>2.0809126439209846E-2</v>
      </c>
      <c r="R65" s="231">
        <v>10473541</v>
      </c>
      <c r="T65" s="230">
        <v>43175</v>
      </c>
      <c r="U65" s="1">
        <v>181.75</v>
      </c>
      <c r="V65" s="1">
        <v>184.659273852425</v>
      </c>
      <c r="W65" s="1">
        <v>514193</v>
      </c>
      <c r="X65" s="1">
        <v>33176</v>
      </c>
      <c r="Y65" s="215">
        <f t="shared" si="7"/>
        <v>7.6809245296314277E-3</v>
      </c>
      <c r="Z65" s="215">
        <f t="shared" si="2"/>
        <v>4.4840471399827608E-2</v>
      </c>
      <c r="AA65" s="231">
        <v>94950506</v>
      </c>
      <c r="AC65" s="230">
        <v>43175</v>
      </c>
      <c r="AD65" s="1">
        <v>41.95</v>
      </c>
      <c r="AE65" s="1">
        <v>42.043729856431199</v>
      </c>
      <c r="AF65" s="1">
        <v>13652</v>
      </c>
      <c r="AG65" s="1">
        <v>33176</v>
      </c>
      <c r="AH65" s="215">
        <f t="shared" si="8"/>
        <v>7.6809245296314277E-3</v>
      </c>
      <c r="AI65" s="215">
        <f t="shared" si="3"/>
        <v>2.1924482338611551E-2</v>
      </c>
      <c r="AJ65" s="231">
        <v>573981</v>
      </c>
      <c r="AL65" s="230">
        <v>44446</v>
      </c>
      <c r="AM65" s="1">
        <v>390.9</v>
      </c>
      <c r="AN65" s="1">
        <v>392.69400085397001</v>
      </c>
      <c r="AO65" s="1">
        <v>46840</v>
      </c>
      <c r="AP65" s="1">
        <v>58279.48</v>
      </c>
      <c r="AQ65" s="215">
        <f t="shared" si="9"/>
        <v>5.0162866225833547E-4</v>
      </c>
      <c r="AR65" s="215">
        <f t="shared" si="4"/>
        <v>1.1776886243043849E-2</v>
      </c>
      <c r="AS65" s="231">
        <v>18393787</v>
      </c>
    </row>
    <row r="66" spans="2:45">
      <c r="B66" s="230">
        <v>43178</v>
      </c>
      <c r="C66" s="1">
        <v>357.75</v>
      </c>
      <c r="D66" s="1">
        <v>355.770285087719</v>
      </c>
      <c r="E66" s="1">
        <v>1824</v>
      </c>
      <c r="F66" s="215">
        <v>32923.120000000003</v>
      </c>
      <c r="G66" s="215">
        <f t="shared" si="5"/>
        <v>-2.2317342672432128E-3</v>
      </c>
      <c r="H66" s="215">
        <f t="shared" si="0"/>
        <v>-5.0062578222779264E-3</v>
      </c>
      <c r="I66" s="231">
        <v>648925</v>
      </c>
      <c r="K66" s="230">
        <v>43178</v>
      </c>
      <c r="L66" s="1">
        <v>473.35</v>
      </c>
      <c r="M66" s="1">
        <v>478.22655627379697</v>
      </c>
      <c r="N66" s="1">
        <v>22586</v>
      </c>
      <c r="O66" s="1">
        <v>32923.120000000003</v>
      </c>
      <c r="P66" s="215">
        <f t="shared" si="6"/>
        <v>-2.2317342672432128E-3</v>
      </c>
      <c r="Q66" s="215">
        <f t="shared" si="1"/>
        <v>7.6636508781267043E-3</v>
      </c>
      <c r="R66" s="231">
        <v>10801225</v>
      </c>
      <c r="T66" s="230">
        <v>43178</v>
      </c>
      <c r="U66" s="1">
        <v>173.95</v>
      </c>
      <c r="V66" s="1">
        <v>174.78151421431099</v>
      </c>
      <c r="W66" s="1">
        <v>417748</v>
      </c>
      <c r="X66" s="1">
        <v>32923.120000000003</v>
      </c>
      <c r="Y66" s="215">
        <f t="shared" si="7"/>
        <v>-2.2317342672432128E-3</v>
      </c>
      <c r="Z66" s="215">
        <f t="shared" si="2"/>
        <v>-3.1518624641834192E-3</v>
      </c>
      <c r="AA66" s="231">
        <v>73014628</v>
      </c>
      <c r="AC66" s="230">
        <v>43178</v>
      </c>
      <c r="AD66" s="1">
        <v>41.05</v>
      </c>
      <c r="AE66" s="1">
        <v>41.543974539445401</v>
      </c>
      <c r="AF66" s="1">
        <v>16339</v>
      </c>
      <c r="AG66" s="1">
        <v>32923.120000000003</v>
      </c>
      <c r="AH66" s="215">
        <f t="shared" si="8"/>
        <v>-2.2317342672432128E-3</v>
      </c>
      <c r="AI66" s="215">
        <f t="shared" si="3"/>
        <v>-2.261904761904765E-2</v>
      </c>
      <c r="AJ66" s="231">
        <v>678787</v>
      </c>
      <c r="AL66" s="230">
        <v>44447</v>
      </c>
      <c r="AM66" s="1">
        <v>386.35</v>
      </c>
      <c r="AN66" s="1">
        <v>387.38420198742602</v>
      </c>
      <c r="AO66" s="1">
        <v>39448</v>
      </c>
      <c r="AP66" s="1">
        <v>58250.26</v>
      </c>
      <c r="AQ66" s="215">
        <f t="shared" si="9"/>
        <v>-9.400554703047348E-4</v>
      </c>
      <c r="AR66" s="215">
        <f t="shared" si="4"/>
        <v>-5.1203339882121779E-2</v>
      </c>
      <c r="AS66" s="231">
        <v>15281532</v>
      </c>
    </row>
    <row r="67" spans="2:45">
      <c r="B67" s="230">
        <v>43179</v>
      </c>
      <c r="C67" s="1">
        <v>359.55</v>
      </c>
      <c r="D67" s="1">
        <v>362.79976784677802</v>
      </c>
      <c r="E67" s="1">
        <v>1723</v>
      </c>
      <c r="F67" s="215">
        <v>32996.76</v>
      </c>
      <c r="G67" s="215">
        <f t="shared" si="5"/>
        <v>-4.2074855942959566E-3</v>
      </c>
      <c r="H67" s="215">
        <f t="shared" si="0"/>
        <v>-5.2569169960474227E-2</v>
      </c>
      <c r="I67" s="231">
        <v>625104</v>
      </c>
      <c r="K67" s="230">
        <v>43179</v>
      </c>
      <c r="L67" s="1">
        <v>469.75</v>
      </c>
      <c r="M67" s="1">
        <v>466.99532822552601</v>
      </c>
      <c r="N67" s="1">
        <v>37459</v>
      </c>
      <c r="O67" s="1">
        <v>32996.76</v>
      </c>
      <c r="P67" s="215">
        <f t="shared" si="6"/>
        <v>-4.2074855942959566E-3</v>
      </c>
      <c r="Q67" s="215">
        <f t="shared" si="1"/>
        <v>-1.9822639540949427E-2</v>
      </c>
      <c r="R67" s="231">
        <v>17493178</v>
      </c>
      <c r="T67" s="230">
        <v>43179</v>
      </c>
      <c r="U67" s="1">
        <v>174.5</v>
      </c>
      <c r="V67" s="1">
        <v>174.14467040618601</v>
      </c>
      <c r="W67" s="1">
        <v>257074</v>
      </c>
      <c r="X67" s="1">
        <v>32996.76</v>
      </c>
      <c r="Y67" s="215">
        <f t="shared" si="7"/>
        <v>-4.2074855942959566E-3</v>
      </c>
      <c r="Z67" s="215">
        <f t="shared" si="2"/>
        <v>-7.3947667804323824E-3</v>
      </c>
      <c r="AA67" s="231">
        <v>44768067</v>
      </c>
      <c r="AC67" s="230">
        <v>43179</v>
      </c>
      <c r="AD67" s="1">
        <v>42</v>
      </c>
      <c r="AE67" s="1">
        <v>41.594537444933898</v>
      </c>
      <c r="AF67" s="1">
        <v>5675</v>
      </c>
      <c r="AG67" s="1">
        <v>32996.76</v>
      </c>
      <c r="AH67" s="215">
        <f t="shared" si="8"/>
        <v>-4.2074855942959566E-3</v>
      </c>
      <c r="AI67" s="215">
        <f t="shared" si="3"/>
        <v>-1.1764705882352899E-2</v>
      </c>
      <c r="AJ67" s="231">
        <v>236049</v>
      </c>
      <c r="AL67" s="230">
        <v>44448</v>
      </c>
      <c r="AM67" s="1">
        <v>407.2</v>
      </c>
      <c r="AN67" s="1">
        <v>399.88809931308799</v>
      </c>
      <c r="AO67" s="1">
        <v>172948</v>
      </c>
      <c r="AP67" s="1">
        <v>58305.07</v>
      </c>
      <c r="AQ67" s="215">
        <f t="shared" si="9"/>
        <v>2.1882932584547099E-3</v>
      </c>
      <c r="AR67" s="215">
        <f t="shared" si="4"/>
        <v>-1.4997581035316898E-2</v>
      </c>
      <c r="AS67" s="231">
        <v>69159847</v>
      </c>
    </row>
    <row r="68" spans="2:45">
      <c r="B68" s="230">
        <v>43180</v>
      </c>
      <c r="C68" s="1">
        <v>379.5</v>
      </c>
      <c r="D68" s="1">
        <v>374.539952459316</v>
      </c>
      <c r="E68" s="1">
        <v>5469</v>
      </c>
      <c r="F68" s="215">
        <v>33136.18</v>
      </c>
      <c r="G68" s="215">
        <f t="shared" si="5"/>
        <v>3.9359188420868829E-3</v>
      </c>
      <c r="H68" s="215">
        <f t="shared" si="0"/>
        <v>-6.5445026178010401E-3</v>
      </c>
      <c r="I68" s="231">
        <v>2048359</v>
      </c>
      <c r="K68" s="230">
        <v>43180</v>
      </c>
      <c r="L68" s="1">
        <v>479.25</v>
      </c>
      <c r="M68" s="1">
        <v>487.810874615432</v>
      </c>
      <c r="N68" s="1">
        <v>79635</v>
      </c>
      <c r="O68" s="1">
        <v>33136.18</v>
      </c>
      <c r="P68" s="215">
        <f t="shared" si="6"/>
        <v>3.9359188420868829E-3</v>
      </c>
      <c r="Q68" s="215">
        <f t="shared" si="1"/>
        <v>3.0534351145038219E-2</v>
      </c>
      <c r="R68" s="231">
        <v>38846819</v>
      </c>
      <c r="T68" s="230">
        <v>43180</v>
      </c>
      <c r="U68" s="1">
        <v>175.8</v>
      </c>
      <c r="V68" s="1">
        <v>177.83197343361701</v>
      </c>
      <c r="W68" s="1">
        <v>206878</v>
      </c>
      <c r="X68" s="1">
        <v>33136.18</v>
      </c>
      <c r="Y68" s="215">
        <f t="shared" si="7"/>
        <v>3.9359188420868829E-3</v>
      </c>
      <c r="Z68" s="215">
        <f t="shared" si="2"/>
        <v>2.2687609075043635E-2</v>
      </c>
      <c r="AA68" s="231">
        <v>36789523</v>
      </c>
      <c r="AC68" s="230">
        <v>43180</v>
      </c>
      <c r="AD68" s="1">
        <v>42.5</v>
      </c>
      <c r="AE68" s="1">
        <v>42.086628165259803</v>
      </c>
      <c r="AF68" s="1">
        <v>4502</v>
      </c>
      <c r="AG68" s="1">
        <v>33136.18</v>
      </c>
      <c r="AH68" s="215">
        <f t="shared" si="8"/>
        <v>3.9359188420868829E-3</v>
      </c>
      <c r="AI68" s="215">
        <f t="shared" si="3"/>
        <v>1.7964071856287456E-2</v>
      </c>
      <c r="AJ68" s="231">
        <v>189474</v>
      </c>
      <c r="AL68" s="230">
        <v>44452</v>
      </c>
      <c r="AM68" s="1">
        <v>413.4</v>
      </c>
      <c r="AN68" s="1">
        <v>411.48127047849499</v>
      </c>
      <c r="AO68" s="1">
        <v>101631</v>
      </c>
      <c r="AP68" s="1">
        <v>58177.760000000002</v>
      </c>
      <c r="AQ68" s="215">
        <f t="shared" si="9"/>
        <v>-1.1902740548925816E-3</v>
      </c>
      <c r="AR68" s="215">
        <f t="shared" si="4"/>
        <v>1.6349108789182498E-2</v>
      </c>
      <c r="AS68" s="231">
        <v>41819253</v>
      </c>
    </row>
    <row r="69" spans="2:45">
      <c r="B69" s="230">
        <v>43181</v>
      </c>
      <c r="C69" s="1">
        <v>382</v>
      </c>
      <c r="D69" s="1">
        <v>382.13650546021802</v>
      </c>
      <c r="E69" s="1">
        <v>2564</v>
      </c>
      <c r="F69" s="215">
        <v>33006.269999999997</v>
      </c>
      <c r="G69" s="215">
        <f t="shared" si="5"/>
        <v>1.256973899683822E-2</v>
      </c>
      <c r="H69" s="215">
        <f t="shared" si="0"/>
        <v>4.0871934604904681E-2</v>
      </c>
      <c r="I69" s="231">
        <v>979798</v>
      </c>
      <c r="K69" s="230">
        <v>43181</v>
      </c>
      <c r="L69" s="1">
        <v>465.05</v>
      </c>
      <c r="M69" s="1">
        <v>474.26326145773498</v>
      </c>
      <c r="N69" s="1">
        <v>36591</v>
      </c>
      <c r="O69" s="1">
        <v>33006.269999999997</v>
      </c>
      <c r="P69" s="215">
        <f t="shared" si="6"/>
        <v>1.256973899683822E-2</v>
      </c>
      <c r="Q69" s="215">
        <f t="shared" si="1"/>
        <v>5.1792378152210938E-2</v>
      </c>
      <c r="R69" s="231">
        <v>17353767</v>
      </c>
      <c r="T69" s="230">
        <v>43181</v>
      </c>
      <c r="U69" s="1">
        <v>171.9</v>
      </c>
      <c r="V69" s="1">
        <v>173.437377933639</v>
      </c>
      <c r="W69" s="1">
        <v>185350</v>
      </c>
      <c r="X69" s="1">
        <v>33006.269999999997</v>
      </c>
      <c r="Y69" s="215">
        <f t="shared" si="7"/>
        <v>1.256973899683822E-2</v>
      </c>
      <c r="Z69" s="215">
        <f t="shared" si="2"/>
        <v>1.296405421331781E-2</v>
      </c>
      <c r="AA69" s="231">
        <v>32146618</v>
      </c>
      <c r="AC69" s="230">
        <v>43181</v>
      </c>
      <c r="AD69" s="1">
        <v>41.75</v>
      </c>
      <c r="AE69" s="1">
        <v>41.532650695517702</v>
      </c>
      <c r="AF69" s="1">
        <v>5176</v>
      </c>
      <c r="AG69" s="1">
        <v>33006.269999999997</v>
      </c>
      <c r="AH69" s="215">
        <f t="shared" si="8"/>
        <v>1.256973899683822E-2</v>
      </c>
      <c r="AI69" s="215">
        <f t="shared" si="3"/>
        <v>1.1990407673860837E-3</v>
      </c>
      <c r="AJ69" s="231">
        <v>214973</v>
      </c>
      <c r="AL69" s="230">
        <v>44453</v>
      </c>
      <c r="AM69" s="1">
        <v>406.75</v>
      </c>
      <c r="AN69" s="1">
        <v>411.44272289128901</v>
      </c>
      <c r="AO69" s="1">
        <v>86937</v>
      </c>
      <c r="AP69" s="1">
        <v>58247.09</v>
      </c>
      <c r="AQ69" s="215">
        <f t="shared" si="9"/>
        <v>-8.1076984905454896E-3</v>
      </c>
      <c r="AR69" s="215">
        <f t="shared" si="4"/>
        <v>-1.2277470841006721E-3</v>
      </c>
      <c r="AS69" s="231">
        <v>35769596</v>
      </c>
    </row>
    <row r="70" spans="2:45">
      <c r="B70" s="230">
        <v>43182</v>
      </c>
      <c r="C70" s="1">
        <v>367</v>
      </c>
      <c r="D70" s="1">
        <v>357.81269191402203</v>
      </c>
      <c r="E70" s="1">
        <v>977</v>
      </c>
      <c r="F70" s="215">
        <v>32596.54</v>
      </c>
      <c r="G70" s="215">
        <f t="shared" si="5"/>
        <v>-1.4209888524336356E-2</v>
      </c>
      <c r="H70" s="215">
        <f t="shared" si="0"/>
        <v>1.8030513176144236E-2</v>
      </c>
      <c r="I70" s="231">
        <v>349583</v>
      </c>
      <c r="K70" s="230">
        <v>43182</v>
      </c>
      <c r="L70" s="1">
        <v>442.15</v>
      </c>
      <c r="M70" s="1">
        <v>444.35557341079698</v>
      </c>
      <c r="N70" s="1">
        <v>32359</v>
      </c>
      <c r="O70" s="1">
        <v>32596.54</v>
      </c>
      <c r="P70" s="215">
        <f t="shared" si="6"/>
        <v>-1.4209888524336356E-2</v>
      </c>
      <c r="Q70" s="215">
        <f t="shared" si="1"/>
        <v>7.8641440620013103E-3</v>
      </c>
      <c r="R70" s="231">
        <v>14378902</v>
      </c>
      <c r="T70" s="230">
        <v>43182</v>
      </c>
      <c r="U70" s="1">
        <v>169.7</v>
      </c>
      <c r="V70" s="1">
        <v>167.997286845302</v>
      </c>
      <c r="W70" s="1">
        <v>377789</v>
      </c>
      <c r="X70" s="1">
        <v>32596.54</v>
      </c>
      <c r="Y70" s="215">
        <f t="shared" si="7"/>
        <v>-1.4209888524336356E-2</v>
      </c>
      <c r="Z70" s="215">
        <f t="shared" si="2"/>
        <v>7.1216617210680955E-3</v>
      </c>
      <c r="AA70" s="231">
        <v>63467527</v>
      </c>
      <c r="AC70" s="230">
        <v>43182</v>
      </c>
      <c r="AD70" s="1">
        <v>41.7</v>
      </c>
      <c r="AE70" s="1">
        <v>40.070869597015999</v>
      </c>
      <c r="AF70" s="1">
        <v>13673</v>
      </c>
      <c r="AG70" s="1">
        <v>32596.54</v>
      </c>
      <c r="AH70" s="215">
        <f t="shared" si="8"/>
        <v>-1.4209888524336356E-2</v>
      </c>
      <c r="AI70" s="215">
        <f t="shared" si="3"/>
        <v>4.2499999999999982E-2</v>
      </c>
      <c r="AJ70" s="231">
        <v>547889</v>
      </c>
      <c r="AL70" s="230">
        <v>44454</v>
      </c>
      <c r="AM70" s="1">
        <v>407.25</v>
      </c>
      <c r="AN70" s="1">
        <v>406.50968336919698</v>
      </c>
      <c r="AO70" s="1">
        <v>22771</v>
      </c>
      <c r="AP70" s="1">
        <v>58723.199999999997</v>
      </c>
      <c r="AQ70" s="215">
        <f t="shared" si="9"/>
        <v>-7.0671593184848946E-3</v>
      </c>
      <c r="AR70" s="215">
        <f t="shared" si="4"/>
        <v>6.142506142505777E-4</v>
      </c>
      <c r="AS70" s="231">
        <v>9256632</v>
      </c>
    </row>
    <row r="71" spans="2:45">
      <c r="B71" s="230">
        <v>43185</v>
      </c>
      <c r="C71" s="1">
        <v>360.5</v>
      </c>
      <c r="D71" s="1">
        <v>361.78145695364202</v>
      </c>
      <c r="E71" s="1">
        <v>1057</v>
      </c>
      <c r="F71" s="215">
        <v>33066.410000000003</v>
      </c>
      <c r="G71" s="215">
        <f t="shared" si="5"/>
        <v>-3.2549204371201679E-3</v>
      </c>
      <c r="H71" s="215">
        <f t="shared" si="0"/>
        <v>-5.1315789473684204E-2</v>
      </c>
      <c r="I71" s="231">
        <v>382403</v>
      </c>
      <c r="K71" s="230">
        <v>43185</v>
      </c>
      <c r="L71" s="1">
        <v>438.7</v>
      </c>
      <c r="M71" s="1">
        <v>439.84559865273002</v>
      </c>
      <c r="N71" s="1">
        <v>37409</v>
      </c>
      <c r="O71" s="1">
        <v>33066.410000000003</v>
      </c>
      <c r="P71" s="215">
        <f t="shared" si="6"/>
        <v>-3.2549204371201679E-3</v>
      </c>
      <c r="Q71" s="215">
        <f t="shared" si="1"/>
        <v>-7.4660633484162631E-3</v>
      </c>
      <c r="R71" s="231">
        <v>16454184</v>
      </c>
      <c r="T71" s="230">
        <v>43185</v>
      </c>
      <c r="U71" s="1">
        <v>168.5</v>
      </c>
      <c r="V71" s="1">
        <v>168.524902396703</v>
      </c>
      <c r="W71" s="1">
        <v>516376</v>
      </c>
      <c r="X71" s="1">
        <v>33066.410000000003</v>
      </c>
      <c r="Y71" s="215">
        <f t="shared" si="7"/>
        <v>-3.2549204371201679E-3</v>
      </c>
      <c r="Z71" s="215">
        <f t="shared" si="2"/>
        <v>-3.6592338479131015E-2</v>
      </c>
      <c r="AA71" s="231">
        <v>87022215</v>
      </c>
      <c r="AC71" s="230">
        <v>43185</v>
      </c>
      <c r="AD71" s="1">
        <v>40</v>
      </c>
      <c r="AE71" s="1">
        <v>40</v>
      </c>
      <c r="AF71" s="1">
        <v>1647</v>
      </c>
      <c r="AG71" s="1">
        <v>33066.410000000003</v>
      </c>
      <c r="AH71" s="215">
        <f t="shared" si="8"/>
        <v>-3.2549204371201679E-3</v>
      </c>
      <c r="AI71" s="215">
        <f t="shared" si="3"/>
        <v>-2.3199023199023228E-2</v>
      </c>
      <c r="AJ71" s="231">
        <v>65880</v>
      </c>
      <c r="AL71" s="230">
        <v>44455</v>
      </c>
      <c r="AM71" s="1">
        <v>407</v>
      </c>
      <c r="AN71" s="1">
        <v>407.19592736940598</v>
      </c>
      <c r="AO71" s="1">
        <v>33099</v>
      </c>
      <c r="AP71" s="1">
        <v>59141.16</v>
      </c>
      <c r="AQ71" s="215">
        <f t="shared" si="9"/>
        <v>2.122648662927995E-3</v>
      </c>
      <c r="AR71" s="215">
        <f t="shared" si="4"/>
        <v>1.6737446914813825E-2</v>
      </c>
      <c r="AS71" s="231">
        <v>13477778</v>
      </c>
    </row>
    <row r="72" spans="2:45">
      <c r="B72" s="230">
        <v>43186</v>
      </c>
      <c r="C72" s="1">
        <v>380</v>
      </c>
      <c r="D72" s="1">
        <v>374.26164079822598</v>
      </c>
      <c r="E72" s="1">
        <v>451</v>
      </c>
      <c r="F72" s="215">
        <v>33174.39</v>
      </c>
      <c r="G72" s="215">
        <f t="shared" si="5"/>
        <v>6.239558271668777E-3</v>
      </c>
      <c r="H72" s="215">
        <f t="shared" si="0"/>
        <v>-2.3763648041104646E-2</v>
      </c>
      <c r="I72" s="231">
        <v>168792</v>
      </c>
      <c r="K72" s="230">
        <v>43186</v>
      </c>
      <c r="L72" s="1">
        <v>442</v>
      </c>
      <c r="M72" s="1">
        <v>446.82942388850699</v>
      </c>
      <c r="N72" s="1">
        <v>20378</v>
      </c>
      <c r="O72" s="1">
        <v>33174.39</v>
      </c>
      <c r="P72" s="215">
        <f t="shared" si="6"/>
        <v>6.239558271668777E-3</v>
      </c>
      <c r="Q72" s="215">
        <f t="shared" si="1"/>
        <v>2.350353131874483E-2</v>
      </c>
      <c r="R72" s="231">
        <v>9105490</v>
      </c>
      <c r="T72" s="230">
        <v>43186</v>
      </c>
      <c r="U72" s="1">
        <v>174.9</v>
      </c>
      <c r="V72" s="1">
        <v>174.69960849633</v>
      </c>
      <c r="W72" s="1">
        <v>256958</v>
      </c>
      <c r="X72" s="1">
        <v>33174.39</v>
      </c>
      <c r="Y72" s="215">
        <f t="shared" si="7"/>
        <v>6.239558271668777E-3</v>
      </c>
      <c r="Z72" s="215">
        <f t="shared" si="2"/>
        <v>3.3687943262411535E-2</v>
      </c>
      <c r="AA72" s="231">
        <v>44890462</v>
      </c>
      <c r="AC72" s="230">
        <v>43186</v>
      </c>
      <c r="AD72" s="1">
        <v>40.950000000000003</v>
      </c>
      <c r="AE72" s="1">
        <v>39.708722741433</v>
      </c>
      <c r="AF72" s="1">
        <v>3210</v>
      </c>
      <c r="AG72" s="1">
        <v>33174.39</v>
      </c>
      <c r="AH72" s="215">
        <f t="shared" si="8"/>
        <v>6.239558271668777E-3</v>
      </c>
      <c r="AI72" s="215">
        <f t="shared" si="3"/>
        <v>4.1984732824427606E-2</v>
      </c>
      <c r="AJ72" s="231">
        <v>127465</v>
      </c>
      <c r="AL72" s="230">
        <v>44456</v>
      </c>
      <c r="AM72" s="1">
        <v>400.3</v>
      </c>
      <c r="AN72" s="1">
        <v>399.37690675825797</v>
      </c>
      <c r="AO72" s="1">
        <v>89091</v>
      </c>
      <c r="AP72" s="1">
        <v>59015.89</v>
      </c>
      <c r="AQ72" s="215">
        <f t="shared" si="9"/>
        <v>8.9750667325685374E-3</v>
      </c>
      <c r="AR72" s="215">
        <f t="shared" si="4"/>
        <v>4.5579208567323892E-2</v>
      </c>
      <c r="AS72" s="231">
        <v>35580888</v>
      </c>
    </row>
    <row r="73" spans="2:45">
      <c r="B73" s="230">
        <v>43187</v>
      </c>
      <c r="C73" s="1">
        <v>389.25</v>
      </c>
      <c r="D73" s="1">
        <v>382.85750636132298</v>
      </c>
      <c r="E73" s="1">
        <v>393</v>
      </c>
      <c r="F73" s="215">
        <v>32968.68</v>
      </c>
      <c r="G73" s="215">
        <f t="shared" si="5"/>
        <v>-8.620565226177046E-3</v>
      </c>
      <c r="H73" s="215">
        <f t="shared" si="0"/>
        <v>0</v>
      </c>
      <c r="I73" s="231">
        <v>150463</v>
      </c>
      <c r="K73" s="230">
        <v>43187</v>
      </c>
      <c r="L73" s="1">
        <v>431.85</v>
      </c>
      <c r="M73" s="1">
        <v>433.04529980232797</v>
      </c>
      <c r="N73" s="1">
        <v>18212</v>
      </c>
      <c r="O73" s="1">
        <v>32968.68</v>
      </c>
      <c r="P73" s="215">
        <f t="shared" si="6"/>
        <v>-8.620565226177046E-3</v>
      </c>
      <c r="Q73" s="215">
        <f t="shared" si="1"/>
        <v>-4.752977503308331E-2</v>
      </c>
      <c r="R73" s="231">
        <v>7886621</v>
      </c>
      <c r="T73" s="230">
        <v>43187</v>
      </c>
      <c r="U73" s="1">
        <v>169.2</v>
      </c>
      <c r="V73" s="1">
        <v>170.33117145657999</v>
      </c>
      <c r="W73" s="1">
        <v>180553</v>
      </c>
      <c r="X73" s="1">
        <v>32968.68</v>
      </c>
      <c r="Y73" s="215">
        <f t="shared" si="7"/>
        <v>-8.620565226177046E-3</v>
      </c>
      <c r="Z73" s="215">
        <f t="shared" si="2"/>
        <v>-4.7297297297297369E-2</v>
      </c>
      <c r="AA73" s="231">
        <v>30753804</v>
      </c>
      <c r="AC73" s="230">
        <v>43187</v>
      </c>
      <c r="AD73" s="1">
        <v>39.299999999999997</v>
      </c>
      <c r="AE73" s="1">
        <v>39.488397790055203</v>
      </c>
      <c r="AF73" s="1">
        <v>1810</v>
      </c>
      <c r="AG73" s="1">
        <v>32968.68</v>
      </c>
      <c r="AH73" s="215">
        <f t="shared" si="8"/>
        <v>-8.620565226177046E-3</v>
      </c>
      <c r="AI73" s="215">
        <f t="shared" si="3"/>
        <v>-4.1463414634146378E-2</v>
      </c>
      <c r="AJ73" s="231">
        <v>71474</v>
      </c>
      <c r="AL73" s="230">
        <v>44459</v>
      </c>
      <c r="AM73" s="1">
        <v>382.85</v>
      </c>
      <c r="AN73" s="1">
        <v>389.90422805893598</v>
      </c>
      <c r="AO73" s="1">
        <v>40586</v>
      </c>
      <c r="AP73" s="1">
        <v>58490.93</v>
      </c>
      <c r="AQ73" s="215">
        <f t="shared" si="9"/>
        <v>-8.7168485120057149E-3</v>
      </c>
      <c r="AR73" s="215">
        <f t="shared" si="4"/>
        <v>1.821808510638312E-2</v>
      </c>
      <c r="AS73" s="231">
        <v>15824653</v>
      </c>
    </row>
    <row r="74" spans="2:45">
      <c r="B74" s="230">
        <v>43192</v>
      </c>
      <c r="C74" s="1">
        <v>389.25</v>
      </c>
      <c r="D74" s="1">
        <v>389.25</v>
      </c>
      <c r="E74" s="1">
        <v>108</v>
      </c>
      <c r="F74" s="215">
        <v>33255.360000000001</v>
      </c>
      <c r="G74" s="215">
        <f t="shared" si="5"/>
        <v>-3.454235056395305E-3</v>
      </c>
      <c r="H74" s="215">
        <f t="shared" si="0"/>
        <v>1.4596637560276404E-2</v>
      </c>
      <c r="I74" s="231">
        <v>42039</v>
      </c>
      <c r="K74" s="230">
        <v>43192</v>
      </c>
      <c r="L74" s="1">
        <v>453.4</v>
      </c>
      <c r="M74" s="1">
        <v>448.17337941736599</v>
      </c>
      <c r="N74" s="1">
        <v>14177</v>
      </c>
      <c r="O74" s="1">
        <v>33255.360000000001</v>
      </c>
      <c r="P74" s="215">
        <f t="shared" si="6"/>
        <v>-3.454235056395305E-3</v>
      </c>
      <c r="Q74" s="215">
        <f t="shared" si="1"/>
        <v>-4.7579035815565662E-2</v>
      </c>
      <c r="R74" s="231">
        <v>6353754</v>
      </c>
      <c r="T74" s="230">
        <v>43192</v>
      </c>
      <c r="U74" s="1">
        <v>177.6</v>
      </c>
      <c r="V74" s="1">
        <v>174.69365893449799</v>
      </c>
      <c r="W74" s="1">
        <v>213308</v>
      </c>
      <c r="X74" s="1">
        <v>33255.360000000001</v>
      </c>
      <c r="Y74" s="215">
        <f t="shared" si="7"/>
        <v>-3.454235056395305E-3</v>
      </c>
      <c r="Z74" s="215">
        <f t="shared" si="2"/>
        <v>-2.2026431718061623E-2</v>
      </c>
      <c r="AA74" s="231">
        <v>37263555</v>
      </c>
      <c r="AC74" s="230">
        <v>43192</v>
      </c>
      <c r="AD74" s="1">
        <v>41</v>
      </c>
      <c r="AE74" s="1">
        <v>40.514988470407303</v>
      </c>
      <c r="AF74" s="1">
        <v>1301</v>
      </c>
      <c r="AG74" s="1">
        <v>33255.360000000001</v>
      </c>
      <c r="AH74" s="215">
        <f t="shared" si="8"/>
        <v>-3.454235056395305E-3</v>
      </c>
      <c r="AI74" s="215">
        <f t="shared" si="3"/>
        <v>4.9019607843137081E-3</v>
      </c>
      <c r="AJ74" s="231">
        <v>52710</v>
      </c>
      <c r="AL74" s="230">
        <v>44460</v>
      </c>
      <c r="AM74" s="1">
        <v>376</v>
      </c>
      <c r="AN74" s="1">
        <v>373.92495479204302</v>
      </c>
      <c r="AO74" s="1">
        <v>136038</v>
      </c>
      <c r="AP74" s="1">
        <v>59005.27</v>
      </c>
      <c r="AQ74" s="215">
        <f t="shared" si="9"/>
        <v>1.3226460455615374E-3</v>
      </c>
      <c r="AR74" s="215">
        <f t="shared" si="4"/>
        <v>-9.2998538594402103E-4</v>
      </c>
      <c r="AS74" s="231">
        <v>50868003</v>
      </c>
    </row>
    <row r="75" spans="2:45">
      <c r="B75" s="230">
        <v>43193</v>
      </c>
      <c r="C75" s="1">
        <v>383.65</v>
      </c>
      <c r="D75" s="1">
        <v>385.15328467153199</v>
      </c>
      <c r="E75" s="1">
        <v>274</v>
      </c>
      <c r="F75" s="215">
        <v>33370.629999999997</v>
      </c>
      <c r="G75" s="215">
        <f t="shared" si="5"/>
        <v>1.0647180553540636E-2</v>
      </c>
      <c r="H75" s="215">
        <f t="shared" si="0"/>
        <v>1.7234522073445557E-2</v>
      </c>
      <c r="I75" s="231">
        <v>105532</v>
      </c>
      <c r="K75" s="230">
        <v>43193</v>
      </c>
      <c r="L75" s="1">
        <v>476.05</v>
      </c>
      <c r="M75" s="1">
        <v>471.56420972272502</v>
      </c>
      <c r="N75" s="1">
        <v>102173</v>
      </c>
      <c r="O75" s="1">
        <v>33370.629999999997</v>
      </c>
      <c r="P75" s="215">
        <f t="shared" si="6"/>
        <v>1.0647180553540636E-2</v>
      </c>
      <c r="Q75" s="215">
        <f t="shared" si="1"/>
        <v>-1.2241933810561267E-2</v>
      </c>
      <c r="R75" s="231">
        <v>48181130</v>
      </c>
      <c r="T75" s="230">
        <v>43193</v>
      </c>
      <c r="U75" s="1">
        <v>181.6</v>
      </c>
      <c r="V75" s="1">
        <v>178.506055886334</v>
      </c>
      <c r="W75" s="1">
        <v>304332</v>
      </c>
      <c r="X75" s="1">
        <v>33370.629999999997</v>
      </c>
      <c r="Y75" s="215">
        <f t="shared" si="7"/>
        <v>1.0647180553540636E-2</v>
      </c>
      <c r="Z75" s="215">
        <f t="shared" si="2"/>
        <v>-9.2744135297327945E-3</v>
      </c>
      <c r="AA75" s="231">
        <v>54325105</v>
      </c>
      <c r="AC75" s="230">
        <v>43193</v>
      </c>
      <c r="AD75" s="1">
        <v>40.799999999999997</v>
      </c>
      <c r="AE75" s="1">
        <v>39.951195219123498</v>
      </c>
      <c r="AF75" s="1">
        <v>2008</v>
      </c>
      <c r="AG75" s="1">
        <v>33370.629999999997</v>
      </c>
      <c r="AH75" s="215">
        <f t="shared" si="8"/>
        <v>1.0647180553540636E-2</v>
      </c>
      <c r="AI75" s="215">
        <f t="shared" si="3"/>
        <v>2.5125628140703515E-2</v>
      </c>
      <c r="AJ75" s="231">
        <v>80222</v>
      </c>
      <c r="AL75" s="230">
        <v>44461</v>
      </c>
      <c r="AM75" s="1">
        <v>376.35</v>
      </c>
      <c r="AN75" s="1">
        <v>379.17087141319598</v>
      </c>
      <c r="AO75" s="1">
        <v>54819</v>
      </c>
      <c r="AP75" s="1">
        <v>58927.33</v>
      </c>
      <c r="AQ75" s="215">
        <f t="shared" si="9"/>
        <v>-1.5997733001855474E-2</v>
      </c>
      <c r="AR75" s="215">
        <f t="shared" si="4"/>
        <v>-1.6207031760554158E-2</v>
      </c>
      <c r="AS75" s="231">
        <v>20785768</v>
      </c>
    </row>
    <row r="76" spans="2:45">
      <c r="B76" s="230">
        <v>43194</v>
      </c>
      <c r="C76" s="1">
        <v>377.15</v>
      </c>
      <c r="D76" s="1">
        <v>384.96841066140098</v>
      </c>
      <c r="E76" s="1">
        <v>1013</v>
      </c>
      <c r="F76" s="215">
        <v>33019.07</v>
      </c>
      <c r="G76" s="215">
        <f t="shared" si="5"/>
        <v>-1.7195982950757305E-2</v>
      </c>
      <c r="H76" s="215">
        <f t="shared" si="0"/>
        <v>-3.2948717948718009E-2</v>
      </c>
      <c r="I76" s="231">
        <v>389973</v>
      </c>
      <c r="K76" s="230">
        <v>43194</v>
      </c>
      <c r="L76" s="1">
        <v>481.95</v>
      </c>
      <c r="M76" s="1">
        <v>490.211806050728</v>
      </c>
      <c r="N76" s="1">
        <v>98170</v>
      </c>
      <c r="O76" s="1">
        <v>33019.07</v>
      </c>
      <c r="P76" s="215">
        <f t="shared" si="6"/>
        <v>-1.7195982950757305E-2</v>
      </c>
      <c r="Q76" s="215">
        <f t="shared" si="1"/>
        <v>-4.7529644268774707E-2</v>
      </c>
      <c r="R76" s="231">
        <v>48124093</v>
      </c>
      <c r="T76" s="230">
        <v>43194</v>
      </c>
      <c r="U76" s="1">
        <v>183.3</v>
      </c>
      <c r="V76" s="1">
        <v>187.38773091043399</v>
      </c>
      <c r="W76" s="1">
        <v>790458</v>
      </c>
      <c r="X76" s="1">
        <v>33019.07</v>
      </c>
      <c r="Y76" s="215">
        <f t="shared" si="7"/>
        <v>-1.7195982950757305E-2</v>
      </c>
      <c r="Z76" s="215">
        <f t="shared" si="2"/>
        <v>-6.6225165562913912E-2</v>
      </c>
      <c r="AA76" s="231">
        <v>148122131</v>
      </c>
      <c r="AC76" s="230">
        <v>43194</v>
      </c>
      <c r="AD76" s="1">
        <v>39.799999999999997</v>
      </c>
      <c r="AE76" s="1">
        <v>39.834378093038602</v>
      </c>
      <c r="AF76" s="1">
        <v>3031</v>
      </c>
      <c r="AG76" s="1">
        <v>33019.07</v>
      </c>
      <c r="AH76" s="215">
        <f t="shared" si="8"/>
        <v>-1.7195982950757305E-2</v>
      </c>
      <c r="AI76" s="215">
        <f t="shared" si="3"/>
        <v>7.5949367088605779E-3</v>
      </c>
      <c r="AJ76" s="231">
        <v>120738</v>
      </c>
      <c r="AL76" s="230">
        <v>44462</v>
      </c>
      <c r="AM76" s="1">
        <v>382.55</v>
      </c>
      <c r="AN76" s="1">
        <v>383.34604060126998</v>
      </c>
      <c r="AO76" s="1">
        <v>25812</v>
      </c>
      <c r="AP76" s="1">
        <v>59885.36</v>
      </c>
      <c r="AQ76" s="215">
        <f t="shared" si="9"/>
        <v>-2.7163056777300687E-3</v>
      </c>
      <c r="AR76" s="215">
        <f t="shared" si="4"/>
        <v>2.1222637479978657E-2</v>
      </c>
      <c r="AS76" s="231">
        <v>9894928</v>
      </c>
    </row>
    <row r="77" spans="2:45">
      <c r="B77" s="230">
        <v>43195</v>
      </c>
      <c r="C77" s="1">
        <v>390</v>
      </c>
      <c r="D77" s="1">
        <v>386.402919708029</v>
      </c>
      <c r="E77" s="1">
        <v>1370</v>
      </c>
      <c r="F77" s="215">
        <v>33596.800000000003</v>
      </c>
      <c r="G77" s="215">
        <f t="shared" si="5"/>
        <v>-8.9719650625663672E-4</v>
      </c>
      <c r="H77" s="215">
        <f t="shared" si="0"/>
        <v>-9.7752951631332463E-3</v>
      </c>
      <c r="I77" s="231">
        <v>529372</v>
      </c>
      <c r="K77" s="230">
        <v>43195</v>
      </c>
      <c r="L77" s="1">
        <v>506</v>
      </c>
      <c r="M77" s="1">
        <v>503.87034430283398</v>
      </c>
      <c r="N77" s="1">
        <v>26285</v>
      </c>
      <c r="O77" s="1">
        <v>33596.800000000003</v>
      </c>
      <c r="P77" s="215">
        <f t="shared" si="6"/>
        <v>-8.9719650625663672E-4</v>
      </c>
      <c r="Q77" s="215">
        <f t="shared" si="1"/>
        <v>-5.6937843630602836E-2</v>
      </c>
      <c r="R77" s="231">
        <v>13244232</v>
      </c>
      <c r="T77" s="230">
        <v>43195</v>
      </c>
      <c r="U77" s="1">
        <v>196.3</v>
      </c>
      <c r="V77" s="1">
        <v>192.440703582118</v>
      </c>
      <c r="W77" s="1">
        <v>607406</v>
      </c>
      <c r="X77" s="1">
        <v>33596.800000000003</v>
      </c>
      <c r="Y77" s="215">
        <f t="shared" si="7"/>
        <v>-8.9719650625663672E-4</v>
      </c>
      <c r="Z77" s="215">
        <f t="shared" si="2"/>
        <v>1.7861699413117549E-3</v>
      </c>
      <c r="AA77" s="231">
        <v>116889638</v>
      </c>
      <c r="AC77" s="230">
        <v>43195</v>
      </c>
      <c r="AD77" s="1">
        <v>39.5</v>
      </c>
      <c r="AE77" s="1">
        <v>39.509884473905601</v>
      </c>
      <c r="AF77" s="1">
        <v>502657</v>
      </c>
      <c r="AG77" s="1">
        <v>33596.800000000003</v>
      </c>
      <c r="AH77" s="215">
        <f t="shared" si="8"/>
        <v>-8.9719650625663672E-4</v>
      </c>
      <c r="AI77" s="215">
        <f t="shared" si="3"/>
        <v>-2.7093596059113323E-2</v>
      </c>
      <c r="AJ77" s="231">
        <v>19859920</v>
      </c>
      <c r="AL77" s="230">
        <v>44463</v>
      </c>
      <c r="AM77" s="1">
        <v>374.6</v>
      </c>
      <c r="AN77" s="1">
        <v>377.11009981896302</v>
      </c>
      <c r="AO77" s="1">
        <v>60209</v>
      </c>
      <c r="AP77" s="1">
        <v>60048.47</v>
      </c>
      <c r="AQ77" s="215">
        <f t="shared" si="9"/>
        <v>-4.895312550975417E-4</v>
      </c>
      <c r="AR77" s="215">
        <f t="shared" si="4"/>
        <v>1.5726681127982589E-2</v>
      </c>
      <c r="AS77" s="231">
        <v>22705422</v>
      </c>
    </row>
    <row r="78" spans="2:45">
      <c r="B78" s="230">
        <v>43196</v>
      </c>
      <c r="C78" s="1">
        <v>393.85</v>
      </c>
      <c r="D78" s="1">
        <v>387.472972972972</v>
      </c>
      <c r="E78" s="1">
        <v>370</v>
      </c>
      <c r="F78" s="215">
        <v>33626.97</v>
      </c>
      <c r="G78" s="215">
        <f t="shared" si="5"/>
        <v>-4.7817987992377908E-3</v>
      </c>
      <c r="H78" s="215">
        <f t="shared" ref="H78:H141" si="10">IF(ISERROR(C78/C79-1),"NA",C78/C79-1)</f>
        <v>2.1262803059769242E-2</v>
      </c>
      <c r="I78" s="231">
        <v>143365</v>
      </c>
      <c r="K78" s="230">
        <v>43196</v>
      </c>
      <c r="L78" s="1">
        <v>536.54999999999995</v>
      </c>
      <c r="M78" s="1">
        <v>542.08410993353596</v>
      </c>
      <c r="N78" s="1">
        <v>139175</v>
      </c>
      <c r="O78" s="1">
        <v>33626.97</v>
      </c>
      <c r="P78" s="215">
        <f t="shared" si="6"/>
        <v>-4.7817987992377908E-3</v>
      </c>
      <c r="Q78" s="215">
        <f t="shared" ref="Q78:Q141" si="11">IF(ISERROR(L78/L79-1),"NA",L78/L79-1)</f>
        <v>2.7097738740420318E-3</v>
      </c>
      <c r="R78" s="231">
        <v>75444556</v>
      </c>
      <c r="T78" s="230">
        <v>43196</v>
      </c>
      <c r="U78" s="1">
        <v>195.95</v>
      </c>
      <c r="V78" s="1">
        <v>195.08350335137601</v>
      </c>
      <c r="W78" s="1">
        <v>350453</v>
      </c>
      <c r="X78" s="1">
        <v>33626.97</v>
      </c>
      <c r="Y78" s="215">
        <f t="shared" si="7"/>
        <v>-4.7817987992377908E-3</v>
      </c>
      <c r="Z78" s="215">
        <f t="shared" ref="Z78:Z141" si="12">IF(ISERROR(U78/U79-1),"NA",U78/U79-1)</f>
        <v>-4.3679843826256781E-2</v>
      </c>
      <c r="AA78" s="231">
        <v>68367599</v>
      </c>
      <c r="AC78" s="230">
        <v>43196</v>
      </c>
      <c r="AD78" s="1">
        <v>40.6</v>
      </c>
      <c r="AE78" s="1">
        <v>40.64</v>
      </c>
      <c r="AF78" s="1">
        <v>225</v>
      </c>
      <c r="AG78" s="1">
        <v>33626.97</v>
      </c>
      <c r="AH78" s="215">
        <f t="shared" si="8"/>
        <v>-4.7817987992377908E-3</v>
      </c>
      <c r="AI78" s="215">
        <f t="shared" ref="AI78:AI141" si="13">IF(ISERROR(AD78/AD79-1),"NA",AD78/AD79-1)</f>
        <v>-1.5757575757575748E-2</v>
      </c>
      <c r="AJ78" s="231">
        <v>9144</v>
      </c>
      <c r="AL78" s="230">
        <v>44466</v>
      </c>
      <c r="AM78" s="1">
        <v>368.8</v>
      </c>
      <c r="AN78" s="1">
        <v>368.69614423828602</v>
      </c>
      <c r="AO78" s="1">
        <v>104882</v>
      </c>
      <c r="AP78" s="1">
        <v>60077.88</v>
      </c>
      <c r="AQ78" s="215">
        <f t="shared" si="9"/>
        <v>6.876093558312979E-3</v>
      </c>
      <c r="AR78" s="215">
        <f t="shared" ref="AR78:AR141" si="14">IF(ISERROR(AM78/AM79-1),"NA",AM78/AM79-1)</f>
        <v>-1.2186865267433955E-3</v>
      </c>
      <c r="AS78" s="231">
        <v>38669589</v>
      </c>
    </row>
    <row r="79" spans="2:45">
      <c r="B79" s="230">
        <v>43199</v>
      </c>
      <c r="C79" s="1">
        <v>385.65</v>
      </c>
      <c r="D79" s="1">
        <v>388.19503594194998</v>
      </c>
      <c r="E79" s="1">
        <v>7373</v>
      </c>
      <c r="F79" s="215">
        <v>33788.54</v>
      </c>
      <c r="G79" s="215">
        <f t="shared" ref="G79:G142" si="15">IF(ISERROR(F79/F80-1),"NA",F79/F80-1)</f>
        <v>-2.706886755558191E-3</v>
      </c>
      <c r="H79" s="215">
        <f t="shared" si="10"/>
        <v>1.3668024707583104E-2</v>
      </c>
      <c r="I79" s="231">
        <v>2862162</v>
      </c>
      <c r="K79" s="230">
        <v>43199</v>
      </c>
      <c r="L79" s="1">
        <v>535.1</v>
      </c>
      <c r="M79" s="1">
        <v>541.478411822309</v>
      </c>
      <c r="N79" s="1">
        <v>33699</v>
      </c>
      <c r="O79" s="1">
        <v>33788.54</v>
      </c>
      <c r="P79" s="215">
        <f t="shared" ref="P79:P142" si="16">IF(ISERROR(O79/O80-1),"NA",O79/O80-1)</f>
        <v>-2.706886755558191E-3</v>
      </c>
      <c r="Q79" s="215">
        <f t="shared" si="11"/>
        <v>1.6720501615048677E-2</v>
      </c>
      <c r="R79" s="231">
        <v>18247281</v>
      </c>
      <c r="T79" s="230">
        <v>43199</v>
      </c>
      <c r="U79" s="1">
        <v>204.9</v>
      </c>
      <c r="V79" s="1">
        <v>201.88502923349199</v>
      </c>
      <c r="W79" s="1">
        <v>466075</v>
      </c>
      <c r="X79" s="1">
        <v>33788.54</v>
      </c>
      <c r="Y79" s="215">
        <f t="shared" ref="Y79:Y142" si="17">IF(ISERROR(X79/X80-1),"NA",X79/X80-1)</f>
        <v>-2.706886755558191E-3</v>
      </c>
      <c r="Z79" s="215">
        <f t="shared" si="12"/>
        <v>7.870142646335454E-3</v>
      </c>
      <c r="AA79" s="231">
        <v>94093565</v>
      </c>
      <c r="AC79" s="230">
        <v>43199</v>
      </c>
      <c r="AD79" s="1">
        <v>41.25</v>
      </c>
      <c r="AE79" s="1">
        <v>39.737491432488</v>
      </c>
      <c r="AF79" s="1">
        <v>1459</v>
      </c>
      <c r="AG79" s="1">
        <v>33788.54</v>
      </c>
      <c r="AH79" s="215">
        <f t="shared" ref="AH79:AH142" si="18">IF(ISERROR(AG79/AG80-1),"NA",AG79/AG80-1)</f>
        <v>-2.706886755558191E-3</v>
      </c>
      <c r="AI79" s="215">
        <f t="shared" si="13"/>
        <v>3.125E-2</v>
      </c>
      <c r="AJ79" s="231">
        <v>57977</v>
      </c>
      <c r="AL79" s="230">
        <v>44467</v>
      </c>
      <c r="AM79" s="1">
        <v>369.25</v>
      </c>
      <c r="AN79" s="1">
        <v>371.47457220534102</v>
      </c>
      <c r="AO79" s="1">
        <v>75036</v>
      </c>
      <c r="AP79" s="1">
        <v>59667.6</v>
      </c>
      <c r="AQ79" s="215">
        <f t="shared" ref="AQ79:AQ142" si="19">IF(ISERROR(AP79/AP80-1),"NA",AP79/AP80-1)</f>
        <v>4.2806935218344666E-3</v>
      </c>
      <c r="AR79" s="215">
        <f t="shared" si="14"/>
        <v>1.2198464912280604E-2</v>
      </c>
      <c r="AS79" s="231">
        <v>27873966</v>
      </c>
    </row>
    <row r="80" spans="2:45">
      <c r="B80" s="230">
        <v>43200</v>
      </c>
      <c r="C80" s="1">
        <v>380.45</v>
      </c>
      <c r="D80" s="1">
        <v>386.29695885509801</v>
      </c>
      <c r="E80" s="1">
        <v>559</v>
      </c>
      <c r="F80" s="215">
        <v>33880.25</v>
      </c>
      <c r="G80" s="215">
        <f t="shared" si="15"/>
        <v>-1.7734006983999295E-3</v>
      </c>
      <c r="H80" s="215">
        <f t="shared" si="10"/>
        <v>-1.1818181818181839E-2</v>
      </c>
      <c r="I80" s="231">
        <v>215940</v>
      </c>
      <c r="K80" s="230">
        <v>43200</v>
      </c>
      <c r="L80" s="1">
        <v>526.29999999999995</v>
      </c>
      <c r="M80" s="1">
        <v>528.65058225567702</v>
      </c>
      <c r="N80" s="1">
        <v>15543</v>
      </c>
      <c r="O80" s="1">
        <v>33880.25</v>
      </c>
      <c r="P80" s="215">
        <f t="shared" si="16"/>
        <v>-1.7734006983999295E-3</v>
      </c>
      <c r="Q80" s="215">
        <f t="shared" si="11"/>
        <v>-2.6271970397779953E-2</v>
      </c>
      <c r="R80" s="231">
        <v>8216816</v>
      </c>
      <c r="T80" s="230">
        <v>43200</v>
      </c>
      <c r="U80" s="1">
        <v>203.3</v>
      </c>
      <c r="V80" s="1">
        <v>203.897817582274</v>
      </c>
      <c r="W80" s="1">
        <v>276574</v>
      </c>
      <c r="X80" s="1">
        <v>33880.25</v>
      </c>
      <c r="Y80" s="215">
        <f t="shared" si="17"/>
        <v>-1.7734006983999295E-3</v>
      </c>
      <c r="Z80" s="215">
        <f t="shared" si="12"/>
        <v>2.1094927172275346E-2</v>
      </c>
      <c r="AA80" s="231">
        <v>56392835</v>
      </c>
      <c r="AC80" s="230">
        <v>43200</v>
      </c>
      <c r="AD80" s="1">
        <v>40</v>
      </c>
      <c r="AE80" s="1">
        <v>40.028571428571396</v>
      </c>
      <c r="AF80" s="1">
        <v>1050</v>
      </c>
      <c r="AG80" s="1">
        <v>33880.25</v>
      </c>
      <c r="AH80" s="215">
        <f t="shared" si="18"/>
        <v>-1.7734006983999295E-3</v>
      </c>
      <c r="AI80" s="215">
        <f t="shared" si="13"/>
        <v>-9.9009900990099098E-3</v>
      </c>
      <c r="AJ80" s="231">
        <v>42030</v>
      </c>
      <c r="AL80" s="230">
        <v>44468</v>
      </c>
      <c r="AM80" s="1">
        <v>364.8</v>
      </c>
      <c r="AN80" s="1">
        <v>368.157263974709</v>
      </c>
      <c r="AO80" s="1">
        <v>34795</v>
      </c>
      <c r="AP80" s="1">
        <v>59413.27</v>
      </c>
      <c r="AQ80" s="215">
        <f t="shared" si="19"/>
        <v>4.8524888053314008E-3</v>
      </c>
      <c r="AR80" s="215">
        <f t="shared" si="14"/>
        <v>-1.1382113821138184E-2</v>
      </c>
      <c r="AS80" s="231">
        <v>12810032</v>
      </c>
    </row>
    <row r="81" spans="2:45">
      <c r="B81" s="230">
        <v>43201</v>
      </c>
      <c r="C81" s="1">
        <v>385</v>
      </c>
      <c r="D81" s="1">
        <v>385.14613180515698</v>
      </c>
      <c r="E81" s="1">
        <v>698</v>
      </c>
      <c r="F81" s="215">
        <v>33940.44</v>
      </c>
      <c r="G81" s="215">
        <f t="shared" si="15"/>
        <v>-4.7121605647670872E-3</v>
      </c>
      <c r="H81" s="215">
        <f t="shared" si="10"/>
        <v>-2.395740905057675E-2</v>
      </c>
      <c r="I81" s="231">
        <v>268832</v>
      </c>
      <c r="K81" s="230">
        <v>43201</v>
      </c>
      <c r="L81" s="1">
        <v>540.5</v>
      </c>
      <c r="M81" s="1">
        <v>539.83703206925895</v>
      </c>
      <c r="N81" s="1">
        <v>32804</v>
      </c>
      <c r="O81" s="1">
        <v>33940.44</v>
      </c>
      <c r="P81" s="215">
        <f t="shared" si="16"/>
        <v>-4.7121605647670872E-3</v>
      </c>
      <c r="Q81" s="215">
        <f t="shared" si="11"/>
        <v>-1.0165419092504901E-3</v>
      </c>
      <c r="R81" s="231">
        <v>17708814</v>
      </c>
      <c r="T81" s="230">
        <v>43201</v>
      </c>
      <c r="U81" s="1">
        <v>199.1</v>
      </c>
      <c r="V81" s="1">
        <v>199.152846019755</v>
      </c>
      <c r="W81" s="1">
        <v>215125</v>
      </c>
      <c r="X81" s="1">
        <v>33940.44</v>
      </c>
      <c r="Y81" s="215">
        <f t="shared" si="17"/>
        <v>-4.7121605647670872E-3</v>
      </c>
      <c r="Z81" s="215">
        <f t="shared" si="12"/>
        <v>1.9979508196721341E-2</v>
      </c>
      <c r="AA81" s="231">
        <v>42842756</v>
      </c>
      <c r="AC81" s="230">
        <v>43201</v>
      </c>
      <c r="AD81" s="1">
        <v>40.4</v>
      </c>
      <c r="AE81" s="1">
        <v>39.6523712097366</v>
      </c>
      <c r="AF81" s="1">
        <v>38124</v>
      </c>
      <c r="AG81" s="1">
        <v>33940.44</v>
      </c>
      <c r="AH81" s="215">
        <f t="shared" si="18"/>
        <v>-4.7121605647670872E-3</v>
      </c>
      <c r="AI81" s="215">
        <f t="shared" si="13"/>
        <v>2.020202020202011E-2</v>
      </c>
      <c r="AJ81" s="231">
        <v>1511707</v>
      </c>
      <c r="AL81" s="230">
        <v>44469</v>
      </c>
      <c r="AM81" s="1">
        <v>369</v>
      </c>
      <c r="AN81" s="1">
        <v>372.37915483780802</v>
      </c>
      <c r="AO81" s="1">
        <v>214870</v>
      </c>
      <c r="AP81" s="1">
        <v>59126.36</v>
      </c>
      <c r="AQ81" s="215">
        <f t="shared" si="19"/>
        <v>6.1393080779599263E-3</v>
      </c>
      <c r="AR81" s="215">
        <f t="shared" si="14"/>
        <v>-1.1386470194239773E-2</v>
      </c>
      <c r="AS81" s="231">
        <v>80013109</v>
      </c>
    </row>
    <row r="82" spans="2:45">
      <c r="B82" s="230">
        <v>43202</v>
      </c>
      <c r="C82" s="1">
        <v>394.45</v>
      </c>
      <c r="D82" s="1">
        <v>390.08247422680398</v>
      </c>
      <c r="E82" s="1">
        <v>485</v>
      </c>
      <c r="F82" s="215">
        <v>34101.129999999997</v>
      </c>
      <c r="G82" s="215">
        <f t="shared" si="15"/>
        <v>-2.6765986257281105E-3</v>
      </c>
      <c r="H82" s="215">
        <f t="shared" si="10"/>
        <v>1.3228872334960062E-2</v>
      </c>
      <c r="I82" s="231">
        <v>189190</v>
      </c>
      <c r="K82" s="230">
        <v>43202</v>
      </c>
      <c r="L82" s="1">
        <v>541.04999999999995</v>
      </c>
      <c r="M82" s="1">
        <v>542.86931300424499</v>
      </c>
      <c r="N82" s="1">
        <v>44993</v>
      </c>
      <c r="O82" s="1">
        <v>34101.129999999997</v>
      </c>
      <c r="P82" s="215">
        <f t="shared" si="16"/>
        <v>-2.6765986257281105E-3</v>
      </c>
      <c r="Q82" s="215">
        <f t="shared" si="11"/>
        <v>-5.6055872082338976E-3</v>
      </c>
      <c r="R82" s="231">
        <v>24425319</v>
      </c>
      <c r="T82" s="230">
        <v>43202</v>
      </c>
      <c r="U82" s="1">
        <v>195.2</v>
      </c>
      <c r="V82" s="1">
        <v>197.74050838483399</v>
      </c>
      <c r="W82" s="1">
        <v>224751</v>
      </c>
      <c r="X82" s="1">
        <v>34101.129999999997</v>
      </c>
      <c r="Y82" s="215">
        <f t="shared" si="17"/>
        <v>-2.6765986257281105E-3</v>
      </c>
      <c r="Z82" s="215">
        <f t="shared" si="12"/>
        <v>-1.6624685138539097E-2</v>
      </c>
      <c r="AA82" s="231">
        <v>44442377</v>
      </c>
      <c r="AC82" s="230">
        <v>43202</v>
      </c>
      <c r="AD82" s="1">
        <v>39.6</v>
      </c>
      <c r="AE82" s="1">
        <v>39.601262107425804</v>
      </c>
      <c r="AF82" s="1">
        <v>13628</v>
      </c>
      <c r="AG82" s="1">
        <v>34101.129999999997</v>
      </c>
      <c r="AH82" s="215">
        <f t="shared" si="18"/>
        <v>-2.6765986257281105E-3</v>
      </c>
      <c r="AI82" s="215">
        <f t="shared" si="13"/>
        <v>-2.9411764705882248E-2</v>
      </c>
      <c r="AJ82" s="231">
        <v>539686</v>
      </c>
      <c r="AL82" s="230">
        <v>44470</v>
      </c>
      <c r="AM82" s="1">
        <v>373.25</v>
      </c>
      <c r="AN82" s="1">
        <v>372.918108117256</v>
      </c>
      <c r="AO82" s="1">
        <v>118168</v>
      </c>
      <c r="AP82" s="1">
        <v>58765.58</v>
      </c>
      <c r="AQ82" s="215">
        <f t="shared" si="19"/>
        <v>-9.0007777492220331E-3</v>
      </c>
      <c r="AR82" s="215">
        <f t="shared" si="14"/>
        <v>-1.2041744715012292E-3</v>
      </c>
      <c r="AS82" s="231">
        <v>44066987</v>
      </c>
    </row>
    <row r="83" spans="2:45">
      <c r="B83" s="230">
        <v>43203</v>
      </c>
      <c r="C83" s="1">
        <v>389.3</v>
      </c>
      <c r="D83" s="1">
        <v>393.85397412199598</v>
      </c>
      <c r="E83" s="1">
        <v>1082</v>
      </c>
      <c r="F83" s="215">
        <v>34192.65</v>
      </c>
      <c r="G83" s="215">
        <f t="shared" si="15"/>
        <v>-3.287526202120139E-3</v>
      </c>
      <c r="H83" s="215">
        <f t="shared" si="10"/>
        <v>2.9894179894179862E-2</v>
      </c>
      <c r="I83" s="231">
        <v>426150</v>
      </c>
      <c r="K83" s="230">
        <v>43203</v>
      </c>
      <c r="L83" s="1">
        <v>544.1</v>
      </c>
      <c r="M83" s="1">
        <v>544.80025934730895</v>
      </c>
      <c r="N83" s="1">
        <v>23135</v>
      </c>
      <c r="O83" s="1">
        <v>34192.65</v>
      </c>
      <c r="P83" s="215">
        <f t="shared" si="16"/>
        <v>-3.287526202120139E-3</v>
      </c>
      <c r="Q83" s="215">
        <f t="shared" si="11"/>
        <v>-6.0438611638749751E-2</v>
      </c>
      <c r="R83" s="231">
        <v>12603954</v>
      </c>
      <c r="T83" s="230">
        <v>43203</v>
      </c>
      <c r="U83" s="1">
        <v>198.5</v>
      </c>
      <c r="V83" s="1">
        <v>196.94772648191599</v>
      </c>
      <c r="W83" s="1">
        <v>250031</v>
      </c>
      <c r="X83" s="1">
        <v>34192.65</v>
      </c>
      <c r="Y83" s="215">
        <f t="shared" si="17"/>
        <v>-3.287526202120139E-3</v>
      </c>
      <c r="Z83" s="215">
        <f t="shared" si="12"/>
        <v>-1.3419483101391627E-2</v>
      </c>
      <c r="AA83" s="231">
        <v>49243037</v>
      </c>
      <c r="AC83" s="230">
        <v>43203</v>
      </c>
      <c r="AD83" s="1">
        <v>40.799999999999997</v>
      </c>
      <c r="AE83" s="1">
        <v>39.471245632166898</v>
      </c>
      <c r="AF83" s="1">
        <v>507975</v>
      </c>
      <c r="AG83" s="1">
        <v>34192.65</v>
      </c>
      <c r="AH83" s="215">
        <f t="shared" si="18"/>
        <v>-3.287526202120139E-3</v>
      </c>
      <c r="AI83" s="215">
        <f t="shared" si="13"/>
        <v>2.7707808564231495E-2</v>
      </c>
      <c r="AJ83" s="231">
        <v>20050406</v>
      </c>
      <c r="AL83" s="230">
        <v>44473</v>
      </c>
      <c r="AM83" s="1">
        <v>373.7</v>
      </c>
      <c r="AN83" s="1">
        <v>374.09681204212399</v>
      </c>
      <c r="AO83" s="1">
        <v>104832</v>
      </c>
      <c r="AP83" s="1">
        <v>59299.32</v>
      </c>
      <c r="AQ83" s="215">
        <f t="shared" si="19"/>
        <v>-7.4577101837010051E-3</v>
      </c>
      <c r="AR83" s="215">
        <f t="shared" si="14"/>
        <v>1.0000000000000009E-2</v>
      </c>
      <c r="AS83" s="231">
        <v>39217317</v>
      </c>
    </row>
    <row r="84" spans="2:45">
      <c r="B84" s="230">
        <v>43206</v>
      </c>
      <c r="C84" s="1">
        <v>378</v>
      </c>
      <c r="D84" s="1">
        <v>379.97931034482701</v>
      </c>
      <c r="E84" s="1">
        <v>145</v>
      </c>
      <c r="F84" s="215">
        <v>34305.43</v>
      </c>
      <c r="G84" s="215">
        <f t="shared" si="15"/>
        <v>-2.6058974748117691E-3</v>
      </c>
      <c r="H84" s="215">
        <f t="shared" si="10"/>
        <v>-3.8412617654540848E-2</v>
      </c>
      <c r="I84" s="231">
        <v>55097</v>
      </c>
      <c r="K84" s="230">
        <v>43206</v>
      </c>
      <c r="L84" s="1">
        <v>579.1</v>
      </c>
      <c r="M84" s="1">
        <v>574.08136627959595</v>
      </c>
      <c r="N84" s="1">
        <v>110402</v>
      </c>
      <c r="O84" s="1">
        <v>34305.43</v>
      </c>
      <c r="P84" s="215">
        <f t="shared" si="16"/>
        <v>-2.6058974748117691E-3</v>
      </c>
      <c r="Q84" s="215">
        <f t="shared" si="11"/>
        <v>1.0204971652856498E-2</v>
      </c>
      <c r="R84" s="231">
        <v>63379731</v>
      </c>
      <c r="T84" s="230">
        <v>43206</v>
      </c>
      <c r="U84" s="1">
        <v>201.2</v>
      </c>
      <c r="V84" s="1">
        <v>200.17511295722099</v>
      </c>
      <c r="W84" s="1">
        <v>299007</v>
      </c>
      <c r="X84" s="1">
        <v>34305.43</v>
      </c>
      <c r="Y84" s="215">
        <f t="shared" si="17"/>
        <v>-2.6058974748117691E-3</v>
      </c>
      <c r="Z84" s="215">
        <f t="shared" si="12"/>
        <v>6.5032516258127782E-3</v>
      </c>
      <c r="AA84" s="231">
        <v>59853760</v>
      </c>
      <c r="AC84" s="230">
        <v>43206</v>
      </c>
      <c r="AD84" s="1">
        <v>39.700000000000003</v>
      </c>
      <c r="AE84" s="1">
        <v>39.6987885462555</v>
      </c>
      <c r="AF84" s="1">
        <v>1816</v>
      </c>
      <c r="AG84" s="1">
        <v>34305.43</v>
      </c>
      <c r="AH84" s="215">
        <f t="shared" si="18"/>
        <v>-2.6058974748117691E-3</v>
      </c>
      <c r="AI84" s="215">
        <f t="shared" si="13"/>
        <v>-2.0961775585696563E-2</v>
      </c>
      <c r="AJ84" s="231">
        <v>72093</v>
      </c>
      <c r="AL84" s="230">
        <v>44474</v>
      </c>
      <c r="AM84" s="1">
        <v>370</v>
      </c>
      <c r="AN84" s="1">
        <v>370.72749973622098</v>
      </c>
      <c r="AO84" s="1">
        <v>85299</v>
      </c>
      <c r="AP84" s="1">
        <v>59744.88</v>
      </c>
      <c r="AQ84" s="215">
        <f t="shared" si="19"/>
        <v>9.3791608780779967E-3</v>
      </c>
      <c r="AR84" s="215">
        <f t="shared" si="14"/>
        <v>2.5072724754121145E-2</v>
      </c>
      <c r="AS84" s="231">
        <v>31622685</v>
      </c>
    </row>
    <row r="85" spans="2:45">
      <c r="B85" s="230">
        <v>43207</v>
      </c>
      <c r="C85" s="1">
        <v>393.1</v>
      </c>
      <c r="D85" s="1">
        <v>387.88628762541799</v>
      </c>
      <c r="E85" s="1">
        <v>1196</v>
      </c>
      <c r="F85" s="215">
        <v>34395.06</v>
      </c>
      <c r="G85" s="215">
        <f t="shared" si="15"/>
        <v>1.8461083174490245E-3</v>
      </c>
      <c r="H85" s="215">
        <f t="shared" si="10"/>
        <v>5.544368371593511E-2</v>
      </c>
      <c r="I85" s="231">
        <v>463912</v>
      </c>
      <c r="K85" s="230">
        <v>43207</v>
      </c>
      <c r="L85" s="1">
        <v>573.25</v>
      </c>
      <c r="M85" s="1">
        <v>573.90577171740904</v>
      </c>
      <c r="N85" s="1">
        <v>42535</v>
      </c>
      <c r="O85" s="1">
        <v>34395.06</v>
      </c>
      <c r="P85" s="215">
        <f t="shared" si="16"/>
        <v>1.8461083174490245E-3</v>
      </c>
      <c r="Q85" s="215">
        <f t="shared" si="11"/>
        <v>3.0747100602355415E-2</v>
      </c>
      <c r="R85" s="231">
        <v>24411082</v>
      </c>
      <c r="T85" s="230">
        <v>43207</v>
      </c>
      <c r="U85" s="1">
        <v>199.9</v>
      </c>
      <c r="V85" s="1">
        <v>201.31127632330899</v>
      </c>
      <c r="W85" s="1">
        <v>225703</v>
      </c>
      <c r="X85" s="1">
        <v>34395.06</v>
      </c>
      <c r="Y85" s="215">
        <f t="shared" si="17"/>
        <v>1.8461083174490245E-3</v>
      </c>
      <c r="Z85" s="215">
        <f t="shared" si="12"/>
        <v>-3.3599226492627476E-2</v>
      </c>
      <c r="AA85" s="231">
        <v>45436559</v>
      </c>
      <c r="AC85" s="230">
        <v>43207</v>
      </c>
      <c r="AD85" s="1">
        <v>40.549999999999997</v>
      </c>
      <c r="AE85" s="1">
        <v>39.603992571959097</v>
      </c>
      <c r="AF85" s="1">
        <v>452340</v>
      </c>
      <c r="AG85" s="1">
        <v>34395.06</v>
      </c>
      <c r="AH85" s="215">
        <f t="shared" si="18"/>
        <v>1.8461083174490245E-3</v>
      </c>
      <c r="AI85" s="215">
        <f t="shared" si="13"/>
        <v>-1.2315270935961964E-3</v>
      </c>
      <c r="AJ85" s="231">
        <v>17914470</v>
      </c>
      <c r="AL85" s="230">
        <v>44475</v>
      </c>
      <c r="AM85" s="1">
        <v>360.95</v>
      </c>
      <c r="AN85" s="1">
        <v>366.94131003795297</v>
      </c>
      <c r="AO85" s="1">
        <v>152820</v>
      </c>
      <c r="AP85" s="1">
        <v>59189.73</v>
      </c>
      <c r="AQ85" s="215">
        <f t="shared" si="19"/>
        <v>-8.1789166931840462E-3</v>
      </c>
      <c r="AR85" s="215">
        <f t="shared" si="14"/>
        <v>5.1517683096629074E-3</v>
      </c>
      <c r="AS85" s="231">
        <v>56075971</v>
      </c>
    </row>
    <row r="86" spans="2:45">
      <c r="B86" s="230">
        <v>43208</v>
      </c>
      <c r="C86" s="1">
        <v>372.45</v>
      </c>
      <c r="D86" s="1">
        <v>379.27283849918399</v>
      </c>
      <c r="E86" s="1">
        <v>7356</v>
      </c>
      <c r="F86" s="215">
        <v>34331.68</v>
      </c>
      <c r="G86" s="215">
        <f t="shared" si="15"/>
        <v>-2.7771573074732991E-3</v>
      </c>
      <c r="H86" s="215">
        <f t="shared" si="10"/>
        <v>-1.7022961203483788E-2</v>
      </c>
      <c r="I86" s="231">
        <v>2789931</v>
      </c>
      <c r="K86" s="230">
        <v>43208</v>
      </c>
      <c r="L86" s="1">
        <v>556.15</v>
      </c>
      <c r="M86" s="1">
        <v>562.26110492765304</v>
      </c>
      <c r="N86" s="1">
        <v>19766</v>
      </c>
      <c r="O86" s="1">
        <v>34331.68</v>
      </c>
      <c r="P86" s="215">
        <f t="shared" si="16"/>
        <v>-2.7771573074732991E-3</v>
      </c>
      <c r="Q86" s="215">
        <f t="shared" si="11"/>
        <v>-2.5109855618329346E-3</v>
      </c>
      <c r="R86" s="231">
        <v>11113653</v>
      </c>
      <c r="T86" s="230">
        <v>43208</v>
      </c>
      <c r="U86" s="1">
        <v>206.85</v>
      </c>
      <c r="V86" s="1">
        <v>205.80243558414401</v>
      </c>
      <c r="W86" s="1">
        <v>445232</v>
      </c>
      <c r="X86" s="1">
        <v>34331.68</v>
      </c>
      <c r="Y86" s="215">
        <f t="shared" si="17"/>
        <v>-2.7771573074732991E-3</v>
      </c>
      <c r="Z86" s="215">
        <f t="shared" si="12"/>
        <v>-4.5717035611165802E-3</v>
      </c>
      <c r="AA86" s="231">
        <v>91629830</v>
      </c>
      <c r="AC86" s="230">
        <v>43208</v>
      </c>
      <c r="AD86" s="1">
        <v>40.6</v>
      </c>
      <c r="AE86" s="1">
        <v>40.801322136859</v>
      </c>
      <c r="AF86" s="1">
        <v>11194</v>
      </c>
      <c r="AG86" s="1">
        <v>34331.68</v>
      </c>
      <c r="AH86" s="215">
        <f t="shared" si="18"/>
        <v>-2.7771573074732991E-3</v>
      </c>
      <c r="AI86" s="215">
        <f t="shared" si="13"/>
        <v>7.4441687344914964E-3</v>
      </c>
      <c r="AJ86" s="231">
        <v>456730</v>
      </c>
      <c r="AL86" s="230">
        <v>44476</v>
      </c>
      <c r="AM86" s="1">
        <v>359.1</v>
      </c>
      <c r="AN86" s="1">
        <v>361.79719693897198</v>
      </c>
      <c r="AO86" s="1">
        <v>150407</v>
      </c>
      <c r="AP86" s="1">
        <v>59677.83</v>
      </c>
      <c r="AQ86" s="215">
        <f t="shared" si="19"/>
        <v>-6.3475851936409811E-3</v>
      </c>
      <c r="AR86" s="215">
        <f t="shared" si="14"/>
        <v>-1.2376237623762387E-2</v>
      </c>
      <c r="AS86" s="231">
        <v>54416831</v>
      </c>
    </row>
    <row r="87" spans="2:45">
      <c r="B87" s="230">
        <v>43209</v>
      </c>
      <c r="C87" s="1">
        <v>378.9</v>
      </c>
      <c r="D87" s="1">
        <v>385.71655437920998</v>
      </c>
      <c r="E87" s="1">
        <v>2078</v>
      </c>
      <c r="F87" s="215">
        <v>34427.29</v>
      </c>
      <c r="G87" s="215">
        <f t="shared" si="15"/>
        <v>3.4025287384364944E-4</v>
      </c>
      <c r="H87" s="215">
        <f t="shared" si="10"/>
        <v>2.4746450304259593E-2</v>
      </c>
      <c r="I87" s="231">
        <v>801519</v>
      </c>
      <c r="K87" s="230">
        <v>43209</v>
      </c>
      <c r="L87" s="1">
        <v>557.54999999999995</v>
      </c>
      <c r="M87" s="1">
        <v>569.40004918179295</v>
      </c>
      <c r="N87" s="1">
        <v>44732</v>
      </c>
      <c r="O87" s="1">
        <v>34427.29</v>
      </c>
      <c r="P87" s="215">
        <f t="shared" si="16"/>
        <v>3.4025287384364944E-4</v>
      </c>
      <c r="Q87" s="215">
        <f t="shared" si="11"/>
        <v>-3.5858359480056556E-4</v>
      </c>
      <c r="R87" s="231">
        <v>25470403</v>
      </c>
      <c r="T87" s="230">
        <v>43209</v>
      </c>
      <c r="U87" s="1">
        <v>207.8</v>
      </c>
      <c r="V87" s="1">
        <v>207.83705722270699</v>
      </c>
      <c r="W87" s="1">
        <v>272654</v>
      </c>
      <c r="X87" s="1">
        <v>34427.29</v>
      </c>
      <c r="Y87" s="215">
        <f t="shared" si="17"/>
        <v>3.4025287384364944E-4</v>
      </c>
      <c r="Z87" s="215">
        <f t="shared" si="12"/>
        <v>4.3499275012084393E-3</v>
      </c>
      <c r="AA87" s="231">
        <v>56667605</v>
      </c>
      <c r="AC87" s="230">
        <v>43209</v>
      </c>
      <c r="AD87" s="1">
        <v>40.299999999999997</v>
      </c>
      <c r="AE87" s="1">
        <v>40.306268496844197</v>
      </c>
      <c r="AF87" s="1">
        <v>433182</v>
      </c>
      <c r="AG87" s="1">
        <v>34427.29</v>
      </c>
      <c r="AH87" s="215">
        <f t="shared" si="18"/>
        <v>3.4025287384364944E-4</v>
      </c>
      <c r="AI87" s="215">
        <f t="shared" si="13"/>
        <v>2.5445292620865034E-2</v>
      </c>
      <c r="AJ87" s="231">
        <v>17459950</v>
      </c>
      <c r="AL87" s="230">
        <v>44477</v>
      </c>
      <c r="AM87" s="1">
        <v>363.6</v>
      </c>
      <c r="AN87" s="1">
        <v>365.82546857156501</v>
      </c>
      <c r="AO87" s="1">
        <v>125221</v>
      </c>
      <c r="AP87" s="1">
        <v>60059.06</v>
      </c>
      <c r="AQ87" s="215">
        <f t="shared" si="19"/>
        <v>-1.2757795774828162E-3</v>
      </c>
      <c r="AR87" s="215">
        <f t="shared" si="14"/>
        <v>-9.6167055914264665E-4</v>
      </c>
      <c r="AS87" s="231">
        <v>45809031</v>
      </c>
    </row>
    <row r="88" spans="2:45">
      <c r="B88" s="230">
        <v>43210</v>
      </c>
      <c r="C88" s="1">
        <v>369.75</v>
      </c>
      <c r="D88" s="1">
        <v>372.35294117646998</v>
      </c>
      <c r="E88" s="1">
        <v>595</v>
      </c>
      <c r="F88" s="215">
        <v>34415.58</v>
      </c>
      <c r="G88" s="215">
        <f t="shared" si="15"/>
        <v>-1.0214575755489452E-3</v>
      </c>
      <c r="H88" s="215">
        <f t="shared" si="10"/>
        <v>-2.6845637583892579E-2</v>
      </c>
      <c r="I88" s="231">
        <v>221550</v>
      </c>
      <c r="K88" s="230">
        <v>43210</v>
      </c>
      <c r="L88" s="1">
        <v>557.75</v>
      </c>
      <c r="M88" s="1">
        <v>554.31911152786699</v>
      </c>
      <c r="N88" s="1">
        <v>34126</v>
      </c>
      <c r="O88" s="1">
        <v>34415.58</v>
      </c>
      <c r="P88" s="215">
        <f t="shared" si="16"/>
        <v>-1.0214575755489452E-3</v>
      </c>
      <c r="Q88" s="215">
        <f t="shared" si="11"/>
        <v>2.754237288135597E-2</v>
      </c>
      <c r="R88" s="231">
        <v>18916694</v>
      </c>
      <c r="T88" s="230">
        <v>43210</v>
      </c>
      <c r="U88" s="1">
        <v>206.9</v>
      </c>
      <c r="V88" s="1">
        <v>204.68527889436501</v>
      </c>
      <c r="W88" s="1">
        <v>259471</v>
      </c>
      <c r="X88" s="1">
        <v>34415.58</v>
      </c>
      <c r="Y88" s="215">
        <f t="shared" si="17"/>
        <v>-1.0214575755489452E-3</v>
      </c>
      <c r="Z88" s="215">
        <f t="shared" si="12"/>
        <v>7.3028237585199829E-3</v>
      </c>
      <c r="AA88" s="231">
        <v>53109894</v>
      </c>
      <c r="AC88" s="230">
        <v>43210</v>
      </c>
      <c r="AD88" s="1">
        <v>39.299999999999997</v>
      </c>
      <c r="AE88" s="1">
        <v>39.545428134662302</v>
      </c>
      <c r="AF88" s="1">
        <v>289138</v>
      </c>
      <c r="AG88" s="1">
        <v>34415.58</v>
      </c>
      <c r="AH88" s="215">
        <f t="shared" si="18"/>
        <v>-1.0214575755489452E-3</v>
      </c>
      <c r="AI88" s="215">
        <f t="shared" si="13"/>
        <v>-4.7272727272727355E-2</v>
      </c>
      <c r="AJ88" s="231">
        <v>11434086</v>
      </c>
      <c r="AL88" s="230">
        <v>44480</v>
      </c>
      <c r="AM88" s="1">
        <v>363.95</v>
      </c>
      <c r="AN88" s="1">
        <v>364.43698547407899</v>
      </c>
      <c r="AO88" s="1">
        <v>31461</v>
      </c>
      <c r="AP88" s="1">
        <v>60135.78</v>
      </c>
      <c r="AQ88" s="215">
        <f t="shared" si="19"/>
        <v>-2.4638251644581999E-3</v>
      </c>
      <c r="AR88" s="215">
        <f t="shared" si="14"/>
        <v>-1.6458647647785707E-3</v>
      </c>
      <c r="AS88" s="231">
        <v>11465552</v>
      </c>
    </row>
    <row r="89" spans="2:45">
      <c r="B89" s="230">
        <v>43213</v>
      </c>
      <c r="C89" s="1">
        <v>379.95</v>
      </c>
      <c r="D89" s="1">
        <v>378.01845637583801</v>
      </c>
      <c r="E89" s="1">
        <v>1788</v>
      </c>
      <c r="F89" s="215">
        <v>34450.769999999997</v>
      </c>
      <c r="G89" s="215">
        <f t="shared" si="15"/>
        <v>-4.791626223689005E-3</v>
      </c>
      <c r="H89" s="215">
        <f t="shared" si="10"/>
        <v>2.1370967741935365E-2</v>
      </c>
      <c r="I89" s="231">
        <v>675897</v>
      </c>
      <c r="K89" s="230">
        <v>43213</v>
      </c>
      <c r="L89" s="1">
        <v>542.79999999999995</v>
      </c>
      <c r="M89" s="1">
        <v>554.76044800296199</v>
      </c>
      <c r="N89" s="1">
        <v>21607</v>
      </c>
      <c r="O89" s="1">
        <v>34450.769999999997</v>
      </c>
      <c r="P89" s="215">
        <f t="shared" si="16"/>
        <v>-4.791626223689005E-3</v>
      </c>
      <c r="Q89" s="215">
        <f t="shared" si="11"/>
        <v>2.6863412788497687E-2</v>
      </c>
      <c r="R89" s="231">
        <v>11986709</v>
      </c>
      <c r="T89" s="230">
        <v>43213</v>
      </c>
      <c r="U89" s="1">
        <v>205.4</v>
      </c>
      <c r="V89" s="1">
        <v>206.29534104770801</v>
      </c>
      <c r="W89" s="1">
        <v>148381</v>
      </c>
      <c r="X89" s="1">
        <v>34450.769999999997</v>
      </c>
      <c r="Y89" s="215">
        <f t="shared" si="17"/>
        <v>-4.791626223689005E-3</v>
      </c>
      <c r="Z89" s="215">
        <f t="shared" si="12"/>
        <v>-5.567659162430405E-3</v>
      </c>
      <c r="AA89" s="231">
        <v>30610309</v>
      </c>
      <c r="AC89" s="230">
        <v>43213</v>
      </c>
      <c r="AD89" s="1">
        <v>41.25</v>
      </c>
      <c r="AE89" s="1">
        <v>40.863909774436003</v>
      </c>
      <c r="AF89" s="1">
        <v>6650</v>
      </c>
      <c r="AG89" s="1">
        <v>34450.769999999997</v>
      </c>
      <c r="AH89" s="215">
        <f t="shared" si="18"/>
        <v>-4.791626223689005E-3</v>
      </c>
      <c r="AI89" s="215">
        <f t="shared" si="13"/>
        <v>1.3513513513513375E-2</v>
      </c>
      <c r="AJ89" s="231">
        <v>271745</v>
      </c>
      <c r="AL89" s="230">
        <v>44481</v>
      </c>
      <c r="AM89" s="1">
        <v>364.55</v>
      </c>
      <c r="AN89" s="1">
        <v>364.64967374937203</v>
      </c>
      <c r="AO89" s="1">
        <v>59770</v>
      </c>
      <c r="AP89" s="1">
        <v>60284.31</v>
      </c>
      <c r="AQ89" s="215">
        <f t="shared" si="19"/>
        <v>-7.4540992688977292E-3</v>
      </c>
      <c r="AR89" s="215">
        <f t="shared" si="14"/>
        <v>4.5467070818407951E-3</v>
      </c>
      <c r="AS89" s="231">
        <v>21795111</v>
      </c>
    </row>
    <row r="90" spans="2:45">
      <c r="B90" s="230">
        <v>43214</v>
      </c>
      <c r="C90" s="1">
        <v>372</v>
      </c>
      <c r="D90" s="1">
        <v>370.67942583732003</v>
      </c>
      <c r="E90" s="1">
        <v>2508</v>
      </c>
      <c r="F90" s="215">
        <v>34616.639999999999</v>
      </c>
      <c r="G90" s="215">
        <f t="shared" si="15"/>
        <v>3.3439348754409348E-3</v>
      </c>
      <c r="H90" s="215">
        <f t="shared" si="10"/>
        <v>9.0872100908720999E-3</v>
      </c>
      <c r="I90" s="231">
        <v>929664</v>
      </c>
      <c r="K90" s="230">
        <v>43214</v>
      </c>
      <c r="L90" s="1">
        <v>528.6</v>
      </c>
      <c r="M90" s="1">
        <v>532.47589926057697</v>
      </c>
      <c r="N90" s="1">
        <v>17987</v>
      </c>
      <c r="O90" s="1">
        <v>34616.639999999999</v>
      </c>
      <c r="P90" s="215">
        <f t="shared" si="16"/>
        <v>3.3439348754409348E-3</v>
      </c>
      <c r="Q90" s="215">
        <f t="shared" si="11"/>
        <v>-4.8082117774176036E-2</v>
      </c>
      <c r="R90" s="231">
        <v>9577644</v>
      </c>
      <c r="T90" s="230">
        <v>43214</v>
      </c>
      <c r="U90" s="1">
        <v>206.55</v>
      </c>
      <c r="V90" s="1">
        <v>206.123681944395</v>
      </c>
      <c r="W90" s="1">
        <v>227608</v>
      </c>
      <c r="X90" s="1">
        <v>34616.639999999999</v>
      </c>
      <c r="Y90" s="215">
        <f t="shared" si="17"/>
        <v>3.3439348754409348E-3</v>
      </c>
      <c r="Z90" s="215">
        <f t="shared" si="12"/>
        <v>1.0024449877750641E-2</v>
      </c>
      <c r="AA90" s="231">
        <v>46915399</v>
      </c>
      <c r="AC90" s="230">
        <v>43214</v>
      </c>
      <c r="AD90" s="1">
        <v>40.700000000000003</v>
      </c>
      <c r="AE90" s="1">
        <v>41.211566265060199</v>
      </c>
      <c r="AF90" s="1">
        <v>6225</v>
      </c>
      <c r="AG90" s="1">
        <v>34616.639999999999</v>
      </c>
      <c r="AH90" s="215">
        <f t="shared" si="18"/>
        <v>3.3439348754409348E-3</v>
      </c>
      <c r="AI90" s="215">
        <f t="shared" si="13"/>
        <v>3.1685678073510859E-2</v>
      </c>
      <c r="AJ90" s="231">
        <v>256542</v>
      </c>
      <c r="AL90" s="230">
        <v>44482</v>
      </c>
      <c r="AM90" s="1">
        <v>362.9</v>
      </c>
      <c r="AN90" s="1">
        <v>364.48386524637698</v>
      </c>
      <c r="AO90" s="1">
        <v>95849</v>
      </c>
      <c r="AP90" s="1">
        <v>60737.05</v>
      </c>
      <c r="AQ90" s="215">
        <f t="shared" si="19"/>
        <v>-9.2796865557094321E-3</v>
      </c>
      <c r="AR90" s="215">
        <f t="shared" si="14"/>
        <v>1.3796909492274079E-3</v>
      </c>
      <c r="AS90" s="231">
        <v>34935414</v>
      </c>
    </row>
    <row r="91" spans="2:45">
      <c r="B91" s="230">
        <v>43215</v>
      </c>
      <c r="C91" s="1">
        <v>368.65</v>
      </c>
      <c r="D91" s="1">
        <v>365.56838021338501</v>
      </c>
      <c r="E91" s="1">
        <v>1031</v>
      </c>
      <c r="F91" s="215">
        <v>34501.269999999997</v>
      </c>
      <c r="G91" s="215">
        <f t="shared" si="15"/>
        <v>-6.1166228797935318E-3</v>
      </c>
      <c r="H91" s="215">
        <f t="shared" si="10"/>
        <v>-1.1397157414856585E-2</v>
      </c>
      <c r="I91" s="231">
        <v>376901</v>
      </c>
      <c r="K91" s="230">
        <v>43215</v>
      </c>
      <c r="L91" s="1">
        <v>555.29999999999995</v>
      </c>
      <c r="M91" s="1">
        <v>551.35909712722196</v>
      </c>
      <c r="N91" s="1">
        <v>51170</v>
      </c>
      <c r="O91" s="1">
        <v>34501.269999999997</v>
      </c>
      <c r="P91" s="215">
        <f t="shared" si="16"/>
        <v>-6.1166228797935318E-3</v>
      </c>
      <c r="Q91" s="215">
        <f t="shared" si="11"/>
        <v>-3.8191738113795948E-2</v>
      </c>
      <c r="R91" s="231">
        <v>28213045</v>
      </c>
      <c r="T91" s="230">
        <v>43215</v>
      </c>
      <c r="U91" s="1">
        <v>204.5</v>
      </c>
      <c r="V91" s="1">
        <v>205.269769822634</v>
      </c>
      <c r="W91" s="1">
        <v>123079</v>
      </c>
      <c r="X91" s="1">
        <v>34501.269999999997</v>
      </c>
      <c r="Y91" s="215">
        <f t="shared" si="17"/>
        <v>-6.1166228797935318E-3</v>
      </c>
      <c r="Z91" s="215">
        <f t="shared" si="12"/>
        <v>-2.5494400762449354E-2</v>
      </c>
      <c r="AA91" s="231">
        <v>25264398</v>
      </c>
      <c r="AC91" s="230">
        <v>43215</v>
      </c>
      <c r="AD91" s="1">
        <v>39.450000000000003</v>
      </c>
      <c r="AE91" s="1">
        <v>39.463101362625103</v>
      </c>
      <c r="AF91" s="1">
        <v>402752</v>
      </c>
      <c r="AG91" s="1">
        <v>34501.269999999997</v>
      </c>
      <c r="AH91" s="215">
        <f t="shared" si="18"/>
        <v>-6.1166228797935318E-3</v>
      </c>
      <c r="AI91" s="215">
        <f t="shared" si="13"/>
        <v>-1.2515644555694649E-2</v>
      </c>
      <c r="AJ91" s="231">
        <v>15893843</v>
      </c>
      <c r="AL91" s="230">
        <v>44483</v>
      </c>
      <c r="AM91" s="1">
        <v>362.4</v>
      </c>
      <c r="AN91" s="1">
        <v>364.019050114641</v>
      </c>
      <c r="AO91" s="1">
        <v>76325</v>
      </c>
      <c r="AP91" s="1">
        <v>61305.95</v>
      </c>
      <c r="AQ91" s="215">
        <f t="shared" si="19"/>
        <v>-7.4416839538001822E-3</v>
      </c>
      <c r="AR91" s="215">
        <f t="shared" si="14"/>
        <v>-3.1145568774228138E-2</v>
      </c>
      <c r="AS91" s="231">
        <v>27783754</v>
      </c>
    </row>
    <row r="92" spans="2:45">
      <c r="B92" s="230">
        <v>43216</v>
      </c>
      <c r="C92" s="1">
        <v>372.9</v>
      </c>
      <c r="D92" s="1">
        <v>370.10810810810801</v>
      </c>
      <c r="E92" s="1">
        <v>259</v>
      </c>
      <c r="F92" s="215">
        <v>34713.599999999999</v>
      </c>
      <c r="G92" s="215">
        <f t="shared" si="15"/>
        <v>-7.3234829009113378E-3</v>
      </c>
      <c r="H92" s="215">
        <f t="shared" si="10"/>
        <v>2.2344071281699796E-2</v>
      </c>
      <c r="I92" s="231">
        <v>95858</v>
      </c>
      <c r="K92" s="230">
        <v>43216</v>
      </c>
      <c r="L92" s="1">
        <v>577.35</v>
      </c>
      <c r="M92" s="1">
        <v>571.46090269258002</v>
      </c>
      <c r="N92" s="1">
        <v>61948</v>
      </c>
      <c r="O92" s="1">
        <v>34713.599999999999</v>
      </c>
      <c r="P92" s="215">
        <f t="shared" si="16"/>
        <v>-7.3234829009113378E-3</v>
      </c>
      <c r="Q92" s="215">
        <f t="shared" si="11"/>
        <v>1.2095713910071026E-2</v>
      </c>
      <c r="R92" s="231">
        <v>35400860</v>
      </c>
      <c r="T92" s="230">
        <v>43216</v>
      </c>
      <c r="U92" s="1">
        <v>209.85</v>
      </c>
      <c r="V92" s="1">
        <v>207.10354597525199</v>
      </c>
      <c r="W92" s="1">
        <v>228710</v>
      </c>
      <c r="X92" s="1">
        <v>34713.599999999999</v>
      </c>
      <c r="Y92" s="215">
        <f t="shared" si="17"/>
        <v>-7.3234829009113378E-3</v>
      </c>
      <c r="Z92" s="215">
        <f t="shared" si="12"/>
        <v>-4.1343079031521346E-2</v>
      </c>
      <c r="AA92" s="231">
        <v>47366652</v>
      </c>
      <c r="AC92" s="230">
        <v>43216</v>
      </c>
      <c r="AD92" s="1">
        <v>39.950000000000003</v>
      </c>
      <c r="AE92" s="1">
        <v>39.581109925293397</v>
      </c>
      <c r="AF92" s="1">
        <v>1874</v>
      </c>
      <c r="AG92" s="1">
        <v>34713.599999999999</v>
      </c>
      <c r="AH92" s="215">
        <f t="shared" si="18"/>
        <v>-7.3234829009113378E-3</v>
      </c>
      <c r="AI92" s="215">
        <f t="shared" si="13"/>
        <v>5.031446540880502E-3</v>
      </c>
      <c r="AJ92" s="231">
        <v>74175</v>
      </c>
      <c r="AL92" s="230">
        <v>44487</v>
      </c>
      <c r="AM92" s="1">
        <v>374.05</v>
      </c>
      <c r="AN92" s="1">
        <v>372.37640386913802</v>
      </c>
      <c r="AO92" s="1">
        <v>206661</v>
      </c>
      <c r="AP92" s="1">
        <v>61765.59</v>
      </c>
      <c r="AQ92" s="215">
        <f t="shared" si="19"/>
        <v>8.0270853367947481E-4</v>
      </c>
      <c r="AR92" s="215">
        <f t="shared" si="14"/>
        <v>1.6578339448294566E-2</v>
      </c>
      <c r="AS92" s="231">
        <v>76955680</v>
      </c>
    </row>
    <row r="93" spans="2:45">
      <c r="B93" s="230">
        <v>43217</v>
      </c>
      <c r="C93" s="1">
        <v>364.75</v>
      </c>
      <c r="D93" s="1">
        <v>367.15714285714199</v>
      </c>
      <c r="E93" s="1">
        <v>700</v>
      </c>
      <c r="F93" s="215">
        <v>34969.699999999997</v>
      </c>
      <c r="G93" s="215">
        <f t="shared" si="15"/>
        <v>-5.422583841576234E-3</v>
      </c>
      <c r="H93" s="215">
        <f t="shared" si="10"/>
        <v>-2.3688436830835213E-2</v>
      </c>
      <c r="I93" s="231">
        <v>257010</v>
      </c>
      <c r="K93" s="230">
        <v>43217</v>
      </c>
      <c r="L93" s="1">
        <v>570.45000000000005</v>
      </c>
      <c r="M93" s="1">
        <v>578.71212212392902</v>
      </c>
      <c r="N93" s="1">
        <v>49851</v>
      </c>
      <c r="O93" s="1">
        <v>34969.699999999997</v>
      </c>
      <c r="P93" s="215">
        <f t="shared" si="16"/>
        <v>-5.422583841576234E-3</v>
      </c>
      <c r="Q93" s="215">
        <f t="shared" si="11"/>
        <v>-2.4481944565881708E-3</v>
      </c>
      <c r="R93" s="231">
        <v>28849378</v>
      </c>
      <c r="T93" s="230">
        <v>43217</v>
      </c>
      <c r="U93" s="1">
        <v>218.9</v>
      </c>
      <c r="V93" s="1">
        <v>217.94300221943701</v>
      </c>
      <c r="W93" s="1">
        <v>610515</v>
      </c>
      <c r="X93" s="1">
        <v>34969.699999999997</v>
      </c>
      <c r="Y93" s="215">
        <f t="shared" si="17"/>
        <v>-5.422583841576234E-3</v>
      </c>
      <c r="Z93" s="215">
        <f t="shared" si="12"/>
        <v>3.7440758293838972E-2</v>
      </c>
      <c r="AA93" s="231">
        <v>133057472</v>
      </c>
      <c r="AC93" s="230">
        <v>43217</v>
      </c>
      <c r="AD93" s="1">
        <v>39.75</v>
      </c>
      <c r="AE93" s="1">
        <v>39.649566955362999</v>
      </c>
      <c r="AF93" s="1">
        <v>1501</v>
      </c>
      <c r="AG93" s="1">
        <v>34969.699999999997</v>
      </c>
      <c r="AH93" s="215">
        <f t="shared" si="18"/>
        <v>-5.422583841576234E-3</v>
      </c>
      <c r="AI93" s="215">
        <f t="shared" si="13"/>
        <v>1.5325670498084421E-2</v>
      </c>
      <c r="AJ93" s="231">
        <v>59514</v>
      </c>
      <c r="AL93" s="230">
        <v>44488</v>
      </c>
      <c r="AM93" s="1">
        <v>367.95</v>
      </c>
      <c r="AN93" s="1">
        <v>373.72627726410599</v>
      </c>
      <c r="AO93" s="1">
        <v>67488</v>
      </c>
      <c r="AP93" s="1">
        <v>61716.05</v>
      </c>
      <c r="AQ93" s="215">
        <f t="shared" si="19"/>
        <v>7.4451566732984809E-3</v>
      </c>
      <c r="AR93" s="215">
        <f t="shared" si="14"/>
        <v>1.4894497310715682E-2</v>
      </c>
      <c r="AS93" s="231">
        <v>25222039</v>
      </c>
    </row>
    <row r="94" spans="2:45">
      <c r="B94" s="230">
        <v>43220</v>
      </c>
      <c r="C94" s="1">
        <v>373.6</v>
      </c>
      <c r="D94" s="1">
        <v>372.87459546925498</v>
      </c>
      <c r="E94" s="1">
        <v>1236</v>
      </c>
      <c r="F94" s="215">
        <v>35160.36</v>
      </c>
      <c r="G94" s="215">
        <f t="shared" si="15"/>
        <v>-4.5655584053172493E-4</v>
      </c>
      <c r="H94" s="215">
        <f t="shared" si="10"/>
        <v>3.777777777777791E-2</v>
      </c>
      <c r="I94" s="231">
        <v>460873</v>
      </c>
      <c r="K94" s="230">
        <v>43220</v>
      </c>
      <c r="L94" s="1">
        <v>571.85</v>
      </c>
      <c r="M94" s="1">
        <v>577.07518917532298</v>
      </c>
      <c r="N94" s="1">
        <v>31188</v>
      </c>
      <c r="O94" s="1">
        <v>35160.36</v>
      </c>
      <c r="P94" s="215">
        <f t="shared" si="16"/>
        <v>-4.5655584053172493E-4</v>
      </c>
      <c r="Q94" s="215">
        <f t="shared" si="11"/>
        <v>6.9078332398579301E-2</v>
      </c>
      <c r="R94" s="231">
        <v>17997821</v>
      </c>
      <c r="T94" s="230">
        <v>43220</v>
      </c>
      <c r="U94" s="1">
        <v>211</v>
      </c>
      <c r="V94" s="1">
        <v>221.29787622277101</v>
      </c>
      <c r="W94" s="1">
        <v>1923601</v>
      </c>
      <c r="X94" s="1">
        <v>35160.36</v>
      </c>
      <c r="Y94" s="215">
        <f t="shared" si="17"/>
        <v>-4.5655584053172493E-4</v>
      </c>
      <c r="Z94" s="215">
        <f t="shared" si="12"/>
        <v>4.9751243781094523E-2</v>
      </c>
      <c r="AA94" s="231">
        <v>425688816</v>
      </c>
      <c r="AC94" s="230">
        <v>43220</v>
      </c>
      <c r="AD94" s="1">
        <v>39.15</v>
      </c>
      <c r="AE94" s="1">
        <v>39.830182938424599</v>
      </c>
      <c r="AF94" s="1">
        <v>26293</v>
      </c>
      <c r="AG94" s="1">
        <v>35160.36</v>
      </c>
      <c r="AH94" s="215">
        <f t="shared" si="18"/>
        <v>-4.5655584053172493E-4</v>
      </c>
      <c r="AI94" s="215">
        <f t="shared" si="13"/>
        <v>-4.5121951219512235E-2</v>
      </c>
      <c r="AJ94" s="231">
        <v>1047255</v>
      </c>
      <c r="AL94" s="230">
        <v>44489</v>
      </c>
      <c r="AM94" s="1">
        <v>362.55</v>
      </c>
      <c r="AN94" s="1">
        <v>364.34392441975501</v>
      </c>
      <c r="AO94" s="1">
        <v>75787</v>
      </c>
      <c r="AP94" s="1">
        <v>61259.96</v>
      </c>
      <c r="AQ94" s="215">
        <f t="shared" si="19"/>
        <v>5.5226636683709529E-3</v>
      </c>
      <c r="AR94" s="215">
        <f t="shared" si="14"/>
        <v>6.5241532481954412E-3</v>
      </c>
      <c r="AS94" s="231">
        <v>27612533</v>
      </c>
    </row>
    <row r="95" spans="2:45">
      <c r="B95" s="230">
        <v>43222</v>
      </c>
      <c r="C95" s="1">
        <v>360</v>
      </c>
      <c r="D95" s="1">
        <v>365.497777777777</v>
      </c>
      <c r="E95" s="1">
        <v>1575</v>
      </c>
      <c r="F95" s="215">
        <v>35176.42</v>
      </c>
      <c r="G95" s="215">
        <f t="shared" si="15"/>
        <v>2.087562537140597E-3</v>
      </c>
      <c r="H95" s="215">
        <f t="shared" si="10"/>
        <v>-1.7467248908296873E-2</v>
      </c>
      <c r="I95" s="231">
        <v>575659</v>
      </c>
      <c r="K95" s="230">
        <v>43222</v>
      </c>
      <c r="L95" s="1">
        <v>534.9</v>
      </c>
      <c r="M95" s="1">
        <v>558.05103605470299</v>
      </c>
      <c r="N95" s="1">
        <v>48260</v>
      </c>
      <c r="O95" s="1">
        <v>35176.42</v>
      </c>
      <c r="P95" s="215">
        <f t="shared" si="16"/>
        <v>2.087562537140597E-3</v>
      </c>
      <c r="Q95" s="215">
        <f t="shared" si="11"/>
        <v>1.6437054631828873E-2</v>
      </c>
      <c r="R95" s="231">
        <v>26931543</v>
      </c>
      <c r="T95" s="230">
        <v>43222</v>
      </c>
      <c r="U95" s="1">
        <v>201</v>
      </c>
      <c r="V95" s="1">
        <v>207.84585793689499</v>
      </c>
      <c r="W95" s="1">
        <v>698239</v>
      </c>
      <c r="X95" s="1">
        <v>35176.42</v>
      </c>
      <c r="Y95" s="215">
        <f t="shared" si="17"/>
        <v>2.087562537140597E-3</v>
      </c>
      <c r="Z95" s="215">
        <f t="shared" si="12"/>
        <v>2.6033690658499253E-2</v>
      </c>
      <c r="AA95" s="231">
        <v>145126084</v>
      </c>
      <c r="AC95" s="230">
        <v>43222</v>
      </c>
      <c r="AD95" s="1">
        <v>41</v>
      </c>
      <c r="AE95" s="1">
        <v>40.891977505694697</v>
      </c>
      <c r="AF95" s="1">
        <v>28096</v>
      </c>
      <c r="AG95" s="1">
        <v>35176.42</v>
      </c>
      <c r="AH95" s="215">
        <f t="shared" si="18"/>
        <v>2.087562537140597E-3</v>
      </c>
      <c r="AI95" s="215">
        <f t="shared" si="13"/>
        <v>3.7974683544303778E-2</v>
      </c>
      <c r="AJ95" s="231">
        <v>1148901</v>
      </c>
      <c r="AL95" s="230">
        <v>44490</v>
      </c>
      <c r="AM95" s="1">
        <v>360.2</v>
      </c>
      <c r="AN95" s="1">
        <v>362.12095572901097</v>
      </c>
      <c r="AO95" s="1">
        <v>50349</v>
      </c>
      <c r="AP95" s="1">
        <v>60923.5</v>
      </c>
      <c r="AQ95" s="215">
        <f t="shared" si="19"/>
        <v>1.6750622558228123E-3</v>
      </c>
      <c r="AR95" s="215">
        <f t="shared" si="14"/>
        <v>1.7083156854440285E-2</v>
      </c>
      <c r="AS95" s="231">
        <v>18232428</v>
      </c>
    </row>
    <row r="96" spans="2:45">
      <c r="B96" s="230">
        <v>43223</v>
      </c>
      <c r="C96" s="1">
        <v>366.4</v>
      </c>
      <c r="D96" s="1">
        <v>350.01476793248901</v>
      </c>
      <c r="E96" s="1">
        <v>474</v>
      </c>
      <c r="F96" s="215">
        <v>35103.14</v>
      </c>
      <c r="G96" s="215">
        <f t="shared" si="15"/>
        <v>5.3775728633056463E-3</v>
      </c>
      <c r="H96" s="215">
        <f t="shared" si="10"/>
        <v>2.1181716833890585E-2</v>
      </c>
      <c r="I96" s="231">
        <v>165907</v>
      </c>
      <c r="K96" s="230">
        <v>43223</v>
      </c>
      <c r="L96" s="1">
        <v>526.25</v>
      </c>
      <c r="M96" s="1">
        <v>534.27261480601703</v>
      </c>
      <c r="N96" s="1">
        <v>80832</v>
      </c>
      <c r="O96" s="1">
        <v>35103.14</v>
      </c>
      <c r="P96" s="215">
        <f t="shared" si="16"/>
        <v>5.3775728633056463E-3</v>
      </c>
      <c r="Q96" s="215">
        <f t="shared" si="11"/>
        <v>3.336510962821837E-3</v>
      </c>
      <c r="R96" s="231">
        <v>43186324</v>
      </c>
      <c r="T96" s="230">
        <v>43223</v>
      </c>
      <c r="U96" s="1">
        <v>195.9</v>
      </c>
      <c r="V96" s="1">
        <v>196.62305990220801</v>
      </c>
      <c r="W96" s="1">
        <v>314546</v>
      </c>
      <c r="X96" s="1">
        <v>35103.14</v>
      </c>
      <c r="Y96" s="215">
        <f t="shared" si="17"/>
        <v>5.3775728633056463E-3</v>
      </c>
      <c r="Z96" s="215">
        <f t="shared" si="12"/>
        <v>-3.7582903463522555E-2</v>
      </c>
      <c r="AA96" s="231">
        <v>61846997</v>
      </c>
      <c r="AC96" s="230">
        <v>43223</v>
      </c>
      <c r="AD96" s="1">
        <v>39.5</v>
      </c>
      <c r="AE96" s="1">
        <v>39.708020773225599</v>
      </c>
      <c r="AF96" s="1">
        <v>3466</v>
      </c>
      <c r="AG96" s="1">
        <v>35103.14</v>
      </c>
      <c r="AH96" s="215">
        <f t="shared" si="18"/>
        <v>5.3775728633056463E-3</v>
      </c>
      <c r="AI96" s="215">
        <f t="shared" si="13"/>
        <v>-3.0674846625766916E-2</v>
      </c>
      <c r="AJ96" s="231">
        <v>137628</v>
      </c>
      <c r="AL96" s="230">
        <v>44491</v>
      </c>
      <c r="AM96" s="1">
        <v>354.15</v>
      </c>
      <c r="AN96" s="1">
        <v>358.50167481192602</v>
      </c>
      <c r="AO96" s="1">
        <v>36422</v>
      </c>
      <c r="AP96" s="1">
        <v>60821.62</v>
      </c>
      <c r="AQ96" s="215">
        <f t="shared" si="19"/>
        <v>-2.385386860607519E-3</v>
      </c>
      <c r="AR96" s="215">
        <f t="shared" si="14"/>
        <v>4.0240857688353726E-2</v>
      </c>
      <c r="AS96" s="231">
        <v>13057348</v>
      </c>
    </row>
    <row r="97" spans="2:45">
      <c r="B97" s="230">
        <v>43224</v>
      </c>
      <c r="C97" s="1">
        <v>358.8</v>
      </c>
      <c r="D97" s="1">
        <v>362.70079635949901</v>
      </c>
      <c r="E97" s="1">
        <v>2637</v>
      </c>
      <c r="F97" s="215">
        <v>34915.379999999997</v>
      </c>
      <c r="G97" s="215">
        <f t="shared" si="15"/>
        <v>-8.3151225824483754E-3</v>
      </c>
      <c r="H97" s="215">
        <f t="shared" si="10"/>
        <v>-2.632293080054271E-2</v>
      </c>
      <c r="I97" s="231">
        <v>956442</v>
      </c>
      <c r="K97" s="230">
        <v>43224</v>
      </c>
      <c r="L97" s="1">
        <v>524.5</v>
      </c>
      <c r="M97" s="1">
        <v>529.74207612016198</v>
      </c>
      <c r="N97" s="1">
        <v>31424</v>
      </c>
      <c r="O97" s="1">
        <v>34915.379999999997</v>
      </c>
      <c r="P97" s="215">
        <f t="shared" si="16"/>
        <v>-8.3151225824483754E-3</v>
      </c>
      <c r="Q97" s="215">
        <f t="shared" si="11"/>
        <v>1.5275921329003239E-3</v>
      </c>
      <c r="R97" s="231">
        <v>16646615</v>
      </c>
      <c r="T97" s="230">
        <v>43224</v>
      </c>
      <c r="U97" s="1">
        <v>203.55</v>
      </c>
      <c r="V97" s="1">
        <v>199.910737029871</v>
      </c>
      <c r="W97" s="1">
        <v>311697</v>
      </c>
      <c r="X97" s="1">
        <v>34915.379999999997</v>
      </c>
      <c r="Y97" s="215">
        <f t="shared" si="17"/>
        <v>-8.3151225824483754E-3</v>
      </c>
      <c r="Z97" s="215">
        <f t="shared" si="12"/>
        <v>2.4570024570036431E-4</v>
      </c>
      <c r="AA97" s="231">
        <v>62311577</v>
      </c>
      <c r="AC97" s="230">
        <v>43224</v>
      </c>
      <c r="AD97" s="1">
        <v>40.75</v>
      </c>
      <c r="AE97" s="1">
        <v>40.452556601373601</v>
      </c>
      <c r="AF97" s="1">
        <v>3931</v>
      </c>
      <c r="AG97" s="1">
        <v>34915.379999999997</v>
      </c>
      <c r="AH97" s="215">
        <f t="shared" si="18"/>
        <v>-8.3151225824483754E-3</v>
      </c>
      <c r="AI97" s="215">
        <f t="shared" si="13"/>
        <v>-4.6783625730994149E-2</v>
      </c>
      <c r="AJ97" s="231">
        <v>159019</v>
      </c>
      <c r="AL97" s="230">
        <v>44494</v>
      </c>
      <c r="AM97" s="1">
        <v>340.45</v>
      </c>
      <c r="AN97" s="1">
        <v>343.825805547117</v>
      </c>
      <c r="AO97" s="1">
        <v>42797</v>
      </c>
      <c r="AP97" s="1">
        <v>60967.05</v>
      </c>
      <c r="AQ97" s="215">
        <f t="shared" si="19"/>
        <v>-6.246265297001119E-3</v>
      </c>
      <c r="AR97" s="215">
        <f t="shared" si="14"/>
        <v>-2.6451243923362844E-2</v>
      </c>
      <c r="AS97" s="231">
        <v>14714713</v>
      </c>
    </row>
    <row r="98" spans="2:45">
      <c r="B98" s="230">
        <v>43227</v>
      </c>
      <c r="C98" s="1">
        <v>368.5</v>
      </c>
      <c r="D98" s="1">
        <v>369.54708520179298</v>
      </c>
      <c r="E98" s="1">
        <v>669</v>
      </c>
      <c r="F98" s="215">
        <v>35208.14</v>
      </c>
      <c r="G98" s="215">
        <f t="shared" si="15"/>
        <v>-2.3227867079811393E-4</v>
      </c>
      <c r="H98" s="215">
        <f t="shared" si="10"/>
        <v>2.8467764443204091E-2</v>
      </c>
      <c r="I98" s="231">
        <v>247227</v>
      </c>
      <c r="K98" s="230">
        <v>43227</v>
      </c>
      <c r="L98" s="1">
        <v>523.70000000000005</v>
      </c>
      <c r="M98" s="1">
        <v>530.39440717939203</v>
      </c>
      <c r="N98" s="1">
        <v>32649</v>
      </c>
      <c r="O98" s="1">
        <v>35208.14</v>
      </c>
      <c r="P98" s="215">
        <f t="shared" si="16"/>
        <v>-2.3227867079811393E-4</v>
      </c>
      <c r="Q98" s="215">
        <f t="shared" si="11"/>
        <v>1.6794485972235984E-2</v>
      </c>
      <c r="R98" s="231">
        <v>17316847</v>
      </c>
      <c r="T98" s="230">
        <v>43227</v>
      </c>
      <c r="U98" s="1">
        <v>203.5</v>
      </c>
      <c r="V98" s="1">
        <v>203.74303654736599</v>
      </c>
      <c r="W98" s="1">
        <v>232356</v>
      </c>
      <c r="X98" s="1">
        <v>35208.14</v>
      </c>
      <c r="Y98" s="215">
        <f t="shared" si="17"/>
        <v>-2.3227867079811393E-4</v>
      </c>
      <c r="Z98" s="215">
        <f t="shared" si="12"/>
        <v>2.184283203615367E-2</v>
      </c>
      <c r="AA98" s="231">
        <v>47340917</v>
      </c>
      <c r="AC98" s="230">
        <v>43227</v>
      </c>
      <c r="AD98" s="1">
        <v>42.75</v>
      </c>
      <c r="AE98" s="1">
        <v>42.75</v>
      </c>
      <c r="AF98" s="1">
        <v>4132</v>
      </c>
      <c r="AG98" s="1">
        <v>35208.14</v>
      </c>
      <c r="AH98" s="215">
        <f t="shared" si="18"/>
        <v>-2.3227867079811393E-4</v>
      </c>
      <c r="AI98" s="215">
        <f t="shared" si="13"/>
        <v>-2.5085518814139118E-2</v>
      </c>
      <c r="AJ98" s="231">
        <v>176643</v>
      </c>
      <c r="AL98" s="230">
        <v>44495</v>
      </c>
      <c r="AM98" s="1">
        <v>349.7</v>
      </c>
      <c r="AN98" s="1">
        <v>349.39558788778902</v>
      </c>
      <c r="AO98" s="1">
        <v>59246</v>
      </c>
      <c r="AP98" s="1">
        <v>61350.26</v>
      </c>
      <c r="AQ98" s="215">
        <f t="shared" si="19"/>
        <v>3.3843429855717755E-3</v>
      </c>
      <c r="AR98" s="215">
        <f t="shared" si="14"/>
        <v>1.1717054824244233E-2</v>
      </c>
      <c r="AS98" s="231">
        <v>20700291</v>
      </c>
    </row>
    <row r="99" spans="2:45">
      <c r="B99" s="230">
        <v>43228</v>
      </c>
      <c r="C99" s="1">
        <v>358.3</v>
      </c>
      <c r="D99" s="1">
        <v>362.14201183431902</v>
      </c>
      <c r="E99" s="1">
        <v>169</v>
      </c>
      <c r="F99" s="215">
        <v>35216.32</v>
      </c>
      <c r="G99" s="215">
        <f t="shared" si="15"/>
        <v>-2.9170978514609924E-3</v>
      </c>
      <c r="H99" s="215">
        <f t="shared" si="10"/>
        <v>6.0367822546680827E-3</v>
      </c>
      <c r="I99" s="231">
        <v>61202</v>
      </c>
      <c r="K99" s="230">
        <v>43228</v>
      </c>
      <c r="L99" s="1">
        <v>515.04999999999995</v>
      </c>
      <c r="M99" s="1">
        <v>523.17845082313204</v>
      </c>
      <c r="N99" s="1">
        <v>18952</v>
      </c>
      <c r="O99" s="1">
        <v>35216.32</v>
      </c>
      <c r="P99" s="215">
        <f t="shared" si="16"/>
        <v>-2.9170978514609924E-3</v>
      </c>
      <c r="Q99" s="215">
        <f t="shared" si="11"/>
        <v>5.1551653736218839E-2</v>
      </c>
      <c r="R99" s="231">
        <v>9915278</v>
      </c>
      <c r="T99" s="230">
        <v>43228</v>
      </c>
      <c r="U99" s="1">
        <v>199.15</v>
      </c>
      <c r="V99" s="1">
        <v>202.51696457240701</v>
      </c>
      <c r="W99" s="1">
        <v>270947</v>
      </c>
      <c r="X99" s="1">
        <v>35216.32</v>
      </c>
      <c r="Y99" s="215">
        <f t="shared" si="17"/>
        <v>-2.9170978514609924E-3</v>
      </c>
      <c r="Z99" s="215">
        <f t="shared" si="12"/>
        <v>2.102025121763651E-2</v>
      </c>
      <c r="AA99" s="231">
        <v>54871364</v>
      </c>
      <c r="AC99" s="230">
        <v>43228</v>
      </c>
      <c r="AD99" s="1">
        <v>43.85</v>
      </c>
      <c r="AE99" s="1">
        <v>44.5710580204778</v>
      </c>
      <c r="AF99" s="1">
        <v>21975</v>
      </c>
      <c r="AG99" s="1">
        <v>35216.32</v>
      </c>
      <c r="AH99" s="215">
        <f t="shared" si="18"/>
        <v>-2.9170978514609924E-3</v>
      </c>
      <c r="AI99" s="215">
        <f t="shared" si="13"/>
        <v>-3.4090909090909172E-3</v>
      </c>
      <c r="AJ99" s="231">
        <v>979449</v>
      </c>
      <c r="AL99" s="230">
        <v>44496</v>
      </c>
      <c r="AM99" s="1">
        <v>345.65</v>
      </c>
      <c r="AN99" s="1">
        <v>349.669421124346</v>
      </c>
      <c r="AO99" s="1">
        <v>22751</v>
      </c>
      <c r="AP99" s="1">
        <v>61143.33</v>
      </c>
      <c r="AQ99" s="215">
        <f t="shared" si="19"/>
        <v>1.9315425433485522E-2</v>
      </c>
      <c r="AR99" s="215">
        <f t="shared" si="14"/>
        <v>1.7964953615078771E-2</v>
      </c>
      <c r="AS99" s="231">
        <v>7955329</v>
      </c>
    </row>
    <row r="100" spans="2:45">
      <c r="B100" s="230">
        <v>43229</v>
      </c>
      <c r="C100" s="1">
        <v>356.15</v>
      </c>
      <c r="D100" s="1">
        <v>360.04605263157799</v>
      </c>
      <c r="E100" s="1">
        <v>152</v>
      </c>
      <c r="F100" s="215">
        <v>35319.35</v>
      </c>
      <c r="G100" s="215">
        <f t="shared" si="15"/>
        <v>2.0734108885849256E-3</v>
      </c>
      <c r="H100" s="215">
        <f t="shared" si="10"/>
        <v>1.7571428571428571E-2</v>
      </c>
      <c r="I100" s="231">
        <v>54727</v>
      </c>
      <c r="K100" s="230">
        <v>43229</v>
      </c>
      <c r="L100" s="1">
        <v>489.8</v>
      </c>
      <c r="M100" s="1">
        <v>503.719927331208</v>
      </c>
      <c r="N100" s="1">
        <v>33577</v>
      </c>
      <c r="O100" s="1">
        <v>35319.35</v>
      </c>
      <c r="P100" s="215">
        <f t="shared" si="16"/>
        <v>2.0734108885849256E-3</v>
      </c>
      <c r="Q100" s="215">
        <f t="shared" si="11"/>
        <v>9.2693809258226567E-2</v>
      </c>
      <c r="R100" s="231">
        <v>16913404</v>
      </c>
      <c r="T100" s="230">
        <v>43229</v>
      </c>
      <c r="U100" s="1">
        <v>195.05</v>
      </c>
      <c r="V100" s="1">
        <v>197.92172690798</v>
      </c>
      <c r="W100" s="1">
        <v>229798</v>
      </c>
      <c r="X100" s="1">
        <v>35319.35</v>
      </c>
      <c r="Y100" s="215">
        <f t="shared" si="17"/>
        <v>2.0734108885849256E-3</v>
      </c>
      <c r="Z100" s="215">
        <f t="shared" si="12"/>
        <v>4.5564191905655305E-2</v>
      </c>
      <c r="AA100" s="231">
        <v>45482017</v>
      </c>
      <c r="AC100" s="230">
        <v>43229</v>
      </c>
      <c r="AD100" s="1">
        <v>44</v>
      </c>
      <c r="AE100" s="1">
        <v>43.701738050899998</v>
      </c>
      <c r="AF100" s="1">
        <v>6444</v>
      </c>
      <c r="AG100" s="1">
        <v>35319.35</v>
      </c>
      <c r="AH100" s="215">
        <f t="shared" si="18"/>
        <v>2.0734108885849256E-3</v>
      </c>
      <c r="AI100" s="215">
        <f t="shared" si="13"/>
        <v>4.7619047619047672E-2</v>
      </c>
      <c r="AJ100" s="231">
        <v>281614</v>
      </c>
      <c r="AL100" s="230">
        <v>44497</v>
      </c>
      <c r="AM100" s="1">
        <v>339.55</v>
      </c>
      <c r="AN100" s="1">
        <v>344.51914817995998</v>
      </c>
      <c r="AO100" s="1">
        <v>33763</v>
      </c>
      <c r="AP100" s="1">
        <v>59984.7</v>
      </c>
      <c r="AQ100" s="215">
        <f t="shared" si="19"/>
        <v>1.1428175425704845E-2</v>
      </c>
      <c r="AR100" s="215">
        <f t="shared" si="14"/>
        <v>7.1184932522616595E-3</v>
      </c>
      <c r="AS100" s="231">
        <v>11632000</v>
      </c>
    </row>
    <row r="101" spans="2:45">
      <c r="B101" s="230">
        <v>43230</v>
      </c>
      <c r="C101" s="1">
        <v>350</v>
      </c>
      <c r="D101" s="1">
        <v>351.430379746835</v>
      </c>
      <c r="E101" s="1">
        <v>1106</v>
      </c>
      <c r="F101" s="215">
        <v>35246.269999999997</v>
      </c>
      <c r="G101" s="215">
        <f t="shared" si="15"/>
        <v>-8.1472791233853092E-3</v>
      </c>
      <c r="H101" s="215">
        <f t="shared" si="10"/>
        <v>-8.7793826111584039E-3</v>
      </c>
      <c r="I101" s="231">
        <v>388682</v>
      </c>
      <c r="K101" s="230">
        <v>43230</v>
      </c>
      <c r="L101" s="1">
        <v>448.25</v>
      </c>
      <c r="M101" s="1">
        <v>458.84123843969201</v>
      </c>
      <c r="N101" s="1">
        <v>82394</v>
      </c>
      <c r="O101" s="1">
        <v>35246.269999999997</v>
      </c>
      <c r="P101" s="215">
        <f t="shared" si="16"/>
        <v>-8.1472791233853092E-3</v>
      </c>
      <c r="Q101" s="215">
        <f t="shared" si="11"/>
        <v>-8.0889891326635155E-2</v>
      </c>
      <c r="R101" s="231">
        <v>37805765</v>
      </c>
      <c r="T101" s="230">
        <v>43230</v>
      </c>
      <c r="U101" s="1">
        <v>186.55</v>
      </c>
      <c r="V101" s="1">
        <v>189.16319894800699</v>
      </c>
      <c r="W101" s="1">
        <v>278329</v>
      </c>
      <c r="X101" s="1">
        <v>35246.269999999997</v>
      </c>
      <c r="Y101" s="215">
        <f t="shared" si="17"/>
        <v>-8.1472791233853092E-3</v>
      </c>
      <c r="Z101" s="215">
        <f t="shared" si="12"/>
        <v>2.0235165436149893E-2</v>
      </c>
      <c r="AA101" s="231">
        <v>52649604</v>
      </c>
      <c r="AC101" s="230">
        <v>43230</v>
      </c>
      <c r="AD101" s="1">
        <v>42</v>
      </c>
      <c r="AE101" s="1">
        <v>42.209029505865601</v>
      </c>
      <c r="AF101" s="1">
        <v>2813</v>
      </c>
      <c r="AG101" s="1">
        <v>35246.269999999997</v>
      </c>
      <c r="AH101" s="215">
        <f t="shared" si="18"/>
        <v>-8.1472791233853092E-3</v>
      </c>
      <c r="AI101" s="215">
        <f t="shared" si="13"/>
        <v>-3.0023094688221619E-2</v>
      </c>
      <c r="AJ101" s="231">
        <v>118734</v>
      </c>
      <c r="AL101" s="230">
        <v>44498</v>
      </c>
      <c r="AM101" s="1">
        <v>337.15</v>
      </c>
      <c r="AN101" s="1">
        <v>338.15734016425898</v>
      </c>
      <c r="AO101" s="1">
        <v>37867</v>
      </c>
      <c r="AP101" s="1">
        <v>59306.93</v>
      </c>
      <c r="AQ101" s="215">
        <f t="shared" si="19"/>
        <v>-1.3826925398488732E-2</v>
      </c>
      <c r="AR101" s="215">
        <f t="shared" si="14"/>
        <v>-1.5332943925233655E-2</v>
      </c>
      <c r="AS101" s="231">
        <v>12805004</v>
      </c>
    </row>
    <row r="102" spans="2:45">
      <c r="B102" s="230">
        <v>43231</v>
      </c>
      <c r="C102" s="1">
        <v>353.1</v>
      </c>
      <c r="D102" s="1">
        <v>360.95238095238</v>
      </c>
      <c r="E102" s="1">
        <v>882</v>
      </c>
      <c r="F102" s="215">
        <v>35535.79</v>
      </c>
      <c r="G102" s="215">
        <f t="shared" si="15"/>
        <v>-5.8835589681938139E-4</v>
      </c>
      <c r="H102" s="215">
        <f t="shared" si="10"/>
        <v>2.3181686467690588E-2</v>
      </c>
      <c r="I102" s="231">
        <v>318360</v>
      </c>
      <c r="K102" s="230">
        <v>43231</v>
      </c>
      <c r="L102" s="1">
        <v>487.7</v>
      </c>
      <c r="M102" s="1">
        <v>484.69310477829299</v>
      </c>
      <c r="N102" s="1">
        <v>134818</v>
      </c>
      <c r="O102" s="1">
        <v>35535.79</v>
      </c>
      <c r="P102" s="215">
        <f t="shared" si="16"/>
        <v>-5.8835589681938139E-4</v>
      </c>
      <c r="Q102" s="215">
        <f t="shared" si="11"/>
        <v>1.29816180288711E-2</v>
      </c>
      <c r="R102" s="231">
        <v>65345355</v>
      </c>
      <c r="T102" s="230">
        <v>43231</v>
      </c>
      <c r="U102" s="1">
        <v>182.85</v>
      </c>
      <c r="V102" s="1">
        <v>184.49017115332501</v>
      </c>
      <c r="W102" s="1">
        <v>350855</v>
      </c>
      <c r="X102" s="1">
        <v>35535.79</v>
      </c>
      <c r="Y102" s="215">
        <f t="shared" si="17"/>
        <v>-5.8835589681938139E-4</v>
      </c>
      <c r="Z102" s="215">
        <f t="shared" si="12"/>
        <v>1.0500138159712735E-2</v>
      </c>
      <c r="AA102" s="231">
        <v>64729299</v>
      </c>
      <c r="AC102" s="230">
        <v>43231</v>
      </c>
      <c r="AD102" s="1">
        <v>43.3</v>
      </c>
      <c r="AE102" s="1">
        <v>41.6636363636363</v>
      </c>
      <c r="AF102" s="1">
        <v>1100</v>
      </c>
      <c r="AG102" s="1">
        <v>35535.79</v>
      </c>
      <c r="AH102" s="215">
        <f t="shared" si="18"/>
        <v>-5.8835589681938139E-4</v>
      </c>
      <c r="AI102" s="215">
        <f t="shared" si="13"/>
        <v>9.3240093240092303E-3</v>
      </c>
      <c r="AJ102" s="231">
        <v>45830</v>
      </c>
      <c r="AL102" s="230">
        <v>44501</v>
      </c>
      <c r="AM102" s="1">
        <v>342.4</v>
      </c>
      <c r="AN102" s="1">
        <v>342.82944951029998</v>
      </c>
      <c r="AO102" s="1">
        <v>41454</v>
      </c>
      <c r="AP102" s="1">
        <v>60138.46</v>
      </c>
      <c r="AQ102" s="215">
        <f t="shared" si="19"/>
        <v>1.8224506597304124E-3</v>
      </c>
      <c r="AR102" s="215">
        <f t="shared" si="14"/>
        <v>2.9291154071471315E-3</v>
      </c>
      <c r="AS102" s="231">
        <v>14211652</v>
      </c>
    </row>
    <row r="103" spans="2:45">
      <c r="B103" s="230">
        <v>43234</v>
      </c>
      <c r="C103" s="1">
        <v>345.1</v>
      </c>
      <c r="D103" s="1">
        <v>354.18658536585298</v>
      </c>
      <c r="E103" s="1">
        <v>820</v>
      </c>
      <c r="F103" s="215">
        <v>35556.71</v>
      </c>
      <c r="G103" s="215">
        <f t="shared" si="15"/>
        <v>3.592736202007174E-4</v>
      </c>
      <c r="H103" s="215">
        <f t="shared" si="10"/>
        <v>-1.3999999999999901E-2</v>
      </c>
      <c r="I103" s="231">
        <v>290433</v>
      </c>
      <c r="K103" s="230">
        <v>43234</v>
      </c>
      <c r="L103" s="1">
        <v>481.45</v>
      </c>
      <c r="M103" s="1">
        <v>481.19110017042198</v>
      </c>
      <c r="N103" s="1">
        <v>26405</v>
      </c>
      <c r="O103" s="1">
        <v>35556.71</v>
      </c>
      <c r="P103" s="215">
        <f t="shared" si="16"/>
        <v>3.592736202007174E-4</v>
      </c>
      <c r="Q103" s="215">
        <f t="shared" si="11"/>
        <v>1.2939196297075517E-2</v>
      </c>
      <c r="R103" s="231">
        <v>12705851</v>
      </c>
      <c r="T103" s="230">
        <v>43234</v>
      </c>
      <c r="U103" s="1">
        <v>180.95</v>
      </c>
      <c r="V103" s="1">
        <v>182.43526763918899</v>
      </c>
      <c r="W103" s="1">
        <v>204828</v>
      </c>
      <c r="X103" s="1">
        <v>35556.71</v>
      </c>
      <c r="Y103" s="215">
        <f t="shared" si="17"/>
        <v>3.592736202007174E-4</v>
      </c>
      <c r="Z103" s="215">
        <f t="shared" si="12"/>
        <v>1.2874335292471173E-2</v>
      </c>
      <c r="AA103" s="231">
        <v>37367851</v>
      </c>
      <c r="AC103" s="230">
        <v>43234</v>
      </c>
      <c r="AD103" s="1">
        <v>42.9</v>
      </c>
      <c r="AE103" s="1">
        <v>42.366199745315598</v>
      </c>
      <c r="AF103" s="1">
        <v>5497</v>
      </c>
      <c r="AG103" s="1">
        <v>35556.71</v>
      </c>
      <c r="AH103" s="215">
        <f t="shared" si="18"/>
        <v>3.592736202007174E-4</v>
      </c>
      <c r="AI103" s="215">
        <f t="shared" si="13"/>
        <v>1.0600706713780772E-2</v>
      </c>
      <c r="AJ103" s="231">
        <v>232887</v>
      </c>
      <c r="AL103" s="230">
        <v>44502</v>
      </c>
      <c r="AM103" s="1">
        <v>341.4</v>
      </c>
      <c r="AN103" s="1">
        <v>342.26855082577299</v>
      </c>
      <c r="AO103" s="1">
        <v>34392</v>
      </c>
      <c r="AP103" s="1">
        <v>60029.06</v>
      </c>
      <c r="AQ103" s="215">
        <f t="shared" si="19"/>
        <v>4.3020200789936069E-3</v>
      </c>
      <c r="AR103" s="215">
        <f t="shared" si="14"/>
        <v>-9.2861288450378776E-3</v>
      </c>
      <c r="AS103" s="231">
        <v>11771300</v>
      </c>
    </row>
    <row r="104" spans="2:45">
      <c r="B104" s="230">
        <v>43235</v>
      </c>
      <c r="C104" s="1">
        <v>350</v>
      </c>
      <c r="D104" s="1">
        <v>352.12472160356299</v>
      </c>
      <c r="E104" s="1">
        <v>449</v>
      </c>
      <c r="F104" s="215">
        <v>35543.94</v>
      </c>
      <c r="G104" s="215">
        <f t="shared" si="15"/>
        <v>4.4099844353491235E-3</v>
      </c>
      <c r="H104" s="215">
        <f t="shared" si="10"/>
        <v>-1.3945626144527323E-2</v>
      </c>
      <c r="I104" s="231">
        <v>158104</v>
      </c>
      <c r="K104" s="230">
        <v>43235</v>
      </c>
      <c r="L104" s="1">
        <v>475.3</v>
      </c>
      <c r="M104" s="1">
        <v>485.82977395645503</v>
      </c>
      <c r="N104" s="1">
        <v>28844</v>
      </c>
      <c r="O104" s="1">
        <v>35543.94</v>
      </c>
      <c r="P104" s="215">
        <f t="shared" si="16"/>
        <v>4.4099844353491235E-3</v>
      </c>
      <c r="Q104" s="215">
        <f t="shared" si="11"/>
        <v>2.2810415321713018E-2</v>
      </c>
      <c r="R104" s="231">
        <v>14013274</v>
      </c>
      <c r="T104" s="230">
        <v>43235</v>
      </c>
      <c r="U104" s="1">
        <v>178.65</v>
      </c>
      <c r="V104" s="1">
        <v>183.25594638285801</v>
      </c>
      <c r="W104" s="1">
        <v>233209</v>
      </c>
      <c r="X104" s="1">
        <v>35543.94</v>
      </c>
      <c r="Y104" s="215">
        <f t="shared" si="17"/>
        <v>4.4099844353491235E-3</v>
      </c>
      <c r="Z104" s="215">
        <f t="shared" si="12"/>
        <v>8.4674005080440651E-3</v>
      </c>
      <c r="AA104" s="231">
        <v>42736936</v>
      </c>
      <c r="AC104" s="230">
        <v>43235</v>
      </c>
      <c r="AD104" s="1">
        <v>42.45</v>
      </c>
      <c r="AE104" s="1">
        <v>41.064864864864802</v>
      </c>
      <c r="AF104" s="1">
        <v>555</v>
      </c>
      <c r="AG104" s="1">
        <v>35543.94</v>
      </c>
      <c r="AH104" s="215">
        <f t="shared" si="18"/>
        <v>4.4099844353491235E-3</v>
      </c>
      <c r="AI104" s="215">
        <f t="shared" si="13"/>
        <v>3.9167686658506673E-2</v>
      </c>
      <c r="AJ104" s="231">
        <v>22791</v>
      </c>
      <c r="AL104" s="230">
        <v>44503</v>
      </c>
      <c r="AM104" s="1">
        <v>344.6</v>
      </c>
      <c r="AN104" s="1">
        <v>346.39802810340802</v>
      </c>
      <c r="AO104" s="1">
        <v>25762</v>
      </c>
      <c r="AP104" s="1">
        <v>59771.92</v>
      </c>
      <c r="AQ104" s="215">
        <f t="shared" si="19"/>
        <v>-4.9227853542391786E-3</v>
      </c>
      <c r="AR104" s="215">
        <f t="shared" si="14"/>
        <v>-3.1342234715389994E-2</v>
      </c>
      <c r="AS104" s="231">
        <v>8923906</v>
      </c>
    </row>
    <row r="105" spans="2:45">
      <c r="B105" s="230">
        <v>43236</v>
      </c>
      <c r="C105" s="1">
        <v>354.95</v>
      </c>
      <c r="D105" s="1">
        <v>351.327645051194</v>
      </c>
      <c r="E105" s="1">
        <v>293</v>
      </c>
      <c r="F105" s="215">
        <v>35387.879999999997</v>
      </c>
      <c r="G105" s="215">
        <f t="shared" si="15"/>
        <v>6.7927731903385524E-3</v>
      </c>
      <c r="H105" s="215">
        <f t="shared" si="10"/>
        <v>5.2393089776265889E-3</v>
      </c>
      <c r="I105" s="231">
        <v>102939</v>
      </c>
      <c r="K105" s="230">
        <v>43236</v>
      </c>
      <c r="L105" s="1">
        <v>464.7</v>
      </c>
      <c r="M105" s="1">
        <v>467.32846530474399</v>
      </c>
      <c r="N105" s="1">
        <v>11846</v>
      </c>
      <c r="O105" s="1">
        <v>35387.879999999997</v>
      </c>
      <c r="P105" s="215">
        <f t="shared" si="16"/>
        <v>6.7927731903385524E-3</v>
      </c>
      <c r="Q105" s="215">
        <f t="shared" si="11"/>
        <v>-3.2177444548578515E-2</v>
      </c>
      <c r="R105" s="231">
        <v>5535973</v>
      </c>
      <c r="T105" s="230">
        <v>43236</v>
      </c>
      <c r="U105" s="1">
        <v>177.15</v>
      </c>
      <c r="V105" s="1">
        <v>178.83223747178701</v>
      </c>
      <c r="W105" s="1">
        <v>224633</v>
      </c>
      <c r="X105" s="1">
        <v>35387.879999999997</v>
      </c>
      <c r="Y105" s="215">
        <f t="shared" si="17"/>
        <v>6.7927731903385524E-3</v>
      </c>
      <c r="Z105" s="215">
        <f t="shared" si="12"/>
        <v>-1.8559556786703624E-2</v>
      </c>
      <c r="AA105" s="231">
        <v>40171622</v>
      </c>
      <c r="AC105" s="230">
        <v>43236</v>
      </c>
      <c r="AD105" s="1">
        <v>40.85</v>
      </c>
      <c r="AE105" s="1">
        <v>40.994861660079003</v>
      </c>
      <c r="AF105" s="1">
        <v>2530</v>
      </c>
      <c r="AG105" s="1">
        <v>35387.879999999997</v>
      </c>
      <c r="AH105" s="215">
        <f t="shared" si="18"/>
        <v>6.7927731903385524E-3</v>
      </c>
      <c r="AI105" s="215">
        <f t="shared" si="13"/>
        <v>0</v>
      </c>
      <c r="AJ105" s="231">
        <v>103717</v>
      </c>
      <c r="AL105" s="230">
        <v>44504</v>
      </c>
      <c r="AM105" s="1">
        <v>355.75</v>
      </c>
      <c r="AN105" s="1">
        <v>353.19318640510198</v>
      </c>
      <c r="AO105" s="1">
        <v>12387</v>
      </c>
      <c r="AP105" s="1">
        <v>60067.62</v>
      </c>
      <c r="AQ105" s="215">
        <f t="shared" si="19"/>
        <v>-7.8947094595297473E-3</v>
      </c>
      <c r="AR105" s="215">
        <f t="shared" si="14"/>
        <v>-1.2491325468424685E-2</v>
      </c>
      <c r="AS105" s="231">
        <v>4375004</v>
      </c>
    </row>
    <row r="106" spans="2:45">
      <c r="B106" s="230">
        <v>43237</v>
      </c>
      <c r="C106" s="1">
        <v>353.1</v>
      </c>
      <c r="D106" s="1">
        <v>352.884464110127</v>
      </c>
      <c r="E106" s="1">
        <v>2034</v>
      </c>
      <c r="F106" s="215">
        <v>35149.120000000003</v>
      </c>
      <c r="G106" s="215">
        <f t="shared" si="15"/>
        <v>8.6322718755291739E-3</v>
      </c>
      <c r="H106" s="215">
        <f t="shared" si="10"/>
        <v>3.5483870967742082E-2</v>
      </c>
      <c r="I106" s="231">
        <v>717767</v>
      </c>
      <c r="K106" s="230">
        <v>43237</v>
      </c>
      <c r="L106" s="1">
        <v>480.15</v>
      </c>
      <c r="M106" s="1">
        <v>472.94852297157399</v>
      </c>
      <c r="N106" s="1">
        <v>25118</v>
      </c>
      <c r="O106" s="1">
        <v>35149.120000000003</v>
      </c>
      <c r="P106" s="215">
        <f t="shared" si="16"/>
        <v>8.6322718755291739E-3</v>
      </c>
      <c r="Q106" s="215">
        <f t="shared" si="11"/>
        <v>1.69437678703801E-2</v>
      </c>
      <c r="R106" s="231">
        <v>11879521</v>
      </c>
      <c r="T106" s="230">
        <v>43237</v>
      </c>
      <c r="U106" s="1">
        <v>180.5</v>
      </c>
      <c r="V106" s="1">
        <v>180.378445762105</v>
      </c>
      <c r="W106" s="1">
        <v>184502</v>
      </c>
      <c r="X106" s="1">
        <v>35149.120000000003</v>
      </c>
      <c r="Y106" s="215">
        <f t="shared" si="17"/>
        <v>8.6322718755291739E-3</v>
      </c>
      <c r="Z106" s="215">
        <f t="shared" si="12"/>
        <v>3.3199771036061865E-2</v>
      </c>
      <c r="AA106" s="231">
        <v>33280184</v>
      </c>
      <c r="AC106" s="230">
        <v>43237</v>
      </c>
      <c r="AD106" s="1">
        <v>40.85</v>
      </c>
      <c r="AE106" s="1">
        <v>39.659305993690801</v>
      </c>
      <c r="AF106" s="1">
        <v>634</v>
      </c>
      <c r="AG106" s="1">
        <v>35149.120000000003</v>
      </c>
      <c r="AH106" s="215">
        <f t="shared" si="18"/>
        <v>8.6322718755291739E-3</v>
      </c>
      <c r="AI106" s="215">
        <f t="shared" si="13"/>
        <v>1.3647642679900818E-2</v>
      </c>
      <c r="AJ106" s="231">
        <v>25144</v>
      </c>
      <c r="AL106" s="230">
        <v>44508</v>
      </c>
      <c r="AM106" s="1">
        <v>360.25</v>
      </c>
      <c r="AN106" s="1">
        <v>360.51847070506398</v>
      </c>
      <c r="AO106" s="1">
        <v>30210</v>
      </c>
      <c r="AP106" s="1">
        <v>60545.61</v>
      </c>
      <c r="AQ106" s="215">
        <f t="shared" si="19"/>
        <v>1.8559258159183134E-3</v>
      </c>
      <c r="AR106" s="215">
        <f t="shared" si="14"/>
        <v>2.9138694472218285E-2</v>
      </c>
      <c r="AS106" s="231">
        <v>10891263</v>
      </c>
    </row>
    <row r="107" spans="2:45">
      <c r="B107" s="230">
        <v>43238</v>
      </c>
      <c r="C107" s="1">
        <v>341</v>
      </c>
      <c r="D107" s="1">
        <v>335.02589395807598</v>
      </c>
      <c r="E107" s="1">
        <v>811</v>
      </c>
      <c r="F107" s="215">
        <v>34848.300000000003</v>
      </c>
      <c r="G107" s="215">
        <f t="shared" si="15"/>
        <v>6.7069889095057178E-3</v>
      </c>
      <c r="H107" s="215">
        <f t="shared" si="10"/>
        <v>9.0250036987720161E-3</v>
      </c>
      <c r="I107" s="231">
        <v>271706</v>
      </c>
      <c r="K107" s="230">
        <v>43238</v>
      </c>
      <c r="L107" s="1">
        <v>472.15</v>
      </c>
      <c r="M107" s="1">
        <v>478.87802180439201</v>
      </c>
      <c r="N107" s="1">
        <v>18987</v>
      </c>
      <c r="O107" s="1">
        <v>34848.300000000003</v>
      </c>
      <c r="P107" s="215">
        <f t="shared" si="16"/>
        <v>6.7069889095057178E-3</v>
      </c>
      <c r="Q107" s="215">
        <f t="shared" si="11"/>
        <v>6.8696242643730088E-2</v>
      </c>
      <c r="R107" s="231">
        <v>9092457</v>
      </c>
      <c r="T107" s="230">
        <v>43238</v>
      </c>
      <c r="U107" s="1">
        <v>174.7</v>
      </c>
      <c r="V107" s="1">
        <v>179.11668094480399</v>
      </c>
      <c r="W107" s="1">
        <v>163420</v>
      </c>
      <c r="X107" s="1">
        <v>34848.300000000003</v>
      </c>
      <c r="Y107" s="215">
        <f t="shared" si="17"/>
        <v>6.7069889095057178E-3</v>
      </c>
      <c r="Z107" s="215">
        <f t="shared" si="12"/>
        <v>2.6138032305433212E-2</v>
      </c>
      <c r="AA107" s="231">
        <v>29271248</v>
      </c>
      <c r="AC107" s="230">
        <v>43238</v>
      </c>
      <c r="AD107" s="1">
        <v>40.299999999999997</v>
      </c>
      <c r="AE107" s="1">
        <v>39.368627450980298</v>
      </c>
      <c r="AF107" s="1">
        <v>510</v>
      </c>
      <c r="AG107" s="1">
        <v>34848.300000000003</v>
      </c>
      <c r="AH107" s="215">
        <f t="shared" si="18"/>
        <v>6.7069889095057178E-3</v>
      </c>
      <c r="AI107" s="215">
        <f t="shared" si="13"/>
        <v>-2.4213075060532718E-2</v>
      </c>
      <c r="AJ107" s="231">
        <v>20078</v>
      </c>
      <c r="AL107" s="230">
        <v>44509</v>
      </c>
      <c r="AM107" s="1">
        <v>350.05</v>
      </c>
      <c r="AN107" s="1">
        <v>360.30603888677001</v>
      </c>
      <c r="AO107" s="1">
        <v>131150</v>
      </c>
      <c r="AP107" s="1">
        <v>60433.45</v>
      </c>
      <c r="AQ107" s="215">
        <f t="shared" si="19"/>
        <v>1.3359773412409126E-3</v>
      </c>
      <c r="AR107" s="215">
        <f t="shared" si="14"/>
        <v>-2.2801767136952922E-3</v>
      </c>
      <c r="AS107" s="231">
        <v>47254137</v>
      </c>
    </row>
    <row r="108" spans="2:45">
      <c r="B108" s="230">
        <v>43241</v>
      </c>
      <c r="C108" s="1">
        <v>337.95</v>
      </c>
      <c r="D108" s="1">
        <v>326.89179440937698</v>
      </c>
      <c r="E108" s="1">
        <v>1109</v>
      </c>
      <c r="F108" s="215">
        <v>34616.129999999997</v>
      </c>
      <c r="G108" s="215">
        <f t="shared" si="15"/>
        <v>-1.0132393530505324E-3</v>
      </c>
      <c r="H108" s="215">
        <f t="shared" si="10"/>
        <v>3.9846153846153864E-2</v>
      </c>
      <c r="I108" s="231">
        <v>362523</v>
      </c>
      <c r="K108" s="230">
        <v>43241</v>
      </c>
      <c r="L108" s="1">
        <v>441.8</v>
      </c>
      <c r="M108" s="1">
        <v>443.85502435188999</v>
      </c>
      <c r="N108" s="1">
        <v>45787</v>
      </c>
      <c r="O108" s="1">
        <v>34616.129999999997</v>
      </c>
      <c r="P108" s="215">
        <f t="shared" si="16"/>
        <v>-1.0132393530505324E-3</v>
      </c>
      <c r="Q108" s="215">
        <f t="shared" si="11"/>
        <v>-1.1964665101196426E-2</v>
      </c>
      <c r="R108" s="231">
        <v>20322790</v>
      </c>
      <c r="T108" s="230">
        <v>43241</v>
      </c>
      <c r="U108" s="1">
        <v>170.25</v>
      </c>
      <c r="V108" s="1">
        <v>172.41450417052801</v>
      </c>
      <c r="W108" s="1">
        <v>168324</v>
      </c>
      <c r="X108" s="1">
        <v>34616.129999999997</v>
      </c>
      <c r="Y108" s="215">
        <f t="shared" si="17"/>
        <v>-1.0132393530505324E-3</v>
      </c>
      <c r="Z108" s="215">
        <f t="shared" si="12"/>
        <v>2.6501766784452485E-3</v>
      </c>
      <c r="AA108" s="231">
        <v>29021499</v>
      </c>
      <c r="AC108" s="230">
        <v>43241</v>
      </c>
      <c r="AD108" s="1">
        <v>41.3</v>
      </c>
      <c r="AE108" s="1">
        <v>41.021801400381896</v>
      </c>
      <c r="AF108" s="1">
        <v>6284</v>
      </c>
      <c r="AG108" s="1">
        <v>34616.129999999997</v>
      </c>
      <c r="AH108" s="215">
        <f t="shared" si="18"/>
        <v>-1.0132393530505324E-3</v>
      </c>
      <c r="AI108" s="215">
        <f t="shared" si="13"/>
        <v>-4.7289504036909014E-2</v>
      </c>
      <c r="AJ108" s="231">
        <v>257781</v>
      </c>
      <c r="AL108" s="230">
        <v>44510</v>
      </c>
      <c r="AM108" s="1">
        <v>350.85</v>
      </c>
      <c r="AN108" s="1">
        <v>351.64170617657999</v>
      </c>
      <c r="AO108" s="1">
        <v>61377</v>
      </c>
      <c r="AP108" s="1">
        <v>60352.82</v>
      </c>
      <c r="AQ108" s="215">
        <f t="shared" si="19"/>
        <v>7.2285086922179165E-3</v>
      </c>
      <c r="AR108" s="215">
        <f t="shared" si="14"/>
        <v>1.4253135689856755E-4</v>
      </c>
      <c r="AS108" s="231">
        <v>21582713</v>
      </c>
    </row>
    <row r="109" spans="2:45">
      <c r="B109" s="230">
        <v>43242</v>
      </c>
      <c r="C109" s="1">
        <v>325</v>
      </c>
      <c r="D109" s="1">
        <v>324.64684898929801</v>
      </c>
      <c r="E109" s="1">
        <v>841</v>
      </c>
      <c r="F109" s="215">
        <v>34651.24</v>
      </c>
      <c r="G109" s="215">
        <f t="shared" si="15"/>
        <v>8.9192255853922653E-3</v>
      </c>
      <c r="H109" s="215">
        <f t="shared" si="10"/>
        <v>8.4779706275033284E-2</v>
      </c>
      <c r="I109" s="231">
        <v>273028</v>
      </c>
      <c r="K109" s="230">
        <v>43242</v>
      </c>
      <c r="L109" s="1">
        <v>447.15</v>
      </c>
      <c r="M109" s="1">
        <v>449.48758189852202</v>
      </c>
      <c r="N109" s="1">
        <v>19689</v>
      </c>
      <c r="O109" s="1">
        <v>34651.24</v>
      </c>
      <c r="P109" s="215">
        <f t="shared" si="16"/>
        <v>8.9192255853922653E-3</v>
      </c>
      <c r="Q109" s="215">
        <f t="shared" si="11"/>
        <v>1.9145299145299166E-2</v>
      </c>
      <c r="R109" s="231">
        <v>8849961</v>
      </c>
      <c r="T109" s="230">
        <v>43242</v>
      </c>
      <c r="U109" s="1">
        <v>169.8</v>
      </c>
      <c r="V109" s="1">
        <v>170.90029051742701</v>
      </c>
      <c r="W109" s="1">
        <v>143537</v>
      </c>
      <c r="X109" s="1">
        <v>34651.24</v>
      </c>
      <c r="Y109" s="215">
        <f t="shared" si="17"/>
        <v>8.9192255853922653E-3</v>
      </c>
      <c r="Z109" s="215">
        <f t="shared" si="12"/>
        <v>9.2124814264487043E-3</v>
      </c>
      <c r="AA109" s="231">
        <v>24530515</v>
      </c>
      <c r="AC109" s="230">
        <v>43242</v>
      </c>
      <c r="AD109" s="1">
        <v>43.35</v>
      </c>
      <c r="AE109" s="1">
        <v>43.349977349373297</v>
      </c>
      <c r="AF109" s="1">
        <v>19867</v>
      </c>
      <c r="AG109" s="1">
        <v>34651.24</v>
      </c>
      <c r="AH109" s="215">
        <f t="shared" si="18"/>
        <v>8.9192255853922653E-3</v>
      </c>
      <c r="AI109" s="215">
        <f t="shared" si="13"/>
        <v>-4.7252747252747196E-2</v>
      </c>
      <c r="AJ109" s="231">
        <v>861234</v>
      </c>
      <c r="AL109" s="230">
        <v>44511</v>
      </c>
      <c r="AM109" s="1">
        <v>350.8</v>
      </c>
      <c r="AN109" s="1">
        <v>351.28188094307598</v>
      </c>
      <c r="AO109" s="1">
        <v>46062</v>
      </c>
      <c r="AP109" s="1">
        <v>59919.69</v>
      </c>
      <c r="AQ109" s="215">
        <f t="shared" si="19"/>
        <v>-1.2638685682148765E-2</v>
      </c>
      <c r="AR109" s="215">
        <f t="shared" si="14"/>
        <v>9.6416750611598712E-3</v>
      </c>
      <c r="AS109" s="231">
        <v>16180746</v>
      </c>
    </row>
    <row r="110" spans="2:45">
      <c r="B110" s="230">
        <v>43243</v>
      </c>
      <c r="C110" s="1">
        <v>299.60000000000002</v>
      </c>
      <c r="D110" s="1">
        <v>300.03061553335402</v>
      </c>
      <c r="E110" s="1">
        <v>6206</v>
      </c>
      <c r="F110" s="215">
        <v>34344.910000000003</v>
      </c>
      <c r="G110" s="215">
        <f t="shared" si="15"/>
        <v>-9.1797879647843583E-3</v>
      </c>
      <c r="H110" s="215">
        <f t="shared" si="10"/>
        <v>-1.3333333333332975E-3</v>
      </c>
      <c r="I110" s="231">
        <v>1861990</v>
      </c>
      <c r="K110" s="230">
        <v>43243</v>
      </c>
      <c r="L110" s="1">
        <v>438.75</v>
      </c>
      <c r="M110" s="1">
        <v>444.17966011683399</v>
      </c>
      <c r="N110" s="1">
        <v>18830</v>
      </c>
      <c r="O110" s="1">
        <v>34344.910000000003</v>
      </c>
      <c r="P110" s="215">
        <f t="shared" si="16"/>
        <v>-9.1797879647843583E-3</v>
      </c>
      <c r="Q110" s="215">
        <f t="shared" si="11"/>
        <v>1.0013812154696211E-2</v>
      </c>
      <c r="R110" s="231">
        <v>8363903</v>
      </c>
      <c r="T110" s="230">
        <v>43243</v>
      </c>
      <c r="U110" s="1">
        <v>168.25</v>
      </c>
      <c r="V110" s="1">
        <v>171.077800022459</v>
      </c>
      <c r="W110" s="1">
        <v>258239</v>
      </c>
      <c r="X110" s="1">
        <v>34344.910000000003</v>
      </c>
      <c r="Y110" s="215">
        <f t="shared" si="17"/>
        <v>-9.1797879647843583E-3</v>
      </c>
      <c r="Z110" s="215">
        <f t="shared" si="12"/>
        <v>2.8422982885085712E-2</v>
      </c>
      <c r="AA110" s="231">
        <v>44178960</v>
      </c>
      <c r="AC110" s="230">
        <v>43243</v>
      </c>
      <c r="AD110" s="1">
        <v>45.5</v>
      </c>
      <c r="AE110" s="1">
        <v>45.499959313206901</v>
      </c>
      <c r="AF110" s="1">
        <v>12289</v>
      </c>
      <c r="AG110" s="1">
        <v>34344.910000000003</v>
      </c>
      <c r="AH110" s="215">
        <f t="shared" si="18"/>
        <v>-9.1797879647843583E-3</v>
      </c>
      <c r="AI110" s="215">
        <f t="shared" si="13"/>
        <v>-4.7120418848167533E-2</v>
      </c>
      <c r="AJ110" s="231">
        <v>559149</v>
      </c>
      <c r="AL110" s="230">
        <v>44512</v>
      </c>
      <c r="AM110" s="1">
        <v>347.45</v>
      </c>
      <c r="AN110" s="1">
        <v>348.446827404337</v>
      </c>
      <c r="AO110" s="1">
        <v>37162</v>
      </c>
      <c r="AP110" s="1">
        <v>60686.69</v>
      </c>
      <c r="AQ110" s="215">
        <f t="shared" si="19"/>
        <v>-5.2734980700341882E-4</v>
      </c>
      <c r="AR110" s="215">
        <f t="shared" si="14"/>
        <v>6.2264697364609045E-3</v>
      </c>
      <c r="AS110" s="231">
        <v>12948981</v>
      </c>
    </row>
    <row r="111" spans="2:45">
      <c r="B111" s="230">
        <v>43244</v>
      </c>
      <c r="C111" s="1">
        <v>300</v>
      </c>
      <c r="D111" s="1">
        <v>294.49115504682601</v>
      </c>
      <c r="E111" s="1">
        <v>1922</v>
      </c>
      <c r="F111" s="215">
        <v>34663.11</v>
      </c>
      <c r="G111" s="215">
        <f t="shared" si="15"/>
        <v>-7.4949455788955177E-3</v>
      </c>
      <c r="H111" s="215">
        <f t="shared" si="10"/>
        <v>-4.644990046449804E-3</v>
      </c>
      <c r="I111" s="231">
        <v>566012</v>
      </c>
      <c r="K111" s="230">
        <v>43244</v>
      </c>
      <c r="L111" s="1">
        <v>434.4</v>
      </c>
      <c r="M111" s="1">
        <v>439.01222586337201</v>
      </c>
      <c r="N111" s="1">
        <v>7934</v>
      </c>
      <c r="O111" s="1">
        <v>34663.11</v>
      </c>
      <c r="P111" s="215">
        <f t="shared" si="16"/>
        <v>-7.4949455788955177E-3</v>
      </c>
      <c r="Q111" s="215">
        <f t="shared" si="11"/>
        <v>-1.1379153390987717E-2</v>
      </c>
      <c r="R111" s="231">
        <v>3483123</v>
      </c>
      <c r="T111" s="230">
        <v>43244</v>
      </c>
      <c r="U111" s="1">
        <v>163.6</v>
      </c>
      <c r="V111" s="1">
        <v>165.974733881611</v>
      </c>
      <c r="W111" s="1">
        <v>173513</v>
      </c>
      <c r="X111" s="1">
        <v>34663.11</v>
      </c>
      <c r="Y111" s="215">
        <f t="shared" si="17"/>
        <v>-7.4949455788955177E-3</v>
      </c>
      <c r="Z111" s="215">
        <f t="shared" si="12"/>
        <v>-5.3240740740740811E-2</v>
      </c>
      <c r="AA111" s="231">
        <v>28798774</v>
      </c>
      <c r="AC111" s="230">
        <v>43244</v>
      </c>
      <c r="AD111" s="1">
        <v>47.75</v>
      </c>
      <c r="AE111" s="1">
        <v>47.7499564535795</v>
      </c>
      <c r="AF111" s="1">
        <v>11482</v>
      </c>
      <c r="AG111" s="1">
        <v>34663.11</v>
      </c>
      <c r="AH111" s="215">
        <f t="shared" si="18"/>
        <v>-7.4949455788955177E-3</v>
      </c>
      <c r="AI111" s="215">
        <f t="shared" si="13"/>
        <v>-4.6906187624750517E-2</v>
      </c>
      <c r="AJ111" s="231">
        <v>548265</v>
      </c>
      <c r="AL111" s="230">
        <v>44515</v>
      </c>
      <c r="AM111" s="1">
        <v>345.3</v>
      </c>
      <c r="AN111" s="1">
        <v>344.43764697099698</v>
      </c>
      <c r="AO111" s="1">
        <v>53582</v>
      </c>
      <c r="AP111" s="1">
        <v>60718.71</v>
      </c>
      <c r="AQ111" s="215">
        <f t="shared" si="19"/>
        <v>6.570365189563887E-3</v>
      </c>
      <c r="AR111" s="215">
        <f t="shared" si="14"/>
        <v>-9.750501864066452E-3</v>
      </c>
      <c r="AS111" s="231">
        <v>18455658</v>
      </c>
    </row>
    <row r="112" spans="2:45">
      <c r="B112" s="230">
        <v>43245</v>
      </c>
      <c r="C112" s="1">
        <v>301.39999999999998</v>
      </c>
      <c r="D112" s="1">
        <v>301.283582089552</v>
      </c>
      <c r="E112" s="1">
        <v>67</v>
      </c>
      <c r="F112" s="215">
        <v>34924.870000000003</v>
      </c>
      <c r="G112" s="215">
        <f t="shared" si="15"/>
        <v>-6.8422214057649589E-3</v>
      </c>
      <c r="H112" s="215">
        <f t="shared" si="10"/>
        <v>-4.8010107391029844E-2</v>
      </c>
      <c r="I112" s="231">
        <v>20186</v>
      </c>
      <c r="K112" s="230">
        <v>43245</v>
      </c>
      <c r="L112" s="1">
        <v>439.4</v>
      </c>
      <c r="M112" s="1">
        <v>438.45578179024199</v>
      </c>
      <c r="N112" s="1">
        <v>13015</v>
      </c>
      <c r="O112" s="1">
        <v>34924.870000000003</v>
      </c>
      <c r="P112" s="215">
        <f t="shared" si="16"/>
        <v>-6.8422214057649589E-3</v>
      </c>
      <c r="Q112" s="215">
        <f t="shared" si="11"/>
        <v>-1.5681003584229414E-2</v>
      </c>
      <c r="R112" s="231">
        <v>5706502</v>
      </c>
      <c r="T112" s="230">
        <v>43245</v>
      </c>
      <c r="U112" s="1">
        <v>172.8</v>
      </c>
      <c r="V112" s="1">
        <v>168.241707820058</v>
      </c>
      <c r="W112" s="1">
        <v>237121</v>
      </c>
      <c r="X112" s="1">
        <v>34924.870000000003</v>
      </c>
      <c r="Y112" s="215">
        <f t="shared" si="17"/>
        <v>-6.8422214057649589E-3</v>
      </c>
      <c r="Z112" s="215">
        <f t="shared" si="12"/>
        <v>-5.9335873707131115E-2</v>
      </c>
      <c r="AA112" s="231">
        <v>39893642</v>
      </c>
      <c r="AC112" s="230">
        <v>43245</v>
      </c>
      <c r="AD112" s="1">
        <v>50.1</v>
      </c>
      <c r="AE112" s="1">
        <v>50.099977448695697</v>
      </c>
      <c r="AF112" s="1">
        <v>13303</v>
      </c>
      <c r="AG112" s="1">
        <v>34924.870000000003</v>
      </c>
      <c r="AH112" s="215">
        <f t="shared" si="18"/>
        <v>-6.8422214057649589E-3</v>
      </c>
      <c r="AI112" s="215">
        <f t="shared" si="13"/>
        <v>-4.7528517110266177E-2</v>
      </c>
      <c r="AJ112" s="231">
        <v>666480</v>
      </c>
      <c r="AL112" s="230">
        <v>44516</v>
      </c>
      <c r="AM112" s="1">
        <v>348.7</v>
      </c>
      <c r="AN112" s="1">
        <v>348.11721562516698</v>
      </c>
      <c r="AO112" s="1">
        <v>74444</v>
      </c>
      <c r="AP112" s="1">
        <v>60322.37</v>
      </c>
      <c r="AQ112" s="215">
        <f t="shared" si="19"/>
        <v>5.2332734472031461E-3</v>
      </c>
      <c r="AR112" s="215">
        <f t="shared" si="14"/>
        <v>5.0439544602969288E-3</v>
      </c>
      <c r="AS112" s="231">
        <v>25915238</v>
      </c>
    </row>
    <row r="113" spans="2:45">
      <c r="B113" s="230">
        <v>43248</v>
      </c>
      <c r="C113" s="1">
        <v>316.60000000000002</v>
      </c>
      <c r="D113" s="1">
        <v>318.13775510203999</v>
      </c>
      <c r="E113" s="1">
        <v>196</v>
      </c>
      <c r="F113" s="215">
        <v>35165.480000000003</v>
      </c>
      <c r="G113" s="215">
        <f t="shared" si="15"/>
        <v>6.1872590076352818E-3</v>
      </c>
      <c r="H113" s="215">
        <f t="shared" si="10"/>
        <v>-4.4803137728164022E-2</v>
      </c>
      <c r="I113" s="231">
        <v>62355</v>
      </c>
      <c r="K113" s="230">
        <v>43248</v>
      </c>
      <c r="L113" s="1">
        <v>446.4</v>
      </c>
      <c r="M113" s="1">
        <v>450.64510010537401</v>
      </c>
      <c r="N113" s="1">
        <v>18980</v>
      </c>
      <c r="O113" s="1">
        <v>35165.480000000003</v>
      </c>
      <c r="P113" s="215">
        <f t="shared" si="16"/>
        <v>6.1872590076352818E-3</v>
      </c>
      <c r="Q113" s="215">
        <f t="shared" si="11"/>
        <v>-1.9762845849802368E-2</v>
      </c>
      <c r="R113" s="231">
        <v>8553244</v>
      </c>
      <c r="T113" s="230">
        <v>43248</v>
      </c>
      <c r="U113" s="1">
        <v>183.7</v>
      </c>
      <c r="V113" s="1">
        <v>180.80359023161699</v>
      </c>
      <c r="W113" s="1">
        <v>276361</v>
      </c>
      <c r="X113" s="1">
        <v>35165.480000000003</v>
      </c>
      <c r="Y113" s="215">
        <f t="shared" si="17"/>
        <v>6.1872590076352818E-3</v>
      </c>
      <c r="Z113" s="215">
        <f t="shared" si="12"/>
        <v>-1.2100026888948623E-2</v>
      </c>
      <c r="AA113" s="231">
        <v>49967061</v>
      </c>
      <c r="AC113" s="230">
        <v>43248</v>
      </c>
      <c r="AD113" s="1">
        <v>52.6</v>
      </c>
      <c r="AE113" s="1">
        <v>52.6</v>
      </c>
      <c r="AF113" s="1">
        <v>17075</v>
      </c>
      <c r="AG113" s="1">
        <v>35165.480000000003</v>
      </c>
      <c r="AH113" s="215">
        <f t="shared" si="18"/>
        <v>6.1872590076352818E-3</v>
      </c>
      <c r="AI113" s="215">
        <f t="shared" si="13"/>
        <v>1.3487475915221703E-2</v>
      </c>
      <c r="AJ113" s="231">
        <v>898145</v>
      </c>
      <c r="AL113" s="230">
        <v>44517</v>
      </c>
      <c r="AM113" s="1">
        <v>346.95</v>
      </c>
      <c r="AN113" s="1">
        <v>346.42209214637103</v>
      </c>
      <c r="AO113" s="1">
        <v>27847</v>
      </c>
      <c r="AP113" s="1">
        <v>60008.33</v>
      </c>
      <c r="AQ113" s="215">
        <f t="shared" si="19"/>
        <v>6.2432077531680008E-3</v>
      </c>
      <c r="AR113" s="215">
        <f t="shared" si="14"/>
        <v>1.9691403379867634E-2</v>
      </c>
      <c r="AS113" s="231">
        <v>9646816</v>
      </c>
    </row>
    <row r="114" spans="2:45">
      <c r="B114" s="230">
        <v>43249</v>
      </c>
      <c r="C114" s="1">
        <v>331.45</v>
      </c>
      <c r="D114" s="1">
        <v>332.82644628099098</v>
      </c>
      <c r="E114" s="1">
        <v>3751</v>
      </c>
      <c r="F114" s="215">
        <v>34949.24</v>
      </c>
      <c r="G114" s="215">
        <f t="shared" si="15"/>
        <v>1.2356003003484162E-3</v>
      </c>
      <c r="H114" s="215">
        <f t="shared" si="10"/>
        <v>-1.6566265060241614E-3</v>
      </c>
      <c r="I114" s="231">
        <v>1248432</v>
      </c>
      <c r="K114" s="230">
        <v>43249</v>
      </c>
      <c r="L114" s="1">
        <v>455.4</v>
      </c>
      <c r="M114" s="1">
        <v>456.59248834549999</v>
      </c>
      <c r="N114" s="1">
        <v>22738</v>
      </c>
      <c r="O114" s="1">
        <v>34949.24</v>
      </c>
      <c r="P114" s="215">
        <f t="shared" si="16"/>
        <v>1.2356003003484162E-3</v>
      </c>
      <c r="Q114" s="215">
        <f t="shared" si="11"/>
        <v>9.9800399201597223E-3</v>
      </c>
      <c r="R114" s="231">
        <v>10382000</v>
      </c>
      <c r="T114" s="230">
        <v>43249</v>
      </c>
      <c r="U114" s="1">
        <v>185.95</v>
      </c>
      <c r="V114" s="1">
        <v>185.882810577024</v>
      </c>
      <c r="W114" s="1">
        <v>227512</v>
      </c>
      <c r="X114" s="1">
        <v>34949.24</v>
      </c>
      <c r="Y114" s="215">
        <f t="shared" si="17"/>
        <v>1.2356003003484162E-3</v>
      </c>
      <c r="Z114" s="215">
        <f t="shared" si="12"/>
        <v>2.2546054440472973E-2</v>
      </c>
      <c r="AA114" s="231">
        <v>42290570</v>
      </c>
      <c r="AC114" s="230">
        <v>43249</v>
      </c>
      <c r="AD114" s="1">
        <v>51.9</v>
      </c>
      <c r="AE114" s="1">
        <v>53.113281477597099</v>
      </c>
      <c r="AF114" s="1">
        <v>205956</v>
      </c>
      <c r="AG114" s="1">
        <v>34949.24</v>
      </c>
      <c r="AH114" s="215">
        <f t="shared" si="18"/>
        <v>1.2356003003484162E-3</v>
      </c>
      <c r="AI114" s="215">
        <f t="shared" si="13"/>
        <v>3.6963036963036933E-2</v>
      </c>
      <c r="AJ114" s="231">
        <v>10938999</v>
      </c>
      <c r="AL114" s="230">
        <v>44518</v>
      </c>
      <c r="AM114" s="1">
        <v>340.25</v>
      </c>
      <c r="AN114" s="1">
        <v>341.87994284993903</v>
      </c>
      <c r="AO114" s="1">
        <v>47594</v>
      </c>
      <c r="AP114" s="1">
        <v>59636.01</v>
      </c>
      <c r="AQ114" s="215">
        <f t="shared" si="19"/>
        <v>2.001372082080688E-2</v>
      </c>
      <c r="AR114" s="215">
        <f t="shared" si="14"/>
        <v>2.7014790220344143E-2</v>
      </c>
      <c r="AS114" s="231">
        <v>16271434</v>
      </c>
    </row>
    <row r="115" spans="2:45">
      <c r="B115" s="230">
        <v>43250</v>
      </c>
      <c r="C115" s="1">
        <v>332</v>
      </c>
      <c r="D115" s="1">
        <v>328.29512893982798</v>
      </c>
      <c r="E115" s="1">
        <v>349</v>
      </c>
      <c r="F115" s="215">
        <v>34906.11</v>
      </c>
      <c r="G115" s="215">
        <f t="shared" si="15"/>
        <v>-1.1784879727809838E-2</v>
      </c>
      <c r="H115" s="215">
        <f t="shared" si="10"/>
        <v>3.4758954208855553E-3</v>
      </c>
      <c r="I115" s="231">
        <v>114575</v>
      </c>
      <c r="K115" s="230">
        <v>43250</v>
      </c>
      <c r="L115" s="1">
        <v>450.9</v>
      </c>
      <c r="M115" s="1">
        <v>454.61772333005399</v>
      </c>
      <c r="N115" s="1">
        <v>11183</v>
      </c>
      <c r="O115" s="1">
        <v>34906.11</v>
      </c>
      <c r="P115" s="215">
        <f t="shared" si="16"/>
        <v>-1.1784879727809838E-2</v>
      </c>
      <c r="Q115" s="215">
        <f t="shared" si="11"/>
        <v>2.5005683109797783E-2</v>
      </c>
      <c r="R115" s="231">
        <v>5083990</v>
      </c>
      <c r="T115" s="230">
        <v>43250</v>
      </c>
      <c r="U115" s="1">
        <v>181.85</v>
      </c>
      <c r="V115" s="1">
        <v>183.495316290674</v>
      </c>
      <c r="W115" s="1">
        <v>231654</v>
      </c>
      <c r="X115" s="1">
        <v>34906.11</v>
      </c>
      <c r="Y115" s="215">
        <f t="shared" si="17"/>
        <v>-1.1784879727809838E-2</v>
      </c>
      <c r="Z115" s="215">
        <f t="shared" si="12"/>
        <v>1.2809802283486382E-2</v>
      </c>
      <c r="AA115" s="231">
        <v>42507424</v>
      </c>
      <c r="AC115" s="230">
        <v>43250</v>
      </c>
      <c r="AD115" s="1">
        <v>50.05</v>
      </c>
      <c r="AE115" s="1">
        <v>49.921844777562796</v>
      </c>
      <c r="AF115" s="1">
        <v>16544</v>
      </c>
      <c r="AG115" s="1">
        <v>34906.11</v>
      </c>
      <c r="AH115" s="215">
        <f t="shared" si="18"/>
        <v>-1.1784879727809838E-2</v>
      </c>
      <c r="AI115" s="215">
        <f t="shared" si="13"/>
        <v>-9.9800399201610546E-4</v>
      </c>
      <c r="AJ115" s="231">
        <v>825907</v>
      </c>
      <c r="AL115" s="230">
        <v>44522</v>
      </c>
      <c r="AM115" s="1">
        <v>331.3</v>
      </c>
      <c r="AN115" s="1">
        <v>332.12405003400602</v>
      </c>
      <c r="AO115" s="1">
        <v>33817</v>
      </c>
      <c r="AP115" s="1">
        <v>58465.89</v>
      </c>
      <c r="AQ115" s="215">
        <f t="shared" si="19"/>
        <v>-3.3826347288037351E-3</v>
      </c>
      <c r="AR115" s="215">
        <f t="shared" si="14"/>
        <v>-5.5530541797987887E-3</v>
      </c>
      <c r="AS115" s="231">
        <v>11231439</v>
      </c>
    </row>
    <row r="116" spans="2:45">
      <c r="B116" s="230">
        <v>43251</v>
      </c>
      <c r="C116" s="1">
        <v>330.85</v>
      </c>
      <c r="D116" s="1">
        <v>340.95327891922301</v>
      </c>
      <c r="E116" s="1">
        <v>3553</v>
      </c>
      <c r="F116" s="215">
        <v>35322.379999999997</v>
      </c>
      <c r="G116" s="215">
        <f t="shared" si="15"/>
        <v>2.7001816207106177E-3</v>
      </c>
      <c r="H116" s="215">
        <f t="shared" si="10"/>
        <v>4.0081735303363786E-2</v>
      </c>
      <c r="I116" s="231">
        <v>1211407</v>
      </c>
      <c r="K116" s="230">
        <v>43251</v>
      </c>
      <c r="L116" s="1">
        <v>439.9</v>
      </c>
      <c r="M116" s="1">
        <v>442.44183564567697</v>
      </c>
      <c r="N116" s="1">
        <v>7496</v>
      </c>
      <c r="O116" s="1">
        <v>35322.379999999997</v>
      </c>
      <c r="P116" s="215">
        <f t="shared" si="16"/>
        <v>2.7001816207106177E-3</v>
      </c>
      <c r="Q116" s="215">
        <f t="shared" si="11"/>
        <v>2.6125495684627964E-2</v>
      </c>
      <c r="R116" s="231">
        <v>3316544</v>
      </c>
      <c r="T116" s="230">
        <v>43251</v>
      </c>
      <c r="U116" s="1">
        <v>179.55</v>
      </c>
      <c r="V116" s="1">
        <v>179.415921005537</v>
      </c>
      <c r="W116" s="1">
        <v>189988</v>
      </c>
      <c r="X116" s="1">
        <v>35322.379999999997</v>
      </c>
      <c r="Y116" s="215">
        <f t="shared" si="17"/>
        <v>2.7001816207106177E-3</v>
      </c>
      <c r="Z116" s="215">
        <f t="shared" si="12"/>
        <v>2.6000000000000023E-2</v>
      </c>
      <c r="AA116" s="231">
        <v>34086872</v>
      </c>
      <c r="AC116" s="230">
        <v>43251</v>
      </c>
      <c r="AD116" s="1">
        <v>50.1</v>
      </c>
      <c r="AE116" s="1">
        <v>50.060554304790003</v>
      </c>
      <c r="AF116" s="1">
        <v>12881</v>
      </c>
      <c r="AG116" s="1">
        <v>35322.379999999997</v>
      </c>
      <c r="AH116" s="215">
        <f t="shared" si="18"/>
        <v>2.7001816207106177E-3</v>
      </c>
      <c r="AI116" s="215">
        <f t="shared" si="13"/>
        <v>5.252100840336138E-2</v>
      </c>
      <c r="AJ116" s="231">
        <v>644830</v>
      </c>
      <c r="AL116" s="230">
        <v>44523</v>
      </c>
      <c r="AM116" s="1">
        <v>333.15</v>
      </c>
      <c r="AN116" s="1">
        <v>333.95986078355003</v>
      </c>
      <c r="AO116" s="1">
        <v>43673</v>
      </c>
      <c r="AP116" s="1">
        <v>58664.33</v>
      </c>
      <c r="AQ116" s="215">
        <f t="shared" si="19"/>
        <v>5.5422439694630121E-3</v>
      </c>
      <c r="AR116" s="215">
        <f t="shared" si="14"/>
        <v>-2.6942074539740846E-3</v>
      </c>
      <c r="AS116" s="231">
        <v>14585029</v>
      </c>
    </row>
    <row r="117" spans="2:45">
      <c r="B117" s="230">
        <v>43252</v>
      </c>
      <c r="C117" s="1">
        <v>318.10000000000002</v>
      </c>
      <c r="D117" s="1">
        <v>321.42399999999998</v>
      </c>
      <c r="E117" s="1">
        <v>375</v>
      </c>
      <c r="F117" s="215">
        <v>35227.26</v>
      </c>
      <c r="G117" s="215">
        <f t="shared" si="15"/>
        <v>6.1513388737368668E-3</v>
      </c>
      <c r="H117" s="215">
        <f t="shared" si="10"/>
        <v>3.7338985814446612E-2</v>
      </c>
      <c r="I117" s="231">
        <v>120534</v>
      </c>
      <c r="K117" s="230">
        <v>43252</v>
      </c>
      <c r="L117" s="1">
        <v>428.7</v>
      </c>
      <c r="M117" s="1">
        <v>432.80811403508699</v>
      </c>
      <c r="N117" s="1">
        <v>4560</v>
      </c>
      <c r="O117" s="1">
        <v>35227.26</v>
      </c>
      <c r="P117" s="215">
        <f t="shared" si="16"/>
        <v>6.1513388737368668E-3</v>
      </c>
      <c r="Q117" s="215">
        <f t="shared" si="11"/>
        <v>0.15010060362173028</v>
      </c>
      <c r="R117" s="231">
        <v>1973605</v>
      </c>
      <c r="T117" s="230">
        <v>43252</v>
      </c>
      <c r="U117" s="1">
        <v>175</v>
      </c>
      <c r="V117" s="1">
        <v>175.37639489254701</v>
      </c>
      <c r="W117" s="1">
        <v>260952</v>
      </c>
      <c r="X117" s="1">
        <v>35227.26</v>
      </c>
      <c r="Y117" s="215">
        <f t="shared" si="17"/>
        <v>6.1513388737368668E-3</v>
      </c>
      <c r="Z117" s="215">
        <f t="shared" si="12"/>
        <v>5.2631578947368363E-2</v>
      </c>
      <c r="AA117" s="231">
        <v>45764821</v>
      </c>
      <c r="AC117" s="230">
        <v>43252</v>
      </c>
      <c r="AD117" s="1">
        <v>47.6</v>
      </c>
      <c r="AE117" s="1">
        <v>48.157147595356498</v>
      </c>
      <c r="AF117" s="1">
        <v>15075</v>
      </c>
      <c r="AG117" s="1">
        <v>35227.26</v>
      </c>
      <c r="AH117" s="215">
        <f t="shared" si="18"/>
        <v>6.1513388737368668E-3</v>
      </c>
      <c r="AI117" s="215">
        <f t="shared" si="13"/>
        <v>8.4745762711864181E-3</v>
      </c>
      <c r="AJ117" s="231">
        <v>725969</v>
      </c>
      <c r="AL117" s="230">
        <v>44524</v>
      </c>
      <c r="AM117" s="1">
        <v>334.05</v>
      </c>
      <c r="AN117" s="1">
        <v>335.56229749631802</v>
      </c>
      <c r="AO117" s="1">
        <v>10185</v>
      </c>
      <c r="AP117" s="1">
        <v>58340.99</v>
      </c>
      <c r="AQ117" s="215">
        <f t="shared" si="19"/>
        <v>-7.7234340486594943E-3</v>
      </c>
      <c r="AR117" s="215">
        <f t="shared" si="14"/>
        <v>-1.3452914798205429E-3</v>
      </c>
      <c r="AS117" s="231">
        <v>3417702</v>
      </c>
    </row>
    <row r="118" spans="2:45">
      <c r="B118" s="230">
        <v>43255</v>
      </c>
      <c r="C118" s="1">
        <v>306.64999999999998</v>
      </c>
      <c r="D118" s="1">
        <v>310.99729364005401</v>
      </c>
      <c r="E118" s="1">
        <v>739</v>
      </c>
      <c r="F118" s="215">
        <v>35011.89</v>
      </c>
      <c r="G118" s="215">
        <f t="shared" si="15"/>
        <v>3.1137537206462618E-3</v>
      </c>
      <c r="H118" s="215">
        <f t="shared" si="10"/>
        <v>5.2514158228934127E-2</v>
      </c>
      <c r="I118" s="231">
        <v>229827</v>
      </c>
      <c r="K118" s="230">
        <v>43255</v>
      </c>
      <c r="L118" s="1">
        <v>372.75</v>
      </c>
      <c r="M118" s="1">
        <v>393.763164113691</v>
      </c>
      <c r="N118" s="1">
        <v>46547</v>
      </c>
      <c r="O118" s="1">
        <v>35011.89</v>
      </c>
      <c r="P118" s="215">
        <f t="shared" si="16"/>
        <v>3.1137537206462618E-3</v>
      </c>
      <c r="Q118" s="215">
        <f t="shared" si="11"/>
        <v>4.71976401179941E-2</v>
      </c>
      <c r="R118" s="231">
        <v>18328494</v>
      </c>
      <c r="T118" s="230">
        <v>43255</v>
      </c>
      <c r="U118" s="1">
        <v>166.25</v>
      </c>
      <c r="V118" s="1">
        <v>167.962231402089</v>
      </c>
      <c r="W118" s="1">
        <v>144035</v>
      </c>
      <c r="X118" s="1">
        <v>35011.89</v>
      </c>
      <c r="Y118" s="215">
        <f t="shared" si="17"/>
        <v>3.1137537206462618E-3</v>
      </c>
      <c r="Z118" s="215">
        <f t="shared" si="12"/>
        <v>5.2548274770497061E-2</v>
      </c>
      <c r="AA118" s="231">
        <v>24192440</v>
      </c>
      <c r="AC118" s="230">
        <v>43255</v>
      </c>
      <c r="AD118" s="1">
        <v>47.2</v>
      </c>
      <c r="AE118" s="1">
        <v>47.996496030659699</v>
      </c>
      <c r="AF118" s="1">
        <v>18265</v>
      </c>
      <c r="AG118" s="1">
        <v>35011.89</v>
      </c>
      <c r="AH118" s="215">
        <f t="shared" si="18"/>
        <v>3.1137537206462618E-3</v>
      </c>
      <c r="AI118" s="215">
        <f t="shared" si="13"/>
        <v>4.6563192904656381E-2</v>
      </c>
      <c r="AJ118" s="231">
        <v>876656</v>
      </c>
      <c r="AL118" s="230">
        <v>44525</v>
      </c>
      <c r="AM118" s="1">
        <v>334.5</v>
      </c>
      <c r="AN118" s="1">
        <v>332.97371783172099</v>
      </c>
      <c r="AO118" s="1">
        <v>32874</v>
      </c>
      <c r="AP118" s="1">
        <v>58795.09</v>
      </c>
      <c r="AQ118" s="215">
        <f t="shared" si="19"/>
        <v>2.955741969263026E-2</v>
      </c>
      <c r="AR118" s="215">
        <f t="shared" si="14"/>
        <v>5.904701598860207E-2</v>
      </c>
      <c r="AS118" s="231">
        <v>10946178</v>
      </c>
    </row>
    <row r="119" spans="2:45">
      <c r="B119" s="230">
        <v>43256</v>
      </c>
      <c r="C119" s="1">
        <v>291.35000000000002</v>
      </c>
      <c r="D119" s="1">
        <v>310.01969365426601</v>
      </c>
      <c r="E119" s="1">
        <v>1371</v>
      </c>
      <c r="F119" s="215">
        <v>34903.21</v>
      </c>
      <c r="G119" s="215">
        <f t="shared" si="15"/>
        <v>-7.8362358324084447E-3</v>
      </c>
      <c r="H119" s="215">
        <f t="shared" si="10"/>
        <v>-9.0136054421767753E-3</v>
      </c>
      <c r="I119" s="231">
        <v>425037</v>
      </c>
      <c r="K119" s="230">
        <v>43256</v>
      </c>
      <c r="L119" s="1">
        <v>355.95</v>
      </c>
      <c r="M119" s="1">
        <v>354.33019275028698</v>
      </c>
      <c r="N119" s="1">
        <v>41712</v>
      </c>
      <c r="O119" s="1">
        <v>34903.21</v>
      </c>
      <c r="P119" s="215">
        <f t="shared" si="16"/>
        <v>-7.8362358324084447E-3</v>
      </c>
      <c r="Q119" s="215">
        <f t="shared" si="11"/>
        <v>-4.7497993042547537E-2</v>
      </c>
      <c r="R119" s="231">
        <v>14779821</v>
      </c>
      <c r="T119" s="230">
        <v>43256</v>
      </c>
      <c r="U119" s="1">
        <v>157.94999999999999</v>
      </c>
      <c r="V119" s="1">
        <v>158.04926492705599</v>
      </c>
      <c r="W119" s="1">
        <v>212768</v>
      </c>
      <c r="X119" s="1">
        <v>34903.21</v>
      </c>
      <c r="Y119" s="215">
        <f t="shared" si="17"/>
        <v>-7.8362358324084447E-3</v>
      </c>
      <c r="Z119" s="215">
        <f t="shared" si="12"/>
        <v>-1.4660012476606532E-2</v>
      </c>
      <c r="AA119" s="231">
        <v>33627826</v>
      </c>
      <c r="AC119" s="230">
        <v>43256</v>
      </c>
      <c r="AD119" s="1">
        <v>45.1</v>
      </c>
      <c r="AE119" s="1">
        <v>45.742385537433599</v>
      </c>
      <c r="AF119" s="1">
        <v>10178</v>
      </c>
      <c r="AG119" s="1">
        <v>34903.21</v>
      </c>
      <c r="AH119" s="215">
        <f t="shared" si="18"/>
        <v>-7.8362358324084447E-3</v>
      </c>
      <c r="AI119" s="215">
        <f t="shared" si="13"/>
        <v>0</v>
      </c>
      <c r="AJ119" s="231">
        <v>465566</v>
      </c>
      <c r="AL119" s="230">
        <v>44526</v>
      </c>
      <c r="AM119" s="1">
        <v>315.85000000000002</v>
      </c>
      <c r="AN119" s="1">
        <v>315.55715219176</v>
      </c>
      <c r="AO119" s="1">
        <v>179057</v>
      </c>
      <c r="AP119" s="1">
        <v>57107.15</v>
      </c>
      <c r="AQ119" s="215">
        <f t="shared" si="19"/>
        <v>-2.6795048181489367E-3</v>
      </c>
      <c r="AR119" s="215">
        <f t="shared" si="14"/>
        <v>8.9442581057339599E-3</v>
      </c>
      <c r="AS119" s="231">
        <v>56502717</v>
      </c>
    </row>
    <row r="120" spans="2:45">
      <c r="B120" s="230">
        <v>43257</v>
      </c>
      <c r="C120" s="1">
        <v>294</v>
      </c>
      <c r="D120" s="1">
        <v>291.003374103753</v>
      </c>
      <c r="E120" s="1">
        <v>2371</v>
      </c>
      <c r="F120" s="215">
        <v>35178.879999999997</v>
      </c>
      <c r="G120" s="215">
        <f t="shared" si="15"/>
        <v>-8.0139683298801057E-3</v>
      </c>
      <c r="H120" s="215">
        <f t="shared" si="10"/>
        <v>-4.7619047619047561E-2</v>
      </c>
      <c r="I120" s="231">
        <v>689969</v>
      </c>
      <c r="K120" s="230">
        <v>43257</v>
      </c>
      <c r="L120" s="1">
        <v>373.7</v>
      </c>
      <c r="M120" s="1">
        <v>361.08050890456099</v>
      </c>
      <c r="N120" s="1">
        <v>78836</v>
      </c>
      <c r="O120" s="1">
        <v>35178.879999999997</v>
      </c>
      <c r="P120" s="215">
        <f t="shared" si="16"/>
        <v>-8.0139683298801057E-3</v>
      </c>
      <c r="Q120" s="215">
        <f t="shared" si="11"/>
        <v>-4.7534089460940621E-2</v>
      </c>
      <c r="R120" s="231">
        <v>28466143</v>
      </c>
      <c r="T120" s="230">
        <v>43257</v>
      </c>
      <c r="U120" s="1">
        <v>160.30000000000001</v>
      </c>
      <c r="V120" s="1">
        <v>158.36464271250199</v>
      </c>
      <c r="W120" s="1">
        <v>229633</v>
      </c>
      <c r="X120" s="1">
        <v>35178.879999999997</v>
      </c>
      <c r="Y120" s="215">
        <f t="shared" si="17"/>
        <v>-8.0139683298801057E-3</v>
      </c>
      <c r="Z120" s="215">
        <f t="shared" si="12"/>
        <v>-4.7534165181223997E-2</v>
      </c>
      <c r="AA120" s="231">
        <v>36365748</v>
      </c>
      <c r="AC120" s="230">
        <v>43257</v>
      </c>
      <c r="AD120" s="1">
        <v>45.1</v>
      </c>
      <c r="AE120" s="1">
        <v>45.720348324514902</v>
      </c>
      <c r="AF120" s="1">
        <v>9072</v>
      </c>
      <c r="AG120" s="1">
        <v>35178.879999999997</v>
      </c>
      <c r="AH120" s="215">
        <f t="shared" si="18"/>
        <v>-8.0139683298801057E-3</v>
      </c>
      <c r="AI120" s="215">
        <f t="shared" si="13"/>
        <v>-7.1060762100926822E-2</v>
      </c>
      <c r="AJ120" s="231">
        <v>414775</v>
      </c>
      <c r="AL120" s="230">
        <v>44529</v>
      </c>
      <c r="AM120" s="1">
        <v>313.05</v>
      </c>
      <c r="AN120" s="1">
        <v>312.34444376303202</v>
      </c>
      <c r="AO120" s="1">
        <v>32612</v>
      </c>
      <c r="AP120" s="1">
        <v>57260.58</v>
      </c>
      <c r="AQ120" s="215">
        <f t="shared" si="19"/>
        <v>3.4296056400373587E-3</v>
      </c>
      <c r="AR120" s="215">
        <f t="shared" si="14"/>
        <v>7.4014481094126783E-3</v>
      </c>
      <c r="AS120" s="231">
        <v>10186177</v>
      </c>
    </row>
    <row r="121" spans="2:45">
      <c r="B121" s="230">
        <v>43258</v>
      </c>
      <c r="C121" s="1">
        <v>308.7</v>
      </c>
      <c r="D121" s="1">
        <v>307.34272009902497</v>
      </c>
      <c r="E121" s="1">
        <v>6463</v>
      </c>
      <c r="F121" s="215">
        <v>35463.08</v>
      </c>
      <c r="G121" s="215">
        <f t="shared" si="15"/>
        <v>5.4762952030662504E-4</v>
      </c>
      <c r="H121" s="215">
        <f t="shared" si="10"/>
        <v>-1.9221604447974605E-2</v>
      </c>
      <c r="I121" s="231">
        <v>1986356</v>
      </c>
      <c r="K121" s="230">
        <v>43258</v>
      </c>
      <c r="L121" s="1">
        <v>392.35</v>
      </c>
      <c r="M121" s="1">
        <v>391.24681298462298</v>
      </c>
      <c r="N121" s="1">
        <v>7609</v>
      </c>
      <c r="O121" s="1">
        <v>35463.08</v>
      </c>
      <c r="P121" s="215">
        <f t="shared" si="16"/>
        <v>5.4762952030662504E-4</v>
      </c>
      <c r="Q121" s="215">
        <f t="shared" si="11"/>
        <v>-4.7578589634664326E-2</v>
      </c>
      <c r="R121" s="231">
        <v>2976997</v>
      </c>
      <c r="T121" s="230">
        <v>43258</v>
      </c>
      <c r="U121" s="1">
        <v>168.3</v>
      </c>
      <c r="V121" s="1">
        <v>166.734061289186</v>
      </c>
      <c r="W121" s="1">
        <v>124916</v>
      </c>
      <c r="X121" s="1">
        <v>35463.08</v>
      </c>
      <c r="Y121" s="215">
        <f t="shared" si="17"/>
        <v>5.4762952030662504E-4</v>
      </c>
      <c r="Z121" s="215">
        <f t="shared" si="12"/>
        <v>-4.6188722017568629E-2</v>
      </c>
      <c r="AA121" s="231">
        <v>20827752</v>
      </c>
      <c r="AC121" s="230">
        <v>43258</v>
      </c>
      <c r="AD121" s="1">
        <v>48.55</v>
      </c>
      <c r="AE121" s="1">
        <v>48.575039082855596</v>
      </c>
      <c r="AF121" s="1">
        <v>7676</v>
      </c>
      <c r="AG121" s="1">
        <v>35463.08</v>
      </c>
      <c r="AH121" s="215">
        <f t="shared" si="18"/>
        <v>5.4762952030662504E-4</v>
      </c>
      <c r="AI121" s="215">
        <f t="shared" si="13"/>
        <v>5.1759834368529933E-3</v>
      </c>
      <c r="AJ121" s="231">
        <v>372862</v>
      </c>
      <c r="AL121" s="230">
        <v>44530</v>
      </c>
      <c r="AM121" s="1">
        <v>310.75</v>
      </c>
      <c r="AN121" s="1">
        <v>315.04361888371199</v>
      </c>
      <c r="AO121" s="1">
        <v>33701</v>
      </c>
      <c r="AP121" s="1">
        <v>57064.87</v>
      </c>
      <c r="AQ121" s="215">
        <f t="shared" si="19"/>
        <v>-1.0746680364095984E-2</v>
      </c>
      <c r="AR121" s="215">
        <f t="shared" si="14"/>
        <v>2.4193548387096975E-3</v>
      </c>
      <c r="AS121" s="231">
        <v>10617285</v>
      </c>
    </row>
    <row r="122" spans="2:45">
      <c r="B122" s="230">
        <v>43259</v>
      </c>
      <c r="C122" s="1">
        <v>314.75</v>
      </c>
      <c r="D122" s="1">
        <v>307.47771317829398</v>
      </c>
      <c r="E122" s="1">
        <v>2064</v>
      </c>
      <c r="F122" s="215">
        <v>35443.67</v>
      </c>
      <c r="G122" s="215">
        <f t="shared" si="15"/>
        <v>-1.1216490382706112E-3</v>
      </c>
      <c r="H122" s="215">
        <f t="shared" si="10"/>
        <v>-2.4484735781806877E-2</v>
      </c>
      <c r="I122" s="231">
        <v>634634</v>
      </c>
      <c r="K122" s="230">
        <v>43259</v>
      </c>
      <c r="L122" s="1">
        <v>411.95</v>
      </c>
      <c r="M122" s="1">
        <v>410.78534309672801</v>
      </c>
      <c r="N122" s="1">
        <v>16934</v>
      </c>
      <c r="O122" s="1">
        <v>35443.67</v>
      </c>
      <c r="P122" s="215">
        <f t="shared" si="16"/>
        <v>-1.1216490382706112E-3</v>
      </c>
      <c r="Q122" s="215">
        <f t="shared" si="11"/>
        <v>-4.7514450867052083E-2</v>
      </c>
      <c r="R122" s="231">
        <v>6956239</v>
      </c>
      <c r="T122" s="230">
        <v>43259</v>
      </c>
      <c r="U122" s="1">
        <v>176.45</v>
      </c>
      <c r="V122" s="1">
        <v>171.71562064916299</v>
      </c>
      <c r="W122" s="1">
        <v>201829</v>
      </c>
      <c r="X122" s="1">
        <v>35443.67</v>
      </c>
      <c r="Y122" s="215">
        <f t="shared" si="17"/>
        <v>-1.1216490382706112E-3</v>
      </c>
      <c r="Z122" s="215">
        <f t="shared" si="12"/>
        <v>8.5738782509288125E-3</v>
      </c>
      <c r="AA122" s="231">
        <v>34657192</v>
      </c>
      <c r="AC122" s="230">
        <v>43259</v>
      </c>
      <c r="AD122" s="1">
        <v>48.3</v>
      </c>
      <c r="AE122" s="1">
        <v>48.090679683944799</v>
      </c>
      <c r="AF122" s="1">
        <v>24173</v>
      </c>
      <c r="AG122" s="1">
        <v>35443.67</v>
      </c>
      <c r="AH122" s="215">
        <f t="shared" si="18"/>
        <v>-1.1216490382706112E-3</v>
      </c>
      <c r="AI122" s="215">
        <f t="shared" si="13"/>
        <v>-1.6293279022403295E-2</v>
      </c>
      <c r="AJ122" s="231">
        <v>1162496</v>
      </c>
      <c r="AL122" s="230">
        <v>44531</v>
      </c>
      <c r="AM122" s="1">
        <v>310</v>
      </c>
      <c r="AN122" s="1">
        <v>310.85591101146798</v>
      </c>
      <c r="AO122" s="1">
        <v>11597</v>
      </c>
      <c r="AP122" s="1">
        <v>57684.79</v>
      </c>
      <c r="AQ122" s="215">
        <f t="shared" si="19"/>
        <v>-1.328229329185171E-2</v>
      </c>
      <c r="AR122" s="215">
        <f t="shared" si="14"/>
        <v>1.9392372333548735E-3</v>
      </c>
      <c r="AS122" s="231">
        <v>3604996</v>
      </c>
    </row>
    <row r="123" spans="2:45">
      <c r="B123" s="230">
        <v>43262</v>
      </c>
      <c r="C123" s="1">
        <v>322.64999999999998</v>
      </c>
      <c r="D123" s="1">
        <v>318.28189066059201</v>
      </c>
      <c r="E123" s="1">
        <v>3512</v>
      </c>
      <c r="F123" s="215">
        <v>35483.47</v>
      </c>
      <c r="G123" s="215">
        <f t="shared" si="15"/>
        <v>-5.8569694714746268E-3</v>
      </c>
      <c r="H123" s="215">
        <f t="shared" si="10"/>
        <v>4.1142303969022187E-2</v>
      </c>
      <c r="I123" s="231">
        <v>1117806</v>
      </c>
      <c r="K123" s="230">
        <v>43262</v>
      </c>
      <c r="L123" s="1">
        <v>432.5</v>
      </c>
      <c r="M123" s="1">
        <v>431.16614420062598</v>
      </c>
      <c r="N123" s="1">
        <v>8613</v>
      </c>
      <c r="O123" s="1">
        <v>35483.47</v>
      </c>
      <c r="P123" s="215">
        <f t="shared" si="16"/>
        <v>-5.8569694714746268E-3</v>
      </c>
      <c r="Q123" s="215">
        <f t="shared" si="11"/>
        <v>-4.7566615282977343E-2</v>
      </c>
      <c r="R123" s="231">
        <v>3713634</v>
      </c>
      <c r="T123" s="230">
        <v>43262</v>
      </c>
      <c r="U123" s="1">
        <v>174.95</v>
      </c>
      <c r="V123" s="1">
        <v>177.701877979394</v>
      </c>
      <c r="W123" s="1">
        <v>104048</v>
      </c>
      <c r="X123" s="1">
        <v>35483.47</v>
      </c>
      <c r="Y123" s="215">
        <f t="shared" si="17"/>
        <v>-5.8569694714746268E-3</v>
      </c>
      <c r="Z123" s="215">
        <f t="shared" si="12"/>
        <v>-1.9613337069207093E-2</v>
      </c>
      <c r="AA123" s="231">
        <v>18489525</v>
      </c>
      <c r="AC123" s="230">
        <v>43262</v>
      </c>
      <c r="AD123" s="1">
        <v>49.1</v>
      </c>
      <c r="AE123" s="1">
        <v>49.381533563279298</v>
      </c>
      <c r="AF123" s="1">
        <v>7538</v>
      </c>
      <c r="AG123" s="1">
        <v>35483.47</v>
      </c>
      <c r="AH123" s="215">
        <f t="shared" si="18"/>
        <v>-5.8569694714746268E-3</v>
      </c>
      <c r="AI123" s="215">
        <f t="shared" si="13"/>
        <v>1.9730010384215957E-2</v>
      </c>
      <c r="AJ123" s="231">
        <v>372238</v>
      </c>
      <c r="AL123" s="230">
        <v>44532</v>
      </c>
      <c r="AM123" s="1">
        <v>309.39999999999998</v>
      </c>
      <c r="AN123" s="1">
        <v>311.02868475104401</v>
      </c>
      <c r="AO123" s="1">
        <v>14119</v>
      </c>
      <c r="AP123" s="1">
        <v>58461.29</v>
      </c>
      <c r="AQ123" s="215">
        <f t="shared" si="19"/>
        <v>1.3256099247683562E-2</v>
      </c>
      <c r="AR123" s="215">
        <f t="shared" si="14"/>
        <v>8.0866893093967107E-4</v>
      </c>
      <c r="AS123" s="231">
        <v>4391414</v>
      </c>
    </row>
    <row r="124" spans="2:45">
      <c r="B124" s="230">
        <v>43263</v>
      </c>
      <c r="C124" s="1">
        <v>309.89999999999998</v>
      </c>
      <c r="D124" s="1">
        <v>311.081337480559</v>
      </c>
      <c r="E124" s="1">
        <v>6430</v>
      </c>
      <c r="F124" s="215">
        <v>35692.519999999997</v>
      </c>
      <c r="G124" s="215">
        <f t="shared" si="15"/>
        <v>-1.3050110858791042E-3</v>
      </c>
      <c r="H124" s="215">
        <f t="shared" si="10"/>
        <v>3.5935149590506477E-2</v>
      </c>
      <c r="I124" s="231">
        <v>2000253</v>
      </c>
      <c r="K124" s="230">
        <v>43263</v>
      </c>
      <c r="L124" s="1">
        <v>454.1</v>
      </c>
      <c r="M124" s="1">
        <v>454.09998125937</v>
      </c>
      <c r="N124" s="1">
        <v>10672</v>
      </c>
      <c r="O124" s="1">
        <v>35692.519999999997</v>
      </c>
      <c r="P124" s="215">
        <f t="shared" si="16"/>
        <v>-1.3050110858791042E-3</v>
      </c>
      <c r="Q124" s="215">
        <f t="shared" si="11"/>
        <v>4.8683337021466766E-3</v>
      </c>
      <c r="R124" s="231">
        <v>4846155</v>
      </c>
      <c r="T124" s="230">
        <v>43263</v>
      </c>
      <c r="U124" s="1">
        <v>178.45</v>
      </c>
      <c r="V124" s="1">
        <v>177.421295823257</v>
      </c>
      <c r="W124" s="1">
        <v>88083</v>
      </c>
      <c r="X124" s="1">
        <v>35692.519999999997</v>
      </c>
      <c r="Y124" s="215">
        <f t="shared" si="17"/>
        <v>-1.3050110858791042E-3</v>
      </c>
      <c r="Z124" s="215">
        <f t="shared" si="12"/>
        <v>3.9381153305202421E-3</v>
      </c>
      <c r="AA124" s="231">
        <v>15627800</v>
      </c>
      <c r="AC124" s="230">
        <v>43263</v>
      </c>
      <c r="AD124" s="1">
        <v>48.15</v>
      </c>
      <c r="AE124" s="1">
        <v>49.547797848589397</v>
      </c>
      <c r="AF124" s="1">
        <v>4927</v>
      </c>
      <c r="AG124" s="1">
        <v>35692.519999999997</v>
      </c>
      <c r="AH124" s="215">
        <f t="shared" si="18"/>
        <v>-1.3050110858791042E-3</v>
      </c>
      <c r="AI124" s="215">
        <f t="shared" si="13"/>
        <v>-8.2389289392378329E-3</v>
      </c>
      <c r="AJ124" s="231">
        <v>244122</v>
      </c>
      <c r="AL124" s="230">
        <v>44533</v>
      </c>
      <c r="AM124" s="1">
        <v>309.14999999999998</v>
      </c>
      <c r="AN124" s="1">
        <v>310.65865294667901</v>
      </c>
      <c r="AO124" s="1">
        <v>42760</v>
      </c>
      <c r="AP124" s="1">
        <v>57696.46</v>
      </c>
      <c r="AQ124" s="215">
        <f t="shared" si="19"/>
        <v>1.672894880693554E-2</v>
      </c>
      <c r="AR124" s="215">
        <f t="shared" si="14"/>
        <v>-1.008645533141217E-2</v>
      </c>
      <c r="AS124" s="231">
        <v>13283764</v>
      </c>
    </row>
    <row r="125" spans="2:45">
      <c r="B125" s="230">
        <v>43264</v>
      </c>
      <c r="C125" s="1">
        <v>299.14999999999998</v>
      </c>
      <c r="D125" s="1">
        <v>308.12805416544001</v>
      </c>
      <c r="E125" s="1">
        <v>16985</v>
      </c>
      <c r="F125" s="215">
        <v>35739.160000000003</v>
      </c>
      <c r="G125" s="215">
        <f t="shared" si="15"/>
        <v>3.9140647340352164E-3</v>
      </c>
      <c r="H125" s="215">
        <f t="shared" si="10"/>
        <v>7.4086546556659805E-3</v>
      </c>
      <c r="I125" s="231">
        <v>5233555</v>
      </c>
      <c r="K125" s="230">
        <v>43264</v>
      </c>
      <c r="L125" s="1">
        <v>451.9</v>
      </c>
      <c r="M125" s="1">
        <v>457.934672295045</v>
      </c>
      <c r="N125" s="1">
        <v>112525</v>
      </c>
      <c r="O125" s="1">
        <v>35739.160000000003</v>
      </c>
      <c r="P125" s="215">
        <f t="shared" si="16"/>
        <v>3.9140647340352164E-3</v>
      </c>
      <c r="Q125" s="215">
        <f t="shared" si="11"/>
        <v>-6.3764291996483147E-3</v>
      </c>
      <c r="R125" s="231">
        <v>51529099</v>
      </c>
      <c r="T125" s="230">
        <v>43264</v>
      </c>
      <c r="U125" s="1">
        <v>177.75</v>
      </c>
      <c r="V125" s="1">
        <v>177.87035717819299</v>
      </c>
      <c r="W125" s="1">
        <v>101070</v>
      </c>
      <c r="X125" s="1">
        <v>35739.160000000003</v>
      </c>
      <c r="Y125" s="215">
        <f t="shared" si="17"/>
        <v>3.9140647340352164E-3</v>
      </c>
      <c r="Z125" s="215">
        <f t="shared" si="12"/>
        <v>1.3686911890504749E-2</v>
      </c>
      <c r="AA125" s="231">
        <v>17977357</v>
      </c>
      <c r="AC125" s="230">
        <v>43264</v>
      </c>
      <c r="AD125" s="1">
        <v>48.55</v>
      </c>
      <c r="AE125" s="1">
        <v>48.831431263741997</v>
      </c>
      <c r="AF125" s="1">
        <v>9551</v>
      </c>
      <c r="AG125" s="1">
        <v>35739.160000000003</v>
      </c>
      <c r="AH125" s="215">
        <f t="shared" si="18"/>
        <v>3.9140647340352164E-3</v>
      </c>
      <c r="AI125" s="215">
        <f t="shared" si="13"/>
        <v>1.2513034410844615E-2</v>
      </c>
      <c r="AJ125" s="231">
        <v>466389</v>
      </c>
      <c r="AL125" s="230">
        <v>44536</v>
      </c>
      <c r="AM125" s="1">
        <v>312.3</v>
      </c>
      <c r="AN125" s="1">
        <v>314.50271442338499</v>
      </c>
      <c r="AO125" s="1">
        <v>62260</v>
      </c>
      <c r="AP125" s="1">
        <v>56747.14</v>
      </c>
      <c r="AQ125" s="215">
        <f t="shared" si="19"/>
        <v>-1.5381812534864703E-2</v>
      </c>
      <c r="AR125" s="215">
        <f t="shared" si="14"/>
        <v>-7.4686159224534032E-3</v>
      </c>
      <c r="AS125" s="231">
        <v>19580939</v>
      </c>
    </row>
    <row r="126" spans="2:45">
      <c r="B126" s="230">
        <v>43265</v>
      </c>
      <c r="C126" s="1">
        <v>296.95</v>
      </c>
      <c r="D126" s="1">
        <v>298.84878744650399</v>
      </c>
      <c r="E126" s="1">
        <v>1402</v>
      </c>
      <c r="F126" s="215">
        <v>35599.82</v>
      </c>
      <c r="G126" s="215">
        <f t="shared" si="15"/>
        <v>-6.2657661780007867E-4</v>
      </c>
      <c r="H126" s="215">
        <f t="shared" si="10"/>
        <v>-2.1841397849463595E-3</v>
      </c>
      <c r="I126" s="231">
        <v>418986</v>
      </c>
      <c r="K126" s="230">
        <v>43265</v>
      </c>
      <c r="L126" s="1">
        <v>454.8</v>
      </c>
      <c r="M126" s="1">
        <v>455.58643178410699</v>
      </c>
      <c r="N126" s="1">
        <v>13340</v>
      </c>
      <c r="O126" s="1">
        <v>35599.82</v>
      </c>
      <c r="P126" s="215">
        <f t="shared" si="16"/>
        <v>-6.2657661780007867E-4</v>
      </c>
      <c r="Q126" s="215">
        <f t="shared" si="11"/>
        <v>3.419746276889235E-3</v>
      </c>
      <c r="R126" s="231">
        <v>6077523</v>
      </c>
      <c r="T126" s="230">
        <v>43265</v>
      </c>
      <c r="U126" s="1">
        <v>175.35</v>
      </c>
      <c r="V126" s="1">
        <v>175.11419666126599</v>
      </c>
      <c r="W126" s="1">
        <v>56788</v>
      </c>
      <c r="X126" s="1">
        <v>35599.82</v>
      </c>
      <c r="Y126" s="215">
        <f t="shared" si="17"/>
        <v>-6.2657661780007867E-4</v>
      </c>
      <c r="Z126" s="215">
        <f t="shared" si="12"/>
        <v>3.3598585322723196E-2</v>
      </c>
      <c r="AA126" s="231">
        <v>9944385</v>
      </c>
      <c r="AC126" s="230">
        <v>43265</v>
      </c>
      <c r="AD126" s="1">
        <v>47.95</v>
      </c>
      <c r="AE126" s="1">
        <v>47.823271665043798</v>
      </c>
      <c r="AF126" s="1">
        <v>2054</v>
      </c>
      <c r="AG126" s="1">
        <v>35599.82</v>
      </c>
      <c r="AH126" s="215">
        <f t="shared" si="18"/>
        <v>-6.2657661780007867E-4</v>
      </c>
      <c r="AI126" s="215">
        <f t="shared" si="13"/>
        <v>-9.2975206611569661E-3</v>
      </c>
      <c r="AJ126" s="231">
        <v>98229</v>
      </c>
      <c r="AL126" s="230">
        <v>44537</v>
      </c>
      <c r="AM126" s="1">
        <v>314.64999999999998</v>
      </c>
      <c r="AN126" s="1">
        <v>315.983732623484</v>
      </c>
      <c r="AO126" s="1">
        <v>13524</v>
      </c>
      <c r="AP126" s="1">
        <v>57633.65</v>
      </c>
      <c r="AQ126" s="215">
        <f t="shared" si="19"/>
        <v>-1.7323709183068026E-2</v>
      </c>
      <c r="AR126" s="215">
        <f t="shared" si="14"/>
        <v>-3.3778596652848103E-2</v>
      </c>
      <c r="AS126" s="231">
        <v>4273364</v>
      </c>
    </row>
    <row r="127" spans="2:45">
      <c r="B127" s="230">
        <v>43266</v>
      </c>
      <c r="C127" s="1">
        <v>297.60000000000002</v>
      </c>
      <c r="D127" s="1">
        <v>301.71238095237999</v>
      </c>
      <c r="E127" s="1">
        <v>525</v>
      </c>
      <c r="F127" s="215">
        <v>35622.14</v>
      </c>
      <c r="G127" s="215">
        <f t="shared" si="15"/>
        <v>2.0783014414769152E-3</v>
      </c>
      <c r="H127" s="215">
        <f t="shared" si="10"/>
        <v>1.7262006494616289E-2</v>
      </c>
      <c r="I127" s="231">
        <v>158399</v>
      </c>
      <c r="K127" s="230">
        <v>43266</v>
      </c>
      <c r="L127" s="1">
        <v>453.25</v>
      </c>
      <c r="M127" s="1">
        <v>452.83575464083901</v>
      </c>
      <c r="N127" s="1">
        <v>7434</v>
      </c>
      <c r="O127" s="1">
        <v>35622.14</v>
      </c>
      <c r="P127" s="215">
        <f t="shared" si="16"/>
        <v>2.0783014414769152E-3</v>
      </c>
      <c r="Q127" s="215">
        <f t="shared" si="11"/>
        <v>2.6545736091139194E-3</v>
      </c>
      <c r="R127" s="231">
        <v>3366381</v>
      </c>
      <c r="T127" s="230">
        <v>43266</v>
      </c>
      <c r="U127" s="1">
        <v>169.65</v>
      </c>
      <c r="V127" s="1">
        <v>171.67296398846699</v>
      </c>
      <c r="W127" s="1">
        <v>122433</v>
      </c>
      <c r="X127" s="1">
        <v>35622.14</v>
      </c>
      <c r="Y127" s="215">
        <f t="shared" si="17"/>
        <v>2.0783014414769152E-3</v>
      </c>
      <c r="Z127" s="215">
        <f t="shared" si="12"/>
        <v>6.2277580071175009E-3</v>
      </c>
      <c r="AA127" s="231">
        <v>21018436</v>
      </c>
      <c r="AC127" s="230">
        <v>43266</v>
      </c>
      <c r="AD127" s="1">
        <v>48.4</v>
      </c>
      <c r="AE127" s="1">
        <v>47.854907539118003</v>
      </c>
      <c r="AF127" s="1">
        <v>703</v>
      </c>
      <c r="AG127" s="1">
        <v>35622.14</v>
      </c>
      <c r="AH127" s="215">
        <f t="shared" si="18"/>
        <v>2.0783014414769152E-3</v>
      </c>
      <c r="AI127" s="215">
        <f t="shared" si="13"/>
        <v>2.9787234042553123E-2</v>
      </c>
      <c r="AJ127" s="231">
        <v>33642</v>
      </c>
      <c r="AL127" s="230">
        <v>44538</v>
      </c>
      <c r="AM127" s="1">
        <v>325.64999999999998</v>
      </c>
      <c r="AN127" s="1">
        <v>322.25054624908898</v>
      </c>
      <c r="AO127" s="1">
        <v>26087</v>
      </c>
      <c r="AP127" s="1">
        <v>58649.68</v>
      </c>
      <c r="AQ127" s="215">
        <f t="shared" si="19"/>
        <v>-2.677396431351009E-3</v>
      </c>
      <c r="AR127" s="215">
        <f t="shared" si="14"/>
        <v>-8.5248896331253654E-3</v>
      </c>
      <c r="AS127" s="231">
        <v>8406550</v>
      </c>
    </row>
    <row r="128" spans="2:45">
      <c r="B128" s="230">
        <v>43269</v>
      </c>
      <c r="C128" s="1">
        <v>292.55</v>
      </c>
      <c r="D128" s="1">
        <v>296.01663467690298</v>
      </c>
      <c r="E128" s="1">
        <v>1563</v>
      </c>
      <c r="F128" s="215">
        <v>35548.26</v>
      </c>
      <c r="G128" s="215">
        <f t="shared" si="15"/>
        <v>7.4112825384267111E-3</v>
      </c>
      <c r="H128" s="215">
        <f t="shared" si="10"/>
        <v>1.7565217391304344E-2</v>
      </c>
      <c r="I128" s="231">
        <v>462674</v>
      </c>
      <c r="K128" s="230">
        <v>43269</v>
      </c>
      <c r="L128" s="1">
        <v>452.05</v>
      </c>
      <c r="M128" s="1">
        <v>452.11275598322197</v>
      </c>
      <c r="N128" s="1">
        <v>8106</v>
      </c>
      <c r="O128" s="1">
        <v>35548.26</v>
      </c>
      <c r="P128" s="215">
        <f t="shared" si="16"/>
        <v>7.4112825384267111E-3</v>
      </c>
      <c r="Q128" s="215">
        <f t="shared" si="11"/>
        <v>-5.4999450005499551E-3</v>
      </c>
      <c r="R128" s="231">
        <v>3664826</v>
      </c>
      <c r="T128" s="230">
        <v>43269</v>
      </c>
      <c r="U128" s="1">
        <v>168.6</v>
      </c>
      <c r="V128" s="1">
        <v>169.35393675867499</v>
      </c>
      <c r="W128" s="1">
        <v>36337</v>
      </c>
      <c r="X128" s="1">
        <v>35548.26</v>
      </c>
      <c r="Y128" s="215">
        <f t="shared" si="17"/>
        <v>7.4112825384267111E-3</v>
      </c>
      <c r="Z128" s="215">
        <f t="shared" si="12"/>
        <v>0</v>
      </c>
      <c r="AA128" s="231">
        <v>6153814</v>
      </c>
      <c r="AC128" s="230">
        <v>43269</v>
      </c>
      <c r="AD128" s="1">
        <v>47</v>
      </c>
      <c r="AE128" s="1">
        <v>47.068571428571403</v>
      </c>
      <c r="AF128" s="1">
        <v>1750</v>
      </c>
      <c r="AG128" s="1">
        <v>35548.26</v>
      </c>
      <c r="AH128" s="215">
        <f t="shared" si="18"/>
        <v>7.4112825384267111E-3</v>
      </c>
      <c r="AI128" s="215">
        <f t="shared" si="13"/>
        <v>1.5118790496760237E-2</v>
      </c>
      <c r="AJ128" s="231">
        <v>82370</v>
      </c>
      <c r="AL128" s="230">
        <v>44539</v>
      </c>
      <c r="AM128" s="1">
        <v>328.45</v>
      </c>
      <c r="AN128" s="1">
        <v>328.73567675118602</v>
      </c>
      <c r="AO128" s="1">
        <v>39202</v>
      </c>
      <c r="AP128" s="1">
        <v>58807.13</v>
      </c>
      <c r="AQ128" s="215">
        <f t="shared" si="19"/>
        <v>3.4803808414385351E-4</v>
      </c>
      <c r="AR128" s="215">
        <f t="shared" si="14"/>
        <v>-1.0543756589847852E-2</v>
      </c>
      <c r="AS128" s="231">
        <v>12887096</v>
      </c>
    </row>
    <row r="129" spans="2:45">
      <c r="B129" s="230">
        <v>43270</v>
      </c>
      <c r="C129" s="1">
        <v>287.5</v>
      </c>
      <c r="D129" s="1">
        <v>288.81764705882301</v>
      </c>
      <c r="E129" s="1">
        <v>2040</v>
      </c>
      <c r="F129" s="215">
        <v>35286.74</v>
      </c>
      <c r="G129" s="215">
        <f t="shared" si="15"/>
        <v>-7.3307896823756602E-3</v>
      </c>
      <c r="H129" s="215">
        <f t="shared" si="10"/>
        <v>-2.8716216216216228E-2</v>
      </c>
      <c r="I129" s="231">
        <v>589188</v>
      </c>
      <c r="K129" s="230">
        <v>43270</v>
      </c>
      <c r="L129" s="1">
        <v>454.55</v>
      </c>
      <c r="M129" s="1">
        <v>464.31323446703902</v>
      </c>
      <c r="N129" s="1">
        <v>67566</v>
      </c>
      <c r="O129" s="1">
        <v>35286.74</v>
      </c>
      <c r="P129" s="215">
        <f t="shared" si="16"/>
        <v>-7.3307896823756602E-3</v>
      </c>
      <c r="Q129" s="215">
        <f t="shared" si="11"/>
        <v>-1.2706342311033847E-2</v>
      </c>
      <c r="R129" s="231">
        <v>31371788</v>
      </c>
      <c r="T129" s="230">
        <v>43270</v>
      </c>
      <c r="U129" s="1">
        <v>168.6</v>
      </c>
      <c r="V129" s="1">
        <v>170.47947254519201</v>
      </c>
      <c r="W129" s="1">
        <v>94264</v>
      </c>
      <c r="X129" s="1">
        <v>35286.74</v>
      </c>
      <c r="Y129" s="215">
        <f t="shared" si="17"/>
        <v>-7.3307896823756602E-3</v>
      </c>
      <c r="Z129" s="215">
        <f t="shared" si="12"/>
        <v>-1.0272967420017598E-2</v>
      </c>
      <c r="AA129" s="231">
        <v>16070077</v>
      </c>
      <c r="AC129" s="230">
        <v>43270</v>
      </c>
      <c r="AD129" s="1">
        <v>46.3</v>
      </c>
      <c r="AE129" s="1">
        <v>47.000145857642899</v>
      </c>
      <c r="AF129" s="1">
        <v>6856</v>
      </c>
      <c r="AG129" s="1">
        <v>35286.74</v>
      </c>
      <c r="AH129" s="215">
        <f t="shared" si="18"/>
        <v>-7.3307896823756602E-3</v>
      </c>
      <c r="AI129" s="215">
        <f t="shared" si="13"/>
        <v>-2.5263157894736876E-2</v>
      </c>
      <c r="AJ129" s="231">
        <v>322233</v>
      </c>
      <c r="AL129" s="230">
        <v>44540</v>
      </c>
      <c r="AM129" s="1">
        <v>331.95</v>
      </c>
      <c r="AN129" s="1">
        <v>329.51825348018099</v>
      </c>
      <c r="AO129" s="1">
        <v>71548</v>
      </c>
      <c r="AP129" s="1">
        <v>58786.67</v>
      </c>
      <c r="AQ129" s="215">
        <f t="shared" si="19"/>
        <v>8.6345310553155308E-3</v>
      </c>
      <c r="AR129" s="215">
        <f t="shared" si="14"/>
        <v>6.0615244734050222E-3</v>
      </c>
      <c r="AS129" s="231">
        <v>23576372</v>
      </c>
    </row>
    <row r="130" spans="2:45">
      <c r="B130" s="230">
        <v>43271</v>
      </c>
      <c r="C130" s="1">
        <v>296</v>
      </c>
      <c r="D130" s="1">
        <v>293.73170731707302</v>
      </c>
      <c r="E130" s="1">
        <v>82</v>
      </c>
      <c r="F130" s="215">
        <v>35547.33</v>
      </c>
      <c r="G130" s="215">
        <f t="shared" si="15"/>
        <v>3.2439245560347274E-3</v>
      </c>
      <c r="H130" s="215">
        <f t="shared" si="10"/>
        <v>-5.3763440860216116E-3</v>
      </c>
      <c r="I130" s="231">
        <v>24086</v>
      </c>
      <c r="K130" s="230">
        <v>43271</v>
      </c>
      <c r="L130" s="1">
        <v>460.4</v>
      </c>
      <c r="M130" s="1">
        <v>457.80418866596199</v>
      </c>
      <c r="N130" s="1">
        <v>28410</v>
      </c>
      <c r="O130" s="1">
        <v>35547.33</v>
      </c>
      <c r="P130" s="215">
        <f t="shared" si="16"/>
        <v>3.2439245560347274E-3</v>
      </c>
      <c r="Q130" s="215">
        <f t="shared" si="11"/>
        <v>1.8021006080707558E-2</v>
      </c>
      <c r="R130" s="231">
        <v>13006217</v>
      </c>
      <c r="T130" s="230">
        <v>43271</v>
      </c>
      <c r="U130" s="1">
        <v>170.35</v>
      </c>
      <c r="V130" s="1">
        <v>169.79761586094901</v>
      </c>
      <c r="W130" s="1">
        <v>56037</v>
      </c>
      <c r="X130" s="1">
        <v>35547.33</v>
      </c>
      <c r="Y130" s="215">
        <f t="shared" si="17"/>
        <v>3.2439245560347274E-3</v>
      </c>
      <c r="Z130" s="215">
        <f t="shared" si="12"/>
        <v>3.8086532602071843E-2</v>
      </c>
      <c r="AA130" s="231">
        <v>9514949</v>
      </c>
      <c r="AC130" s="230">
        <v>43271</v>
      </c>
      <c r="AD130" s="1">
        <v>47.5</v>
      </c>
      <c r="AE130" s="1">
        <v>46.923076923076898</v>
      </c>
      <c r="AF130" s="1">
        <v>650</v>
      </c>
      <c r="AG130" s="1">
        <v>35547.33</v>
      </c>
      <c r="AH130" s="215">
        <f t="shared" si="18"/>
        <v>3.2439245560347274E-3</v>
      </c>
      <c r="AI130" s="215">
        <f t="shared" si="13"/>
        <v>1.4957264957265126E-2</v>
      </c>
      <c r="AJ130" s="231">
        <v>30500</v>
      </c>
      <c r="AL130" s="230">
        <v>44543</v>
      </c>
      <c r="AM130" s="1">
        <v>329.95</v>
      </c>
      <c r="AN130" s="1">
        <v>331.93646101348497</v>
      </c>
      <c r="AO130" s="1">
        <v>54801</v>
      </c>
      <c r="AP130" s="1">
        <v>58283.42</v>
      </c>
      <c r="AQ130" s="215">
        <f t="shared" si="19"/>
        <v>2.8619808734402508E-3</v>
      </c>
      <c r="AR130" s="215">
        <f t="shared" si="14"/>
        <v>8.2505729564552599E-3</v>
      </c>
      <c r="AS130" s="231">
        <v>18190450</v>
      </c>
    </row>
    <row r="131" spans="2:45">
      <c r="B131" s="230">
        <v>43272</v>
      </c>
      <c r="C131" s="1">
        <v>297.60000000000002</v>
      </c>
      <c r="D131" s="1">
        <v>290.14583333333297</v>
      </c>
      <c r="E131" s="1">
        <v>48</v>
      </c>
      <c r="F131" s="215">
        <v>35432.39</v>
      </c>
      <c r="G131" s="215">
        <f t="shared" si="15"/>
        <v>-7.2068613825876371E-3</v>
      </c>
      <c r="H131" s="215">
        <f t="shared" si="10"/>
        <v>2.6206896551724146E-2</v>
      </c>
      <c r="I131" s="231">
        <v>13927</v>
      </c>
      <c r="K131" s="230">
        <v>43272</v>
      </c>
      <c r="L131" s="1">
        <v>452.25</v>
      </c>
      <c r="M131" s="1">
        <v>456.34243315133602</v>
      </c>
      <c r="N131" s="1">
        <v>7143</v>
      </c>
      <c r="O131" s="1">
        <v>35432.39</v>
      </c>
      <c r="P131" s="215">
        <f t="shared" si="16"/>
        <v>-7.2068613825876371E-3</v>
      </c>
      <c r="Q131" s="215">
        <f t="shared" si="11"/>
        <v>-1.4351954073746898E-3</v>
      </c>
      <c r="R131" s="231">
        <v>3259654</v>
      </c>
      <c r="T131" s="230">
        <v>43272</v>
      </c>
      <c r="U131" s="1">
        <v>164.1</v>
      </c>
      <c r="V131" s="1">
        <v>166.165555964948</v>
      </c>
      <c r="W131" s="1">
        <v>124846</v>
      </c>
      <c r="X131" s="1">
        <v>35432.39</v>
      </c>
      <c r="Y131" s="215">
        <f t="shared" si="17"/>
        <v>-7.2068613825876371E-3</v>
      </c>
      <c r="Z131" s="215">
        <f t="shared" si="12"/>
        <v>2.8840125391849547E-2</v>
      </c>
      <c r="AA131" s="231">
        <v>20745105</v>
      </c>
      <c r="AC131" s="230">
        <v>43272</v>
      </c>
      <c r="AD131" s="1">
        <v>46.8</v>
      </c>
      <c r="AE131" s="1">
        <v>46.856600189933502</v>
      </c>
      <c r="AF131" s="1">
        <v>1053</v>
      </c>
      <c r="AG131" s="1">
        <v>35432.39</v>
      </c>
      <c r="AH131" s="215">
        <f t="shared" si="18"/>
        <v>-7.2068613825876371E-3</v>
      </c>
      <c r="AI131" s="215">
        <f t="shared" si="13"/>
        <v>6.4516129032257119E-3</v>
      </c>
      <c r="AJ131" s="231">
        <v>49340</v>
      </c>
      <c r="AL131" s="230">
        <v>44544</v>
      </c>
      <c r="AM131" s="1">
        <v>327.25</v>
      </c>
      <c r="AN131" s="1">
        <v>326.732940768964</v>
      </c>
      <c r="AO131" s="1">
        <v>34644</v>
      </c>
      <c r="AP131" s="1">
        <v>58117.09</v>
      </c>
      <c r="AQ131" s="215">
        <f t="shared" si="19"/>
        <v>5.6942588283421802E-3</v>
      </c>
      <c r="AR131" s="215">
        <f t="shared" si="14"/>
        <v>6.6133497385418849E-3</v>
      </c>
      <c r="AS131" s="231">
        <v>11319336</v>
      </c>
    </row>
    <row r="132" spans="2:45">
      <c r="B132" s="230">
        <v>43273</v>
      </c>
      <c r="C132" s="1">
        <v>290</v>
      </c>
      <c r="D132" s="1">
        <v>290.83612040133698</v>
      </c>
      <c r="E132" s="1">
        <v>299</v>
      </c>
      <c r="F132" s="215">
        <v>35689.599999999999</v>
      </c>
      <c r="G132" s="215">
        <f t="shared" si="15"/>
        <v>6.1812189617524993E-3</v>
      </c>
      <c r="H132" s="215">
        <f t="shared" si="10"/>
        <v>1.7543859649122862E-2</v>
      </c>
      <c r="I132" s="231">
        <v>86960</v>
      </c>
      <c r="K132" s="230">
        <v>43273</v>
      </c>
      <c r="L132" s="1">
        <v>452.9</v>
      </c>
      <c r="M132" s="1">
        <v>453.824182358771</v>
      </c>
      <c r="N132" s="1">
        <v>5045</v>
      </c>
      <c r="O132" s="1">
        <v>35689.599999999999</v>
      </c>
      <c r="P132" s="215">
        <f t="shared" si="16"/>
        <v>6.1812189617524993E-3</v>
      </c>
      <c r="Q132" s="215">
        <f t="shared" si="11"/>
        <v>1.5479876160990891E-3</v>
      </c>
      <c r="R132" s="231">
        <v>2289543</v>
      </c>
      <c r="T132" s="230">
        <v>43273</v>
      </c>
      <c r="U132" s="1">
        <v>159.5</v>
      </c>
      <c r="V132" s="1">
        <v>160.75732681936501</v>
      </c>
      <c r="W132" s="1">
        <v>179307</v>
      </c>
      <c r="X132" s="1">
        <v>35689.599999999999</v>
      </c>
      <c r="Y132" s="215">
        <f t="shared" si="17"/>
        <v>6.1812189617524993E-3</v>
      </c>
      <c r="Z132" s="215">
        <f t="shared" si="12"/>
        <v>4.4080604534004753E-3</v>
      </c>
      <c r="AA132" s="231">
        <v>28824914</v>
      </c>
      <c r="AC132" s="230">
        <v>43273</v>
      </c>
      <c r="AD132" s="1">
        <v>46.5</v>
      </c>
      <c r="AE132" s="1">
        <v>46.2848689771766</v>
      </c>
      <c r="AF132" s="1">
        <v>3549</v>
      </c>
      <c r="AG132" s="1">
        <v>35689.599999999999</v>
      </c>
      <c r="AH132" s="215">
        <f t="shared" si="18"/>
        <v>6.1812189617524993E-3</v>
      </c>
      <c r="AI132" s="215">
        <f t="shared" si="13"/>
        <v>-1.5873015873015928E-2</v>
      </c>
      <c r="AJ132" s="231">
        <v>164265</v>
      </c>
      <c r="AL132" s="230">
        <v>44545</v>
      </c>
      <c r="AM132" s="1">
        <v>325.10000000000002</v>
      </c>
      <c r="AN132" s="1">
        <v>325.24713064713001</v>
      </c>
      <c r="AO132" s="1">
        <v>32760</v>
      </c>
      <c r="AP132" s="1">
        <v>57788.03</v>
      </c>
      <c r="AQ132" s="215">
        <f t="shared" si="19"/>
        <v>-1.9535021244831974E-3</v>
      </c>
      <c r="AR132" s="215">
        <f t="shared" si="14"/>
        <v>1.2614857498832066E-2</v>
      </c>
      <c r="AS132" s="231">
        <v>10655096</v>
      </c>
    </row>
    <row r="133" spans="2:45">
      <c r="B133" s="230">
        <v>43276</v>
      </c>
      <c r="C133" s="1">
        <v>285</v>
      </c>
      <c r="D133" s="1">
        <v>287.59539473684202</v>
      </c>
      <c r="E133" s="1">
        <v>608</v>
      </c>
      <c r="F133" s="215">
        <v>35470.35</v>
      </c>
      <c r="G133" s="215">
        <f t="shared" si="15"/>
        <v>-5.5480354488190997E-4</v>
      </c>
      <c r="H133" s="215">
        <f t="shared" si="10"/>
        <v>1.8038935524200772E-2</v>
      </c>
      <c r="I133" s="231">
        <v>174858</v>
      </c>
      <c r="K133" s="230">
        <v>43276</v>
      </c>
      <c r="L133" s="1">
        <v>452.2</v>
      </c>
      <c r="M133" s="1">
        <v>456.48424099485402</v>
      </c>
      <c r="N133" s="1">
        <v>9328</v>
      </c>
      <c r="O133" s="1">
        <v>35470.35</v>
      </c>
      <c r="P133" s="215">
        <f t="shared" si="16"/>
        <v>-5.5480354488190997E-4</v>
      </c>
      <c r="Q133" s="215">
        <f t="shared" si="11"/>
        <v>2.2119000221176854E-4</v>
      </c>
      <c r="R133" s="231">
        <v>4258085</v>
      </c>
      <c r="T133" s="230">
        <v>43276</v>
      </c>
      <c r="U133" s="1">
        <v>158.80000000000001</v>
      </c>
      <c r="V133" s="1">
        <v>160.879882382749</v>
      </c>
      <c r="W133" s="1">
        <v>149978</v>
      </c>
      <c r="X133" s="1">
        <v>35470.35</v>
      </c>
      <c r="Y133" s="215">
        <f t="shared" si="17"/>
        <v>-5.5480354488190997E-4</v>
      </c>
      <c r="Z133" s="215">
        <f t="shared" si="12"/>
        <v>1.697086135126491E-2</v>
      </c>
      <c r="AA133" s="231">
        <v>24128443</v>
      </c>
      <c r="AC133" s="230">
        <v>43276</v>
      </c>
      <c r="AD133" s="1">
        <v>47.25</v>
      </c>
      <c r="AE133" s="1">
        <v>47.076363636363602</v>
      </c>
      <c r="AF133" s="1">
        <v>2475</v>
      </c>
      <c r="AG133" s="1">
        <v>35470.35</v>
      </c>
      <c r="AH133" s="215">
        <f t="shared" si="18"/>
        <v>-5.5480354488190997E-4</v>
      </c>
      <c r="AI133" s="215">
        <f t="shared" si="13"/>
        <v>5.3191489361701372E-3</v>
      </c>
      <c r="AJ133" s="231">
        <v>116514</v>
      </c>
      <c r="AL133" s="230">
        <v>44546</v>
      </c>
      <c r="AM133" s="1">
        <v>321.05</v>
      </c>
      <c r="AN133" s="1">
        <v>321.13700476738398</v>
      </c>
      <c r="AO133" s="1">
        <v>60830</v>
      </c>
      <c r="AP133" s="1">
        <v>57901.14</v>
      </c>
      <c r="AQ133" s="215">
        <f t="shared" si="19"/>
        <v>1.560029565840293E-2</v>
      </c>
      <c r="AR133" s="215">
        <f t="shared" si="14"/>
        <v>2.1638822593476492E-2</v>
      </c>
      <c r="AS133" s="231">
        <v>19534764</v>
      </c>
    </row>
    <row r="134" spans="2:45">
      <c r="B134" s="230">
        <v>43277</v>
      </c>
      <c r="C134" s="1">
        <v>279.95</v>
      </c>
      <c r="D134" s="1">
        <v>280.14806651973498</v>
      </c>
      <c r="E134" s="1">
        <v>4991</v>
      </c>
      <c r="F134" s="215">
        <v>35490.04</v>
      </c>
      <c r="G134" s="215">
        <f t="shared" si="15"/>
        <v>7.7499261012616838E-3</v>
      </c>
      <c r="H134" s="215">
        <f t="shared" si="10"/>
        <v>2.7339449541284422E-2</v>
      </c>
      <c r="I134" s="231">
        <v>1398219</v>
      </c>
      <c r="K134" s="230">
        <v>43277</v>
      </c>
      <c r="L134" s="1">
        <v>452.1</v>
      </c>
      <c r="M134" s="1">
        <v>452.46199291059401</v>
      </c>
      <c r="N134" s="1">
        <v>5078</v>
      </c>
      <c r="O134" s="1">
        <v>35490.04</v>
      </c>
      <c r="P134" s="215">
        <f t="shared" si="16"/>
        <v>7.7499261012616838E-3</v>
      </c>
      <c r="Q134" s="215">
        <f t="shared" si="11"/>
        <v>1.5612714815230966E-2</v>
      </c>
      <c r="R134" s="231">
        <v>2297602</v>
      </c>
      <c r="T134" s="230">
        <v>43277</v>
      </c>
      <c r="U134" s="1">
        <v>156.15</v>
      </c>
      <c r="V134" s="1">
        <v>157.48213532757799</v>
      </c>
      <c r="W134" s="1">
        <v>125695</v>
      </c>
      <c r="X134" s="1">
        <v>35490.04</v>
      </c>
      <c r="Y134" s="215">
        <f t="shared" si="17"/>
        <v>7.7499261012616838E-3</v>
      </c>
      <c r="Z134" s="215">
        <f t="shared" si="12"/>
        <v>5.2578361981799882E-2</v>
      </c>
      <c r="AA134" s="231">
        <v>19794717</v>
      </c>
      <c r="AC134" s="230">
        <v>43277</v>
      </c>
      <c r="AD134" s="1">
        <v>47</v>
      </c>
      <c r="AE134" s="1">
        <v>47.285287081339703</v>
      </c>
      <c r="AF134" s="1">
        <v>1672</v>
      </c>
      <c r="AG134" s="1">
        <v>35490.04</v>
      </c>
      <c r="AH134" s="215">
        <f t="shared" si="18"/>
        <v>7.7499261012616838E-3</v>
      </c>
      <c r="AI134" s="215">
        <f t="shared" si="13"/>
        <v>1.0649627263044081E-3</v>
      </c>
      <c r="AJ134" s="231">
        <v>79061</v>
      </c>
      <c r="AL134" s="230">
        <v>44547</v>
      </c>
      <c r="AM134" s="1">
        <v>314.25</v>
      </c>
      <c r="AN134" s="1">
        <v>315.96976904640798</v>
      </c>
      <c r="AO134" s="1">
        <v>55076</v>
      </c>
      <c r="AP134" s="1">
        <v>57011.74</v>
      </c>
      <c r="AQ134" s="215">
        <f t="shared" si="19"/>
        <v>2.1312919402221464E-2</v>
      </c>
      <c r="AR134" s="215">
        <f t="shared" si="14"/>
        <v>1.7154879430328673E-2</v>
      </c>
      <c r="AS134" s="231">
        <v>17402351</v>
      </c>
    </row>
    <row r="135" spans="2:45">
      <c r="B135" s="230">
        <v>43278</v>
      </c>
      <c r="C135" s="1">
        <v>272.5</v>
      </c>
      <c r="D135" s="1">
        <v>271.57426726279101</v>
      </c>
      <c r="E135" s="1">
        <v>4026</v>
      </c>
      <c r="F135" s="215">
        <v>35217.11</v>
      </c>
      <c r="G135" s="215">
        <f t="shared" si="15"/>
        <v>5.1222057193349713E-3</v>
      </c>
      <c r="H135" s="215">
        <f t="shared" si="10"/>
        <v>5.252993433758224E-2</v>
      </c>
      <c r="I135" s="231">
        <v>1093358</v>
      </c>
      <c r="K135" s="230">
        <v>43278</v>
      </c>
      <c r="L135" s="1">
        <v>445.15</v>
      </c>
      <c r="M135" s="1">
        <v>450.10897121647099</v>
      </c>
      <c r="N135" s="1">
        <v>14279</v>
      </c>
      <c r="O135" s="1">
        <v>35217.11</v>
      </c>
      <c r="P135" s="215">
        <f t="shared" si="16"/>
        <v>5.1222057193349713E-3</v>
      </c>
      <c r="Q135" s="215">
        <f t="shared" si="11"/>
        <v>1.1233430689716606E-4</v>
      </c>
      <c r="R135" s="231">
        <v>6427106</v>
      </c>
      <c r="T135" s="230">
        <v>43278</v>
      </c>
      <c r="U135" s="1">
        <v>148.35</v>
      </c>
      <c r="V135" s="1">
        <v>151.56699142986</v>
      </c>
      <c r="W135" s="1">
        <v>110850</v>
      </c>
      <c r="X135" s="1">
        <v>35217.11</v>
      </c>
      <c r="Y135" s="215">
        <f t="shared" si="17"/>
        <v>5.1222057193349713E-3</v>
      </c>
      <c r="Z135" s="215">
        <f t="shared" si="12"/>
        <v>4.1783707865168385E-2</v>
      </c>
      <c r="AA135" s="231">
        <v>16801201</v>
      </c>
      <c r="AC135" s="230">
        <v>43278</v>
      </c>
      <c r="AD135" s="1">
        <v>46.95</v>
      </c>
      <c r="AE135" s="1">
        <v>45.715335783494801</v>
      </c>
      <c r="AF135" s="1">
        <v>2993</v>
      </c>
      <c r="AG135" s="1">
        <v>35217.11</v>
      </c>
      <c r="AH135" s="215">
        <f t="shared" si="18"/>
        <v>5.1222057193349713E-3</v>
      </c>
      <c r="AI135" s="215">
        <f t="shared" si="13"/>
        <v>3.5281146637265781E-2</v>
      </c>
      <c r="AJ135" s="231">
        <v>136826</v>
      </c>
      <c r="AL135" s="230">
        <v>44550</v>
      </c>
      <c r="AM135" s="1">
        <v>308.95</v>
      </c>
      <c r="AN135" s="1">
        <v>307.58638569513101</v>
      </c>
      <c r="AO135" s="1">
        <v>84279</v>
      </c>
      <c r="AP135" s="1">
        <v>55822.01</v>
      </c>
      <c r="AQ135" s="215">
        <f t="shared" si="19"/>
        <v>-8.8247289858255362E-3</v>
      </c>
      <c r="AR135" s="215">
        <f t="shared" si="14"/>
        <v>2.2708840227088078E-3</v>
      </c>
      <c r="AS135" s="231">
        <v>25923073</v>
      </c>
    </row>
    <row r="136" spans="2:45">
      <c r="B136" s="230">
        <v>43279</v>
      </c>
      <c r="C136" s="1">
        <v>258.89999999999998</v>
      </c>
      <c r="D136" s="1">
        <v>260.57637853949302</v>
      </c>
      <c r="E136" s="1">
        <v>2684</v>
      </c>
      <c r="F136" s="215">
        <v>35037.64</v>
      </c>
      <c r="G136" s="215">
        <f t="shared" si="15"/>
        <v>-1.0892210477344566E-2</v>
      </c>
      <c r="H136" s="215">
        <f t="shared" si="10"/>
        <v>-1.4652711703139976E-2</v>
      </c>
      <c r="I136" s="231">
        <v>699387</v>
      </c>
      <c r="K136" s="230">
        <v>43279</v>
      </c>
      <c r="L136" s="1">
        <v>445.1</v>
      </c>
      <c r="M136" s="1">
        <v>445.15911872704999</v>
      </c>
      <c r="N136" s="1">
        <v>4902</v>
      </c>
      <c r="O136" s="1">
        <v>35037.64</v>
      </c>
      <c r="P136" s="215">
        <f t="shared" si="16"/>
        <v>-1.0892210477344566E-2</v>
      </c>
      <c r="Q136" s="215">
        <f t="shared" si="11"/>
        <v>-2.1865729040764781E-2</v>
      </c>
      <c r="R136" s="231">
        <v>2182170</v>
      </c>
      <c r="T136" s="230">
        <v>43279</v>
      </c>
      <c r="U136" s="1">
        <v>142.4</v>
      </c>
      <c r="V136" s="1">
        <v>143.178642550126</v>
      </c>
      <c r="W136" s="1">
        <v>212413</v>
      </c>
      <c r="X136" s="1">
        <v>35037.64</v>
      </c>
      <c r="Y136" s="215">
        <f t="shared" si="17"/>
        <v>-1.0892210477344566E-2</v>
      </c>
      <c r="Z136" s="215">
        <f t="shared" si="12"/>
        <v>-1.453287197231834E-2</v>
      </c>
      <c r="AA136" s="231">
        <v>30413005</v>
      </c>
      <c r="AC136" s="230">
        <v>43279</v>
      </c>
      <c r="AD136" s="1">
        <v>45.35</v>
      </c>
      <c r="AE136" s="1">
        <v>44.326772243592899</v>
      </c>
      <c r="AF136" s="1">
        <v>20017</v>
      </c>
      <c r="AG136" s="1">
        <v>35037.64</v>
      </c>
      <c r="AH136" s="215">
        <f t="shared" si="18"/>
        <v>-1.0892210477344566E-2</v>
      </c>
      <c r="AI136" s="215">
        <f t="shared" si="13"/>
        <v>2.3702031602709006E-2</v>
      </c>
      <c r="AJ136" s="231">
        <v>887289</v>
      </c>
      <c r="AL136" s="230">
        <v>44551</v>
      </c>
      <c r="AM136" s="1">
        <v>308.25</v>
      </c>
      <c r="AN136" s="1">
        <v>308.39996055183502</v>
      </c>
      <c r="AO136" s="1">
        <v>91259</v>
      </c>
      <c r="AP136" s="1">
        <v>56319.01</v>
      </c>
      <c r="AQ136" s="215">
        <f t="shared" si="19"/>
        <v>-1.0742033803988527E-2</v>
      </c>
      <c r="AR136" s="215">
        <f t="shared" si="14"/>
        <v>-2.5604551920341501E-2</v>
      </c>
      <c r="AS136" s="231">
        <v>28144272</v>
      </c>
    </row>
    <row r="137" spans="2:45">
      <c r="B137" s="230">
        <v>43280</v>
      </c>
      <c r="C137" s="1">
        <v>262.75</v>
      </c>
      <c r="D137" s="1">
        <v>260.41767371601202</v>
      </c>
      <c r="E137" s="1">
        <v>1324</v>
      </c>
      <c r="F137" s="215">
        <v>35423.480000000003</v>
      </c>
      <c r="G137" s="215">
        <f t="shared" si="15"/>
        <v>4.5107801321502272E-3</v>
      </c>
      <c r="H137" s="215">
        <f t="shared" si="10"/>
        <v>-3.3296541574687311E-2</v>
      </c>
      <c r="I137" s="231">
        <v>344793</v>
      </c>
      <c r="K137" s="230">
        <v>43280</v>
      </c>
      <c r="L137" s="1">
        <v>455.05</v>
      </c>
      <c r="M137" s="1">
        <v>459.18626757002698</v>
      </c>
      <c r="N137" s="1">
        <v>9889</v>
      </c>
      <c r="O137" s="1">
        <v>35423.480000000003</v>
      </c>
      <c r="P137" s="215">
        <f t="shared" si="16"/>
        <v>4.5107801321502272E-3</v>
      </c>
      <c r="Q137" s="215">
        <f t="shared" si="11"/>
        <v>2.1092785818467519E-2</v>
      </c>
      <c r="R137" s="231">
        <v>4540893</v>
      </c>
      <c r="T137" s="230">
        <v>43280</v>
      </c>
      <c r="U137" s="1">
        <v>144.5</v>
      </c>
      <c r="V137" s="1">
        <v>144.71744232710199</v>
      </c>
      <c r="W137" s="1">
        <v>164462</v>
      </c>
      <c r="X137" s="1">
        <v>35423.480000000003</v>
      </c>
      <c r="Y137" s="215">
        <f t="shared" si="17"/>
        <v>4.5107801321502272E-3</v>
      </c>
      <c r="Z137" s="215">
        <f t="shared" si="12"/>
        <v>3.8207711010769252E-3</v>
      </c>
      <c r="AA137" s="231">
        <v>23800520</v>
      </c>
      <c r="AC137" s="230">
        <v>43280</v>
      </c>
      <c r="AD137" s="1">
        <v>44.3</v>
      </c>
      <c r="AE137" s="1">
        <v>45.288168467719501</v>
      </c>
      <c r="AF137" s="1">
        <v>3609</v>
      </c>
      <c r="AG137" s="1">
        <v>35423.480000000003</v>
      </c>
      <c r="AH137" s="215">
        <f t="shared" si="18"/>
        <v>4.5107801321502272E-3</v>
      </c>
      <c r="AI137" s="215">
        <f t="shared" si="13"/>
        <v>-2.5302530253025424E-2</v>
      </c>
      <c r="AJ137" s="231">
        <v>163445</v>
      </c>
      <c r="AL137" s="230">
        <v>44552</v>
      </c>
      <c r="AM137" s="1">
        <v>316.35000000000002</v>
      </c>
      <c r="AN137" s="1">
        <v>312.66300675675598</v>
      </c>
      <c r="AO137" s="1">
        <v>21312</v>
      </c>
      <c r="AP137" s="1">
        <v>56930.559999999998</v>
      </c>
      <c r="AQ137" s="215">
        <f t="shared" si="19"/>
        <v>-6.7123461666767081E-3</v>
      </c>
      <c r="AR137" s="215">
        <f t="shared" si="14"/>
        <v>-4.7425474254742528E-2</v>
      </c>
      <c r="AS137" s="231">
        <v>6663474</v>
      </c>
    </row>
    <row r="138" spans="2:45">
      <c r="B138" s="230">
        <v>43283</v>
      </c>
      <c r="C138" s="1">
        <v>271.8</v>
      </c>
      <c r="D138" s="1">
        <v>264.03703703703701</v>
      </c>
      <c r="E138" s="1">
        <v>216</v>
      </c>
      <c r="F138" s="215">
        <v>35264.410000000003</v>
      </c>
      <c r="G138" s="215">
        <f t="shared" si="15"/>
        <v>-3.2276573974096001E-3</v>
      </c>
      <c r="H138" s="215">
        <f t="shared" si="10"/>
        <v>-4.2620641070799437E-2</v>
      </c>
      <c r="I138" s="231">
        <v>57032</v>
      </c>
      <c r="K138" s="230">
        <v>43283</v>
      </c>
      <c r="L138" s="1">
        <v>445.65</v>
      </c>
      <c r="M138" s="1">
        <v>447.52148720424901</v>
      </c>
      <c r="N138" s="1">
        <v>2071</v>
      </c>
      <c r="O138" s="1">
        <v>35264.410000000003</v>
      </c>
      <c r="P138" s="215">
        <f t="shared" si="16"/>
        <v>-3.2276573974096001E-3</v>
      </c>
      <c r="Q138" s="215">
        <f t="shared" si="11"/>
        <v>0</v>
      </c>
      <c r="R138" s="231">
        <v>926817</v>
      </c>
      <c r="T138" s="230">
        <v>43283</v>
      </c>
      <c r="U138" s="1">
        <v>143.94999999999999</v>
      </c>
      <c r="V138" s="1">
        <v>143.87945302113499</v>
      </c>
      <c r="W138" s="1">
        <v>73714</v>
      </c>
      <c r="X138" s="1">
        <v>35264.410000000003</v>
      </c>
      <c r="Y138" s="215">
        <f t="shared" si="17"/>
        <v>-3.2276573974096001E-3</v>
      </c>
      <c r="Z138" s="215">
        <f t="shared" si="12"/>
        <v>-7.5835918648743394E-3</v>
      </c>
      <c r="AA138" s="231">
        <v>10605930</v>
      </c>
      <c r="AC138" s="230">
        <v>43283</v>
      </c>
      <c r="AD138" s="1">
        <v>45.45</v>
      </c>
      <c r="AE138" s="1">
        <v>45.340321453529</v>
      </c>
      <c r="AF138" s="1">
        <v>2862</v>
      </c>
      <c r="AG138" s="1">
        <v>35264.410000000003</v>
      </c>
      <c r="AH138" s="215">
        <f t="shared" si="18"/>
        <v>-3.2276573974096001E-3</v>
      </c>
      <c r="AI138" s="215">
        <f t="shared" si="13"/>
        <v>-1.098901098900984E-3</v>
      </c>
      <c r="AJ138" s="231">
        <v>129764</v>
      </c>
      <c r="AL138" s="230">
        <v>44553</v>
      </c>
      <c r="AM138" s="1">
        <v>332.1</v>
      </c>
      <c r="AN138" s="1">
        <v>330.89347309879298</v>
      </c>
      <c r="AO138" s="1">
        <v>64012</v>
      </c>
      <c r="AP138" s="1">
        <v>57315.28</v>
      </c>
      <c r="AQ138" s="215">
        <f t="shared" si="19"/>
        <v>3.3430600737234251E-3</v>
      </c>
      <c r="AR138" s="215">
        <f t="shared" si="14"/>
        <v>3.6193447737909556E-2</v>
      </c>
      <c r="AS138" s="231">
        <v>21181153</v>
      </c>
    </row>
    <row r="139" spans="2:45">
      <c r="B139" s="230">
        <v>43284</v>
      </c>
      <c r="C139" s="1">
        <v>283.89999999999998</v>
      </c>
      <c r="D139" s="1">
        <v>283.14324324324298</v>
      </c>
      <c r="E139" s="1">
        <v>370</v>
      </c>
      <c r="F139" s="215">
        <v>35378.6</v>
      </c>
      <c r="G139" s="215">
        <f t="shared" si="15"/>
        <v>-7.4848367531294979E-3</v>
      </c>
      <c r="H139" s="215">
        <f t="shared" si="10"/>
        <v>3.2363636363636372E-2</v>
      </c>
      <c r="I139" s="231">
        <v>104763</v>
      </c>
      <c r="K139" s="230">
        <v>43284</v>
      </c>
      <c r="L139" s="1">
        <v>445.65</v>
      </c>
      <c r="M139" s="1">
        <v>446.36167711598699</v>
      </c>
      <c r="N139" s="1">
        <v>2552</v>
      </c>
      <c r="O139" s="1">
        <v>35378.6</v>
      </c>
      <c r="P139" s="215">
        <f t="shared" si="16"/>
        <v>-7.4848367531294979E-3</v>
      </c>
      <c r="Q139" s="215">
        <f t="shared" si="11"/>
        <v>2.4954001839926354E-2</v>
      </c>
      <c r="R139" s="231">
        <v>1139115</v>
      </c>
      <c r="T139" s="230">
        <v>43284</v>
      </c>
      <c r="U139" s="1">
        <v>145.05000000000001</v>
      </c>
      <c r="V139" s="1">
        <v>145.51780694891099</v>
      </c>
      <c r="W139" s="1">
        <v>69018</v>
      </c>
      <c r="X139" s="1">
        <v>35378.6</v>
      </c>
      <c r="Y139" s="215">
        <f t="shared" si="17"/>
        <v>-7.4848367531294979E-3</v>
      </c>
      <c r="Z139" s="215">
        <f t="shared" si="12"/>
        <v>-4.7603414313854286E-2</v>
      </c>
      <c r="AA139" s="231">
        <v>10043348</v>
      </c>
      <c r="AC139" s="230">
        <v>43284</v>
      </c>
      <c r="AD139" s="1">
        <v>45.5</v>
      </c>
      <c r="AE139" s="1">
        <v>45.2846153846153</v>
      </c>
      <c r="AF139" s="1">
        <v>260</v>
      </c>
      <c r="AG139" s="1">
        <v>35378.6</v>
      </c>
      <c r="AH139" s="215">
        <f t="shared" si="18"/>
        <v>-7.4848367531294979E-3</v>
      </c>
      <c r="AI139" s="215">
        <f t="shared" si="13"/>
        <v>-3.1914893617021267E-2</v>
      </c>
      <c r="AJ139" s="231">
        <v>11774</v>
      </c>
      <c r="AL139" s="230">
        <v>44554</v>
      </c>
      <c r="AM139" s="1">
        <v>320.5</v>
      </c>
      <c r="AN139" s="1">
        <v>326.15287653522898</v>
      </c>
      <c r="AO139" s="1">
        <v>46410</v>
      </c>
      <c r="AP139" s="1">
        <v>57124.31</v>
      </c>
      <c r="AQ139" s="215">
        <f t="shared" si="19"/>
        <v>-5.1537576297138177E-3</v>
      </c>
      <c r="AR139" s="215">
        <f t="shared" si="14"/>
        <v>3.2868993582719774E-3</v>
      </c>
      <c r="AS139" s="231">
        <v>15136755</v>
      </c>
    </row>
    <row r="140" spans="2:45">
      <c r="B140" s="230">
        <v>43285</v>
      </c>
      <c r="C140" s="1">
        <v>275</v>
      </c>
      <c r="D140" s="1">
        <v>277.49411764705798</v>
      </c>
      <c r="E140" s="1">
        <v>340</v>
      </c>
      <c r="F140" s="215">
        <v>35645.4</v>
      </c>
      <c r="G140" s="215">
        <f t="shared" si="15"/>
        <v>1.9915923040487726E-3</v>
      </c>
      <c r="H140" s="215">
        <f t="shared" si="10"/>
        <v>3.7735849056603765E-2</v>
      </c>
      <c r="I140" s="231">
        <v>94348</v>
      </c>
      <c r="K140" s="230">
        <v>43285</v>
      </c>
      <c r="L140" s="1">
        <v>434.8</v>
      </c>
      <c r="M140" s="1">
        <v>435.00717655658099</v>
      </c>
      <c r="N140" s="1">
        <v>15049</v>
      </c>
      <c r="O140" s="1">
        <v>35645.4</v>
      </c>
      <c r="P140" s="215">
        <f t="shared" si="16"/>
        <v>1.9915923040487726E-3</v>
      </c>
      <c r="Q140" s="215">
        <f t="shared" si="11"/>
        <v>7.2975790571065957E-3</v>
      </c>
      <c r="R140" s="231">
        <v>6546423</v>
      </c>
      <c r="T140" s="230">
        <v>43285</v>
      </c>
      <c r="U140" s="1">
        <v>152.30000000000001</v>
      </c>
      <c r="V140" s="1">
        <v>148.47847703046199</v>
      </c>
      <c r="W140" s="1">
        <v>213609</v>
      </c>
      <c r="X140" s="1">
        <v>35645.4</v>
      </c>
      <c r="Y140" s="215">
        <f t="shared" si="17"/>
        <v>1.9915923040487726E-3</v>
      </c>
      <c r="Z140" s="215">
        <f t="shared" si="12"/>
        <v>-4.1535556954059083E-2</v>
      </c>
      <c r="AA140" s="231">
        <v>31716339</v>
      </c>
      <c r="AC140" s="230">
        <v>43285</v>
      </c>
      <c r="AD140" s="1">
        <v>47</v>
      </c>
      <c r="AE140" s="1">
        <v>45.6182995951417</v>
      </c>
      <c r="AF140" s="1">
        <v>6175</v>
      </c>
      <c r="AG140" s="1">
        <v>35645.4</v>
      </c>
      <c r="AH140" s="215">
        <f t="shared" si="18"/>
        <v>1.9915923040487726E-3</v>
      </c>
      <c r="AI140" s="215">
        <f t="shared" si="13"/>
        <v>9.6670247046186653E-3</v>
      </c>
      <c r="AJ140" s="231">
        <v>281693</v>
      </c>
      <c r="AL140" s="230">
        <v>44557</v>
      </c>
      <c r="AM140" s="1">
        <v>319.45</v>
      </c>
      <c r="AN140" s="1">
        <v>319.55964687240601</v>
      </c>
      <c r="AO140" s="1">
        <v>13253</v>
      </c>
      <c r="AP140" s="1">
        <v>57420.24</v>
      </c>
      <c r="AQ140" s="215">
        <f t="shared" si="19"/>
        <v>-8.2428458026153617E-3</v>
      </c>
      <c r="AR140" s="215">
        <f t="shared" si="14"/>
        <v>-7.271407837445576E-2</v>
      </c>
      <c r="AS140" s="231">
        <v>4235124</v>
      </c>
    </row>
    <row r="141" spans="2:45">
      <c r="B141" s="230">
        <v>43286</v>
      </c>
      <c r="C141" s="1">
        <v>265</v>
      </c>
      <c r="D141" s="1">
        <v>264.37327677624597</v>
      </c>
      <c r="E141" s="1">
        <v>943</v>
      </c>
      <c r="F141" s="215">
        <v>35574.550000000003</v>
      </c>
      <c r="G141" s="215">
        <f t="shared" si="15"/>
        <v>-2.3363712797122016E-3</v>
      </c>
      <c r="H141" s="215">
        <f t="shared" si="10"/>
        <v>-1.596732268845158E-2</v>
      </c>
      <c r="I141" s="231">
        <v>249304</v>
      </c>
      <c r="K141" s="230">
        <v>43286</v>
      </c>
      <c r="L141" s="1">
        <v>431.65</v>
      </c>
      <c r="M141" s="1">
        <v>438.70364891518699</v>
      </c>
      <c r="N141" s="1">
        <v>6084</v>
      </c>
      <c r="O141" s="1">
        <v>35574.550000000003</v>
      </c>
      <c r="P141" s="215">
        <f t="shared" si="16"/>
        <v>-2.3363712797122016E-3</v>
      </c>
      <c r="Q141" s="215">
        <f t="shared" si="11"/>
        <v>1.9003777148252965E-2</v>
      </c>
      <c r="R141" s="231">
        <v>2669073</v>
      </c>
      <c r="T141" s="230">
        <v>43286</v>
      </c>
      <c r="U141" s="1">
        <v>158.9</v>
      </c>
      <c r="V141" s="1">
        <v>159.20553697013901</v>
      </c>
      <c r="W141" s="1">
        <v>306991</v>
      </c>
      <c r="X141" s="1">
        <v>35574.550000000003</v>
      </c>
      <c r="Y141" s="215">
        <f t="shared" si="17"/>
        <v>-2.3363712797122016E-3</v>
      </c>
      <c r="Z141" s="215">
        <f t="shared" si="12"/>
        <v>1.3392857142857206E-2</v>
      </c>
      <c r="AA141" s="231">
        <v>48874667</v>
      </c>
      <c r="AC141" s="230">
        <v>43286</v>
      </c>
      <c r="AD141" s="1">
        <v>46.55</v>
      </c>
      <c r="AE141" s="1">
        <v>46.702673507966502</v>
      </c>
      <c r="AF141" s="1">
        <v>3703</v>
      </c>
      <c r="AG141" s="1">
        <v>35574.550000000003</v>
      </c>
      <c r="AH141" s="215">
        <f t="shared" si="18"/>
        <v>-2.3363712797122016E-3</v>
      </c>
      <c r="AI141" s="215">
        <f t="shared" si="13"/>
        <v>1.1956521739130421E-2</v>
      </c>
      <c r="AJ141" s="231">
        <v>172940</v>
      </c>
      <c r="AL141" s="230">
        <v>44558</v>
      </c>
      <c r="AM141" s="1">
        <v>344.5</v>
      </c>
      <c r="AN141" s="1">
        <v>342.22484451447002</v>
      </c>
      <c r="AO141" s="1">
        <v>120590</v>
      </c>
      <c r="AP141" s="1">
        <v>57897.48</v>
      </c>
      <c r="AQ141" s="215">
        <f t="shared" si="19"/>
        <v>1.574044713664513E-3</v>
      </c>
      <c r="AR141" s="215">
        <f t="shared" si="14"/>
        <v>2.4230712055893999E-2</v>
      </c>
      <c r="AS141" s="231">
        <v>41268894</v>
      </c>
    </row>
    <row r="142" spans="2:45">
      <c r="B142" s="230">
        <v>43287</v>
      </c>
      <c r="C142" s="1">
        <v>269.3</v>
      </c>
      <c r="D142" s="1">
        <v>266.20082037258499</v>
      </c>
      <c r="E142" s="1">
        <v>5851</v>
      </c>
      <c r="F142" s="215">
        <v>35657.86</v>
      </c>
      <c r="G142" s="215">
        <f t="shared" si="15"/>
        <v>-7.7045264301489613E-3</v>
      </c>
      <c r="H142" s="215">
        <f t="shared" ref="H142:H205" si="20">IF(ISERROR(C142/C143-1),"NA",C142/C143-1)</f>
        <v>-4.7568523430592369E-2</v>
      </c>
      <c r="I142" s="231">
        <v>1557541</v>
      </c>
      <c r="K142" s="230">
        <v>43287</v>
      </c>
      <c r="L142" s="1">
        <v>423.6</v>
      </c>
      <c r="M142" s="1">
        <v>430.487355110642</v>
      </c>
      <c r="N142" s="1">
        <v>9490</v>
      </c>
      <c r="O142" s="1">
        <v>35657.86</v>
      </c>
      <c r="P142" s="215">
        <f t="shared" si="16"/>
        <v>-7.7045264301489613E-3</v>
      </c>
      <c r="Q142" s="215">
        <f t="shared" ref="Q142:Q205" si="21">IF(ISERROR(L142/L143-1),"NA",L142/L143-1)</f>
        <v>1.4975440277944063E-2</v>
      </c>
      <c r="R142" s="231">
        <v>4085325</v>
      </c>
      <c r="T142" s="230">
        <v>43287</v>
      </c>
      <c r="U142" s="1">
        <v>156.80000000000001</v>
      </c>
      <c r="V142" s="1">
        <v>157.834777986463</v>
      </c>
      <c r="W142" s="1">
        <v>141095</v>
      </c>
      <c r="X142" s="1">
        <v>35657.86</v>
      </c>
      <c r="Y142" s="215">
        <f t="shared" si="17"/>
        <v>-7.7045264301489613E-3</v>
      </c>
      <c r="Z142" s="215">
        <f t="shared" ref="Z142:Z205" si="22">IF(ISERROR(U142/U143-1),"NA",U142/U143-1)</f>
        <v>-1.3215859030836996E-2</v>
      </c>
      <c r="AA142" s="231">
        <v>22269698</v>
      </c>
      <c r="AC142" s="230">
        <v>43287</v>
      </c>
      <c r="AD142" s="1">
        <v>46</v>
      </c>
      <c r="AE142" s="1">
        <v>46.188279978296201</v>
      </c>
      <c r="AF142" s="1">
        <v>1843</v>
      </c>
      <c r="AG142" s="1">
        <v>35657.86</v>
      </c>
      <c r="AH142" s="215">
        <f t="shared" si="18"/>
        <v>-7.7045264301489613E-3</v>
      </c>
      <c r="AI142" s="215">
        <f t="shared" ref="AI142:AI205" si="23">IF(ISERROR(AD142/AD143-1),"NA",AD142/AD143-1)</f>
        <v>-4.3659043659043717E-2</v>
      </c>
      <c r="AJ142" s="231">
        <v>85125</v>
      </c>
      <c r="AL142" s="230">
        <v>44559</v>
      </c>
      <c r="AM142" s="1">
        <v>336.35</v>
      </c>
      <c r="AN142" s="1">
        <v>340.67985304169503</v>
      </c>
      <c r="AO142" s="1">
        <v>58520</v>
      </c>
      <c r="AP142" s="1">
        <v>57806.49</v>
      </c>
      <c r="AQ142" s="215">
        <f t="shared" si="19"/>
        <v>2.1057432633520001E-4</v>
      </c>
      <c r="AR142" s="215">
        <f t="shared" ref="AR142:AR205" si="24">IF(ISERROR(AM142/AM143-1),"NA",AM142/AM143-1)</f>
        <v>-1.7238860482103657E-2</v>
      </c>
      <c r="AS142" s="231">
        <v>19936585</v>
      </c>
    </row>
    <row r="143" spans="2:45">
      <c r="B143" s="230">
        <v>43290</v>
      </c>
      <c r="C143" s="1">
        <v>282.75</v>
      </c>
      <c r="D143" s="1">
        <v>282.57825567502903</v>
      </c>
      <c r="E143" s="1">
        <v>837</v>
      </c>
      <c r="F143" s="215">
        <v>35934.720000000001</v>
      </c>
      <c r="G143" s="215">
        <f t="shared" ref="G143:G206" si="25">IF(ISERROR(F143/F144-1),"NA",F143/F144-1)</f>
        <v>-8.4134436288240133E-3</v>
      </c>
      <c r="H143" s="215">
        <f t="shared" si="20"/>
        <v>-4.7498736735725133E-2</v>
      </c>
      <c r="I143" s="231">
        <v>236518</v>
      </c>
      <c r="K143" s="230">
        <v>43290</v>
      </c>
      <c r="L143" s="1">
        <v>417.35</v>
      </c>
      <c r="M143" s="1">
        <v>415.69464628748</v>
      </c>
      <c r="N143" s="1">
        <v>11973</v>
      </c>
      <c r="O143" s="1">
        <v>35934.720000000001</v>
      </c>
      <c r="P143" s="215">
        <f t="shared" ref="P143:P206" si="26">IF(ISERROR(O143/O144-1),"NA",O143/O144-1)</f>
        <v>-8.4134436288240133E-3</v>
      </c>
      <c r="Q143" s="215">
        <f t="shared" si="21"/>
        <v>-4.7581013235965197E-2</v>
      </c>
      <c r="R143" s="231">
        <v>4977112</v>
      </c>
      <c r="T143" s="230">
        <v>43290</v>
      </c>
      <c r="U143" s="1">
        <v>158.9</v>
      </c>
      <c r="V143" s="1">
        <v>159.29566191672899</v>
      </c>
      <c r="W143" s="1">
        <v>161546</v>
      </c>
      <c r="X143" s="1">
        <v>35934.720000000001</v>
      </c>
      <c r="Y143" s="215">
        <f t="shared" ref="Y143:Y206" si="27">IF(ISERROR(X143/X144-1),"NA",X143/X144-1)</f>
        <v>-8.4134436288240133E-3</v>
      </c>
      <c r="Z143" s="215">
        <f t="shared" si="22"/>
        <v>-6.2539086929330745E-3</v>
      </c>
      <c r="AA143" s="231">
        <v>25733577</v>
      </c>
      <c r="AC143" s="230">
        <v>43290</v>
      </c>
      <c r="AD143" s="1">
        <v>48.1</v>
      </c>
      <c r="AE143" s="1">
        <v>47.562476687802999</v>
      </c>
      <c r="AF143" s="1">
        <v>2681</v>
      </c>
      <c r="AG143" s="1">
        <v>35934.720000000001</v>
      </c>
      <c r="AH143" s="215">
        <f t="shared" ref="AH143:AH206" si="28">IF(ISERROR(AG143/AG144-1),"NA",AG143/AG144-1)</f>
        <v>-8.4134436288240133E-3</v>
      </c>
      <c r="AI143" s="215">
        <f t="shared" si="23"/>
        <v>-3.1088082901553626E-3</v>
      </c>
      <c r="AJ143" s="231">
        <v>127515</v>
      </c>
      <c r="AL143" s="230">
        <v>44560</v>
      </c>
      <c r="AM143" s="1">
        <v>342.25</v>
      </c>
      <c r="AN143" s="1">
        <v>340.84104400726</v>
      </c>
      <c r="AO143" s="1">
        <v>20383</v>
      </c>
      <c r="AP143" s="1">
        <v>57794.32</v>
      </c>
      <c r="AQ143" s="215">
        <f t="shared" ref="AQ143:AQ206" si="29">IF(ISERROR(AP143/AP144-1),"NA",AP143/AP144-1)</f>
        <v>-7.8878947337702732E-3</v>
      </c>
      <c r="AR143" s="215">
        <f t="shared" si="24"/>
        <v>-2.0411138649948368E-3</v>
      </c>
      <c r="AS143" s="231">
        <v>6947363</v>
      </c>
    </row>
    <row r="144" spans="2:45">
      <c r="B144" s="230">
        <v>43291</v>
      </c>
      <c r="C144" s="1">
        <v>296.85000000000002</v>
      </c>
      <c r="D144" s="1">
        <v>296.84993359893701</v>
      </c>
      <c r="E144" s="1">
        <v>753</v>
      </c>
      <c r="F144" s="215">
        <v>36239.620000000003</v>
      </c>
      <c r="G144" s="215">
        <f t="shared" si="25"/>
        <v>-7.2547429502012317E-4</v>
      </c>
      <c r="H144" s="215">
        <f t="shared" si="20"/>
        <v>9.6938775510204689E-3</v>
      </c>
      <c r="I144" s="231">
        <v>223528</v>
      </c>
      <c r="K144" s="230">
        <v>43291</v>
      </c>
      <c r="L144" s="1">
        <v>438.2</v>
      </c>
      <c r="M144" s="1">
        <v>429.10499727986303</v>
      </c>
      <c r="N144" s="1">
        <v>12867</v>
      </c>
      <c r="O144" s="1">
        <v>36239.620000000003</v>
      </c>
      <c r="P144" s="215">
        <f t="shared" si="26"/>
        <v>-7.2547429502012317E-4</v>
      </c>
      <c r="Q144" s="215">
        <f t="shared" si="21"/>
        <v>-9.6056051531246966E-3</v>
      </c>
      <c r="R144" s="231">
        <v>5521294</v>
      </c>
      <c r="T144" s="230">
        <v>43291</v>
      </c>
      <c r="U144" s="1">
        <v>159.9</v>
      </c>
      <c r="V144" s="1">
        <v>161.68146380227</v>
      </c>
      <c r="W144" s="1">
        <v>732394</v>
      </c>
      <c r="X144" s="1">
        <v>36239.620000000003</v>
      </c>
      <c r="Y144" s="215">
        <f t="shared" si="27"/>
        <v>-7.2547429502012317E-4</v>
      </c>
      <c r="Z144" s="215">
        <f t="shared" si="22"/>
        <v>2.1725239616613434E-2</v>
      </c>
      <c r="AA144" s="231">
        <v>118414534</v>
      </c>
      <c r="AC144" s="230">
        <v>43291</v>
      </c>
      <c r="AD144" s="1">
        <v>48.25</v>
      </c>
      <c r="AE144" s="1">
        <v>48.516138165345403</v>
      </c>
      <c r="AF144" s="1">
        <v>3532</v>
      </c>
      <c r="AG144" s="1">
        <v>36239.620000000003</v>
      </c>
      <c r="AH144" s="215">
        <f t="shared" si="28"/>
        <v>-7.2547429502012317E-4</v>
      </c>
      <c r="AI144" s="215">
        <f t="shared" si="23"/>
        <v>9.4142259414227158E-3</v>
      </c>
      <c r="AJ144" s="231">
        <v>171359</v>
      </c>
      <c r="AL144" s="230">
        <v>44561</v>
      </c>
      <c r="AM144" s="1">
        <v>342.95</v>
      </c>
      <c r="AN144" s="1">
        <v>346.99331576333901</v>
      </c>
      <c r="AO144" s="1">
        <v>52362</v>
      </c>
      <c r="AP144" s="1">
        <v>58253.82</v>
      </c>
      <c r="AQ144" s="215">
        <f t="shared" si="29"/>
        <v>-1.570377549582469E-2</v>
      </c>
      <c r="AR144" s="215">
        <f t="shared" si="24"/>
        <v>1.0757441791924505E-2</v>
      </c>
      <c r="AS144" s="231">
        <v>18169264</v>
      </c>
    </row>
    <row r="145" spans="2:45">
      <c r="B145" s="230">
        <v>43292</v>
      </c>
      <c r="C145" s="1">
        <v>294</v>
      </c>
      <c r="D145" s="1">
        <v>306.21293494704901</v>
      </c>
      <c r="E145" s="1">
        <v>7932</v>
      </c>
      <c r="F145" s="215">
        <v>36265.93</v>
      </c>
      <c r="G145" s="215">
        <f t="shared" si="25"/>
        <v>-7.7289271954649186E-3</v>
      </c>
      <c r="H145" s="215">
        <f t="shared" si="20"/>
        <v>-1.4580191050779345E-2</v>
      </c>
      <c r="I145" s="231">
        <v>2428881</v>
      </c>
      <c r="K145" s="230">
        <v>43292</v>
      </c>
      <c r="L145" s="1">
        <v>442.45</v>
      </c>
      <c r="M145" s="1">
        <v>452.63846309813403</v>
      </c>
      <c r="N145" s="1">
        <v>49320</v>
      </c>
      <c r="O145" s="1">
        <v>36265.93</v>
      </c>
      <c r="P145" s="215">
        <f t="shared" si="26"/>
        <v>-7.7289271954649186E-3</v>
      </c>
      <c r="Q145" s="215">
        <f t="shared" si="21"/>
        <v>8.3181403828622713E-3</v>
      </c>
      <c r="R145" s="231">
        <v>22324129</v>
      </c>
      <c r="T145" s="230">
        <v>43292</v>
      </c>
      <c r="U145" s="1">
        <v>156.5</v>
      </c>
      <c r="V145" s="1">
        <v>158.86479813691699</v>
      </c>
      <c r="W145" s="1">
        <v>171329</v>
      </c>
      <c r="X145" s="1">
        <v>36265.93</v>
      </c>
      <c r="Y145" s="215">
        <f t="shared" si="27"/>
        <v>-7.7289271954649186E-3</v>
      </c>
      <c r="Z145" s="215">
        <f t="shared" si="22"/>
        <v>1.4257939079714843E-2</v>
      </c>
      <c r="AA145" s="231">
        <v>27218147</v>
      </c>
      <c r="AC145" s="230">
        <v>43292</v>
      </c>
      <c r="AD145" s="1">
        <v>47.8</v>
      </c>
      <c r="AE145" s="1">
        <v>47.591578947368397</v>
      </c>
      <c r="AF145" s="1">
        <v>950</v>
      </c>
      <c r="AG145" s="1">
        <v>36265.93</v>
      </c>
      <c r="AH145" s="215">
        <f t="shared" si="28"/>
        <v>-7.7289271954649186E-3</v>
      </c>
      <c r="AI145" s="215">
        <f t="shared" si="23"/>
        <v>3.9130434782608692E-2</v>
      </c>
      <c r="AJ145" s="231">
        <v>45212</v>
      </c>
      <c r="AL145" s="230">
        <v>44564</v>
      </c>
      <c r="AM145" s="1">
        <v>339.3</v>
      </c>
      <c r="AN145" s="1">
        <v>340.26954341058399</v>
      </c>
      <c r="AO145" s="1">
        <v>46256</v>
      </c>
      <c r="AP145" s="1">
        <v>59183.22</v>
      </c>
      <c r="AQ145" s="215">
        <f t="shared" si="29"/>
        <v>-1.1238819612359174E-2</v>
      </c>
      <c r="AR145" s="215">
        <f t="shared" si="24"/>
        <v>1.5108451757666508E-2</v>
      </c>
      <c r="AS145" s="231">
        <v>15739508</v>
      </c>
    </row>
    <row r="146" spans="2:45">
      <c r="B146" s="230">
        <v>43293</v>
      </c>
      <c r="C146" s="1">
        <v>298.35000000000002</v>
      </c>
      <c r="D146" s="1">
        <v>300.82216808769698</v>
      </c>
      <c r="E146" s="1">
        <v>3284</v>
      </c>
      <c r="F146" s="215">
        <v>36548.410000000003</v>
      </c>
      <c r="G146" s="215">
        <f t="shared" si="25"/>
        <v>1.8554180533292275E-4</v>
      </c>
      <c r="H146" s="215">
        <f t="shared" si="20"/>
        <v>3.882311977715891E-2</v>
      </c>
      <c r="I146" s="231">
        <v>987900</v>
      </c>
      <c r="K146" s="230">
        <v>43293</v>
      </c>
      <c r="L146" s="1">
        <v>438.8</v>
      </c>
      <c r="M146" s="1">
        <v>439.33109887478997</v>
      </c>
      <c r="N146" s="1">
        <v>4177</v>
      </c>
      <c r="O146" s="1">
        <v>36548.410000000003</v>
      </c>
      <c r="P146" s="215">
        <f t="shared" si="26"/>
        <v>1.8554180533292275E-4</v>
      </c>
      <c r="Q146" s="215">
        <f t="shared" si="21"/>
        <v>2.7875380651206427E-2</v>
      </c>
      <c r="R146" s="231">
        <v>1835086</v>
      </c>
      <c r="T146" s="230">
        <v>43293</v>
      </c>
      <c r="U146" s="1">
        <v>154.30000000000001</v>
      </c>
      <c r="V146" s="1">
        <v>154.70352925114301</v>
      </c>
      <c r="W146" s="1">
        <v>175788</v>
      </c>
      <c r="X146" s="1">
        <v>36548.410000000003</v>
      </c>
      <c r="Y146" s="215">
        <f t="shared" si="27"/>
        <v>1.8554180533292275E-4</v>
      </c>
      <c r="Z146" s="215">
        <f t="shared" si="22"/>
        <v>4.9302958177490641E-2</v>
      </c>
      <c r="AA146" s="231">
        <v>27195024</v>
      </c>
      <c r="AC146" s="230">
        <v>43293</v>
      </c>
      <c r="AD146" s="1">
        <v>46</v>
      </c>
      <c r="AE146" s="1">
        <v>45.912028975412603</v>
      </c>
      <c r="AF146" s="1">
        <v>14357</v>
      </c>
      <c r="AG146" s="1">
        <v>36548.410000000003</v>
      </c>
      <c r="AH146" s="215">
        <f t="shared" si="28"/>
        <v>1.8554180533292275E-4</v>
      </c>
      <c r="AI146" s="215">
        <f t="shared" si="23"/>
        <v>1.098901098901095E-2</v>
      </c>
      <c r="AJ146" s="231">
        <v>659159</v>
      </c>
      <c r="AL146" s="230">
        <v>44565</v>
      </c>
      <c r="AM146" s="1">
        <v>334.25</v>
      </c>
      <c r="AN146" s="1">
        <v>336.918542253792</v>
      </c>
      <c r="AO146" s="1">
        <v>51806</v>
      </c>
      <c r="AP146" s="1">
        <v>59855.93</v>
      </c>
      <c r="AQ146" s="215">
        <f t="shared" si="29"/>
        <v>-6.0976551376007437E-3</v>
      </c>
      <c r="AR146" s="215">
        <f t="shared" si="24"/>
        <v>-2.6645311589982512E-2</v>
      </c>
      <c r="AS146" s="231">
        <v>17454402</v>
      </c>
    </row>
    <row r="147" spans="2:45">
      <c r="B147" s="230">
        <v>43294</v>
      </c>
      <c r="C147" s="1">
        <v>287.2</v>
      </c>
      <c r="D147" s="1">
        <v>296.28500823723198</v>
      </c>
      <c r="E147" s="1">
        <v>4856</v>
      </c>
      <c r="F147" s="215">
        <v>36541.629999999997</v>
      </c>
      <c r="G147" s="215">
        <f t="shared" si="25"/>
        <v>5.9977254563610138E-3</v>
      </c>
      <c r="H147" s="215">
        <f t="shared" si="20"/>
        <v>4.4363636363636383E-2</v>
      </c>
      <c r="I147" s="231">
        <v>1438760</v>
      </c>
      <c r="K147" s="230">
        <v>43294</v>
      </c>
      <c r="L147" s="1">
        <v>426.9</v>
      </c>
      <c r="M147" s="1">
        <v>433.57886178861702</v>
      </c>
      <c r="N147" s="1">
        <v>1230</v>
      </c>
      <c r="O147" s="1">
        <v>36541.629999999997</v>
      </c>
      <c r="P147" s="215">
        <f t="shared" si="26"/>
        <v>5.9977254563610138E-3</v>
      </c>
      <c r="Q147" s="215">
        <f t="shared" si="21"/>
        <v>5.1089498953588608E-2</v>
      </c>
      <c r="R147" s="231">
        <v>533302</v>
      </c>
      <c r="T147" s="230">
        <v>43294</v>
      </c>
      <c r="U147" s="1">
        <v>147.05000000000001</v>
      </c>
      <c r="V147" s="1">
        <v>149.081834624854</v>
      </c>
      <c r="W147" s="1">
        <v>165309</v>
      </c>
      <c r="X147" s="1">
        <v>36541.629999999997</v>
      </c>
      <c r="Y147" s="215">
        <f t="shared" si="27"/>
        <v>5.9977254563610138E-3</v>
      </c>
      <c r="Z147" s="215">
        <f t="shared" si="22"/>
        <v>5.073240443015381E-2</v>
      </c>
      <c r="AA147" s="231">
        <v>24644569</v>
      </c>
      <c r="AC147" s="230">
        <v>43294</v>
      </c>
      <c r="AD147" s="1">
        <v>45.5</v>
      </c>
      <c r="AE147" s="1">
        <v>45.422239263803597</v>
      </c>
      <c r="AF147" s="1">
        <v>6520</v>
      </c>
      <c r="AG147" s="1">
        <v>36541.629999999997</v>
      </c>
      <c r="AH147" s="215">
        <f t="shared" si="28"/>
        <v>5.9977254563610138E-3</v>
      </c>
      <c r="AI147" s="215">
        <f t="shared" si="23"/>
        <v>4.5977011494252817E-2</v>
      </c>
      <c r="AJ147" s="231">
        <v>296153</v>
      </c>
      <c r="AL147" s="230">
        <v>44566</v>
      </c>
      <c r="AM147" s="1">
        <v>343.4</v>
      </c>
      <c r="AN147" s="1">
        <v>340.738559237944</v>
      </c>
      <c r="AO147" s="1">
        <v>50390</v>
      </c>
      <c r="AP147" s="1">
        <v>60223.15</v>
      </c>
      <c r="AQ147" s="215">
        <f t="shared" si="29"/>
        <v>1.0424342604188119E-2</v>
      </c>
      <c r="AR147" s="215">
        <f t="shared" si="24"/>
        <v>-3.0483379300334512E-3</v>
      </c>
      <c r="AS147" s="231">
        <v>17169816</v>
      </c>
    </row>
    <row r="148" spans="2:45">
      <c r="B148" s="230">
        <v>43297</v>
      </c>
      <c r="C148" s="1">
        <v>275</v>
      </c>
      <c r="D148" s="1">
        <v>293.20563490510602</v>
      </c>
      <c r="E148" s="1">
        <v>5111</v>
      </c>
      <c r="F148" s="215">
        <v>36323.769999999997</v>
      </c>
      <c r="G148" s="215">
        <f t="shared" si="25"/>
        <v>-5.3721307471312763E-3</v>
      </c>
      <c r="H148" s="215">
        <f t="shared" si="20"/>
        <v>3.7735849056603765E-2</v>
      </c>
      <c r="I148" s="231">
        <v>1498574</v>
      </c>
      <c r="K148" s="230">
        <v>43297</v>
      </c>
      <c r="L148" s="1">
        <v>406.15</v>
      </c>
      <c r="M148" s="1">
        <v>409.03872310895201</v>
      </c>
      <c r="N148" s="1">
        <v>7205</v>
      </c>
      <c r="O148" s="1">
        <v>36323.769999999997</v>
      </c>
      <c r="P148" s="215">
        <f t="shared" si="26"/>
        <v>-5.3721307471312763E-3</v>
      </c>
      <c r="Q148" s="215">
        <f t="shared" si="21"/>
        <v>2.0972119417714818E-3</v>
      </c>
      <c r="R148" s="231">
        <v>2947124</v>
      </c>
      <c r="T148" s="230">
        <v>43297</v>
      </c>
      <c r="U148" s="1">
        <v>139.94999999999999</v>
      </c>
      <c r="V148" s="1">
        <v>142.04230240670901</v>
      </c>
      <c r="W148" s="1">
        <v>227032</v>
      </c>
      <c r="X148" s="1">
        <v>36323.769999999997</v>
      </c>
      <c r="Y148" s="215">
        <f t="shared" si="27"/>
        <v>-5.3721307471312763E-3</v>
      </c>
      <c r="Z148" s="215">
        <f t="shared" si="22"/>
        <v>1.266280752532567E-2</v>
      </c>
      <c r="AA148" s="231">
        <v>32248148</v>
      </c>
      <c r="AC148" s="230">
        <v>43297</v>
      </c>
      <c r="AD148" s="1">
        <v>43.5</v>
      </c>
      <c r="AE148" s="1">
        <v>43.4557786218122</v>
      </c>
      <c r="AF148" s="1">
        <v>1843</v>
      </c>
      <c r="AG148" s="1">
        <v>36323.769999999997</v>
      </c>
      <c r="AH148" s="215">
        <f t="shared" si="28"/>
        <v>-5.3721307471312763E-3</v>
      </c>
      <c r="AI148" s="215">
        <f t="shared" si="23"/>
        <v>1.2805587892898762E-2</v>
      </c>
      <c r="AJ148" s="231">
        <v>80089</v>
      </c>
      <c r="AL148" s="230">
        <v>44567</v>
      </c>
      <c r="AM148" s="1">
        <v>344.45</v>
      </c>
      <c r="AN148" s="1">
        <v>343.75085051669799</v>
      </c>
      <c r="AO148" s="1">
        <v>62609</v>
      </c>
      <c r="AP148" s="1">
        <v>59601.84</v>
      </c>
      <c r="AQ148" s="215">
        <f t="shared" si="29"/>
        <v>-2.3903395534161653E-3</v>
      </c>
      <c r="AR148" s="215">
        <f t="shared" si="24"/>
        <v>-1.7541357672561375E-2</v>
      </c>
      <c r="AS148" s="231">
        <v>21521897</v>
      </c>
    </row>
    <row r="149" spans="2:45">
      <c r="B149" s="230">
        <v>43298</v>
      </c>
      <c r="C149" s="1">
        <v>265</v>
      </c>
      <c r="D149" s="1">
        <v>277.67511520737298</v>
      </c>
      <c r="E149" s="1">
        <v>5208</v>
      </c>
      <c r="F149" s="215">
        <v>36519.96</v>
      </c>
      <c r="G149" s="215">
        <f t="shared" si="25"/>
        <v>4.0282139935072792E-3</v>
      </c>
      <c r="H149" s="215">
        <f t="shared" si="20"/>
        <v>1.8251681075888593E-2</v>
      </c>
      <c r="I149" s="231">
        <v>1446132</v>
      </c>
      <c r="K149" s="230">
        <v>43298</v>
      </c>
      <c r="L149" s="1">
        <v>405.3</v>
      </c>
      <c r="M149" s="1">
        <v>407.91754756871001</v>
      </c>
      <c r="N149" s="1">
        <v>1419</v>
      </c>
      <c r="O149" s="1">
        <v>36519.96</v>
      </c>
      <c r="P149" s="215">
        <f t="shared" si="26"/>
        <v>4.0282139935072792E-3</v>
      </c>
      <c r="Q149" s="215">
        <f t="shared" si="21"/>
        <v>2.8419182948490107E-2</v>
      </c>
      <c r="R149" s="231">
        <v>578835</v>
      </c>
      <c r="T149" s="230">
        <v>43298</v>
      </c>
      <c r="U149" s="1">
        <v>138.19999999999999</v>
      </c>
      <c r="V149" s="1">
        <v>139.053399233031</v>
      </c>
      <c r="W149" s="1">
        <v>107436</v>
      </c>
      <c r="X149" s="1">
        <v>36519.96</v>
      </c>
      <c r="Y149" s="215">
        <f t="shared" si="27"/>
        <v>4.0282139935072792E-3</v>
      </c>
      <c r="Z149" s="215">
        <f t="shared" si="22"/>
        <v>5.2150742291587227E-2</v>
      </c>
      <c r="AA149" s="231">
        <v>14939341</v>
      </c>
      <c r="AC149" s="230">
        <v>43298</v>
      </c>
      <c r="AD149" s="1">
        <v>42.95</v>
      </c>
      <c r="AE149" s="1">
        <v>43.450985837267403</v>
      </c>
      <c r="AF149" s="1">
        <v>3601</v>
      </c>
      <c r="AG149" s="1">
        <v>36519.96</v>
      </c>
      <c r="AH149" s="215">
        <f t="shared" si="28"/>
        <v>4.0282139935072792E-3</v>
      </c>
      <c r="AI149" s="215">
        <f t="shared" si="23"/>
        <v>4.628501827040199E-2</v>
      </c>
      <c r="AJ149" s="231">
        <v>156467</v>
      </c>
      <c r="AL149" s="230">
        <v>44568</v>
      </c>
      <c r="AM149" s="1">
        <v>350.6</v>
      </c>
      <c r="AN149" s="1">
        <v>351.46774826909098</v>
      </c>
      <c r="AO149" s="1">
        <v>48385</v>
      </c>
      <c r="AP149" s="1">
        <v>59744.65</v>
      </c>
      <c r="AQ149" s="215">
        <f t="shared" si="29"/>
        <v>-1.0778594411549269E-2</v>
      </c>
      <c r="AR149" s="215">
        <f t="shared" si="24"/>
        <v>2.7170027170029254E-3</v>
      </c>
      <c r="AS149" s="231">
        <v>17005767</v>
      </c>
    </row>
    <row r="150" spans="2:45">
      <c r="B150" s="230">
        <v>43299</v>
      </c>
      <c r="C150" s="1">
        <v>260.25</v>
      </c>
      <c r="D150" s="1">
        <v>260.85071090047302</v>
      </c>
      <c r="E150" s="1">
        <v>1266</v>
      </c>
      <c r="F150" s="215">
        <v>36373.440000000002</v>
      </c>
      <c r="G150" s="215">
        <f t="shared" si="25"/>
        <v>6.1098345227938999E-4</v>
      </c>
      <c r="H150" s="215">
        <f t="shared" si="20"/>
        <v>-2.5463396367721436E-2</v>
      </c>
      <c r="I150" s="231">
        <v>330237</v>
      </c>
      <c r="K150" s="230">
        <v>43299</v>
      </c>
      <c r="L150" s="1">
        <v>394.1</v>
      </c>
      <c r="M150" s="1">
        <v>405.734766569138</v>
      </c>
      <c r="N150" s="1">
        <v>7861</v>
      </c>
      <c r="O150" s="1">
        <v>36373.440000000002</v>
      </c>
      <c r="P150" s="215">
        <f t="shared" si="26"/>
        <v>6.1098345227938999E-4</v>
      </c>
      <c r="Q150" s="215">
        <f t="shared" si="21"/>
        <v>5.0933333333333497E-2</v>
      </c>
      <c r="R150" s="231">
        <v>3189481</v>
      </c>
      <c r="T150" s="230">
        <v>43299</v>
      </c>
      <c r="U150" s="1">
        <v>131.35</v>
      </c>
      <c r="V150" s="1">
        <v>134.63833274978501</v>
      </c>
      <c r="W150" s="1">
        <v>125668</v>
      </c>
      <c r="X150" s="1">
        <v>36373.440000000002</v>
      </c>
      <c r="Y150" s="215">
        <f t="shared" si="27"/>
        <v>6.1098345227938999E-4</v>
      </c>
      <c r="Z150" s="215">
        <f t="shared" si="22"/>
        <v>5.2483974358974228E-2</v>
      </c>
      <c r="AA150" s="231">
        <v>16919730</v>
      </c>
      <c r="AC150" s="230">
        <v>43299</v>
      </c>
      <c r="AD150" s="1">
        <v>41.05</v>
      </c>
      <c r="AE150" s="1">
        <v>41.811224074827102</v>
      </c>
      <c r="AF150" s="1">
        <v>12295</v>
      </c>
      <c r="AG150" s="1">
        <v>36373.440000000002</v>
      </c>
      <c r="AH150" s="215">
        <f t="shared" si="28"/>
        <v>6.1098345227938999E-4</v>
      </c>
      <c r="AI150" s="215">
        <f t="shared" si="23"/>
        <v>-6.0532687651331241E-3</v>
      </c>
      <c r="AJ150" s="231">
        <v>514069</v>
      </c>
      <c r="AL150" s="230">
        <v>44571</v>
      </c>
      <c r="AM150" s="1">
        <v>349.65</v>
      </c>
      <c r="AN150" s="1">
        <v>352.09066513321801</v>
      </c>
      <c r="AO150" s="1">
        <v>26085</v>
      </c>
      <c r="AP150" s="1">
        <v>60395.63</v>
      </c>
      <c r="AQ150" s="215">
        <f t="shared" si="29"/>
        <v>-3.6501377751316788E-3</v>
      </c>
      <c r="AR150" s="215">
        <f t="shared" si="24"/>
        <v>-3.4202650705430493E-3</v>
      </c>
      <c r="AS150" s="231">
        <v>9184285</v>
      </c>
    </row>
    <row r="151" spans="2:45">
      <c r="B151" s="230">
        <v>43300</v>
      </c>
      <c r="C151" s="1">
        <v>267.05</v>
      </c>
      <c r="D151" s="1">
        <v>268.83645655877302</v>
      </c>
      <c r="E151" s="1">
        <v>1174</v>
      </c>
      <c r="F151" s="215">
        <v>36351.230000000003</v>
      </c>
      <c r="G151" s="215">
        <f t="shared" si="25"/>
        <v>-3.9768338604633247E-3</v>
      </c>
      <c r="H151" s="215">
        <f t="shared" si="20"/>
        <v>7.7358490566037386E-3</v>
      </c>
      <c r="I151" s="231">
        <v>315614</v>
      </c>
      <c r="K151" s="230">
        <v>43300</v>
      </c>
      <c r="L151" s="1">
        <v>375</v>
      </c>
      <c r="M151" s="1">
        <v>379.08100955331702</v>
      </c>
      <c r="N151" s="1">
        <v>15492</v>
      </c>
      <c r="O151" s="1">
        <v>36351.230000000003</v>
      </c>
      <c r="P151" s="215">
        <f t="shared" si="26"/>
        <v>-3.9768338604633247E-3</v>
      </c>
      <c r="Q151" s="215">
        <f t="shared" si="21"/>
        <v>1.7501017501017513E-2</v>
      </c>
      <c r="R151" s="231">
        <v>5872723</v>
      </c>
      <c r="T151" s="230">
        <v>43300</v>
      </c>
      <c r="U151" s="1">
        <v>124.8</v>
      </c>
      <c r="V151" s="1">
        <v>124.8</v>
      </c>
      <c r="W151" s="1">
        <v>14880</v>
      </c>
      <c r="X151" s="1">
        <v>36351.230000000003</v>
      </c>
      <c r="Y151" s="215">
        <f t="shared" si="27"/>
        <v>-3.9768338604633247E-3</v>
      </c>
      <c r="Z151" s="215">
        <f t="shared" si="22"/>
        <v>5.227655986509272E-2</v>
      </c>
      <c r="AA151" s="231">
        <v>1857024</v>
      </c>
      <c r="AC151" s="230">
        <v>43300</v>
      </c>
      <c r="AD151" s="1">
        <v>41.3</v>
      </c>
      <c r="AE151" s="1">
        <v>40.400130264871898</v>
      </c>
      <c r="AF151" s="1">
        <v>9212</v>
      </c>
      <c r="AG151" s="1">
        <v>36351.230000000003</v>
      </c>
      <c r="AH151" s="215">
        <f t="shared" si="28"/>
        <v>-3.9768338604633247E-3</v>
      </c>
      <c r="AI151" s="215">
        <f t="shared" si="23"/>
        <v>1.9753086419753041E-2</v>
      </c>
      <c r="AJ151" s="231">
        <v>372166</v>
      </c>
      <c r="AL151" s="230">
        <v>44572</v>
      </c>
      <c r="AM151" s="1">
        <v>350.85</v>
      </c>
      <c r="AN151" s="1">
        <v>348.016550034989</v>
      </c>
      <c r="AO151" s="1">
        <v>28580</v>
      </c>
      <c r="AP151" s="1">
        <v>60616.89</v>
      </c>
      <c r="AQ151" s="215">
        <f t="shared" si="29"/>
        <v>-8.7187187449100367E-3</v>
      </c>
      <c r="AR151" s="215">
        <f t="shared" si="24"/>
        <v>1.3431542461005197E-2</v>
      </c>
      <c r="AS151" s="231">
        <v>9946313</v>
      </c>
    </row>
    <row r="152" spans="2:45">
      <c r="B152" s="230">
        <v>43301</v>
      </c>
      <c r="C152" s="1">
        <v>265</v>
      </c>
      <c r="D152" s="1">
        <v>263.54386603567502</v>
      </c>
      <c r="E152" s="1">
        <v>5494</v>
      </c>
      <c r="F152" s="215">
        <v>36496.370000000003</v>
      </c>
      <c r="G152" s="215">
        <f t="shared" si="25"/>
        <v>-6.0522460006644518E-3</v>
      </c>
      <c r="H152" s="215">
        <f t="shared" si="20"/>
        <v>-1.742677048572483E-2</v>
      </c>
      <c r="I152" s="231">
        <v>1447910</v>
      </c>
      <c r="K152" s="230">
        <v>43301</v>
      </c>
      <c r="L152" s="1">
        <v>368.55</v>
      </c>
      <c r="M152" s="1">
        <v>369.57567140600298</v>
      </c>
      <c r="N152" s="1">
        <v>6330</v>
      </c>
      <c r="O152" s="1">
        <v>36496.370000000003</v>
      </c>
      <c r="P152" s="215">
        <f t="shared" si="26"/>
        <v>-6.0522460006644518E-3</v>
      </c>
      <c r="Q152" s="215">
        <f t="shared" si="21"/>
        <v>-3.4071550255536653E-2</v>
      </c>
      <c r="R152" s="231">
        <v>2339414</v>
      </c>
      <c r="T152" s="230">
        <v>43301</v>
      </c>
      <c r="U152" s="1">
        <v>118.6</v>
      </c>
      <c r="V152" s="1">
        <v>118.59995884350199</v>
      </c>
      <c r="W152" s="1">
        <v>9719</v>
      </c>
      <c r="X152" s="1">
        <v>36496.370000000003</v>
      </c>
      <c r="Y152" s="215">
        <f t="shared" si="27"/>
        <v>-6.0522460006644518E-3</v>
      </c>
      <c r="Z152" s="215">
        <f t="shared" si="22"/>
        <v>1.3242204186245221E-2</v>
      </c>
      <c r="AA152" s="231">
        <v>1152673</v>
      </c>
      <c r="AC152" s="230">
        <v>43301</v>
      </c>
      <c r="AD152" s="1">
        <v>40.5</v>
      </c>
      <c r="AE152" s="1">
        <v>40.482758620689602</v>
      </c>
      <c r="AF152" s="1">
        <v>29</v>
      </c>
      <c r="AG152" s="1">
        <v>36496.370000000003</v>
      </c>
      <c r="AH152" s="215">
        <f t="shared" si="28"/>
        <v>-6.0522460006644518E-3</v>
      </c>
      <c r="AI152" s="215">
        <f t="shared" si="23"/>
        <v>-5.1522248243559776E-2</v>
      </c>
      <c r="AJ152" s="231">
        <v>1174</v>
      </c>
      <c r="AL152" s="230">
        <v>44573</v>
      </c>
      <c r="AM152" s="1">
        <v>346.2</v>
      </c>
      <c r="AN152" s="1">
        <v>349.11925318368202</v>
      </c>
      <c r="AO152" s="1">
        <v>37064</v>
      </c>
      <c r="AP152" s="1">
        <v>61150.04</v>
      </c>
      <c r="AQ152" s="215">
        <f t="shared" si="29"/>
        <v>-1.3923341601984607E-3</v>
      </c>
      <c r="AR152" s="215">
        <f t="shared" si="24"/>
        <v>-1.5778251599147142E-2</v>
      </c>
      <c r="AS152" s="231">
        <v>12939756</v>
      </c>
    </row>
    <row r="153" spans="2:45">
      <c r="B153" s="230">
        <v>43304</v>
      </c>
      <c r="C153" s="1">
        <v>269.7</v>
      </c>
      <c r="D153" s="1">
        <v>269.95061728395001</v>
      </c>
      <c r="E153" s="1">
        <v>81</v>
      </c>
      <c r="F153" s="215">
        <v>36718.6</v>
      </c>
      <c r="G153" s="215">
        <f t="shared" si="25"/>
        <v>-2.8920491729825804E-3</v>
      </c>
      <c r="H153" s="215">
        <f t="shared" si="20"/>
        <v>-1.0093595155074353E-2</v>
      </c>
      <c r="I153" s="231">
        <v>21866</v>
      </c>
      <c r="K153" s="230">
        <v>43304</v>
      </c>
      <c r="L153" s="1">
        <v>381.55</v>
      </c>
      <c r="M153" s="1">
        <v>376.04950819672098</v>
      </c>
      <c r="N153" s="1">
        <v>6100</v>
      </c>
      <c r="O153" s="1">
        <v>36718.6</v>
      </c>
      <c r="P153" s="215">
        <f t="shared" si="26"/>
        <v>-2.8920491729825804E-3</v>
      </c>
      <c r="Q153" s="215">
        <f t="shared" si="21"/>
        <v>-4.7553669495756345E-2</v>
      </c>
      <c r="R153" s="231">
        <v>2293902</v>
      </c>
      <c r="T153" s="230">
        <v>43304</v>
      </c>
      <c r="U153" s="1">
        <v>117.05</v>
      </c>
      <c r="V153" s="1">
        <v>115.13863422696799</v>
      </c>
      <c r="W153" s="1">
        <v>492483</v>
      </c>
      <c r="X153" s="1">
        <v>36718.6</v>
      </c>
      <c r="Y153" s="215">
        <f t="shared" si="27"/>
        <v>-2.8920491729825804E-3</v>
      </c>
      <c r="Z153" s="215">
        <f t="shared" si="22"/>
        <v>-4.7599674532139979E-2</v>
      </c>
      <c r="AA153" s="231">
        <v>56703820</v>
      </c>
      <c r="AC153" s="230">
        <v>43304</v>
      </c>
      <c r="AD153" s="1">
        <v>42.7</v>
      </c>
      <c r="AE153" s="1">
        <v>41.805044308111697</v>
      </c>
      <c r="AF153" s="1">
        <v>2934</v>
      </c>
      <c r="AG153" s="1">
        <v>36718.6</v>
      </c>
      <c r="AH153" s="215">
        <f t="shared" si="28"/>
        <v>-2.8920491729825804E-3</v>
      </c>
      <c r="AI153" s="215">
        <f t="shared" si="23"/>
        <v>1.1723329425556983E-3</v>
      </c>
      <c r="AJ153" s="231">
        <v>122656</v>
      </c>
      <c r="AL153" s="230">
        <v>44574</v>
      </c>
      <c r="AM153" s="1">
        <v>351.75</v>
      </c>
      <c r="AN153" s="1">
        <v>349.74581280788101</v>
      </c>
      <c r="AO153" s="1">
        <v>28420</v>
      </c>
      <c r="AP153" s="1">
        <v>61235.3</v>
      </c>
      <c r="AQ153" s="215">
        <f t="shared" si="29"/>
        <v>2.0041477855636813E-4</v>
      </c>
      <c r="AR153" s="215">
        <f t="shared" si="24"/>
        <v>4.1393091635739676E-3</v>
      </c>
      <c r="AS153" s="231">
        <v>9939776</v>
      </c>
    </row>
    <row r="154" spans="2:45">
      <c r="B154" s="230">
        <v>43305</v>
      </c>
      <c r="C154" s="1">
        <v>272.45</v>
      </c>
      <c r="D154" s="1">
        <v>277.907860097781</v>
      </c>
      <c r="E154" s="1">
        <v>2659</v>
      </c>
      <c r="F154" s="215">
        <v>36825.1</v>
      </c>
      <c r="G154" s="215">
        <f t="shared" si="25"/>
        <v>-8.9884945641727221E-4</v>
      </c>
      <c r="H154" s="215">
        <f t="shared" si="20"/>
        <v>-4.3699543699543653E-2</v>
      </c>
      <c r="I154" s="231">
        <v>738957</v>
      </c>
      <c r="K154" s="230">
        <v>43305</v>
      </c>
      <c r="L154" s="1">
        <v>400.6</v>
      </c>
      <c r="M154" s="1">
        <v>398.85502645502601</v>
      </c>
      <c r="N154" s="1">
        <v>1890</v>
      </c>
      <c r="O154" s="1">
        <v>36825.1</v>
      </c>
      <c r="P154" s="215">
        <f t="shared" si="26"/>
        <v>-8.9884945641727221E-4</v>
      </c>
      <c r="Q154" s="215">
        <f t="shared" si="21"/>
        <v>-4.7551117451260061E-2</v>
      </c>
      <c r="R154" s="231">
        <v>753836</v>
      </c>
      <c r="T154" s="230">
        <v>43305</v>
      </c>
      <c r="U154" s="1">
        <v>122.9</v>
      </c>
      <c r="V154" s="1">
        <v>122.474455800661</v>
      </c>
      <c r="W154" s="1">
        <v>137174</v>
      </c>
      <c r="X154" s="1">
        <v>36825.1</v>
      </c>
      <c r="Y154" s="215">
        <f t="shared" si="27"/>
        <v>-8.9884945641727221E-4</v>
      </c>
      <c r="Z154" s="215">
        <f t="shared" si="22"/>
        <v>-4.7286821705426307E-2</v>
      </c>
      <c r="AA154" s="231">
        <v>16800311</v>
      </c>
      <c r="AC154" s="230">
        <v>43305</v>
      </c>
      <c r="AD154" s="1">
        <v>42.65</v>
      </c>
      <c r="AE154" s="1">
        <v>42.628571428571398</v>
      </c>
      <c r="AF154" s="1">
        <v>700</v>
      </c>
      <c r="AG154" s="1">
        <v>36825.1</v>
      </c>
      <c r="AH154" s="215">
        <f t="shared" si="28"/>
        <v>-8.9884945641727221E-4</v>
      </c>
      <c r="AI154" s="215">
        <f t="shared" si="23"/>
        <v>-8.1395348837209891E-3</v>
      </c>
      <c r="AJ154" s="231">
        <v>29840</v>
      </c>
      <c r="AL154" s="230">
        <v>44575</v>
      </c>
      <c r="AM154" s="1">
        <v>350.3</v>
      </c>
      <c r="AN154" s="1">
        <v>352.12084356426499</v>
      </c>
      <c r="AO154" s="1">
        <v>43577</v>
      </c>
      <c r="AP154" s="1">
        <v>61223.03</v>
      </c>
      <c r="AQ154" s="215">
        <f t="shared" si="29"/>
        <v>-1.4007751891201847E-3</v>
      </c>
      <c r="AR154" s="215">
        <f t="shared" si="24"/>
        <v>-8.351026185421051E-3</v>
      </c>
      <c r="AS154" s="231">
        <v>15344370</v>
      </c>
    </row>
    <row r="155" spans="2:45">
      <c r="B155" s="230">
        <v>43306</v>
      </c>
      <c r="C155" s="1">
        <v>284.89999999999998</v>
      </c>
      <c r="D155" s="1">
        <v>283.58961248654401</v>
      </c>
      <c r="E155" s="1">
        <v>3716</v>
      </c>
      <c r="F155" s="215">
        <v>36858.230000000003</v>
      </c>
      <c r="G155" s="215">
        <f t="shared" si="25"/>
        <v>-3.4179053790978076E-3</v>
      </c>
      <c r="H155" s="215">
        <f t="shared" si="20"/>
        <v>-1.6908212560386549E-2</v>
      </c>
      <c r="I155" s="231">
        <v>1053819</v>
      </c>
      <c r="K155" s="230">
        <v>43306</v>
      </c>
      <c r="L155" s="1">
        <v>420.6</v>
      </c>
      <c r="M155" s="1">
        <v>420.59994146912402</v>
      </c>
      <c r="N155" s="1">
        <v>3417</v>
      </c>
      <c r="O155" s="1">
        <v>36858.230000000003</v>
      </c>
      <c r="P155" s="215">
        <f t="shared" si="26"/>
        <v>-3.4179053790978076E-3</v>
      </c>
      <c r="Q155" s="215">
        <f t="shared" si="21"/>
        <v>-4.1476754785779391E-2</v>
      </c>
      <c r="R155" s="231">
        <v>1437190</v>
      </c>
      <c r="T155" s="230">
        <v>43306</v>
      </c>
      <c r="U155" s="1">
        <v>129</v>
      </c>
      <c r="V155" s="1">
        <v>127.882850114923</v>
      </c>
      <c r="W155" s="1">
        <v>123995</v>
      </c>
      <c r="X155" s="1">
        <v>36858.230000000003</v>
      </c>
      <c r="Y155" s="215">
        <f t="shared" si="27"/>
        <v>-3.4179053790978076E-3</v>
      </c>
      <c r="Z155" s="215">
        <f t="shared" si="22"/>
        <v>-4.7619047619047561E-2</v>
      </c>
      <c r="AA155" s="231">
        <v>15856834</v>
      </c>
      <c r="AC155" s="230">
        <v>43306</v>
      </c>
      <c r="AD155" s="1">
        <v>43</v>
      </c>
      <c r="AE155" s="1">
        <v>42.1477124183006</v>
      </c>
      <c r="AF155" s="1">
        <v>3825</v>
      </c>
      <c r="AG155" s="1">
        <v>36858.230000000003</v>
      </c>
      <c r="AH155" s="215">
        <f t="shared" si="28"/>
        <v>-3.4179053790978076E-3</v>
      </c>
      <c r="AI155" s="215">
        <f t="shared" si="23"/>
        <v>5.8479532163742132E-3</v>
      </c>
      <c r="AJ155" s="231">
        <v>161215</v>
      </c>
      <c r="AL155" s="230">
        <v>44578</v>
      </c>
      <c r="AM155" s="1">
        <v>353.25</v>
      </c>
      <c r="AN155" s="1">
        <v>351.30907929645201</v>
      </c>
      <c r="AO155" s="1">
        <v>20354</v>
      </c>
      <c r="AP155" s="1">
        <v>61308.91</v>
      </c>
      <c r="AQ155" s="215">
        <f t="shared" si="29"/>
        <v>9.1194350542491698E-3</v>
      </c>
      <c r="AR155" s="215">
        <f t="shared" si="24"/>
        <v>7.7021822849807631E-3</v>
      </c>
      <c r="AS155" s="231">
        <v>7150545</v>
      </c>
    </row>
    <row r="156" spans="2:45">
      <c r="B156" s="230">
        <v>43307</v>
      </c>
      <c r="C156" s="1">
        <v>289.8</v>
      </c>
      <c r="D156" s="1">
        <v>293.41317188422897</v>
      </c>
      <c r="E156" s="1">
        <v>3386</v>
      </c>
      <c r="F156" s="215">
        <v>36984.639999999999</v>
      </c>
      <c r="G156" s="215">
        <f t="shared" si="25"/>
        <v>-9.433307844662786E-3</v>
      </c>
      <c r="H156" s="215">
        <f t="shared" si="20"/>
        <v>-1.7960013554727206E-2</v>
      </c>
      <c r="I156" s="231">
        <v>993497</v>
      </c>
      <c r="K156" s="230">
        <v>43307</v>
      </c>
      <c r="L156" s="1">
        <v>438.8</v>
      </c>
      <c r="M156" s="1">
        <v>429.91082045184299</v>
      </c>
      <c r="N156" s="1">
        <v>25230</v>
      </c>
      <c r="O156" s="1">
        <v>36984.639999999999</v>
      </c>
      <c r="P156" s="215">
        <f t="shared" si="26"/>
        <v>-9.433307844662786E-3</v>
      </c>
      <c r="Q156" s="215">
        <f t="shared" si="21"/>
        <v>8.619698885185656E-3</v>
      </c>
      <c r="R156" s="231">
        <v>10846650</v>
      </c>
      <c r="T156" s="230">
        <v>43307</v>
      </c>
      <c r="U156" s="1">
        <v>135.44999999999999</v>
      </c>
      <c r="V156" s="1">
        <v>134.83773143403701</v>
      </c>
      <c r="W156" s="1">
        <v>117096</v>
      </c>
      <c r="X156" s="1">
        <v>36984.639999999999</v>
      </c>
      <c r="Y156" s="215">
        <f t="shared" si="27"/>
        <v>-9.433307844662786E-3</v>
      </c>
      <c r="Z156" s="215">
        <f t="shared" si="22"/>
        <v>-5.8715596330276565E-3</v>
      </c>
      <c r="AA156" s="231">
        <v>15788959</v>
      </c>
      <c r="AC156" s="230">
        <v>43307</v>
      </c>
      <c r="AD156" s="1">
        <v>42.75</v>
      </c>
      <c r="AE156" s="1">
        <v>42.860638297872299</v>
      </c>
      <c r="AF156" s="1">
        <v>4700</v>
      </c>
      <c r="AG156" s="1">
        <v>36984.639999999999</v>
      </c>
      <c r="AH156" s="215">
        <f t="shared" si="28"/>
        <v>-9.433307844662786E-3</v>
      </c>
      <c r="AI156" s="215">
        <f t="shared" si="23"/>
        <v>-1.1560693641618491E-2</v>
      </c>
      <c r="AJ156" s="231">
        <v>201445</v>
      </c>
      <c r="AL156" s="230">
        <v>44579</v>
      </c>
      <c r="AM156" s="1">
        <v>350.55</v>
      </c>
      <c r="AN156" s="1">
        <v>353.26007734642201</v>
      </c>
      <c r="AO156" s="1">
        <v>26892</v>
      </c>
      <c r="AP156" s="1">
        <v>60754.86</v>
      </c>
      <c r="AQ156" s="215">
        <f t="shared" si="29"/>
        <v>1.0916021312897595E-2</v>
      </c>
      <c r="AR156" s="215">
        <f t="shared" si="24"/>
        <v>8.9221470715210582E-3</v>
      </c>
      <c r="AS156" s="231">
        <v>9499870</v>
      </c>
    </row>
    <row r="157" spans="2:45">
      <c r="B157" s="230">
        <v>43308</v>
      </c>
      <c r="C157" s="1">
        <v>295.10000000000002</v>
      </c>
      <c r="D157" s="1">
        <v>291.010666666666</v>
      </c>
      <c r="E157" s="1">
        <v>5625</v>
      </c>
      <c r="F157" s="215">
        <v>37336.85</v>
      </c>
      <c r="G157" s="215">
        <f t="shared" si="25"/>
        <v>-4.2019608261500974E-3</v>
      </c>
      <c r="H157" s="215">
        <f t="shared" si="20"/>
        <v>-6.3973063973062905E-3</v>
      </c>
      <c r="I157" s="231">
        <v>1636935</v>
      </c>
      <c r="K157" s="230">
        <v>43308</v>
      </c>
      <c r="L157" s="1">
        <v>435.05</v>
      </c>
      <c r="M157" s="1">
        <v>452.89149837247498</v>
      </c>
      <c r="N157" s="1">
        <v>57142</v>
      </c>
      <c r="O157" s="1">
        <v>37336.85</v>
      </c>
      <c r="P157" s="215">
        <f t="shared" si="26"/>
        <v>-4.2019608261500974E-3</v>
      </c>
      <c r="Q157" s="215">
        <f t="shared" si="21"/>
        <v>3.9297658862876172E-2</v>
      </c>
      <c r="R157" s="231">
        <v>25879126</v>
      </c>
      <c r="T157" s="230">
        <v>43308</v>
      </c>
      <c r="U157" s="1">
        <v>136.25</v>
      </c>
      <c r="V157" s="1">
        <v>137.321307519746</v>
      </c>
      <c r="W157" s="1">
        <v>265235</v>
      </c>
      <c r="X157" s="1">
        <v>37336.85</v>
      </c>
      <c r="Y157" s="215">
        <f t="shared" si="27"/>
        <v>-4.2019608261500974E-3</v>
      </c>
      <c r="Z157" s="215">
        <f t="shared" si="22"/>
        <v>2.2130532633158229E-2</v>
      </c>
      <c r="AA157" s="231">
        <v>36422417</v>
      </c>
      <c r="AC157" s="230">
        <v>43308</v>
      </c>
      <c r="AD157" s="1">
        <v>43.25</v>
      </c>
      <c r="AE157" s="1">
        <v>42.835939323220501</v>
      </c>
      <c r="AF157" s="1">
        <v>4285</v>
      </c>
      <c r="AG157" s="1">
        <v>37336.85</v>
      </c>
      <c r="AH157" s="215">
        <f t="shared" si="28"/>
        <v>-4.2019608261500974E-3</v>
      </c>
      <c r="AI157" s="215">
        <f t="shared" si="23"/>
        <v>3.4802784222738303E-3</v>
      </c>
      <c r="AJ157" s="231">
        <v>183552</v>
      </c>
      <c r="AL157" s="230">
        <v>44580</v>
      </c>
      <c r="AM157" s="1">
        <v>347.45</v>
      </c>
      <c r="AN157" s="1">
        <v>348.92075810249997</v>
      </c>
      <c r="AO157" s="1">
        <v>44585</v>
      </c>
      <c r="AP157" s="1">
        <v>60098.82</v>
      </c>
      <c r="AQ157" s="215">
        <f t="shared" si="29"/>
        <v>1.0665165269701404E-2</v>
      </c>
      <c r="AR157" s="215">
        <f t="shared" si="24"/>
        <v>2.4020041261420433E-2</v>
      </c>
      <c r="AS157" s="231">
        <v>15556632</v>
      </c>
    </row>
    <row r="158" spans="2:45">
      <c r="B158" s="230">
        <v>43311</v>
      </c>
      <c r="C158" s="1">
        <v>297</v>
      </c>
      <c r="D158" s="1">
        <v>296.829480863963</v>
      </c>
      <c r="E158" s="1">
        <v>5278</v>
      </c>
      <c r="F158" s="215">
        <v>37494.400000000001</v>
      </c>
      <c r="G158" s="215">
        <f t="shared" si="25"/>
        <v>-2.9829886152902274E-3</v>
      </c>
      <c r="H158" s="215">
        <f t="shared" si="20"/>
        <v>-4.7619047619047672E-2</v>
      </c>
      <c r="I158" s="231">
        <v>1566666</v>
      </c>
      <c r="K158" s="230">
        <v>43311</v>
      </c>
      <c r="L158" s="1">
        <v>418.6</v>
      </c>
      <c r="M158" s="1">
        <v>419.64934728553601</v>
      </c>
      <c r="N158" s="1">
        <v>19304</v>
      </c>
      <c r="O158" s="1">
        <v>37494.400000000001</v>
      </c>
      <c r="P158" s="215">
        <f t="shared" si="26"/>
        <v>-2.9829886152902274E-3</v>
      </c>
      <c r="Q158" s="215">
        <f t="shared" si="21"/>
        <v>-8.0568720379146086E-3</v>
      </c>
      <c r="R158" s="231">
        <v>8100911</v>
      </c>
      <c r="T158" s="230">
        <v>43311</v>
      </c>
      <c r="U158" s="1">
        <v>133.30000000000001</v>
      </c>
      <c r="V158" s="1">
        <v>132.53211747240201</v>
      </c>
      <c r="W158" s="1">
        <v>120573</v>
      </c>
      <c r="X158" s="1">
        <v>37494.400000000001</v>
      </c>
      <c r="Y158" s="215">
        <f t="shared" si="27"/>
        <v>-2.9829886152902274E-3</v>
      </c>
      <c r="Z158" s="215">
        <f t="shared" si="22"/>
        <v>-4.7516970346552223E-2</v>
      </c>
      <c r="AA158" s="231">
        <v>15979795</v>
      </c>
      <c r="AC158" s="230">
        <v>43311</v>
      </c>
      <c r="AD158" s="1">
        <v>43.1</v>
      </c>
      <c r="AE158" s="1">
        <v>43.775149237231901</v>
      </c>
      <c r="AF158" s="1">
        <v>9046</v>
      </c>
      <c r="AG158" s="1">
        <v>37494.400000000001</v>
      </c>
      <c r="AH158" s="215">
        <f t="shared" si="28"/>
        <v>-2.9829886152902274E-3</v>
      </c>
      <c r="AI158" s="215">
        <f t="shared" si="23"/>
        <v>-2.9279279279279202E-2</v>
      </c>
      <c r="AJ158" s="231">
        <v>395990</v>
      </c>
      <c r="AL158" s="230">
        <v>44581</v>
      </c>
      <c r="AM158" s="1">
        <v>339.3</v>
      </c>
      <c r="AN158" s="1">
        <v>343.01325368676402</v>
      </c>
      <c r="AO158" s="1">
        <v>21428</v>
      </c>
      <c r="AP158" s="1">
        <v>59464.62</v>
      </c>
      <c r="AQ158" s="215">
        <f t="shared" si="29"/>
        <v>7.2401832201334226E-3</v>
      </c>
      <c r="AR158" s="215">
        <f t="shared" si="24"/>
        <v>-3.0850594975760925E-3</v>
      </c>
      <c r="AS158" s="231">
        <v>7350088</v>
      </c>
    </row>
    <row r="159" spans="2:45">
      <c r="B159" s="230">
        <v>43312</v>
      </c>
      <c r="C159" s="1">
        <v>311.85000000000002</v>
      </c>
      <c r="D159" s="1">
        <v>310.17352941176398</v>
      </c>
      <c r="E159" s="1">
        <v>340</v>
      </c>
      <c r="F159" s="215">
        <v>37606.58</v>
      </c>
      <c r="G159" s="215">
        <f t="shared" si="25"/>
        <v>2.2642945587103558E-3</v>
      </c>
      <c r="H159" s="215">
        <f t="shared" si="20"/>
        <v>-4.749541844838101E-2</v>
      </c>
      <c r="I159" s="231">
        <v>105459</v>
      </c>
      <c r="K159" s="230">
        <v>43312</v>
      </c>
      <c r="L159" s="1">
        <v>422</v>
      </c>
      <c r="M159" s="1">
        <v>429.88315190742298</v>
      </c>
      <c r="N159" s="1">
        <v>20394</v>
      </c>
      <c r="O159" s="1">
        <v>37606.58</v>
      </c>
      <c r="P159" s="215">
        <f t="shared" si="26"/>
        <v>2.2642945587103558E-3</v>
      </c>
      <c r="Q159" s="215">
        <f t="shared" si="21"/>
        <v>6.7994751282358656E-3</v>
      </c>
      <c r="R159" s="231">
        <v>8767037</v>
      </c>
      <c r="T159" s="230">
        <v>43312</v>
      </c>
      <c r="U159" s="1">
        <v>139.94999999999999</v>
      </c>
      <c r="V159" s="1">
        <v>136.70267571672801</v>
      </c>
      <c r="W159" s="1">
        <v>94143</v>
      </c>
      <c r="X159" s="1">
        <v>37606.58</v>
      </c>
      <c r="Y159" s="215">
        <f t="shared" si="27"/>
        <v>2.2642945587103558E-3</v>
      </c>
      <c r="Z159" s="215">
        <f t="shared" si="22"/>
        <v>-4.7311095983662455E-2</v>
      </c>
      <c r="AA159" s="231">
        <v>12869600</v>
      </c>
      <c r="AC159" s="230">
        <v>43312</v>
      </c>
      <c r="AD159" s="1">
        <v>44.4</v>
      </c>
      <c r="AE159" s="1">
        <v>44.102805463270499</v>
      </c>
      <c r="AF159" s="1">
        <v>5418</v>
      </c>
      <c r="AG159" s="1">
        <v>37606.58</v>
      </c>
      <c r="AH159" s="215">
        <f t="shared" si="28"/>
        <v>2.2642945587103558E-3</v>
      </c>
      <c r="AI159" s="215">
        <f t="shared" si="23"/>
        <v>5.6625141562853809E-3</v>
      </c>
      <c r="AJ159" s="231">
        <v>238949</v>
      </c>
      <c r="AL159" s="230">
        <v>44582</v>
      </c>
      <c r="AM159" s="1">
        <v>340.35</v>
      </c>
      <c r="AN159" s="1">
        <v>342.855472707042</v>
      </c>
      <c r="AO159" s="1">
        <v>60217</v>
      </c>
      <c r="AP159" s="1">
        <v>59037.18</v>
      </c>
      <c r="AQ159" s="215">
        <f t="shared" si="29"/>
        <v>2.6885187047617887E-2</v>
      </c>
      <c r="AR159" s="215">
        <f t="shared" si="24"/>
        <v>5.5185242598046802E-2</v>
      </c>
      <c r="AS159" s="231">
        <v>20645728</v>
      </c>
    </row>
    <row r="160" spans="2:45">
      <c r="B160" s="230">
        <v>43313</v>
      </c>
      <c r="C160" s="1">
        <v>327.39999999999998</v>
      </c>
      <c r="D160" s="1">
        <v>327.20156862745</v>
      </c>
      <c r="E160" s="1">
        <v>1275</v>
      </c>
      <c r="F160" s="215">
        <v>37521.620000000003</v>
      </c>
      <c r="G160" s="215">
        <f t="shared" si="25"/>
        <v>9.5912408287761597E-3</v>
      </c>
      <c r="H160" s="215">
        <f t="shared" si="20"/>
        <v>4.1404692531818998E-3</v>
      </c>
      <c r="I160" s="231">
        <v>417182</v>
      </c>
      <c r="K160" s="230">
        <v>43313</v>
      </c>
      <c r="L160" s="1">
        <v>419.15</v>
      </c>
      <c r="M160" s="1">
        <v>421.36623099493102</v>
      </c>
      <c r="N160" s="1">
        <v>3749</v>
      </c>
      <c r="O160" s="1">
        <v>37521.620000000003</v>
      </c>
      <c r="P160" s="215">
        <f t="shared" si="26"/>
        <v>9.5912408287761597E-3</v>
      </c>
      <c r="Q160" s="215">
        <f t="shared" si="21"/>
        <v>1.0747551946501677E-3</v>
      </c>
      <c r="R160" s="231">
        <v>1579702</v>
      </c>
      <c r="T160" s="230">
        <v>43313</v>
      </c>
      <c r="U160" s="1">
        <v>146.9</v>
      </c>
      <c r="V160" s="1">
        <v>143.27799878446299</v>
      </c>
      <c r="W160" s="1">
        <v>180990</v>
      </c>
      <c r="X160" s="1">
        <v>37521.620000000003</v>
      </c>
      <c r="Y160" s="215">
        <f t="shared" si="27"/>
        <v>9.5912408287761597E-3</v>
      </c>
      <c r="Z160" s="215">
        <f t="shared" si="22"/>
        <v>-4.2684913652655476E-2</v>
      </c>
      <c r="AA160" s="231">
        <v>25931885</v>
      </c>
      <c r="AC160" s="230">
        <v>43313</v>
      </c>
      <c r="AD160" s="1">
        <v>44.15</v>
      </c>
      <c r="AE160" s="1">
        <v>43.774463581256597</v>
      </c>
      <c r="AF160" s="1">
        <v>10393</v>
      </c>
      <c r="AG160" s="1">
        <v>37521.620000000003</v>
      </c>
      <c r="AH160" s="215">
        <f t="shared" si="28"/>
        <v>9.5912408287761597E-3</v>
      </c>
      <c r="AI160" s="215">
        <f t="shared" si="23"/>
        <v>-2.1064301552106479E-2</v>
      </c>
      <c r="AJ160" s="231">
        <v>454948</v>
      </c>
      <c r="AL160" s="230">
        <v>44585</v>
      </c>
      <c r="AM160" s="1">
        <v>322.55</v>
      </c>
      <c r="AN160" s="1">
        <v>328.55753052221098</v>
      </c>
      <c r="AO160" s="1">
        <v>38988</v>
      </c>
      <c r="AP160" s="1">
        <v>57491.51</v>
      </c>
      <c r="AQ160" s="215">
        <f t="shared" si="29"/>
        <v>-6.3368773457153083E-3</v>
      </c>
      <c r="AR160" s="215">
        <f t="shared" si="24"/>
        <v>-2.8171135884302423E-2</v>
      </c>
      <c r="AS160" s="231">
        <v>12809801</v>
      </c>
    </row>
    <row r="161" spans="2:45">
      <c r="B161" s="230">
        <v>43314</v>
      </c>
      <c r="C161" s="1">
        <v>326.05</v>
      </c>
      <c r="D161" s="1">
        <v>339.91278640059102</v>
      </c>
      <c r="E161" s="1">
        <v>1353</v>
      </c>
      <c r="F161" s="215">
        <v>37165.160000000003</v>
      </c>
      <c r="G161" s="215">
        <f t="shared" si="25"/>
        <v>-1.0411075040685724E-2</v>
      </c>
      <c r="H161" s="215">
        <f t="shared" si="20"/>
        <v>5.5512721665382792E-3</v>
      </c>
      <c r="I161" s="231">
        <v>459902</v>
      </c>
      <c r="K161" s="230">
        <v>43314</v>
      </c>
      <c r="L161" s="1">
        <v>418.7</v>
      </c>
      <c r="M161" s="1">
        <v>420.59623563478402</v>
      </c>
      <c r="N161" s="1">
        <v>11051</v>
      </c>
      <c r="O161" s="1">
        <v>37165.160000000003</v>
      </c>
      <c r="P161" s="215">
        <f t="shared" si="26"/>
        <v>-1.0411075040685724E-2</v>
      </c>
      <c r="Q161" s="215">
        <f t="shared" si="21"/>
        <v>-4.754322111010012E-2</v>
      </c>
      <c r="R161" s="231">
        <v>4648009</v>
      </c>
      <c r="T161" s="230">
        <v>43314</v>
      </c>
      <c r="U161" s="1">
        <v>153.44999999999999</v>
      </c>
      <c r="V161" s="1">
        <v>152.43860088186599</v>
      </c>
      <c r="W161" s="1">
        <v>387587</v>
      </c>
      <c r="X161" s="1">
        <v>37165.160000000003</v>
      </c>
      <c r="Y161" s="215">
        <f t="shared" si="27"/>
        <v>-1.0411075040685724E-2</v>
      </c>
      <c r="Z161" s="215">
        <f t="shared" si="22"/>
        <v>7.2202166064980755E-3</v>
      </c>
      <c r="AA161" s="231">
        <v>59083220</v>
      </c>
      <c r="AC161" s="230">
        <v>43314</v>
      </c>
      <c r="AD161" s="1">
        <v>45.1</v>
      </c>
      <c r="AE161" s="1">
        <v>44.613508101219701</v>
      </c>
      <c r="AF161" s="1">
        <v>10986</v>
      </c>
      <c r="AG161" s="1">
        <v>37165.160000000003</v>
      </c>
      <c r="AH161" s="215">
        <f t="shared" si="28"/>
        <v>-1.0411075040685724E-2</v>
      </c>
      <c r="AI161" s="215">
        <f t="shared" si="23"/>
        <v>-3.9403620873269429E-2</v>
      </c>
      <c r="AJ161" s="231">
        <v>490124</v>
      </c>
      <c r="AL161" s="230">
        <v>44586</v>
      </c>
      <c r="AM161" s="1">
        <v>331.9</v>
      </c>
      <c r="AN161" s="1">
        <v>330.001790749066</v>
      </c>
      <c r="AO161" s="1">
        <v>52492</v>
      </c>
      <c r="AP161" s="1">
        <v>57858.15</v>
      </c>
      <c r="AQ161" s="215">
        <f t="shared" si="29"/>
        <v>1.0147364716061924E-2</v>
      </c>
      <c r="AR161" s="215">
        <f t="shared" si="24"/>
        <v>-2.1046301864102723E-3</v>
      </c>
      <c r="AS161" s="231">
        <v>17322454</v>
      </c>
    </row>
    <row r="162" spans="2:45">
      <c r="B162" s="230">
        <v>43315</v>
      </c>
      <c r="C162" s="1">
        <v>324.25</v>
      </c>
      <c r="D162" s="1">
        <v>320.24262734584403</v>
      </c>
      <c r="E162" s="1">
        <v>746</v>
      </c>
      <c r="F162" s="215">
        <v>37556.160000000003</v>
      </c>
      <c r="G162" s="215">
        <f t="shared" si="25"/>
        <v>-3.601039905401282E-3</v>
      </c>
      <c r="H162" s="215">
        <f t="shared" si="20"/>
        <v>1.3281249999999911E-2</v>
      </c>
      <c r="I162" s="231">
        <v>238901</v>
      </c>
      <c r="K162" s="230">
        <v>43315</v>
      </c>
      <c r="L162" s="1">
        <v>439.6</v>
      </c>
      <c r="M162" s="1">
        <v>435.89677524278602</v>
      </c>
      <c r="N162" s="1">
        <v>43042</v>
      </c>
      <c r="O162" s="1">
        <v>37556.160000000003</v>
      </c>
      <c r="P162" s="215">
        <f t="shared" si="26"/>
        <v>-3.601039905401282E-3</v>
      </c>
      <c r="Q162" s="215">
        <f t="shared" si="21"/>
        <v>-1.3022002694207391E-2</v>
      </c>
      <c r="R162" s="231">
        <v>18761869</v>
      </c>
      <c r="T162" s="230">
        <v>43315</v>
      </c>
      <c r="U162" s="1">
        <v>152.35</v>
      </c>
      <c r="V162" s="1">
        <v>154.86714606101501</v>
      </c>
      <c r="W162" s="1">
        <v>252819</v>
      </c>
      <c r="X162" s="1">
        <v>37556.160000000003</v>
      </c>
      <c r="Y162" s="215">
        <f t="shared" si="27"/>
        <v>-3.601039905401282E-3</v>
      </c>
      <c r="Z162" s="215">
        <f t="shared" si="22"/>
        <v>-2.2771007055805037E-2</v>
      </c>
      <c r="AA162" s="231">
        <v>39153357</v>
      </c>
      <c r="AC162" s="230">
        <v>43315</v>
      </c>
      <c r="AD162" s="1">
        <v>46.95</v>
      </c>
      <c r="AE162" s="1">
        <v>45.720418848167498</v>
      </c>
      <c r="AF162" s="1">
        <v>2865</v>
      </c>
      <c r="AG162" s="1">
        <v>37556.160000000003</v>
      </c>
      <c r="AH162" s="215">
        <f t="shared" si="28"/>
        <v>-3.601039905401282E-3</v>
      </c>
      <c r="AI162" s="215">
        <f t="shared" si="23"/>
        <v>1.403887688984895E-2</v>
      </c>
      <c r="AJ162" s="231">
        <v>130989</v>
      </c>
      <c r="AL162" s="230">
        <v>44588</v>
      </c>
      <c r="AM162" s="1">
        <v>332.6</v>
      </c>
      <c r="AN162" s="1">
        <v>330.57311133200699</v>
      </c>
      <c r="AO162" s="1">
        <v>20120</v>
      </c>
      <c r="AP162" s="1">
        <v>57276.94</v>
      </c>
      <c r="AQ162" s="215">
        <f t="shared" si="29"/>
        <v>1.3410785236351863E-3</v>
      </c>
      <c r="AR162" s="215">
        <f t="shared" si="24"/>
        <v>-3.8933812518716637E-3</v>
      </c>
      <c r="AS162" s="231">
        <v>6651131</v>
      </c>
    </row>
    <row r="163" spans="2:45">
      <c r="B163" s="230">
        <v>43318</v>
      </c>
      <c r="C163" s="1">
        <v>320</v>
      </c>
      <c r="D163" s="1">
        <v>324.28009094784699</v>
      </c>
      <c r="E163" s="1">
        <v>7037</v>
      </c>
      <c r="F163" s="215">
        <v>37691.89</v>
      </c>
      <c r="G163" s="215">
        <f t="shared" si="25"/>
        <v>6.9267080481494325E-4</v>
      </c>
      <c r="H163" s="215">
        <f t="shared" si="20"/>
        <v>-3.00090936647468E-2</v>
      </c>
      <c r="I163" s="231">
        <v>2281959</v>
      </c>
      <c r="K163" s="230">
        <v>43318</v>
      </c>
      <c r="L163" s="1">
        <v>445.4</v>
      </c>
      <c r="M163" s="1">
        <v>452.59019592414802</v>
      </c>
      <c r="N163" s="1">
        <v>63545</v>
      </c>
      <c r="O163" s="1">
        <v>37691.89</v>
      </c>
      <c r="P163" s="215">
        <f t="shared" si="26"/>
        <v>6.9267080481494325E-4</v>
      </c>
      <c r="Q163" s="215">
        <f t="shared" si="21"/>
        <v>-4.7578317117502378E-2</v>
      </c>
      <c r="R163" s="231">
        <v>28759844</v>
      </c>
      <c r="T163" s="230">
        <v>43318</v>
      </c>
      <c r="U163" s="1">
        <v>155.9</v>
      </c>
      <c r="V163" s="1">
        <v>151.58967296601401</v>
      </c>
      <c r="W163" s="1">
        <v>444755</v>
      </c>
      <c r="X163" s="1">
        <v>37691.89</v>
      </c>
      <c r="Y163" s="215">
        <f t="shared" si="27"/>
        <v>6.9267080481494325E-4</v>
      </c>
      <c r="Z163" s="215">
        <f t="shared" si="22"/>
        <v>-1.2812299807815064E-3</v>
      </c>
      <c r="AA163" s="231">
        <v>67420265</v>
      </c>
      <c r="AC163" s="230">
        <v>43318</v>
      </c>
      <c r="AD163" s="1">
        <v>46.3</v>
      </c>
      <c r="AE163" s="1">
        <v>46.174050632911303</v>
      </c>
      <c r="AF163" s="1">
        <v>2212</v>
      </c>
      <c r="AG163" s="1">
        <v>37691.89</v>
      </c>
      <c r="AH163" s="215">
        <f t="shared" si="28"/>
        <v>6.9267080481494325E-4</v>
      </c>
      <c r="AI163" s="215">
        <f t="shared" si="23"/>
        <v>-1.0683760683760646E-2</v>
      </c>
      <c r="AJ163" s="231">
        <v>102137</v>
      </c>
      <c r="AL163" s="230">
        <v>44589</v>
      </c>
      <c r="AM163" s="1">
        <v>333.9</v>
      </c>
      <c r="AN163" s="1">
        <v>333.222222222222</v>
      </c>
      <c r="AO163" s="1">
        <v>16965</v>
      </c>
      <c r="AP163" s="1">
        <v>57200.23</v>
      </c>
      <c r="AQ163" s="215">
        <f t="shared" si="29"/>
        <v>-1.4030020596692117E-2</v>
      </c>
      <c r="AR163" s="215">
        <f t="shared" si="24"/>
        <v>2.2195009949487199E-2</v>
      </c>
      <c r="AS163" s="231">
        <v>5653115</v>
      </c>
    </row>
    <row r="164" spans="2:45">
      <c r="B164" s="230">
        <v>43319</v>
      </c>
      <c r="C164" s="1">
        <v>329.9</v>
      </c>
      <c r="D164" s="1">
        <v>321.27555155335398</v>
      </c>
      <c r="E164" s="1">
        <v>2221</v>
      </c>
      <c r="F164" s="215">
        <v>37665.800000000003</v>
      </c>
      <c r="G164" s="215">
        <f t="shared" si="25"/>
        <v>-5.8531085137177863E-3</v>
      </c>
      <c r="H164" s="215">
        <f t="shared" si="20"/>
        <v>-9.3093093093093993E-3</v>
      </c>
      <c r="I164" s="231">
        <v>713553</v>
      </c>
      <c r="K164" s="230">
        <v>43319</v>
      </c>
      <c r="L164" s="1">
        <v>467.65</v>
      </c>
      <c r="M164" s="1">
        <v>456.519235963727</v>
      </c>
      <c r="N164" s="1">
        <v>51830</v>
      </c>
      <c r="O164" s="1">
        <v>37665.800000000003</v>
      </c>
      <c r="P164" s="215">
        <f t="shared" si="26"/>
        <v>-5.8531085137177863E-3</v>
      </c>
      <c r="Q164" s="215">
        <f t="shared" si="21"/>
        <v>2.4986301369863018E-2</v>
      </c>
      <c r="R164" s="231">
        <v>23661392</v>
      </c>
      <c r="T164" s="230">
        <v>43319</v>
      </c>
      <c r="U164" s="1">
        <v>156.1</v>
      </c>
      <c r="V164" s="1">
        <v>160.436997772144</v>
      </c>
      <c r="W164" s="1">
        <v>715935</v>
      </c>
      <c r="X164" s="1">
        <v>37665.800000000003</v>
      </c>
      <c r="Y164" s="215">
        <f t="shared" si="27"/>
        <v>-5.8531085137177863E-3</v>
      </c>
      <c r="Z164" s="215">
        <f t="shared" si="22"/>
        <v>1.859706362153335E-2</v>
      </c>
      <c r="AA164" s="231">
        <v>114862462</v>
      </c>
      <c r="AC164" s="230">
        <v>43319</v>
      </c>
      <c r="AD164" s="1">
        <v>46.8</v>
      </c>
      <c r="AE164" s="1">
        <v>46.689790209790203</v>
      </c>
      <c r="AF164" s="1">
        <v>7150</v>
      </c>
      <c r="AG164" s="1">
        <v>37665.800000000003</v>
      </c>
      <c r="AH164" s="215">
        <f t="shared" si="28"/>
        <v>-5.8531085137177863E-3</v>
      </c>
      <c r="AI164" s="215">
        <f t="shared" si="23"/>
        <v>-3.3057851239669422E-2</v>
      </c>
      <c r="AJ164" s="231">
        <v>333832</v>
      </c>
      <c r="AL164" s="230">
        <v>44592</v>
      </c>
      <c r="AM164" s="1">
        <v>326.64999999999998</v>
      </c>
      <c r="AN164" s="1">
        <v>330.08034837128599</v>
      </c>
      <c r="AO164" s="1">
        <v>90593</v>
      </c>
      <c r="AP164" s="1">
        <v>58014.17</v>
      </c>
      <c r="AQ164" s="215">
        <f t="shared" si="29"/>
        <v>-1.4413234080673076E-2</v>
      </c>
      <c r="AR164" s="215">
        <f t="shared" si="24"/>
        <v>-4.6416581520945965E-2</v>
      </c>
      <c r="AS164" s="231">
        <v>29902969</v>
      </c>
    </row>
    <row r="165" spans="2:45">
      <c r="B165" s="230">
        <v>43320</v>
      </c>
      <c r="C165" s="1">
        <v>333</v>
      </c>
      <c r="D165" s="1">
        <v>330.26961069145801</v>
      </c>
      <c r="E165" s="1">
        <v>1721</v>
      </c>
      <c r="F165" s="215">
        <v>37887.56</v>
      </c>
      <c r="G165" s="215">
        <f t="shared" si="25"/>
        <v>-3.5979557320741096E-3</v>
      </c>
      <c r="H165" s="215">
        <f t="shared" si="20"/>
        <v>4.0624999999999911E-2</v>
      </c>
      <c r="I165" s="231">
        <v>568394</v>
      </c>
      <c r="K165" s="230">
        <v>43320</v>
      </c>
      <c r="L165" s="1">
        <v>456.25</v>
      </c>
      <c r="M165" s="1">
        <v>454.25303545410299</v>
      </c>
      <c r="N165" s="1">
        <v>53534</v>
      </c>
      <c r="O165" s="1">
        <v>37887.56</v>
      </c>
      <c r="P165" s="215">
        <f t="shared" si="26"/>
        <v>-3.5979557320741096E-3</v>
      </c>
      <c r="Q165" s="215">
        <f t="shared" si="21"/>
        <v>1.739324339391235E-2</v>
      </c>
      <c r="R165" s="231">
        <v>24317982</v>
      </c>
      <c r="T165" s="230">
        <v>43320</v>
      </c>
      <c r="U165" s="1">
        <v>153.25</v>
      </c>
      <c r="V165" s="1">
        <v>155.353030813403</v>
      </c>
      <c r="W165" s="1">
        <v>187029</v>
      </c>
      <c r="X165" s="1">
        <v>37887.56</v>
      </c>
      <c r="Y165" s="215">
        <f t="shared" si="27"/>
        <v>-3.5979557320741096E-3</v>
      </c>
      <c r="Z165" s="215">
        <f t="shared" si="22"/>
        <v>3.9305601048149619E-3</v>
      </c>
      <c r="AA165" s="231">
        <v>29055522</v>
      </c>
      <c r="AC165" s="230">
        <v>43320</v>
      </c>
      <c r="AD165" s="1">
        <v>48.4</v>
      </c>
      <c r="AE165" s="1">
        <v>49.070089383038997</v>
      </c>
      <c r="AF165" s="1">
        <v>9174</v>
      </c>
      <c r="AG165" s="1">
        <v>37887.56</v>
      </c>
      <c r="AH165" s="215">
        <f t="shared" si="28"/>
        <v>-3.5979557320741096E-3</v>
      </c>
      <c r="AI165" s="215">
        <f t="shared" si="23"/>
        <v>-2.9087261785356144E-2</v>
      </c>
      <c r="AJ165" s="231">
        <v>450169</v>
      </c>
      <c r="AL165" s="230">
        <v>44593</v>
      </c>
      <c r="AM165" s="1">
        <v>342.55</v>
      </c>
      <c r="AN165" s="1">
        <v>337.54887882860498</v>
      </c>
      <c r="AO165" s="1">
        <v>28274</v>
      </c>
      <c r="AP165" s="1">
        <v>58862.57</v>
      </c>
      <c r="AQ165" s="215">
        <f t="shared" si="29"/>
        <v>-1.1681993098194732E-2</v>
      </c>
      <c r="AR165" s="215">
        <f t="shared" si="24"/>
        <v>-3.3027522935779818E-2</v>
      </c>
      <c r="AS165" s="231">
        <v>9543857</v>
      </c>
    </row>
    <row r="166" spans="2:45">
      <c r="B166" s="230">
        <v>43321</v>
      </c>
      <c r="C166" s="1">
        <v>320</v>
      </c>
      <c r="D166" s="1">
        <v>325.38067197783101</v>
      </c>
      <c r="E166" s="1">
        <v>2887</v>
      </c>
      <c r="F166" s="215">
        <v>38024.370000000003</v>
      </c>
      <c r="G166" s="215">
        <f t="shared" si="25"/>
        <v>4.0967297196166097E-3</v>
      </c>
      <c r="H166" s="215">
        <f t="shared" si="20"/>
        <v>3.660511823777135E-2</v>
      </c>
      <c r="I166" s="231">
        <v>939374</v>
      </c>
      <c r="K166" s="230">
        <v>43321</v>
      </c>
      <c r="L166" s="1">
        <v>448.45</v>
      </c>
      <c r="M166" s="1">
        <v>451.61854699513498</v>
      </c>
      <c r="N166" s="1">
        <v>19119</v>
      </c>
      <c r="O166" s="1">
        <v>38024.370000000003</v>
      </c>
      <c r="P166" s="215">
        <f t="shared" si="26"/>
        <v>4.0967297196166097E-3</v>
      </c>
      <c r="Q166" s="215">
        <f t="shared" si="21"/>
        <v>2.3741582011185924E-2</v>
      </c>
      <c r="R166" s="231">
        <v>8634495</v>
      </c>
      <c r="T166" s="230">
        <v>43321</v>
      </c>
      <c r="U166" s="1">
        <v>152.65</v>
      </c>
      <c r="V166" s="1">
        <v>154.43547209873199</v>
      </c>
      <c r="W166" s="1">
        <v>135639</v>
      </c>
      <c r="X166" s="1">
        <v>38024.370000000003</v>
      </c>
      <c r="Y166" s="215">
        <f t="shared" si="27"/>
        <v>4.0967297196166097E-3</v>
      </c>
      <c r="Z166" s="215">
        <f t="shared" si="22"/>
        <v>4.020442930153334E-2</v>
      </c>
      <c r="AA166" s="231">
        <v>20947473</v>
      </c>
      <c r="AC166" s="230">
        <v>43321</v>
      </c>
      <c r="AD166" s="1">
        <v>49.85</v>
      </c>
      <c r="AE166" s="1">
        <v>49.245561239843497</v>
      </c>
      <c r="AF166" s="1">
        <v>6646</v>
      </c>
      <c r="AG166" s="1">
        <v>38024.370000000003</v>
      </c>
      <c r="AH166" s="215">
        <f t="shared" si="28"/>
        <v>4.0967297196166097E-3</v>
      </c>
      <c r="AI166" s="215">
        <f t="shared" si="23"/>
        <v>3.8541666666666696E-2</v>
      </c>
      <c r="AJ166" s="231">
        <v>327286</v>
      </c>
      <c r="AL166" s="230">
        <v>44594</v>
      </c>
      <c r="AM166" s="1">
        <v>354.25</v>
      </c>
      <c r="AN166" s="1">
        <v>352.23503717081701</v>
      </c>
      <c r="AO166" s="1">
        <v>23809</v>
      </c>
      <c r="AP166" s="1">
        <v>59558.33</v>
      </c>
      <c r="AQ166" s="215">
        <f t="shared" si="29"/>
        <v>1.3103179865557646E-2</v>
      </c>
      <c r="AR166" s="215">
        <f t="shared" si="24"/>
        <v>3.2949409534917651E-2</v>
      </c>
      <c r="AS166" s="231">
        <v>8386364</v>
      </c>
    </row>
    <row r="167" spans="2:45">
      <c r="B167" s="230">
        <v>43322</v>
      </c>
      <c r="C167" s="1">
        <v>308.7</v>
      </c>
      <c r="D167" s="1">
        <v>315.899242424242</v>
      </c>
      <c r="E167" s="1">
        <v>1320</v>
      </c>
      <c r="F167" s="215">
        <v>37869.230000000003</v>
      </c>
      <c r="G167" s="215">
        <f t="shared" si="25"/>
        <v>5.9591073425617758E-3</v>
      </c>
      <c r="H167" s="215">
        <f t="shared" si="20"/>
        <v>6.5769031589849813E-2</v>
      </c>
      <c r="I167" s="231">
        <v>416987</v>
      </c>
      <c r="K167" s="230">
        <v>43322</v>
      </c>
      <c r="L167" s="1">
        <v>438.05</v>
      </c>
      <c r="M167" s="1">
        <v>447.51981314432902</v>
      </c>
      <c r="N167" s="1">
        <v>6208</v>
      </c>
      <c r="O167" s="1">
        <v>37869.230000000003</v>
      </c>
      <c r="P167" s="215">
        <f t="shared" si="26"/>
        <v>5.9591073425617758E-3</v>
      </c>
      <c r="Q167" s="215">
        <f t="shared" si="21"/>
        <v>3.4845263406567462E-2</v>
      </c>
      <c r="R167" s="231">
        <v>2778203</v>
      </c>
      <c r="T167" s="230">
        <v>43322</v>
      </c>
      <c r="U167" s="1">
        <v>146.75</v>
      </c>
      <c r="V167" s="1">
        <v>149.94719725487101</v>
      </c>
      <c r="W167" s="1">
        <v>117153</v>
      </c>
      <c r="X167" s="1">
        <v>37869.230000000003</v>
      </c>
      <c r="Y167" s="215">
        <f t="shared" si="27"/>
        <v>5.9591073425617758E-3</v>
      </c>
      <c r="Z167" s="215">
        <f t="shared" si="22"/>
        <v>3.3814723494188126E-2</v>
      </c>
      <c r="AA167" s="231">
        <v>17566764</v>
      </c>
      <c r="AC167" s="230">
        <v>43322</v>
      </c>
      <c r="AD167" s="1">
        <v>48</v>
      </c>
      <c r="AE167" s="1">
        <v>48.546260715341397</v>
      </c>
      <c r="AF167" s="1">
        <v>3383</v>
      </c>
      <c r="AG167" s="1">
        <v>37869.230000000003</v>
      </c>
      <c r="AH167" s="215">
        <f t="shared" si="28"/>
        <v>5.9591073425617758E-3</v>
      </c>
      <c r="AI167" s="215">
        <f t="shared" si="23"/>
        <v>-9.6045197740112997E-2</v>
      </c>
      <c r="AJ167" s="231">
        <v>164232</v>
      </c>
      <c r="AL167" s="230">
        <v>44595</v>
      </c>
      <c r="AM167" s="1">
        <v>342.95</v>
      </c>
      <c r="AN167" s="1">
        <v>347.54141095964798</v>
      </c>
      <c r="AO167" s="1">
        <v>36826</v>
      </c>
      <c r="AP167" s="1">
        <v>58788.02</v>
      </c>
      <c r="AQ167" s="215">
        <f t="shared" si="29"/>
        <v>2.4418183907801705E-3</v>
      </c>
      <c r="AR167" s="215">
        <f t="shared" si="24"/>
        <v>-6.9494715506008831E-3</v>
      </c>
      <c r="AS167" s="231">
        <v>12798560</v>
      </c>
    </row>
    <row r="168" spans="2:45">
      <c r="B168" s="230">
        <v>43325</v>
      </c>
      <c r="C168" s="1">
        <v>289.64999999999998</v>
      </c>
      <c r="D168" s="1">
        <v>292.09400613581198</v>
      </c>
      <c r="E168" s="1">
        <v>21839</v>
      </c>
      <c r="F168" s="215">
        <v>37644.9</v>
      </c>
      <c r="G168" s="215">
        <f t="shared" si="25"/>
        <v>-5.4713093099439947E-3</v>
      </c>
      <c r="H168" s="215">
        <f t="shared" si="20"/>
        <v>-0.16659473457056551</v>
      </c>
      <c r="I168" s="231">
        <v>6379041</v>
      </c>
      <c r="K168" s="230">
        <v>43325</v>
      </c>
      <c r="L168" s="1">
        <v>423.3</v>
      </c>
      <c r="M168" s="1">
        <v>428.96724677356201</v>
      </c>
      <c r="N168" s="1">
        <v>10228</v>
      </c>
      <c r="O168" s="1">
        <v>37644.9</v>
      </c>
      <c r="P168" s="215">
        <f t="shared" si="26"/>
        <v>-5.4713093099439947E-3</v>
      </c>
      <c r="Q168" s="215">
        <f t="shared" si="21"/>
        <v>-1.6509433962264008E-3</v>
      </c>
      <c r="R168" s="231">
        <v>4387477</v>
      </c>
      <c r="T168" s="230">
        <v>43325</v>
      </c>
      <c r="U168" s="1">
        <v>141.94999999999999</v>
      </c>
      <c r="V168" s="1">
        <v>143.40914820441699</v>
      </c>
      <c r="W168" s="1">
        <v>239588</v>
      </c>
      <c r="X168" s="1">
        <v>37644.9</v>
      </c>
      <c r="Y168" s="215">
        <f t="shared" si="27"/>
        <v>-5.4713093099439947E-3</v>
      </c>
      <c r="Z168" s="215">
        <f t="shared" si="22"/>
        <v>4.9150036954914933E-2</v>
      </c>
      <c r="AA168" s="231">
        <v>34359111</v>
      </c>
      <c r="AC168" s="230">
        <v>43325</v>
      </c>
      <c r="AD168" s="1">
        <v>53.1</v>
      </c>
      <c r="AE168" s="1">
        <v>54.1818574514038</v>
      </c>
      <c r="AF168" s="1">
        <v>83340</v>
      </c>
      <c r="AG168" s="1">
        <v>37644.9</v>
      </c>
      <c r="AH168" s="215">
        <f t="shared" si="28"/>
        <v>-5.4713093099439947E-3</v>
      </c>
      <c r="AI168" s="215">
        <f t="shared" si="23"/>
        <v>2.0172910662824339E-2</v>
      </c>
      <c r="AJ168" s="231">
        <v>4515516</v>
      </c>
      <c r="AL168" s="230">
        <v>44596</v>
      </c>
      <c r="AM168" s="1">
        <v>345.35</v>
      </c>
      <c r="AN168" s="1">
        <v>344.85317212146401</v>
      </c>
      <c r="AO168" s="1">
        <v>14391</v>
      </c>
      <c r="AP168" s="1">
        <v>58644.82</v>
      </c>
      <c r="AQ168" s="215">
        <f t="shared" si="29"/>
        <v>1.7764818810579897E-2</v>
      </c>
      <c r="AR168" s="215">
        <f t="shared" si="24"/>
        <v>1.3202288396655382E-2</v>
      </c>
      <c r="AS168" s="231">
        <v>4962782</v>
      </c>
    </row>
    <row r="169" spans="2:45">
      <c r="B169" s="230">
        <v>43326</v>
      </c>
      <c r="C169" s="1">
        <v>347.55</v>
      </c>
      <c r="D169" s="1">
        <v>347.36349848331599</v>
      </c>
      <c r="E169" s="1">
        <v>1978</v>
      </c>
      <c r="F169" s="215">
        <v>37852</v>
      </c>
      <c r="G169" s="215">
        <f t="shared" si="25"/>
        <v>5.0032445153884719E-3</v>
      </c>
      <c r="H169" s="215">
        <f t="shared" si="20"/>
        <v>-8.4913112164296978E-2</v>
      </c>
      <c r="I169" s="231">
        <v>687085</v>
      </c>
      <c r="K169" s="230">
        <v>43326</v>
      </c>
      <c r="L169" s="1">
        <v>424</v>
      </c>
      <c r="M169" s="1">
        <v>425.90767939571901</v>
      </c>
      <c r="N169" s="1">
        <v>4766</v>
      </c>
      <c r="O169" s="1">
        <v>37852</v>
      </c>
      <c r="P169" s="215">
        <f t="shared" si="26"/>
        <v>5.0032445153884719E-3</v>
      </c>
      <c r="Q169" s="215">
        <f t="shared" si="21"/>
        <v>-6.2672709185365383E-2</v>
      </c>
      <c r="R169" s="231">
        <v>2029876</v>
      </c>
      <c r="T169" s="230">
        <v>43326</v>
      </c>
      <c r="U169" s="1">
        <v>135.30000000000001</v>
      </c>
      <c r="V169" s="1">
        <v>140.16692739165001</v>
      </c>
      <c r="W169" s="1">
        <v>257615</v>
      </c>
      <c r="X169" s="1">
        <v>37852</v>
      </c>
      <c r="Y169" s="215">
        <f t="shared" si="27"/>
        <v>5.0032445153884719E-3</v>
      </c>
      <c r="Z169" s="215">
        <f t="shared" si="22"/>
        <v>-1.5642051655147204E-2</v>
      </c>
      <c r="AA169" s="231">
        <v>36109103</v>
      </c>
      <c r="AC169" s="230">
        <v>43326</v>
      </c>
      <c r="AD169" s="1">
        <v>52.05</v>
      </c>
      <c r="AE169" s="1">
        <v>52.717928286852498</v>
      </c>
      <c r="AF169" s="1">
        <v>17570</v>
      </c>
      <c r="AG169" s="1">
        <v>37852</v>
      </c>
      <c r="AH169" s="215">
        <f t="shared" si="28"/>
        <v>5.0032445153884719E-3</v>
      </c>
      <c r="AI169" s="215">
        <f t="shared" si="23"/>
        <v>-2.5280898876404501E-2</v>
      </c>
      <c r="AJ169" s="231">
        <v>926254</v>
      </c>
      <c r="AL169" s="230">
        <v>44599</v>
      </c>
      <c r="AM169" s="1">
        <v>340.85</v>
      </c>
      <c r="AN169" s="1">
        <v>342.47211104487701</v>
      </c>
      <c r="AO169" s="1">
        <v>23486</v>
      </c>
      <c r="AP169" s="1">
        <v>57621.19</v>
      </c>
      <c r="AQ169" s="215">
        <f t="shared" si="29"/>
        <v>-3.2415603358532108E-3</v>
      </c>
      <c r="AR169" s="215">
        <f t="shared" si="24"/>
        <v>1.2626262626262541E-2</v>
      </c>
      <c r="AS169" s="231">
        <v>8043300</v>
      </c>
    </row>
    <row r="170" spans="2:45">
      <c r="B170" s="230">
        <v>43328</v>
      </c>
      <c r="C170" s="1">
        <v>379.8</v>
      </c>
      <c r="D170" s="1">
        <v>386.27482474043802</v>
      </c>
      <c r="E170" s="1">
        <v>11269</v>
      </c>
      <c r="F170" s="215">
        <v>37663.56</v>
      </c>
      <c r="G170" s="215">
        <f t="shared" si="25"/>
        <v>-7.4923816561029977E-3</v>
      </c>
      <c r="H170" s="215">
        <f t="shared" si="20"/>
        <v>-2.1134020618556626E-2</v>
      </c>
      <c r="I170" s="231">
        <v>4352931</v>
      </c>
      <c r="K170" s="230">
        <v>43328</v>
      </c>
      <c r="L170" s="1">
        <v>452.35</v>
      </c>
      <c r="M170" s="1">
        <v>466.39865290192603</v>
      </c>
      <c r="N170" s="1">
        <v>127088</v>
      </c>
      <c r="O170" s="1">
        <v>37663.56</v>
      </c>
      <c r="P170" s="215">
        <f t="shared" si="26"/>
        <v>-7.4923816561029977E-3</v>
      </c>
      <c r="Q170" s="215">
        <f t="shared" si="21"/>
        <v>-1.5667500816015645E-2</v>
      </c>
      <c r="R170" s="231">
        <v>59273672</v>
      </c>
      <c r="T170" s="230">
        <v>43328</v>
      </c>
      <c r="U170" s="1">
        <v>137.44999999999999</v>
      </c>
      <c r="V170" s="1">
        <v>138.34624147895599</v>
      </c>
      <c r="W170" s="1">
        <v>323904</v>
      </c>
      <c r="X170" s="1">
        <v>37663.56</v>
      </c>
      <c r="Y170" s="215">
        <f t="shared" si="27"/>
        <v>-7.4923816561029977E-3</v>
      </c>
      <c r="Z170" s="215">
        <f t="shared" si="22"/>
        <v>-1.0082823190493362E-2</v>
      </c>
      <c r="AA170" s="231">
        <v>44810901</v>
      </c>
      <c r="AC170" s="230">
        <v>43328</v>
      </c>
      <c r="AD170" s="1">
        <v>53.4</v>
      </c>
      <c r="AE170" s="1">
        <v>53.943750634582102</v>
      </c>
      <c r="AF170" s="1">
        <v>9849</v>
      </c>
      <c r="AG170" s="1">
        <v>37663.56</v>
      </c>
      <c r="AH170" s="215">
        <f t="shared" si="28"/>
        <v>-7.4923816561029977E-3</v>
      </c>
      <c r="AI170" s="215">
        <f t="shared" si="23"/>
        <v>-4.0431266846361225E-2</v>
      </c>
      <c r="AJ170" s="231">
        <v>531292</v>
      </c>
      <c r="AL170" s="230">
        <v>44600</v>
      </c>
      <c r="AM170" s="1">
        <v>336.6</v>
      </c>
      <c r="AN170" s="1">
        <v>338.02383686398701</v>
      </c>
      <c r="AO170" s="1">
        <v>25255</v>
      </c>
      <c r="AP170" s="1">
        <v>57808.58</v>
      </c>
      <c r="AQ170" s="215">
        <f t="shared" si="29"/>
        <v>-1.1243976624350838E-2</v>
      </c>
      <c r="AR170" s="215">
        <f t="shared" si="24"/>
        <v>-1.4348462664714456E-2</v>
      </c>
      <c r="AS170" s="231">
        <v>8536792</v>
      </c>
    </row>
    <row r="171" spans="2:45">
      <c r="B171" s="230">
        <v>43329</v>
      </c>
      <c r="C171" s="1">
        <v>388</v>
      </c>
      <c r="D171" s="1">
        <v>389.38552787663099</v>
      </c>
      <c r="E171" s="1">
        <v>843</v>
      </c>
      <c r="F171" s="215">
        <v>37947.879999999997</v>
      </c>
      <c r="G171" s="215">
        <f t="shared" si="25"/>
        <v>-8.6436991803546803E-3</v>
      </c>
      <c r="H171" s="215">
        <f t="shared" si="20"/>
        <v>2.6455026455026509E-2</v>
      </c>
      <c r="I171" s="231">
        <v>328252</v>
      </c>
      <c r="K171" s="230">
        <v>43329</v>
      </c>
      <c r="L171" s="1">
        <v>459.55</v>
      </c>
      <c r="M171" s="1">
        <v>462.07693807423198</v>
      </c>
      <c r="N171" s="1">
        <v>41033</v>
      </c>
      <c r="O171" s="1">
        <v>37947.879999999997</v>
      </c>
      <c r="P171" s="215">
        <f t="shared" si="26"/>
        <v>-8.6436991803546803E-3</v>
      </c>
      <c r="Q171" s="215">
        <f t="shared" si="21"/>
        <v>-1.7635741769987168E-2</v>
      </c>
      <c r="R171" s="231">
        <v>18960403</v>
      </c>
      <c r="T171" s="230">
        <v>43329</v>
      </c>
      <c r="U171" s="1">
        <v>138.85</v>
      </c>
      <c r="V171" s="1">
        <v>139.22460359375501</v>
      </c>
      <c r="W171" s="1">
        <v>81419</v>
      </c>
      <c r="X171" s="1">
        <v>37947.879999999997</v>
      </c>
      <c r="Y171" s="215">
        <f t="shared" si="27"/>
        <v>-8.6436991803546803E-3</v>
      </c>
      <c r="Z171" s="215">
        <f t="shared" si="22"/>
        <v>-6.7954220314736524E-3</v>
      </c>
      <c r="AA171" s="231">
        <v>11335528</v>
      </c>
      <c r="AC171" s="230">
        <v>43329</v>
      </c>
      <c r="AD171" s="1">
        <v>55.65</v>
      </c>
      <c r="AE171" s="1">
        <v>56.382052613360997</v>
      </c>
      <c r="AF171" s="1">
        <v>34668</v>
      </c>
      <c r="AG171" s="1">
        <v>37947.879999999997</v>
      </c>
      <c r="AH171" s="215">
        <f t="shared" si="28"/>
        <v>-8.6436991803546803E-3</v>
      </c>
      <c r="AI171" s="215">
        <f t="shared" si="23"/>
        <v>8.9928057553945173E-4</v>
      </c>
      <c r="AJ171" s="231">
        <v>1954653</v>
      </c>
      <c r="AL171" s="230">
        <v>44601</v>
      </c>
      <c r="AM171" s="1">
        <v>341.5</v>
      </c>
      <c r="AN171" s="1">
        <v>342.06951871657702</v>
      </c>
      <c r="AO171" s="1">
        <v>21131</v>
      </c>
      <c r="AP171" s="1">
        <v>58465.97</v>
      </c>
      <c r="AQ171" s="215">
        <f t="shared" si="29"/>
        <v>-7.8074155004163037E-3</v>
      </c>
      <c r="AR171" s="215">
        <f t="shared" si="24"/>
        <v>-2.5677603423680417E-2</v>
      </c>
      <c r="AS171" s="231">
        <v>7228271</v>
      </c>
    </row>
    <row r="172" spans="2:45">
      <c r="B172" s="230">
        <v>43332</v>
      </c>
      <c r="C172" s="1">
        <v>378</v>
      </c>
      <c r="D172" s="1">
        <v>374.88424068767898</v>
      </c>
      <c r="E172" s="1">
        <v>1745</v>
      </c>
      <c r="F172" s="215">
        <v>38278.75</v>
      </c>
      <c r="G172" s="215">
        <f t="shared" si="25"/>
        <v>-1.8283565033982985E-4</v>
      </c>
      <c r="H172" s="215">
        <f t="shared" si="20"/>
        <v>4.8398280404936767E-2</v>
      </c>
      <c r="I172" s="231">
        <v>654173</v>
      </c>
      <c r="K172" s="230">
        <v>43332</v>
      </c>
      <c r="L172" s="1">
        <v>467.8</v>
      </c>
      <c r="M172" s="1">
        <v>468.68101845957898</v>
      </c>
      <c r="N172" s="1">
        <v>39275</v>
      </c>
      <c r="O172" s="1">
        <v>38278.75</v>
      </c>
      <c r="P172" s="215">
        <f t="shared" si="26"/>
        <v>-1.8283565033982985E-4</v>
      </c>
      <c r="Q172" s="215">
        <f t="shared" si="21"/>
        <v>-1.6296919356534545E-2</v>
      </c>
      <c r="R172" s="231">
        <v>18407447</v>
      </c>
      <c r="T172" s="230">
        <v>43332</v>
      </c>
      <c r="U172" s="1">
        <v>139.80000000000001</v>
      </c>
      <c r="V172" s="1">
        <v>139.03357534449501</v>
      </c>
      <c r="W172" s="1">
        <v>168725</v>
      </c>
      <c r="X172" s="1">
        <v>38278.75</v>
      </c>
      <c r="Y172" s="215">
        <f t="shared" si="27"/>
        <v>-1.8283565033982985E-4</v>
      </c>
      <c r="Z172" s="215">
        <f t="shared" si="22"/>
        <v>6.1173083843111264E-3</v>
      </c>
      <c r="AA172" s="231">
        <v>23458440</v>
      </c>
      <c r="AC172" s="230">
        <v>43332</v>
      </c>
      <c r="AD172" s="1">
        <v>55.6</v>
      </c>
      <c r="AE172" s="1">
        <v>55.358728098637201</v>
      </c>
      <c r="AF172" s="1">
        <v>7705</v>
      </c>
      <c r="AG172" s="1">
        <v>38278.75</v>
      </c>
      <c r="AH172" s="215">
        <f t="shared" si="28"/>
        <v>-1.8283565033982985E-4</v>
      </c>
      <c r="AI172" s="215">
        <f t="shared" si="23"/>
        <v>2.5830258302582898E-2</v>
      </c>
      <c r="AJ172" s="231">
        <v>426539</v>
      </c>
      <c r="AL172" s="230">
        <v>44602</v>
      </c>
      <c r="AM172" s="1">
        <v>350.5</v>
      </c>
      <c r="AN172" s="1">
        <v>352.10575981725202</v>
      </c>
      <c r="AO172" s="1">
        <v>36772</v>
      </c>
      <c r="AP172" s="1">
        <v>58926.03</v>
      </c>
      <c r="AQ172" s="215">
        <f t="shared" si="29"/>
        <v>1.3294431302847798E-2</v>
      </c>
      <c r="AR172" s="215">
        <f t="shared" si="24"/>
        <v>2.0527005386519193E-2</v>
      </c>
      <c r="AS172" s="231">
        <v>12947633</v>
      </c>
    </row>
    <row r="173" spans="2:45">
      <c r="B173" s="230">
        <v>43333</v>
      </c>
      <c r="C173" s="1">
        <v>360.55</v>
      </c>
      <c r="D173" s="1">
        <v>364.82040816326497</v>
      </c>
      <c r="E173" s="1">
        <v>2940</v>
      </c>
      <c r="F173" s="215">
        <v>38285.75</v>
      </c>
      <c r="G173" s="215">
        <f t="shared" si="25"/>
        <v>-1.3305767101863264E-3</v>
      </c>
      <c r="H173" s="215">
        <f t="shared" si="20"/>
        <v>4.4013319820471963E-2</v>
      </c>
      <c r="I173" s="231">
        <v>1072572</v>
      </c>
      <c r="K173" s="230">
        <v>43333</v>
      </c>
      <c r="L173" s="1">
        <v>475.55</v>
      </c>
      <c r="M173" s="1">
        <v>478.799290393013</v>
      </c>
      <c r="N173" s="1">
        <v>18320</v>
      </c>
      <c r="O173" s="1">
        <v>38285.75</v>
      </c>
      <c r="P173" s="215">
        <f t="shared" si="26"/>
        <v>-1.3305767101863264E-3</v>
      </c>
      <c r="Q173" s="215">
        <f t="shared" si="21"/>
        <v>-3.0874261259425273E-2</v>
      </c>
      <c r="R173" s="231">
        <v>8771603</v>
      </c>
      <c r="T173" s="230">
        <v>43333</v>
      </c>
      <c r="U173" s="1">
        <v>138.94999999999999</v>
      </c>
      <c r="V173" s="1">
        <v>140.11085036302799</v>
      </c>
      <c r="W173" s="1">
        <v>167893</v>
      </c>
      <c r="X173" s="1">
        <v>38285.75</v>
      </c>
      <c r="Y173" s="215">
        <f t="shared" si="27"/>
        <v>-1.3305767101863264E-3</v>
      </c>
      <c r="Z173" s="215">
        <f t="shared" si="22"/>
        <v>3.0786350148367836E-2</v>
      </c>
      <c r="AA173" s="231">
        <v>23523631</v>
      </c>
      <c r="AC173" s="230">
        <v>43333</v>
      </c>
      <c r="AD173" s="1">
        <v>54.2</v>
      </c>
      <c r="AE173" s="1">
        <v>54.0564390508965</v>
      </c>
      <c r="AF173" s="1">
        <v>27605</v>
      </c>
      <c r="AG173" s="1">
        <v>38285.75</v>
      </c>
      <c r="AH173" s="215">
        <f t="shared" si="28"/>
        <v>-1.3305767101863264E-3</v>
      </c>
      <c r="AI173" s="215">
        <f t="shared" si="23"/>
        <v>2.0715630885122405E-2</v>
      </c>
      <c r="AJ173" s="231">
        <v>1492228</v>
      </c>
      <c r="AL173" s="230">
        <v>44603</v>
      </c>
      <c r="AM173" s="1">
        <v>343.45</v>
      </c>
      <c r="AN173" s="1">
        <v>345.92821067821001</v>
      </c>
      <c r="AO173" s="1">
        <v>22176</v>
      </c>
      <c r="AP173" s="1">
        <v>58152.92</v>
      </c>
      <c r="AQ173" s="215">
        <f t="shared" si="29"/>
        <v>3.0973388571112537E-2</v>
      </c>
      <c r="AR173" s="215">
        <f t="shared" si="24"/>
        <v>3.6986714975845381E-2</v>
      </c>
      <c r="AS173" s="231">
        <v>7671304</v>
      </c>
    </row>
    <row r="174" spans="2:45">
      <c r="B174" s="230">
        <v>43335</v>
      </c>
      <c r="C174" s="1">
        <v>345.35</v>
      </c>
      <c r="D174" s="1">
        <v>358.11653888280301</v>
      </c>
      <c r="E174" s="1">
        <v>4565</v>
      </c>
      <c r="F174" s="215">
        <v>38336.76</v>
      </c>
      <c r="G174" s="215">
        <f t="shared" si="25"/>
        <v>2.2210719495552311E-3</v>
      </c>
      <c r="H174" s="215">
        <f t="shared" si="20"/>
        <v>-1.3708410681136485E-2</v>
      </c>
      <c r="I174" s="231">
        <v>1634802</v>
      </c>
      <c r="K174" s="230">
        <v>43335</v>
      </c>
      <c r="L174" s="1">
        <v>490.7</v>
      </c>
      <c r="M174" s="1">
        <v>480.25964482547403</v>
      </c>
      <c r="N174" s="1">
        <v>45724</v>
      </c>
      <c r="O174" s="1">
        <v>38336.76</v>
      </c>
      <c r="P174" s="215">
        <f t="shared" si="26"/>
        <v>2.2210719495552311E-3</v>
      </c>
      <c r="Q174" s="215">
        <f t="shared" si="21"/>
        <v>-6.1759082217973216E-2</v>
      </c>
      <c r="R174" s="231">
        <v>21959392</v>
      </c>
      <c r="T174" s="230">
        <v>43335</v>
      </c>
      <c r="U174" s="1">
        <v>134.80000000000001</v>
      </c>
      <c r="V174" s="1">
        <v>135.55680400777001</v>
      </c>
      <c r="W174" s="1">
        <v>97810</v>
      </c>
      <c r="X174" s="1">
        <v>38336.76</v>
      </c>
      <c r="Y174" s="215">
        <f t="shared" si="27"/>
        <v>2.2210719495552311E-3</v>
      </c>
      <c r="Z174" s="215">
        <f t="shared" si="22"/>
        <v>-1.6776075857038553E-2</v>
      </c>
      <c r="AA174" s="231">
        <v>13258811</v>
      </c>
      <c r="AC174" s="230">
        <v>43335</v>
      </c>
      <c r="AD174" s="1">
        <v>53.1</v>
      </c>
      <c r="AE174" s="1">
        <v>53.606338615512897</v>
      </c>
      <c r="AF174" s="1">
        <v>5995</v>
      </c>
      <c r="AG174" s="1">
        <v>38336.76</v>
      </c>
      <c r="AH174" s="215">
        <f t="shared" si="28"/>
        <v>2.2210719495552311E-3</v>
      </c>
      <c r="AI174" s="215">
        <f t="shared" si="23"/>
        <v>8.5470085470085166E-3</v>
      </c>
      <c r="AJ174" s="231">
        <v>321370</v>
      </c>
      <c r="AL174" s="230">
        <v>44606</v>
      </c>
      <c r="AM174" s="1">
        <v>331.2</v>
      </c>
      <c r="AN174" s="1">
        <v>331.64716404561301</v>
      </c>
      <c r="AO174" s="1">
        <v>53668</v>
      </c>
      <c r="AP174" s="1">
        <v>56405.84</v>
      </c>
      <c r="AQ174" s="215">
        <f t="shared" si="29"/>
        <v>-2.9861520190636703E-2</v>
      </c>
      <c r="AR174" s="215">
        <f t="shared" si="24"/>
        <v>-4.9571879224876714E-3</v>
      </c>
      <c r="AS174" s="231">
        <v>17798840</v>
      </c>
    </row>
    <row r="175" spans="2:45">
      <c r="B175" s="230">
        <v>43336</v>
      </c>
      <c r="C175" s="1">
        <v>350.15</v>
      </c>
      <c r="D175" s="1">
        <v>349.32621359223299</v>
      </c>
      <c r="E175" s="1">
        <v>515</v>
      </c>
      <c r="F175" s="215">
        <v>38251.800000000003</v>
      </c>
      <c r="G175" s="215">
        <f t="shared" si="25"/>
        <v>-1.1430938713928196E-2</v>
      </c>
      <c r="H175" s="215">
        <f t="shared" si="20"/>
        <v>4.2857142857144481E-4</v>
      </c>
      <c r="I175" s="231">
        <v>179903</v>
      </c>
      <c r="K175" s="230">
        <v>43336</v>
      </c>
      <c r="L175" s="1">
        <v>523</v>
      </c>
      <c r="M175" s="1">
        <v>517.23212692797404</v>
      </c>
      <c r="N175" s="1">
        <v>131161</v>
      </c>
      <c r="O175" s="1">
        <v>38251.800000000003</v>
      </c>
      <c r="P175" s="215">
        <f t="shared" si="26"/>
        <v>-1.1430938713928196E-2</v>
      </c>
      <c r="Q175" s="215">
        <f t="shared" si="21"/>
        <v>-2.2886501634750145E-2</v>
      </c>
      <c r="R175" s="231">
        <v>67840683</v>
      </c>
      <c r="T175" s="230">
        <v>43336</v>
      </c>
      <c r="U175" s="1">
        <v>137.1</v>
      </c>
      <c r="V175" s="1">
        <v>136.78860709233899</v>
      </c>
      <c r="W175" s="1">
        <v>161188</v>
      </c>
      <c r="X175" s="1">
        <v>38251.800000000003</v>
      </c>
      <c r="Y175" s="215">
        <f t="shared" si="27"/>
        <v>-1.1430938713928196E-2</v>
      </c>
      <c r="Z175" s="215">
        <f t="shared" si="22"/>
        <v>-3.0410183875530516E-2</v>
      </c>
      <c r="AA175" s="231">
        <v>22048682</v>
      </c>
      <c r="AC175" s="230">
        <v>43336</v>
      </c>
      <c r="AD175" s="1">
        <v>52.65</v>
      </c>
      <c r="AE175" s="1">
        <v>52.709140826873302</v>
      </c>
      <c r="AF175" s="1">
        <v>6192</v>
      </c>
      <c r="AG175" s="1">
        <v>38251.800000000003</v>
      </c>
      <c r="AH175" s="215">
        <f t="shared" si="28"/>
        <v>-1.1430938713928196E-2</v>
      </c>
      <c r="AI175" s="215">
        <f t="shared" si="23"/>
        <v>-5.1351351351351382E-2</v>
      </c>
      <c r="AJ175" s="231">
        <v>326375</v>
      </c>
      <c r="AL175" s="230">
        <v>44607</v>
      </c>
      <c r="AM175" s="1">
        <v>332.85</v>
      </c>
      <c r="AN175" s="1">
        <v>329.67319266360499</v>
      </c>
      <c r="AO175" s="1">
        <v>42037</v>
      </c>
      <c r="AP175" s="1">
        <v>58142.05</v>
      </c>
      <c r="AQ175" s="215">
        <f t="shared" si="29"/>
        <v>2.5065227871665652E-3</v>
      </c>
      <c r="AR175" s="215">
        <f t="shared" si="24"/>
        <v>7.110438729198254E-3</v>
      </c>
      <c r="AS175" s="231">
        <v>13858472</v>
      </c>
    </row>
    <row r="176" spans="2:45">
      <c r="B176" s="230">
        <v>43339</v>
      </c>
      <c r="C176" s="1">
        <v>350</v>
      </c>
      <c r="D176" s="1">
        <v>350.68482381019197</v>
      </c>
      <c r="E176" s="1">
        <v>7123</v>
      </c>
      <c r="F176" s="215">
        <v>38694.11</v>
      </c>
      <c r="G176" s="215">
        <f t="shared" si="25"/>
        <v>-5.2066207278110843E-3</v>
      </c>
      <c r="H176" s="215">
        <f t="shared" si="20"/>
        <v>-3.9648785841679191E-2</v>
      </c>
      <c r="I176" s="231">
        <v>2497928</v>
      </c>
      <c r="K176" s="230">
        <v>43339</v>
      </c>
      <c r="L176" s="1">
        <v>535.25</v>
      </c>
      <c r="M176" s="1">
        <v>535.16889600602804</v>
      </c>
      <c r="N176" s="1">
        <v>53080</v>
      </c>
      <c r="O176" s="1">
        <v>38694.11</v>
      </c>
      <c r="P176" s="215">
        <f t="shared" si="26"/>
        <v>-5.2066207278110843E-3</v>
      </c>
      <c r="Q176" s="215">
        <f t="shared" si="21"/>
        <v>6.9607750917131117E-3</v>
      </c>
      <c r="R176" s="231">
        <v>28406765</v>
      </c>
      <c r="T176" s="230">
        <v>43339</v>
      </c>
      <c r="U176" s="1">
        <v>141.4</v>
      </c>
      <c r="V176" s="1">
        <v>141.43858129043801</v>
      </c>
      <c r="W176" s="1">
        <v>106181</v>
      </c>
      <c r="X176" s="1">
        <v>38694.11</v>
      </c>
      <c r="Y176" s="215">
        <f t="shared" si="27"/>
        <v>-5.2066207278110843E-3</v>
      </c>
      <c r="Z176" s="215">
        <f t="shared" si="22"/>
        <v>-4.8772283888328327E-2</v>
      </c>
      <c r="AA176" s="231">
        <v>15018090</v>
      </c>
      <c r="AC176" s="230">
        <v>43339</v>
      </c>
      <c r="AD176" s="1">
        <v>55.5</v>
      </c>
      <c r="AE176" s="1">
        <v>54.731605543220198</v>
      </c>
      <c r="AF176" s="1">
        <v>26122</v>
      </c>
      <c r="AG176" s="1">
        <v>38694.11</v>
      </c>
      <c r="AH176" s="215">
        <f t="shared" si="28"/>
        <v>-5.2066207278110843E-3</v>
      </c>
      <c r="AI176" s="215">
        <f t="shared" si="23"/>
        <v>4.5248868778280382E-3</v>
      </c>
      <c r="AJ176" s="231">
        <v>1429699</v>
      </c>
      <c r="AL176" s="230">
        <v>44608</v>
      </c>
      <c r="AM176" s="1">
        <v>330.5</v>
      </c>
      <c r="AN176" s="1">
        <v>334.59438446664501</v>
      </c>
      <c r="AO176" s="1">
        <v>99296</v>
      </c>
      <c r="AP176" s="1">
        <v>57996.68</v>
      </c>
      <c r="AQ176" s="215">
        <f t="shared" si="29"/>
        <v>1.8080215214499873E-3</v>
      </c>
      <c r="AR176" s="215">
        <f t="shared" si="24"/>
        <v>7.3148430356597682E-3</v>
      </c>
      <c r="AS176" s="231">
        <v>33223884</v>
      </c>
    </row>
    <row r="177" spans="2:45">
      <c r="B177" s="230">
        <v>43340</v>
      </c>
      <c r="C177" s="1">
        <v>364.45</v>
      </c>
      <c r="D177" s="1">
        <v>367.27706422018298</v>
      </c>
      <c r="E177" s="1">
        <v>2180</v>
      </c>
      <c r="F177" s="215">
        <v>38896.629999999997</v>
      </c>
      <c r="G177" s="215">
        <f t="shared" si="25"/>
        <v>4.4857142783358839E-3</v>
      </c>
      <c r="H177" s="215">
        <f t="shared" si="20"/>
        <v>1.5322468310349668E-2</v>
      </c>
      <c r="I177" s="231">
        <v>800664</v>
      </c>
      <c r="K177" s="230">
        <v>43340</v>
      </c>
      <c r="L177" s="1">
        <v>531.54999999999995</v>
      </c>
      <c r="M177" s="1">
        <v>533.28327658642399</v>
      </c>
      <c r="N177" s="1">
        <v>50223</v>
      </c>
      <c r="O177" s="1">
        <v>38896.629999999997</v>
      </c>
      <c r="P177" s="215">
        <f t="shared" si="26"/>
        <v>4.4857142783358839E-3</v>
      </c>
      <c r="Q177" s="215">
        <f t="shared" si="21"/>
        <v>-7.6542518435546159E-3</v>
      </c>
      <c r="R177" s="231">
        <v>26783086</v>
      </c>
      <c r="T177" s="230">
        <v>43340</v>
      </c>
      <c r="U177" s="1">
        <v>148.65</v>
      </c>
      <c r="V177" s="1">
        <v>150.458266658132</v>
      </c>
      <c r="W177" s="1">
        <v>343706</v>
      </c>
      <c r="X177" s="1">
        <v>38896.629999999997</v>
      </c>
      <c r="Y177" s="215">
        <f t="shared" si="27"/>
        <v>4.4857142783358839E-3</v>
      </c>
      <c r="Z177" s="215">
        <f t="shared" si="22"/>
        <v>1.1224489795918391E-2</v>
      </c>
      <c r="AA177" s="231">
        <v>51713409</v>
      </c>
      <c r="AC177" s="230">
        <v>43340</v>
      </c>
      <c r="AD177" s="1">
        <v>55.25</v>
      </c>
      <c r="AE177" s="1">
        <v>55.567413850786203</v>
      </c>
      <c r="AF177" s="1">
        <v>5978</v>
      </c>
      <c r="AG177" s="1">
        <v>38896.629999999997</v>
      </c>
      <c r="AH177" s="215">
        <f t="shared" si="28"/>
        <v>4.4857142783358839E-3</v>
      </c>
      <c r="AI177" s="215">
        <f t="shared" si="23"/>
        <v>2.031394275161591E-2</v>
      </c>
      <c r="AJ177" s="231">
        <v>332182</v>
      </c>
      <c r="AL177" s="230">
        <v>44609</v>
      </c>
      <c r="AM177" s="1">
        <v>328.1</v>
      </c>
      <c r="AN177" s="1">
        <v>329.99040443528298</v>
      </c>
      <c r="AO177" s="1">
        <v>14069</v>
      </c>
      <c r="AP177" s="1">
        <v>57892.01</v>
      </c>
      <c r="AQ177" s="215">
        <f t="shared" si="29"/>
        <v>1.020870966855103E-3</v>
      </c>
      <c r="AR177" s="215">
        <f t="shared" si="24"/>
        <v>1.4689964434822844E-2</v>
      </c>
      <c r="AS177" s="231">
        <v>4642635</v>
      </c>
    </row>
    <row r="178" spans="2:45">
      <c r="B178" s="230">
        <v>43341</v>
      </c>
      <c r="C178" s="1">
        <v>358.95</v>
      </c>
      <c r="D178" s="1">
        <v>362.356921100524</v>
      </c>
      <c r="E178" s="1">
        <v>9341</v>
      </c>
      <c r="F178" s="215">
        <v>38722.93</v>
      </c>
      <c r="G178" s="215">
        <f t="shared" si="25"/>
        <v>8.4853748116442418E-4</v>
      </c>
      <c r="H178" s="215">
        <f t="shared" si="20"/>
        <v>-1.5766383328763345E-2</v>
      </c>
      <c r="I178" s="231">
        <v>3384776</v>
      </c>
      <c r="K178" s="230">
        <v>43341</v>
      </c>
      <c r="L178" s="1">
        <v>535.65</v>
      </c>
      <c r="M178" s="1">
        <v>536.18709621471601</v>
      </c>
      <c r="N178" s="1">
        <v>23063</v>
      </c>
      <c r="O178" s="1">
        <v>38722.93</v>
      </c>
      <c r="P178" s="215">
        <f t="shared" si="26"/>
        <v>8.4853748116442418E-4</v>
      </c>
      <c r="Q178" s="215">
        <f t="shared" si="21"/>
        <v>-6.2152133580705149E-3</v>
      </c>
      <c r="R178" s="231">
        <v>12366083</v>
      </c>
      <c r="T178" s="230">
        <v>43341</v>
      </c>
      <c r="U178" s="1">
        <v>147</v>
      </c>
      <c r="V178" s="1">
        <v>148.78837231503499</v>
      </c>
      <c r="W178" s="1">
        <v>209500</v>
      </c>
      <c r="X178" s="1">
        <v>38722.93</v>
      </c>
      <c r="Y178" s="215">
        <f t="shared" si="27"/>
        <v>8.4853748116442418E-4</v>
      </c>
      <c r="Z178" s="215">
        <f t="shared" si="22"/>
        <v>-3.7012774320340669E-2</v>
      </c>
      <c r="AA178" s="231">
        <v>31171164</v>
      </c>
      <c r="AC178" s="230">
        <v>43341</v>
      </c>
      <c r="AD178" s="1">
        <v>54.15</v>
      </c>
      <c r="AE178" s="1">
        <v>53.986150424585503</v>
      </c>
      <c r="AF178" s="1">
        <v>9892</v>
      </c>
      <c r="AG178" s="1">
        <v>38722.93</v>
      </c>
      <c r="AH178" s="215">
        <f t="shared" si="28"/>
        <v>8.4853748116442418E-4</v>
      </c>
      <c r="AI178" s="215">
        <f t="shared" si="23"/>
        <v>-4.328621908127217E-2</v>
      </c>
      <c r="AJ178" s="231">
        <v>534031</v>
      </c>
      <c r="AL178" s="230">
        <v>44610</v>
      </c>
      <c r="AM178" s="1">
        <v>323.35000000000002</v>
      </c>
      <c r="AN178" s="1">
        <v>325.15975456089399</v>
      </c>
      <c r="AO178" s="1">
        <v>18253</v>
      </c>
      <c r="AP178" s="1">
        <v>57832.97</v>
      </c>
      <c r="AQ178" s="215">
        <f t="shared" si="29"/>
        <v>2.5896446459037215E-3</v>
      </c>
      <c r="AR178" s="215">
        <f t="shared" si="24"/>
        <v>1.6823899371069206E-2</v>
      </c>
      <c r="AS178" s="231">
        <v>5935141</v>
      </c>
    </row>
    <row r="179" spans="2:45">
      <c r="B179" s="230">
        <v>43342</v>
      </c>
      <c r="C179" s="1">
        <v>364.7</v>
      </c>
      <c r="D179" s="1">
        <v>362.81764111771901</v>
      </c>
      <c r="E179" s="1">
        <v>8911</v>
      </c>
      <c r="F179" s="215">
        <v>38690.1</v>
      </c>
      <c r="G179" s="215">
        <f t="shared" si="25"/>
        <v>1.1652197809448595E-3</v>
      </c>
      <c r="H179" s="215">
        <f t="shared" si="20"/>
        <v>1.3711778417668796E-4</v>
      </c>
      <c r="I179" s="231">
        <v>3233068</v>
      </c>
      <c r="K179" s="230">
        <v>43342</v>
      </c>
      <c r="L179" s="1">
        <v>539</v>
      </c>
      <c r="M179" s="1">
        <v>550.18978853949795</v>
      </c>
      <c r="N179" s="1">
        <v>45635</v>
      </c>
      <c r="O179" s="1">
        <v>38690.1</v>
      </c>
      <c r="P179" s="215">
        <f t="shared" si="26"/>
        <v>1.1652197809448595E-3</v>
      </c>
      <c r="Q179" s="215">
        <f t="shared" si="21"/>
        <v>2.247937019823576E-2</v>
      </c>
      <c r="R179" s="231">
        <v>25107911</v>
      </c>
      <c r="T179" s="230">
        <v>43342</v>
      </c>
      <c r="U179" s="1">
        <v>152.65</v>
      </c>
      <c r="V179" s="1">
        <v>151.77271904195601</v>
      </c>
      <c r="W179" s="1">
        <v>204333</v>
      </c>
      <c r="X179" s="1">
        <v>38690.1</v>
      </c>
      <c r="Y179" s="215">
        <f t="shared" si="27"/>
        <v>1.1652197809448595E-3</v>
      </c>
      <c r="Z179" s="215">
        <f t="shared" si="22"/>
        <v>-1.0051880674448621E-2</v>
      </c>
      <c r="AA179" s="231">
        <v>31012175</v>
      </c>
      <c r="AC179" s="230">
        <v>43342</v>
      </c>
      <c r="AD179" s="1">
        <v>56.6</v>
      </c>
      <c r="AE179" s="1">
        <v>55.9057939604103</v>
      </c>
      <c r="AF179" s="1">
        <v>20763</v>
      </c>
      <c r="AG179" s="1">
        <v>38690.1</v>
      </c>
      <c r="AH179" s="215">
        <f t="shared" si="28"/>
        <v>1.1652197809448595E-3</v>
      </c>
      <c r="AI179" s="215">
        <f t="shared" si="23"/>
        <v>1.7070979335130243E-2</v>
      </c>
      <c r="AJ179" s="231">
        <v>1160772</v>
      </c>
      <c r="AL179" s="230">
        <v>44613</v>
      </c>
      <c r="AM179" s="1">
        <v>318</v>
      </c>
      <c r="AN179" s="1">
        <v>317.58682321268299</v>
      </c>
      <c r="AO179" s="1">
        <v>26744</v>
      </c>
      <c r="AP179" s="1">
        <v>57683.59</v>
      </c>
      <c r="AQ179" s="215">
        <f t="shared" si="29"/>
        <v>6.6824686897257735E-3</v>
      </c>
      <c r="AR179" s="215">
        <f t="shared" si="24"/>
        <v>3.0293212376478307E-2</v>
      </c>
      <c r="AS179" s="231">
        <v>8493542</v>
      </c>
    </row>
    <row r="180" spans="2:45">
      <c r="B180" s="230">
        <v>43343</v>
      </c>
      <c r="C180" s="1">
        <v>364.65</v>
      </c>
      <c r="D180" s="1">
        <v>364.79990167158297</v>
      </c>
      <c r="E180" s="1">
        <v>2034</v>
      </c>
      <c r="F180" s="215">
        <v>38645.07</v>
      </c>
      <c r="G180" s="215">
        <f t="shared" si="25"/>
        <v>8.6799302160234237E-3</v>
      </c>
      <c r="H180" s="215">
        <f t="shared" si="20"/>
        <v>1.8433179723502224E-2</v>
      </c>
      <c r="I180" s="231">
        <v>742003</v>
      </c>
      <c r="K180" s="230">
        <v>43343</v>
      </c>
      <c r="L180" s="1">
        <v>527.15</v>
      </c>
      <c r="M180" s="1">
        <v>533.71512256668996</v>
      </c>
      <c r="N180" s="1">
        <v>11096</v>
      </c>
      <c r="O180" s="1">
        <v>38645.07</v>
      </c>
      <c r="P180" s="215">
        <f t="shared" si="26"/>
        <v>8.6799302160234237E-3</v>
      </c>
      <c r="Q180" s="215">
        <f t="shared" si="21"/>
        <v>-1.7989017231585525E-3</v>
      </c>
      <c r="R180" s="231">
        <v>5922103</v>
      </c>
      <c r="T180" s="230">
        <v>43343</v>
      </c>
      <c r="U180" s="1">
        <v>154.19999999999999</v>
      </c>
      <c r="V180" s="1">
        <v>153.890373113073</v>
      </c>
      <c r="W180" s="1">
        <v>140440</v>
      </c>
      <c r="X180" s="1">
        <v>38645.07</v>
      </c>
      <c r="Y180" s="215">
        <f t="shared" si="27"/>
        <v>8.6799302160234237E-3</v>
      </c>
      <c r="Z180" s="215">
        <f t="shared" si="22"/>
        <v>2.4925224327019047E-2</v>
      </c>
      <c r="AA180" s="231">
        <v>21612364</v>
      </c>
      <c r="AC180" s="230">
        <v>43343</v>
      </c>
      <c r="AD180" s="1">
        <v>55.65</v>
      </c>
      <c r="AE180" s="1">
        <v>56.167668488160203</v>
      </c>
      <c r="AF180" s="1">
        <v>10980</v>
      </c>
      <c r="AG180" s="1">
        <v>38645.07</v>
      </c>
      <c r="AH180" s="215">
        <f t="shared" si="28"/>
        <v>8.6799302160234237E-3</v>
      </c>
      <c r="AI180" s="215">
        <f t="shared" si="23"/>
        <v>2.4861878453038777E-2</v>
      </c>
      <c r="AJ180" s="231">
        <v>616721</v>
      </c>
      <c r="AL180" s="230">
        <v>44614</v>
      </c>
      <c r="AM180" s="1">
        <v>308.64999999999998</v>
      </c>
      <c r="AN180" s="1">
        <v>308.36863480162401</v>
      </c>
      <c r="AO180" s="1">
        <v>38412</v>
      </c>
      <c r="AP180" s="1">
        <v>57300.68</v>
      </c>
      <c r="AQ180" s="215">
        <f t="shared" si="29"/>
        <v>1.1989783348704819E-3</v>
      </c>
      <c r="AR180" s="215">
        <f t="shared" si="24"/>
        <v>-1.7194714217481422E-2</v>
      </c>
      <c r="AS180" s="231">
        <v>11845056</v>
      </c>
    </row>
    <row r="181" spans="2:45">
      <c r="B181" s="230">
        <v>43346</v>
      </c>
      <c r="C181" s="1">
        <v>358.05</v>
      </c>
      <c r="D181" s="1">
        <v>365.39552238805902</v>
      </c>
      <c r="E181" s="1">
        <v>134</v>
      </c>
      <c r="F181" s="215">
        <v>38312.519999999997</v>
      </c>
      <c r="G181" s="215">
        <f t="shared" si="25"/>
        <v>4.0515835244687715E-3</v>
      </c>
      <c r="H181" s="215">
        <f t="shared" si="20"/>
        <v>4.5859500511172824E-2</v>
      </c>
      <c r="I181" s="231">
        <v>48963</v>
      </c>
      <c r="K181" s="230">
        <v>43346</v>
      </c>
      <c r="L181" s="1">
        <v>528.1</v>
      </c>
      <c r="M181" s="1">
        <v>525.88032243707005</v>
      </c>
      <c r="N181" s="1">
        <v>20221</v>
      </c>
      <c r="O181" s="1">
        <v>38312.519999999997</v>
      </c>
      <c r="P181" s="215">
        <f t="shared" si="26"/>
        <v>4.0515835244687715E-3</v>
      </c>
      <c r="Q181" s="215">
        <f t="shared" si="21"/>
        <v>3.3868441660140913E-2</v>
      </c>
      <c r="R181" s="231">
        <v>10633826</v>
      </c>
      <c r="T181" s="230">
        <v>43346</v>
      </c>
      <c r="U181" s="1">
        <v>150.44999999999999</v>
      </c>
      <c r="V181" s="1">
        <v>152.76258013569799</v>
      </c>
      <c r="W181" s="1">
        <v>96243</v>
      </c>
      <c r="X181" s="1">
        <v>38312.519999999997</v>
      </c>
      <c r="Y181" s="215">
        <f t="shared" si="27"/>
        <v>4.0515835244687715E-3</v>
      </c>
      <c r="Z181" s="215">
        <f t="shared" si="22"/>
        <v>2.3469387755101989E-2</v>
      </c>
      <c r="AA181" s="231">
        <v>14702329</v>
      </c>
      <c r="AC181" s="230">
        <v>43346</v>
      </c>
      <c r="AD181" s="1">
        <v>54.3</v>
      </c>
      <c r="AE181" s="1">
        <v>55.009928929765799</v>
      </c>
      <c r="AF181" s="1">
        <v>9568</v>
      </c>
      <c r="AG181" s="1">
        <v>38312.519999999997</v>
      </c>
      <c r="AH181" s="215">
        <f t="shared" si="28"/>
        <v>4.0515835244687715E-3</v>
      </c>
      <c r="AI181" s="215">
        <f t="shared" si="23"/>
        <v>3.8240917782026873E-2</v>
      </c>
      <c r="AJ181" s="231">
        <v>526335</v>
      </c>
      <c r="AL181" s="230">
        <v>44615</v>
      </c>
      <c r="AM181" s="1">
        <v>314.05</v>
      </c>
      <c r="AN181" s="1">
        <v>314.57757708892598</v>
      </c>
      <c r="AO181" s="1">
        <v>12291</v>
      </c>
      <c r="AP181" s="1">
        <v>57232.06</v>
      </c>
      <c r="AQ181" s="215">
        <f t="shared" si="29"/>
        <v>4.9553538599275138E-2</v>
      </c>
      <c r="AR181" s="215">
        <f t="shared" si="24"/>
        <v>7.9024222642157804E-2</v>
      </c>
      <c r="AS181" s="231">
        <v>3866473</v>
      </c>
    </row>
    <row r="182" spans="2:45">
      <c r="B182" s="230">
        <v>43347</v>
      </c>
      <c r="C182" s="1">
        <v>342.35</v>
      </c>
      <c r="D182" s="1">
        <v>348.84588777863098</v>
      </c>
      <c r="E182" s="1">
        <v>2602</v>
      </c>
      <c r="F182" s="215">
        <v>38157.919999999998</v>
      </c>
      <c r="G182" s="215">
        <f t="shared" si="25"/>
        <v>3.6721779584627523E-3</v>
      </c>
      <c r="H182" s="215">
        <f t="shared" si="20"/>
        <v>3.7424242424242582E-2</v>
      </c>
      <c r="I182" s="231">
        <v>907697</v>
      </c>
      <c r="K182" s="230">
        <v>43347</v>
      </c>
      <c r="L182" s="1">
        <v>510.8</v>
      </c>
      <c r="M182" s="1">
        <v>519.30425963488801</v>
      </c>
      <c r="N182" s="1">
        <v>25143</v>
      </c>
      <c r="O182" s="1">
        <v>38157.919999999998</v>
      </c>
      <c r="P182" s="215">
        <f t="shared" si="26"/>
        <v>3.6721779584627523E-3</v>
      </c>
      <c r="Q182" s="215">
        <f t="shared" si="21"/>
        <v>1.5607913311462385E-2</v>
      </c>
      <c r="R182" s="231">
        <v>13056867</v>
      </c>
      <c r="T182" s="230">
        <v>43347</v>
      </c>
      <c r="U182" s="1">
        <v>147</v>
      </c>
      <c r="V182" s="1">
        <v>147.672492388573</v>
      </c>
      <c r="W182" s="1">
        <v>120214</v>
      </c>
      <c r="X182" s="1">
        <v>38157.919999999998</v>
      </c>
      <c r="Y182" s="215">
        <f t="shared" si="27"/>
        <v>3.6721779584627523E-3</v>
      </c>
      <c r="Z182" s="215">
        <f t="shared" si="22"/>
        <v>1.4142807864780949E-2</v>
      </c>
      <c r="AA182" s="231">
        <v>17752301</v>
      </c>
      <c r="AC182" s="230">
        <v>43347</v>
      </c>
      <c r="AD182" s="1">
        <v>52.3</v>
      </c>
      <c r="AE182" s="1">
        <v>53.150273691412899</v>
      </c>
      <c r="AF182" s="1">
        <v>11692</v>
      </c>
      <c r="AG182" s="1">
        <v>38157.919999999998</v>
      </c>
      <c r="AH182" s="215">
        <f t="shared" si="28"/>
        <v>3.6721779584627523E-3</v>
      </c>
      <c r="AI182" s="215">
        <f t="shared" si="23"/>
        <v>7.7071290944124016E-3</v>
      </c>
      <c r="AJ182" s="231">
        <v>621433</v>
      </c>
      <c r="AL182" s="230">
        <v>44616</v>
      </c>
      <c r="AM182" s="1">
        <v>291.05</v>
      </c>
      <c r="AN182" s="1">
        <v>297.869453292836</v>
      </c>
      <c r="AO182" s="1">
        <v>107992</v>
      </c>
      <c r="AP182" s="1">
        <v>54529.91</v>
      </c>
      <c r="AQ182" s="215">
        <f t="shared" si="29"/>
        <v>-2.3785270358040123E-2</v>
      </c>
      <c r="AR182" s="215">
        <f t="shared" si="24"/>
        <v>-3.0318174246210083E-2</v>
      </c>
      <c r="AS182" s="231">
        <v>32167518</v>
      </c>
    </row>
    <row r="183" spans="2:45">
      <c r="B183" s="230">
        <v>43348</v>
      </c>
      <c r="C183" s="1">
        <v>330</v>
      </c>
      <c r="D183" s="1">
        <v>328.90266071723602</v>
      </c>
      <c r="E183" s="1">
        <v>6051</v>
      </c>
      <c r="F183" s="215">
        <v>38018.31</v>
      </c>
      <c r="G183" s="215">
        <f t="shared" si="25"/>
        <v>-5.8703845245681174E-3</v>
      </c>
      <c r="H183" s="215">
        <f t="shared" si="20"/>
        <v>9.9464422341239977E-3</v>
      </c>
      <c r="I183" s="231">
        <v>1990190</v>
      </c>
      <c r="K183" s="230">
        <v>43348</v>
      </c>
      <c r="L183" s="1">
        <v>502.95</v>
      </c>
      <c r="M183" s="1">
        <v>503.15010042401201</v>
      </c>
      <c r="N183" s="1">
        <v>22405</v>
      </c>
      <c r="O183" s="1">
        <v>38018.31</v>
      </c>
      <c r="P183" s="215">
        <f t="shared" si="26"/>
        <v>-5.8703845245681174E-3</v>
      </c>
      <c r="Q183" s="215">
        <f t="shared" si="21"/>
        <v>-4.6359499431171791E-2</v>
      </c>
      <c r="R183" s="231">
        <v>11273078</v>
      </c>
      <c r="T183" s="230">
        <v>43348</v>
      </c>
      <c r="U183" s="1">
        <v>144.94999999999999</v>
      </c>
      <c r="V183" s="1">
        <v>144.241112968886</v>
      </c>
      <c r="W183" s="1">
        <v>110048</v>
      </c>
      <c r="X183" s="1">
        <v>38018.31</v>
      </c>
      <c r="Y183" s="215">
        <f t="shared" si="27"/>
        <v>-5.8703845245681174E-3</v>
      </c>
      <c r="Z183" s="215">
        <f t="shared" si="22"/>
        <v>-2.4890682811974596E-2</v>
      </c>
      <c r="AA183" s="231">
        <v>15873446</v>
      </c>
      <c r="AC183" s="230">
        <v>43348</v>
      </c>
      <c r="AD183" s="1">
        <v>51.9</v>
      </c>
      <c r="AE183" s="1">
        <v>51.570370370370298</v>
      </c>
      <c r="AF183" s="1">
        <v>8775</v>
      </c>
      <c r="AG183" s="1">
        <v>38018.31</v>
      </c>
      <c r="AH183" s="215">
        <f t="shared" si="28"/>
        <v>-5.8703845245681174E-3</v>
      </c>
      <c r="AI183" s="215">
        <f t="shared" si="23"/>
        <v>5.8139534883721034E-3</v>
      </c>
      <c r="AJ183" s="231">
        <v>452530</v>
      </c>
      <c r="AL183" s="230">
        <v>44617</v>
      </c>
      <c r="AM183" s="1">
        <v>300.14999999999998</v>
      </c>
      <c r="AN183" s="1">
        <v>301.76502136169398</v>
      </c>
      <c r="AO183" s="1">
        <v>22002</v>
      </c>
      <c r="AP183" s="1">
        <v>55858.52</v>
      </c>
      <c r="AQ183" s="215">
        <f t="shared" si="29"/>
        <v>-6.9116231042639642E-3</v>
      </c>
      <c r="AR183" s="215">
        <f t="shared" si="24"/>
        <v>-1.7512274959083585E-2</v>
      </c>
      <c r="AS183" s="231">
        <v>6639434</v>
      </c>
    </row>
    <row r="184" spans="2:45">
      <c r="B184" s="230">
        <v>43349</v>
      </c>
      <c r="C184" s="1">
        <v>326.75</v>
      </c>
      <c r="D184" s="1">
        <v>329.991360089186</v>
      </c>
      <c r="E184" s="1">
        <v>10764</v>
      </c>
      <c r="F184" s="215">
        <v>38242.81</v>
      </c>
      <c r="G184" s="215">
        <f t="shared" si="25"/>
        <v>-3.8294006067234321E-3</v>
      </c>
      <c r="H184" s="215">
        <f t="shared" si="20"/>
        <v>-5.3995367689635199E-2</v>
      </c>
      <c r="I184" s="231">
        <v>3552027</v>
      </c>
      <c r="K184" s="230">
        <v>43349</v>
      </c>
      <c r="L184" s="1">
        <v>527.4</v>
      </c>
      <c r="M184" s="1">
        <v>524.25407270171797</v>
      </c>
      <c r="N184" s="1">
        <v>31306</v>
      </c>
      <c r="O184" s="1">
        <v>38242.81</v>
      </c>
      <c r="P184" s="215">
        <f t="shared" si="26"/>
        <v>-3.8294006067234321E-3</v>
      </c>
      <c r="Q184" s="215">
        <f t="shared" si="21"/>
        <v>-3.2027163439478867E-2</v>
      </c>
      <c r="R184" s="231">
        <v>16412298</v>
      </c>
      <c r="T184" s="230">
        <v>43349</v>
      </c>
      <c r="U184" s="1">
        <v>148.65</v>
      </c>
      <c r="V184" s="1">
        <v>148.07451075088099</v>
      </c>
      <c r="W184" s="1">
        <v>95248</v>
      </c>
      <c r="X184" s="1">
        <v>38242.81</v>
      </c>
      <c r="Y184" s="215">
        <f t="shared" si="27"/>
        <v>-3.8294006067234321E-3</v>
      </c>
      <c r="Z184" s="215">
        <f t="shared" si="22"/>
        <v>-6.0069554220676613E-2</v>
      </c>
      <c r="AA184" s="231">
        <v>14103801</v>
      </c>
      <c r="AC184" s="230">
        <v>43349</v>
      </c>
      <c r="AD184" s="1">
        <v>51.6</v>
      </c>
      <c r="AE184" s="1">
        <v>51.893954745018497</v>
      </c>
      <c r="AF184" s="1">
        <v>2961</v>
      </c>
      <c r="AG184" s="1">
        <v>38242.81</v>
      </c>
      <c r="AH184" s="215">
        <f t="shared" si="28"/>
        <v>-3.8294006067234321E-3</v>
      </c>
      <c r="AI184" s="215">
        <f t="shared" si="23"/>
        <v>-1.9943019943019835E-2</v>
      </c>
      <c r="AJ184" s="231">
        <v>153658</v>
      </c>
      <c r="AL184" s="230">
        <v>44620</v>
      </c>
      <c r="AM184" s="1">
        <v>305.5</v>
      </c>
      <c r="AN184" s="1">
        <v>301.79871505224497</v>
      </c>
      <c r="AO184" s="1">
        <v>28328</v>
      </c>
      <c r="AP184" s="1">
        <v>56247.28</v>
      </c>
      <c r="AQ184" s="215">
        <f t="shared" si="29"/>
        <v>1.4032728249523618E-2</v>
      </c>
      <c r="AR184" s="215">
        <f t="shared" si="24"/>
        <v>-4.4117647058823595E-2</v>
      </c>
      <c r="AS184" s="231">
        <v>8549354</v>
      </c>
    </row>
    <row r="185" spans="2:45">
      <c r="B185" s="230">
        <v>43350</v>
      </c>
      <c r="C185" s="1">
        <v>345.4</v>
      </c>
      <c r="D185" s="1">
        <v>342.72723857232302</v>
      </c>
      <c r="E185" s="1">
        <v>7985</v>
      </c>
      <c r="F185" s="215">
        <v>38389.82</v>
      </c>
      <c r="G185" s="215">
        <f t="shared" si="25"/>
        <v>1.2331836495643511E-2</v>
      </c>
      <c r="H185" s="215">
        <f t="shared" si="20"/>
        <v>-2.6356589147286891E-2</v>
      </c>
      <c r="I185" s="231">
        <v>2736677</v>
      </c>
      <c r="K185" s="230">
        <v>43350</v>
      </c>
      <c r="L185" s="1">
        <v>544.85</v>
      </c>
      <c r="M185" s="1">
        <v>540.41993618174104</v>
      </c>
      <c r="N185" s="1">
        <v>49829</v>
      </c>
      <c r="O185" s="1">
        <v>38389.82</v>
      </c>
      <c r="P185" s="215">
        <f t="shared" si="26"/>
        <v>1.2331836495643511E-2</v>
      </c>
      <c r="Q185" s="215">
        <f t="shared" si="21"/>
        <v>-4.3871194173905392E-2</v>
      </c>
      <c r="R185" s="231">
        <v>26928585</v>
      </c>
      <c r="T185" s="230">
        <v>43350</v>
      </c>
      <c r="U185" s="1">
        <v>158.15</v>
      </c>
      <c r="V185" s="1">
        <v>155.71623941027599</v>
      </c>
      <c r="W185" s="1">
        <v>272670</v>
      </c>
      <c r="X185" s="1">
        <v>38389.82</v>
      </c>
      <c r="Y185" s="215">
        <f t="shared" si="27"/>
        <v>1.2331836495643511E-2</v>
      </c>
      <c r="Z185" s="215">
        <f t="shared" si="22"/>
        <v>1.3457225248317828E-2</v>
      </c>
      <c r="AA185" s="231">
        <v>42459147</v>
      </c>
      <c r="AC185" s="230">
        <v>43350</v>
      </c>
      <c r="AD185" s="1">
        <v>52.65</v>
      </c>
      <c r="AE185" s="1">
        <v>52.488663017982702</v>
      </c>
      <c r="AF185" s="1">
        <v>3837</v>
      </c>
      <c r="AG185" s="1">
        <v>38389.82</v>
      </c>
      <c r="AH185" s="215">
        <f t="shared" si="28"/>
        <v>1.2331836495643511E-2</v>
      </c>
      <c r="AI185" s="215">
        <f t="shared" si="23"/>
        <v>-8.4745762711865291E-3</v>
      </c>
      <c r="AJ185" s="231">
        <v>201399</v>
      </c>
      <c r="AL185" s="230">
        <v>44622</v>
      </c>
      <c r="AM185" s="1">
        <v>319.60000000000002</v>
      </c>
      <c r="AN185" s="1">
        <v>318.53485489792502</v>
      </c>
      <c r="AO185" s="1">
        <v>42763</v>
      </c>
      <c r="AP185" s="1">
        <v>55468.9</v>
      </c>
      <c r="AQ185" s="215">
        <f t="shared" si="29"/>
        <v>6.6461377196171956E-3</v>
      </c>
      <c r="AR185" s="215">
        <f t="shared" si="24"/>
        <v>-5.9097978227059533E-3</v>
      </c>
      <c r="AS185" s="231">
        <v>13621506</v>
      </c>
    </row>
    <row r="186" spans="2:45">
      <c r="B186" s="230">
        <v>43353</v>
      </c>
      <c r="C186" s="1">
        <v>354.75</v>
      </c>
      <c r="D186" s="1">
        <v>349.315689613232</v>
      </c>
      <c r="E186" s="1">
        <v>20555</v>
      </c>
      <c r="F186" s="215">
        <v>37922.17</v>
      </c>
      <c r="G186" s="215">
        <f t="shared" si="25"/>
        <v>1.3605918563883934E-2</v>
      </c>
      <c r="H186" s="215">
        <f t="shared" si="20"/>
        <v>-7.0422535211267512E-4</v>
      </c>
      <c r="I186" s="231">
        <v>7180184</v>
      </c>
      <c r="K186" s="230">
        <v>43353</v>
      </c>
      <c r="L186" s="1">
        <v>569.85</v>
      </c>
      <c r="M186" s="1">
        <v>570.07184080875197</v>
      </c>
      <c r="N186" s="1">
        <v>78145</v>
      </c>
      <c r="O186" s="1">
        <v>37922.17</v>
      </c>
      <c r="P186" s="215">
        <f t="shared" si="26"/>
        <v>1.3605918563883934E-2</v>
      </c>
      <c r="Q186" s="215">
        <f t="shared" si="21"/>
        <v>2.1969153515064566E-2</v>
      </c>
      <c r="R186" s="231">
        <v>44548264</v>
      </c>
      <c r="T186" s="230">
        <v>43353</v>
      </c>
      <c r="U186" s="1">
        <v>156.05000000000001</v>
      </c>
      <c r="V186" s="1">
        <v>159.24923377677601</v>
      </c>
      <c r="W186" s="1">
        <v>181083</v>
      </c>
      <c r="X186" s="1">
        <v>37922.17</v>
      </c>
      <c r="Y186" s="215">
        <f t="shared" si="27"/>
        <v>1.3605918563883934E-2</v>
      </c>
      <c r="Z186" s="215">
        <f t="shared" si="22"/>
        <v>2.1269633507853491E-2</v>
      </c>
      <c r="AA186" s="231">
        <v>28837329</v>
      </c>
      <c r="AC186" s="230">
        <v>43353</v>
      </c>
      <c r="AD186" s="1">
        <v>53.1</v>
      </c>
      <c r="AE186" s="1">
        <v>52.847361389445503</v>
      </c>
      <c r="AF186" s="1">
        <v>2994</v>
      </c>
      <c r="AG186" s="1">
        <v>37922.17</v>
      </c>
      <c r="AH186" s="215">
        <f t="shared" si="28"/>
        <v>1.3605918563883934E-2</v>
      </c>
      <c r="AI186" s="215">
        <f t="shared" si="23"/>
        <v>4.6305418719211788E-2</v>
      </c>
      <c r="AJ186" s="231">
        <v>158225</v>
      </c>
      <c r="AL186" s="230">
        <v>44623</v>
      </c>
      <c r="AM186" s="1">
        <v>321.5</v>
      </c>
      <c r="AN186" s="1">
        <v>324.04827521851303</v>
      </c>
      <c r="AO186" s="1">
        <v>32149</v>
      </c>
      <c r="AP186" s="1">
        <v>55102.68</v>
      </c>
      <c r="AQ186" s="215">
        <f t="shared" si="29"/>
        <v>1.4150857449532817E-2</v>
      </c>
      <c r="AR186" s="215">
        <f t="shared" si="24"/>
        <v>4.0453074433656866E-2</v>
      </c>
      <c r="AS186" s="231">
        <v>10417828</v>
      </c>
    </row>
    <row r="187" spans="2:45">
      <c r="B187" s="230">
        <v>43354</v>
      </c>
      <c r="C187" s="1">
        <v>355</v>
      </c>
      <c r="D187" s="1">
        <v>354.095739700374</v>
      </c>
      <c r="E187" s="1">
        <v>4272</v>
      </c>
      <c r="F187" s="215">
        <v>37413.129999999997</v>
      </c>
      <c r="G187" s="215">
        <f t="shared" si="25"/>
        <v>-8.0818262705618649E-3</v>
      </c>
      <c r="H187" s="215">
        <f t="shared" si="20"/>
        <v>-2.8089887640448952E-3</v>
      </c>
      <c r="I187" s="231">
        <v>1512697</v>
      </c>
      <c r="K187" s="230">
        <v>43354</v>
      </c>
      <c r="L187" s="1">
        <v>557.6</v>
      </c>
      <c r="M187" s="1">
        <v>569.21314465756404</v>
      </c>
      <c r="N187" s="1">
        <v>18091</v>
      </c>
      <c r="O187" s="1">
        <v>37413.129999999997</v>
      </c>
      <c r="P187" s="215">
        <f t="shared" si="26"/>
        <v>-8.0818262705618649E-3</v>
      </c>
      <c r="Q187" s="215">
        <f t="shared" si="21"/>
        <v>3.9425855158915057E-2</v>
      </c>
      <c r="R187" s="231">
        <v>10297635</v>
      </c>
      <c r="T187" s="230">
        <v>43354</v>
      </c>
      <c r="U187" s="1">
        <v>152.80000000000001</v>
      </c>
      <c r="V187" s="1">
        <v>157.311723862994</v>
      </c>
      <c r="W187" s="1">
        <v>150505</v>
      </c>
      <c r="X187" s="1">
        <v>37413.129999999997</v>
      </c>
      <c r="Y187" s="215">
        <f t="shared" si="27"/>
        <v>-8.0818262705618649E-3</v>
      </c>
      <c r="Z187" s="215">
        <f t="shared" si="22"/>
        <v>2.8956228956229069E-2</v>
      </c>
      <c r="AA187" s="231">
        <v>23676201</v>
      </c>
      <c r="AC187" s="230">
        <v>43354</v>
      </c>
      <c r="AD187" s="1">
        <v>50.75</v>
      </c>
      <c r="AE187" s="1">
        <v>51.643626666666599</v>
      </c>
      <c r="AF187" s="1">
        <v>9375</v>
      </c>
      <c r="AG187" s="1">
        <v>37413.129999999997</v>
      </c>
      <c r="AH187" s="215">
        <f t="shared" si="28"/>
        <v>-8.0818262705618649E-3</v>
      </c>
      <c r="AI187" s="215">
        <f t="shared" si="23"/>
        <v>-6.8493150684931781E-3</v>
      </c>
      <c r="AJ187" s="231">
        <v>484159</v>
      </c>
      <c r="AL187" s="230">
        <v>44624</v>
      </c>
      <c r="AM187" s="1">
        <v>309</v>
      </c>
      <c r="AN187" s="1">
        <v>314.129895585962</v>
      </c>
      <c r="AO187" s="1">
        <v>26529</v>
      </c>
      <c r="AP187" s="1">
        <v>54333.81</v>
      </c>
      <c r="AQ187" s="215">
        <f t="shared" si="29"/>
        <v>2.8216926636104311E-2</v>
      </c>
      <c r="AR187" s="215">
        <f t="shared" si="24"/>
        <v>3.2467532467532756E-3</v>
      </c>
      <c r="AS187" s="231">
        <v>8333552</v>
      </c>
    </row>
    <row r="188" spans="2:45">
      <c r="B188" s="230">
        <v>43355</v>
      </c>
      <c r="C188" s="1">
        <v>356</v>
      </c>
      <c r="D188" s="1">
        <v>353.60313901345199</v>
      </c>
      <c r="E188" s="1">
        <v>892</v>
      </c>
      <c r="F188" s="215">
        <v>37717.96</v>
      </c>
      <c r="G188" s="215">
        <f t="shared" si="25"/>
        <v>-9.7840309325335495E-3</v>
      </c>
      <c r="H188" s="215">
        <f t="shared" si="20"/>
        <v>-6.1418202121719112E-3</v>
      </c>
      <c r="I188" s="231">
        <v>315414</v>
      </c>
      <c r="K188" s="230">
        <v>43355</v>
      </c>
      <c r="L188" s="1">
        <v>536.45000000000005</v>
      </c>
      <c r="M188" s="1">
        <v>536.94338680481803</v>
      </c>
      <c r="N188" s="1">
        <v>32042</v>
      </c>
      <c r="O188" s="1">
        <v>37717.96</v>
      </c>
      <c r="P188" s="215">
        <f t="shared" si="26"/>
        <v>-9.7840309325335495E-3</v>
      </c>
      <c r="Q188" s="215">
        <f t="shared" si="21"/>
        <v>-1.1172144120656924E-3</v>
      </c>
      <c r="R188" s="231">
        <v>17204740</v>
      </c>
      <c r="T188" s="230">
        <v>43355</v>
      </c>
      <c r="U188" s="1">
        <v>148.5</v>
      </c>
      <c r="V188" s="1">
        <v>149.247351973684</v>
      </c>
      <c r="W188" s="1">
        <v>121600</v>
      </c>
      <c r="X188" s="1">
        <v>37717.96</v>
      </c>
      <c r="Y188" s="215">
        <f t="shared" si="27"/>
        <v>-9.7840309325335495E-3</v>
      </c>
      <c r="Z188" s="215">
        <f t="shared" si="22"/>
        <v>4.0567951318457585E-3</v>
      </c>
      <c r="AA188" s="231">
        <v>18148478</v>
      </c>
      <c r="AC188" s="230">
        <v>43355</v>
      </c>
      <c r="AD188" s="1">
        <v>51.1</v>
      </c>
      <c r="AE188" s="1">
        <v>50.851670242108398</v>
      </c>
      <c r="AF188" s="1">
        <v>6526</v>
      </c>
      <c r="AG188" s="1">
        <v>37717.96</v>
      </c>
      <c r="AH188" s="215">
        <f t="shared" si="28"/>
        <v>-9.7840309325335495E-3</v>
      </c>
      <c r="AI188" s="215">
        <f t="shared" si="23"/>
        <v>-5.9797608095676136E-2</v>
      </c>
      <c r="AJ188" s="231">
        <v>331858</v>
      </c>
      <c r="AL188" s="230">
        <v>44627</v>
      </c>
      <c r="AM188" s="1">
        <v>308</v>
      </c>
      <c r="AN188" s="1">
        <v>305.43140269314102</v>
      </c>
      <c r="AO188" s="1">
        <v>53989</v>
      </c>
      <c r="AP188" s="1">
        <v>52842.75</v>
      </c>
      <c r="AQ188" s="215">
        <f t="shared" si="29"/>
        <v>-1.0881607903850066E-2</v>
      </c>
      <c r="AR188" s="215">
        <f t="shared" si="24"/>
        <v>-6.7720090293454938E-3</v>
      </c>
      <c r="AS188" s="231">
        <v>16489936</v>
      </c>
    </row>
    <row r="189" spans="2:45">
      <c r="B189" s="230">
        <v>43357</v>
      </c>
      <c r="C189" s="1">
        <v>358.2</v>
      </c>
      <c r="D189" s="1">
        <v>357.02028985507201</v>
      </c>
      <c r="E189" s="1">
        <v>1725</v>
      </c>
      <c r="F189" s="215">
        <v>38090.639999999999</v>
      </c>
      <c r="G189" s="215">
        <f t="shared" si="25"/>
        <v>1.3439487717473941E-2</v>
      </c>
      <c r="H189" s="215">
        <f t="shared" si="20"/>
        <v>-5.0000000000000044E-3</v>
      </c>
      <c r="I189" s="231">
        <v>615860</v>
      </c>
      <c r="K189" s="230">
        <v>43357</v>
      </c>
      <c r="L189" s="1">
        <v>537.04999999999995</v>
      </c>
      <c r="M189" s="1">
        <v>539.24266771377597</v>
      </c>
      <c r="N189" s="1">
        <v>33107</v>
      </c>
      <c r="O189" s="1">
        <v>38090.639999999999</v>
      </c>
      <c r="P189" s="215">
        <f t="shared" si="26"/>
        <v>1.3439487717473941E-2</v>
      </c>
      <c r="Q189" s="215">
        <f t="shared" si="21"/>
        <v>4.0194428865207854E-3</v>
      </c>
      <c r="R189" s="231">
        <v>17852707</v>
      </c>
      <c r="T189" s="230">
        <v>43357</v>
      </c>
      <c r="U189" s="1">
        <v>147.9</v>
      </c>
      <c r="V189" s="1">
        <v>149.36624751567001</v>
      </c>
      <c r="W189" s="1">
        <v>104656</v>
      </c>
      <c r="X189" s="1">
        <v>38090.639999999999</v>
      </c>
      <c r="Y189" s="215">
        <f t="shared" si="27"/>
        <v>1.3439487717473941E-2</v>
      </c>
      <c r="Z189" s="215">
        <f t="shared" si="22"/>
        <v>-3.7049511620073083E-3</v>
      </c>
      <c r="AA189" s="231">
        <v>15632074</v>
      </c>
      <c r="AC189" s="230">
        <v>43357</v>
      </c>
      <c r="AD189" s="1">
        <v>54.35</v>
      </c>
      <c r="AE189" s="1">
        <v>54.857223385408197</v>
      </c>
      <c r="AF189" s="1">
        <v>12418</v>
      </c>
      <c r="AG189" s="1">
        <v>38090.639999999999</v>
      </c>
      <c r="AH189" s="215">
        <f t="shared" si="28"/>
        <v>1.3439487717473941E-2</v>
      </c>
      <c r="AI189" s="215">
        <f t="shared" si="23"/>
        <v>-3.3777777777777795E-2</v>
      </c>
      <c r="AJ189" s="231">
        <v>681217</v>
      </c>
      <c r="AL189" s="230">
        <v>44628</v>
      </c>
      <c r="AM189" s="1">
        <v>310.10000000000002</v>
      </c>
      <c r="AN189" s="1">
        <v>309.91545136357001</v>
      </c>
      <c r="AO189" s="1">
        <v>54856</v>
      </c>
      <c r="AP189" s="1">
        <v>53424.09</v>
      </c>
      <c r="AQ189" s="215">
        <f t="shared" si="29"/>
        <v>-2.2384259212664293E-2</v>
      </c>
      <c r="AR189" s="215">
        <f t="shared" si="24"/>
        <v>-1.3990461049284475E-2</v>
      </c>
      <c r="AS189" s="231">
        <v>17000722</v>
      </c>
    </row>
    <row r="190" spans="2:45">
      <c r="B190" s="230">
        <v>43360</v>
      </c>
      <c r="C190" s="1">
        <v>360</v>
      </c>
      <c r="D190" s="1">
        <v>357.97333333333302</v>
      </c>
      <c r="E190" s="1">
        <v>150</v>
      </c>
      <c r="F190" s="215">
        <v>37585.51</v>
      </c>
      <c r="G190" s="215">
        <f t="shared" si="25"/>
        <v>7.9065353344416334E-3</v>
      </c>
      <c r="H190" s="215">
        <f t="shared" si="20"/>
        <v>-3.9487726787620137E-2</v>
      </c>
      <c r="I190" s="231">
        <v>53696</v>
      </c>
      <c r="K190" s="230">
        <v>43360</v>
      </c>
      <c r="L190" s="1">
        <v>534.9</v>
      </c>
      <c r="M190" s="1">
        <v>536.65738406295304</v>
      </c>
      <c r="N190" s="1">
        <v>26178</v>
      </c>
      <c r="O190" s="1">
        <v>37585.51</v>
      </c>
      <c r="P190" s="215">
        <f t="shared" si="26"/>
        <v>7.9065353344416334E-3</v>
      </c>
      <c r="Q190" s="215">
        <f t="shared" si="21"/>
        <v>1.7500475556400774E-2</v>
      </c>
      <c r="R190" s="231">
        <v>14048617</v>
      </c>
      <c r="T190" s="230">
        <v>43360</v>
      </c>
      <c r="U190" s="1">
        <v>148.44999999999999</v>
      </c>
      <c r="V190" s="1">
        <v>149.321286521448</v>
      </c>
      <c r="W190" s="1">
        <v>107608</v>
      </c>
      <c r="X190" s="1">
        <v>37585.51</v>
      </c>
      <c r="Y190" s="215">
        <f t="shared" si="27"/>
        <v>7.9065353344416334E-3</v>
      </c>
      <c r="Z190" s="215">
        <f t="shared" si="22"/>
        <v>2.9830038154699867E-2</v>
      </c>
      <c r="AA190" s="231">
        <v>16068165</v>
      </c>
      <c r="AC190" s="230">
        <v>43360</v>
      </c>
      <c r="AD190" s="1">
        <v>56.25</v>
      </c>
      <c r="AE190" s="1">
        <v>55.736332308838499</v>
      </c>
      <c r="AF190" s="1">
        <v>10737</v>
      </c>
      <c r="AG190" s="1">
        <v>37585.51</v>
      </c>
      <c r="AH190" s="215">
        <f t="shared" si="28"/>
        <v>7.9065353344416334E-3</v>
      </c>
      <c r="AI190" s="215">
        <f t="shared" si="23"/>
        <v>-7.8624078624078608E-2</v>
      </c>
      <c r="AJ190" s="231">
        <v>598441</v>
      </c>
      <c r="AL190" s="230">
        <v>44629</v>
      </c>
      <c r="AM190" s="1">
        <v>314.5</v>
      </c>
      <c r="AN190" s="1">
        <v>314.43250599906798</v>
      </c>
      <c r="AO190" s="1">
        <v>27921</v>
      </c>
      <c r="AP190" s="1">
        <v>54647.33</v>
      </c>
      <c r="AQ190" s="215">
        <f t="shared" si="29"/>
        <v>-1.4731253692684576E-2</v>
      </c>
      <c r="AR190" s="215">
        <f t="shared" si="24"/>
        <v>4.6318479476121777E-3</v>
      </c>
      <c r="AS190" s="231">
        <v>8779270</v>
      </c>
    </row>
    <row r="191" spans="2:45">
      <c r="B191" s="230">
        <v>43361</v>
      </c>
      <c r="C191" s="1">
        <v>374.8</v>
      </c>
      <c r="D191" s="1">
        <v>372.55743162901302</v>
      </c>
      <c r="E191" s="1">
        <v>8410</v>
      </c>
      <c r="F191" s="215">
        <v>37290.67</v>
      </c>
      <c r="G191" s="215">
        <f t="shared" si="25"/>
        <v>4.5647745413539553E-3</v>
      </c>
      <c r="H191" s="215">
        <f t="shared" si="20"/>
        <v>2.698999862994933E-2</v>
      </c>
      <c r="I191" s="231">
        <v>3133208</v>
      </c>
      <c r="K191" s="230">
        <v>43361</v>
      </c>
      <c r="L191" s="1">
        <v>525.70000000000005</v>
      </c>
      <c r="M191" s="1">
        <v>538.48614593378295</v>
      </c>
      <c r="N191" s="1">
        <v>31110</v>
      </c>
      <c r="O191" s="1">
        <v>37290.67</v>
      </c>
      <c r="P191" s="215">
        <f t="shared" si="26"/>
        <v>4.5647745413539553E-3</v>
      </c>
      <c r="Q191" s="215">
        <f t="shared" si="21"/>
        <v>3.6168325613481933E-2</v>
      </c>
      <c r="R191" s="231">
        <v>16752304</v>
      </c>
      <c r="T191" s="230">
        <v>43361</v>
      </c>
      <c r="U191" s="1">
        <v>144.15</v>
      </c>
      <c r="V191" s="1">
        <v>147.08342156768299</v>
      </c>
      <c r="W191" s="1">
        <v>124668</v>
      </c>
      <c r="X191" s="1">
        <v>37290.67</v>
      </c>
      <c r="Y191" s="215">
        <f t="shared" si="27"/>
        <v>4.5647745413539553E-3</v>
      </c>
      <c r="Z191" s="215">
        <f t="shared" si="22"/>
        <v>6.2827225130890341E-3</v>
      </c>
      <c r="AA191" s="231">
        <v>18336596</v>
      </c>
      <c r="AC191" s="230">
        <v>43361</v>
      </c>
      <c r="AD191" s="1">
        <v>61.05</v>
      </c>
      <c r="AE191" s="1">
        <v>63.035827501186802</v>
      </c>
      <c r="AF191" s="1">
        <v>130598</v>
      </c>
      <c r="AG191" s="1">
        <v>37290.67</v>
      </c>
      <c r="AH191" s="215">
        <f t="shared" si="28"/>
        <v>4.5647745413539553E-3</v>
      </c>
      <c r="AI191" s="215">
        <f t="shared" si="23"/>
        <v>4.1118421052630527E-3</v>
      </c>
      <c r="AJ191" s="231">
        <v>8232353</v>
      </c>
      <c r="AL191" s="230">
        <v>44630</v>
      </c>
      <c r="AM191" s="1">
        <v>313.05</v>
      </c>
      <c r="AN191" s="1">
        <v>314.66007051063298</v>
      </c>
      <c r="AO191" s="1">
        <v>26379</v>
      </c>
      <c r="AP191" s="1">
        <v>55464.39</v>
      </c>
      <c r="AQ191" s="215">
        <f t="shared" si="29"/>
        <v>-1.5465263013881847E-3</v>
      </c>
      <c r="AR191" s="215">
        <f t="shared" si="24"/>
        <v>5.7831325301205272E-3</v>
      </c>
      <c r="AS191" s="231">
        <v>8300418</v>
      </c>
    </row>
    <row r="192" spans="2:45">
      <c r="B192" s="230">
        <v>43362</v>
      </c>
      <c r="C192" s="1">
        <v>364.95</v>
      </c>
      <c r="D192" s="1">
        <v>370.12539964476002</v>
      </c>
      <c r="E192" s="1">
        <v>2815</v>
      </c>
      <c r="F192" s="215">
        <v>37121.22</v>
      </c>
      <c r="G192" s="215">
        <f t="shared" si="25"/>
        <v>7.5897898028316479E-3</v>
      </c>
      <c r="H192" s="215">
        <f t="shared" si="20"/>
        <v>7.7184179456906588E-2</v>
      </c>
      <c r="I192" s="231">
        <v>1041903</v>
      </c>
      <c r="K192" s="230">
        <v>43362</v>
      </c>
      <c r="L192" s="1">
        <v>507.35</v>
      </c>
      <c r="M192" s="1">
        <v>517.76817254847697</v>
      </c>
      <c r="N192" s="1">
        <v>28931</v>
      </c>
      <c r="O192" s="1">
        <v>37121.22</v>
      </c>
      <c r="P192" s="215">
        <f t="shared" si="26"/>
        <v>7.5897898028316479E-3</v>
      </c>
      <c r="Q192" s="215">
        <f t="shared" si="21"/>
        <v>3.7737778686848023E-2</v>
      </c>
      <c r="R192" s="231">
        <v>14979551</v>
      </c>
      <c r="T192" s="230">
        <v>43362</v>
      </c>
      <c r="U192" s="1">
        <v>143.25</v>
      </c>
      <c r="V192" s="1">
        <v>144.63041939247699</v>
      </c>
      <c r="W192" s="1">
        <v>152554</v>
      </c>
      <c r="X192" s="1">
        <v>37121.22</v>
      </c>
      <c r="Y192" s="215">
        <f t="shared" si="27"/>
        <v>7.5897898028316479E-3</v>
      </c>
      <c r="Z192" s="215">
        <f t="shared" si="22"/>
        <v>1.5597305919886395E-2</v>
      </c>
      <c r="AA192" s="231">
        <v>22063949</v>
      </c>
      <c r="AC192" s="230">
        <v>43362</v>
      </c>
      <c r="AD192" s="1">
        <v>60.8</v>
      </c>
      <c r="AE192" s="1">
        <v>62.871714227268001</v>
      </c>
      <c r="AF192" s="1">
        <v>78216</v>
      </c>
      <c r="AG192" s="1">
        <v>37121.22</v>
      </c>
      <c r="AH192" s="215">
        <f t="shared" si="28"/>
        <v>7.5897898028316479E-3</v>
      </c>
      <c r="AI192" s="215">
        <f t="shared" si="23"/>
        <v>5.7391304347826022E-2</v>
      </c>
      <c r="AJ192" s="231">
        <v>4917574</v>
      </c>
      <c r="AL192" s="230">
        <v>44631</v>
      </c>
      <c r="AM192" s="1">
        <v>311.25</v>
      </c>
      <c r="AN192" s="1">
        <v>313.28593768099103</v>
      </c>
      <c r="AO192" s="1">
        <v>17266</v>
      </c>
      <c r="AP192" s="1">
        <v>55550.3</v>
      </c>
      <c r="AQ192" s="215">
        <f t="shared" si="29"/>
        <v>-1.6565514794634084E-2</v>
      </c>
      <c r="AR192" s="215">
        <f t="shared" si="24"/>
        <v>-6.7017711823840198E-3</v>
      </c>
      <c r="AS192" s="231">
        <v>5409195</v>
      </c>
    </row>
    <row r="193" spans="2:45">
      <c r="B193" s="230">
        <v>43364</v>
      </c>
      <c r="C193" s="1">
        <v>338.8</v>
      </c>
      <c r="D193" s="1">
        <v>351.19561912269802</v>
      </c>
      <c r="E193" s="1">
        <v>17759</v>
      </c>
      <c r="F193" s="215">
        <v>36841.599999999999</v>
      </c>
      <c r="G193" s="215">
        <f t="shared" si="25"/>
        <v>1.4779774257113854E-2</v>
      </c>
      <c r="H193" s="215">
        <f t="shared" si="20"/>
        <v>2.0481927710843451E-2</v>
      </c>
      <c r="I193" s="231">
        <v>6236883</v>
      </c>
      <c r="K193" s="230">
        <v>43364</v>
      </c>
      <c r="L193" s="1">
        <v>488.9</v>
      </c>
      <c r="M193" s="1">
        <v>489.64527440120798</v>
      </c>
      <c r="N193" s="1">
        <v>55612</v>
      </c>
      <c r="O193" s="1">
        <v>36841.599999999999</v>
      </c>
      <c r="P193" s="215">
        <f t="shared" si="26"/>
        <v>1.4779774257113854E-2</v>
      </c>
      <c r="Q193" s="215">
        <f t="shared" si="21"/>
        <v>8.4035476718403501E-2</v>
      </c>
      <c r="R193" s="231">
        <v>27230153</v>
      </c>
      <c r="T193" s="230">
        <v>43364</v>
      </c>
      <c r="U193" s="1">
        <v>141.05000000000001</v>
      </c>
      <c r="V193" s="1">
        <v>140.90743672675401</v>
      </c>
      <c r="W193" s="1">
        <v>176852</v>
      </c>
      <c r="X193" s="1">
        <v>36841.599999999999</v>
      </c>
      <c r="Y193" s="215">
        <f t="shared" si="27"/>
        <v>1.4779774257113854E-2</v>
      </c>
      <c r="Z193" s="215">
        <f t="shared" si="22"/>
        <v>5.2611940298507465E-2</v>
      </c>
      <c r="AA193" s="231">
        <v>24919762</v>
      </c>
      <c r="AC193" s="230">
        <v>43364</v>
      </c>
      <c r="AD193" s="1">
        <v>57.5</v>
      </c>
      <c r="AE193" s="1">
        <v>57.150219235806603</v>
      </c>
      <c r="AF193" s="1">
        <v>52683</v>
      </c>
      <c r="AG193" s="1">
        <v>36841.599999999999</v>
      </c>
      <c r="AH193" s="215">
        <f t="shared" si="28"/>
        <v>1.4779774257113854E-2</v>
      </c>
      <c r="AI193" s="215">
        <f t="shared" si="23"/>
        <v>7.5771749298409574E-2</v>
      </c>
      <c r="AJ193" s="231">
        <v>3010845</v>
      </c>
      <c r="AL193" s="230">
        <v>44634</v>
      </c>
      <c r="AM193" s="1">
        <v>313.35000000000002</v>
      </c>
      <c r="AN193" s="1">
        <v>313.875550052704</v>
      </c>
      <c r="AO193" s="1">
        <v>59767</v>
      </c>
      <c r="AP193" s="1">
        <v>56486.02</v>
      </c>
      <c r="AQ193" s="215">
        <f t="shared" si="29"/>
        <v>1.2714414672036822E-2</v>
      </c>
      <c r="AR193" s="215">
        <f t="shared" si="24"/>
        <v>1.6215339711366905E-2</v>
      </c>
      <c r="AS193" s="231">
        <v>18759400</v>
      </c>
    </row>
    <row r="194" spans="2:45">
      <c r="B194" s="230">
        <v>43367</v>
      </c>
      <c r="C194" s="1">
        <v>332</v>
      </c>
      <c r="D194" s="1">
        <v>326.16093366093298</v>
      </c>
      <c r="E194" s="1">
        <v>814</v>
      </c>
      <c r="F194" s="215">
        <v>36305.019999999997</v>
      </c>
      <c r="G194" s="215">
        <f t="shared" si="25"/>
        <v>-9.4684991784909078E-3</v>
      </c>
      <c r="H194" s="215">
        <f t="shared" si="20"/>
        <v>-2.1039975954313395E-3</v>
      </c>
      <c r="I194" s="231">
        <v>265495</v>
      </c>
      <c r="K194" s="230">
        <v>43367</v>
      </c>
      <c r="L194" s="1">
        <v>451</v>
      </c>
      <c r="M194" s="1">
        <v>463.41975641544201</v>
      </c>
      <c r="N194" s="1">
        <v>22251</v>
      </c>
      <c r="O194" s="1">
        <v>36305.019999999997</v>
      </c>
      <c r="P194" s="215">
        <f t="shared" si="26"/>
        <v>-9.4684991784909078E-3</v>
      </c>
      <c r="Q194" s="215">
        <f t="shared" si="21"/>
        <v>6.1676082862523574E-2</v>
      </c>
      <c r="R194" s="231">
        <v>10311553</v>
      </c>
      <c r="T194" s="230">
        <v>43367</v>
      </c>
      <c r="U194" s="1">
        <v>134</v>
      </c>
      <c r="V194" s="1">
        <v>135.004286153609</v>
      </c>
      <c r="W194" s="1">
        <v>156084</v>
      </c>
      <c r="X194" s="1">
        <v>36305.019999999997</v>
      </c>
      <c r="Y194" s="215">
        <f t="shared" si="27"/>
        <v>-9.4684991784909078E-3</v>
      </c>
      <c r="Z194" s="215">
        <f t="shared" si="22"/>
        <v>5.594956658786443E-2</v>
      </c>
      <c r="AA194" s="231">
        <v>21072009</v>
      </c>
      <c r="AC194" s="230">
        <v>43367</v>
      </c>
      <c r="AD194" s="1">
        <v>53.45</v>
      </c>
      <c r="AE194" s="1">
        <v>53.572631019359399</v>
      </c>
      <c r="AF194" s="1">
        <v>22573</v>
      </c>
      <c r="AG194" s="1">
        <v>36305.019999999997</v>
      </c>
      <c r="AH194" s="215">
        <f t="shared" si="28"/>
        <v>-9.4684991784909078E-3</v>
      </c>
      <c r="AI194" s="215">
        <f t="shared" si="23"/>
        <v>3.755868544601082E-3</v>
      </c>
      <c r="AJ194" s="231">
        <v>1209295</v>
      </c>
      <c r="AL194" s="230">
        <v>44635</v>
      </c>
      <c r="AM194" s="1">
        <v>308.35000000000002</v>
      </c>
      <c r="AN194" s="1">
        <v>309.26918983818501</v>
      </c>
      <c r="AO194" s="1">
        <v>36647</v>
      </c>
      <c r="AP194" s="1">
        <v>55776.85</v>
      </c>
      <c r="AQ194" s="215">
        <f t="shared" si="29"/>
        <v>-1.8300973394242748E-2</v>
      </c>
      <c r="AR194" s="215">
        <f t="shared" si="24"/>
        <v>-4.7420451034908773E-2</v>
      </c>
      <c r="AS194" s="231">
        <v>11333788</v>
      </c>
    </row>
    <row r="195" spans="2:45">
      <c r="B195" s="230">
        <v>43368</v>
      </c>
      <c r="C195" s="1">
        <v>332.7</v>
      </c>
      <c r="D195" s="1">
        <v>332.02759948652101</v>
      </c>
      <c r="E195" s="1">
        <v>1558</v>
      </c>
      <c r="F195" s="215">
        <v>36652.06</v>
      </c>
      <c r="G195" s="215">
        <f t="shared" si="25"/>
        <v>3.0044657871555192E-3</v>
      </c>
      <c r="H195" s="215">
        <f t="shared" si="20"/>
        <v>-4.10722006052745E-2</v>
      </c>
      <c r="I195" s="231">
        <v>517299</v>
      </c>
      <c r="K195" s="230">
        <v>43368</v>
      </c>
      <c r="L195" s="1">
        <v>424.8</v>
      </c>
      <c r="M195" s="1">
        <v>431.92509774950901</v>
      </c>
      <c r="N195" s="1">
        <v>55499</v>
      </c>
      <c r="O195" s="1">
        <v>36652.06</v>
      </c>
      <c r="P195" s="215">
        <f t="shared" si="26"/>
        <v>3.0044657871555192E-3</v>
      </c>
      <c r="Q195" s="215">
        <f t="shared" si="21"/>
        <v>-6.0176991150442505E-2</v>
      </c>
      <c r="R195" s="231">
        <v>23971411</v>
      </c>
      <c r="T195" s="230">
        <v>43368</v>
      </c>
      <c r="U195" s="1">
        <v>126.9</v>
      </c>
      <c r="V195" s="1">
        <v>127.26000508676501</v>
      </c>
      <c r="W195" s="1">
        <v>224111</v>
      </c>
      <c r="X195" s="1">
        <v>36652.06</v>
      </c>
      <c r="Y195" s="215">
        <f t="shared" si="27"/>
        <v>3.0044657871555192E-3</v>
      </c>
      <c r="Z195" s="215">
        <f t="shared" si="22"/>
        <v>-2.2342064714946153E-2</v>
      </c>
      <c r="AA195" s="231">
        <v>28520367</v>
      </c>
      <c r="AC195" s="230">
        <v>43368</v>
      </c>
      <c r="AD195" s="1">
        <v>53.25</v>
      </c>
      <c r="AE195" s="1">
        <v>52.687061183550597</v>
      </c>
      <c r="AF195" s="1">
        <v>5982</v>
      </c>
      <c r="AG195" s="1">
        <v>36652.06</v>
      </c>
      <c r="AH195" s="215">
        <f t="shared" si="28"/>
        <v>3.0044657871555192E-3</v>
      </c>
      <c r="AI195" s="215">
        <f t="shared" si="23"/>
        <v>4.7169811320755262E-3</v>
      </c>
      <c r="AJ195" s="231">
        <v>315174</v>
      </c>
      <c r="AL195" s="230">
        <v>44636</v>
      </c>
      <c r="AM195" s="1">
        <v>323.7</v>
      </c>
      <c r="AN195" s="1">
        <v>320.817305688685</v>
      </c>
      <c r="AO195" s="1">
        <v>364724</v>
      </c>
      <c r="AP195" s="1">
        <v>56816.65</v>
      </c>
      <c r="AQ195" s="215">
        <f t="shared" si="29"/>
        <v>-1.8099012631876188E-2</v>
      </c>
      <c r="AR195" s="215">
        <f t="shared" si="24"/>
        <v>-6.8355159015685674E-2</v>
      </c>
      <c r="AS195" s="231">
        <v>117009771</v>
      </c>
    </row>
    <row r="196" spans="2:45">
      <c r="B196" s="230">
        <v>43369</v>
      </c>
      <c r="C196" s="1">
        <v>346.95</v>
      </c>
      <c r="D196" s="1">
        <v>347.79855072463698</v>
      </c>
      <c r="E196" s="1">
        <v>690</v>
      </c>
      <c r="F196" s="215">
        <v>36542.269999999997</v>
      </c>
      <c r="G196" s="215">
        <f t="shared" si="25"/>
        <v>6.0042665806265827E-3</v>
      </c>
      <c r="H196" s="215">
        <f t="shared" si="20"/>
        <v>2.0441176470588296E-2</v>
      </c>
      <c r="I196" s="231">
        <v>239981</v>
      </c>
      <c r="K196" s="230">
        <v>43369</v>
      </c>
      <c r="L196" s="1">
        <v>452</v>
      </c>
      <c r="M196" s="1">
        <v>444.52017093147401</v>
      </c>
      <c r="N196" s="1">
        <v>39314</v>
      </c>
      <c r="O196" s="1">
        <v>36542.269999999997</v>
      </c>
      <c r="P196" s="215">
        <f t="shared" si="26"/>
        <v>6.0042665806265827E-3</v>
      </c>
      <c r="Q196" s="215">
        <f t="shared" si="21"/>
        <v>-5.5279159756771445E-4</v>
      </c>
      <c r="R196" s="231">
        <v>17475866</v>
      </c>
      <c r="T196" s="230">
        <v>43369</v>
      </c>
      <c r="U196" s="1">
        <v>129.80000000000001</v>
      </c>
      <c r="V196" s="1">
        <v>129.348779380038</v>
      </c>
      <c r="W196" s="1">
        <v>264210</v>
      </c>
      <c r="X196" s="1">
        <v>36542.269999999997</v>
      </c>
      <c r="Y196" s="215">
        <f t="shared" si="27"/>
        <v>6.0042665806265827E-3</v>
      </c>
      <c r="Z196" s="215">
        <f t="shared" si="22"/>
        <v>2.0841525756980062E-2</v>
      </c>
      <c r="AA196" s="231">
        <v>34175241</v>
      </c>
      <c r="AC196" s="230">
        <v>43369</v>
      </c>
      <c r="AD196" s="1">
        <v>53</v>
      </c>
      <c r="AE196" s="1">
        <v>52.925590502998404</v>
      </c>
      <c r="AF196" s="1">
        <v>8171</v>
      </c>
      <c r="AG196" s="1">
        <v>36542.269999999997</v>
      </c>
      <c r="AH196" s="215">
        <f t="shared" si="28"/>
        <v>6.0042665806265827E-3</v>
      </c>
      <c r="AI196" s="215">
        <f t="shared" si="23"/>
        <v>2.9126213592232997E-2</v>
      </c>
      <c r="AJ196" s="231">
        <v>432455</v>
      </c>
      <c r="AL196" s="230">
        <v>44637</v>
      </c>
      <c r="AM196" s="1">
        <v>347.45</v>
      </c>
      <c r="AN196" s="1">
        <v>343.26749630962001</v>
      </c>
      <c r="AO196" s="1">
        <v>102293</v>
      </c>
      <c r="AP196" s="1">
        <v>57863.93</v>
      </c>
      <c r="AQ196" s="215">
        <f t="shared" si="29"/>
        <v>9.9740821179181705E-3</v>
      </c>
      <c r="AR196" s="215">
        <f t="shared" si="24"/>
        <v>-3.3787541713014568E-2</v>
      </c>
      <c r="AS196" s="231">
        <v>35113862</v>
      </c>
    </row>
    <row r="197" spans="2:45">
      <c r="B197" s="230">
        <v>43370</v>
      </c>
      <c r="C197" s="1">
        <v>340</v>
      </c>
      <c r="D197" s="1">
        <v>345.64462809917302</v>
      </c>
      <c r="E197" s="1">
        <v>726</v>
      </c>
      <c r="F197" s="215">
        <v>36324.17</v>
      </c>
      <c r="G197" s="215">
        <f t="shared" si="25"/>
        <v>2.6783786961930289E-3</v>
      </c>
      <c r="H197" s="215">
        <f t="shared" si="20"/>
        <v>3.0303030303030276E-2</v>
      </c>
      <c r="I197" s="231">
        <v>250938</v>
      </c>
      <c r="K197" s="230">
        <v>43370</v>
      </c>
      <c r="L197" s="1">
        <v>452.25</v>
      </c>
      <c r="M197" s="1">
        <v>452.83776633438799</v>
      </c>
      <c r="N197" s="1">
        <v>21167</v>
      </c>
      <c r="O197" s="1">
        <v>36324.17</v>
      </c>
      <c r="P197" s="215">
        <f t="shared" si="26"/>
        <v>2.6783786961930289E-3</v>
      </c>
      <c r="Q197" s="215">
        <f t="shared" si="21"/>
        <v>7.3845423245874509E-2</v>
      </c>
      <c r="R197" s="231">
        <v>9585217</v>
      </c>
      <c r="T197" s="230">
        <v>43370</v>
      </c>
      <c r="U197" s="1">
        <v>127.15</v>
      </c>
      <c r="V197" s="1">
        <v>129.38842813932999</v>
      </c>
      <c r="W197" s="1">
        <v>61494</v>
      </c>
      <c r="X197" s="1">
        <v>36324.17</v>
      </c>
      <c r="Y197" s="215">
        <f t="shared" si="27"/>
        <v>2.6783786961930289E-3</v>
      </c>
      <c r="Z197" s="215">
        <f t="shared" si="22"/>
        <v>0.11584028082492326</v>
      </c>
      <c r="AA197" s="231">
        <v>7956612</v>
      </c>
      <c r="AC197" s="230">
        <v>43370</v>
      </c>
      <c r="AD197" s="1">
        <v>51.5</v>
      </c>
      <c r="AE197" s="1">
        <v>52.322010869565197</v>
      </c>
      <c r="AF197" s="1">
        <v>5888</v>
      </c>
      <c r="AG197" s="1">
        <v>36324.17</v>
      </c>
      <c r="AH197" s="215">
        <f t="shared" si="28"/>
        <v>2.6783786961930289E-3</v>
      </c>
      <c r="AI197" s="215">
        <f t="shared" si="23"/>
        <v>0.11351351351351346</v>
      </c>
      <c r="AJ197" s="231">
        <v>308072</v>
      </c>
      <c r="AL197" s="230">
        <v>44641</v>
      </c>
      <c r="AM197" s="1">
        <v>359.6</v>
      </c>
      <c r="AN197" s="1">
        <v>361.61833084099499</v>
      </c>
      <c r="AO197" s="1">
        <v>193259</v>
      </c>
      <c r="AP197" s="1">
        <v>57292.49</v>
      </c>
      <c r="AQ197" s="215">
        <f t="shared" si="29"/>
        <v>-1.2016182295699451E-2</v>
      </c>
      <c r="AR197" s="215">
        <f t="shared" si="24"/>
        <v>6.2963481180915437E-3</v>
      </c>
      <c r="AS197" s="231">
        <v>69885997</v>
      </c>
    </row>
    <row r="198" spans="2:45">
      <c r="B198" s="230">
        <v>43371</v>
      </c>
      <c r="C198" s="1">
        <v>330</v>
      </c>
      <c r="D198" s="1">
        <v>340.64385820280199</v>
      </c>
      <c r="E198" s="1">
        <v>1213</v>
      </c>
      <c r="F198" s="215">
        <v>36227.14</v>
      </c>
      <c r="G198" s="215">
        <f t="shared" si="25"/>
        <v>-8.1859183587424944E-3</v>
      </c>
      <c r="H198" s="215">
        <f t="shared" si="20"/>
        <v>2.6757934038581288E-2</v>
      </c>
      <c r="I198" s="231">
        <v>413201</v>
      </c>
      <c r="K198" s="230">
        <v>43371</v>
      </c>
      <c r="L198" s="1">
        <v>421.15</v>
      </c>
      <c r="M198" s="1">
        <v>425.09561431401801</v>
      </c>
      <c r="N198" s="1">
        <v>40883</v>
      </c>
      <c r="O198" s="1">
        <v>36227.14</v>
      </c>
      <c r="P198" s="215">
        <f t="shared" si="26"/>
        <v>-8.1859183587424944E-3</v>
      </c>
      <c r="Q198" s="215">
        <f t="shared" si="21"/>
        <v>2.6318995979042192E-2</v>
      </c>
      <c r="R198" s="231">
        <v>17379184</v>
      </c>
      <c r="T198" s="230">
        <v>43371</v>
      </c>
      <c r="U198" s="1">
        <v>113.95</v>
      </c>
      <c r="V198" s="1">
        <v>112.99608552534001</v>
      </c>
      <c r="W198" s="1">
        <v>370931</v>
      </c>
      <c r="X198" s="1">
        <v>36227.14</v>
      </c>
      <c r="Y198" s="215">
        <f t="shared" si="27"/>
        <v>-8.1859183587424944E-3</v>
      </c>
      <c r="Z198" s="215">
        <f t="shared" si="22"/>
        <v>1.288888888888895E-2</v>
      </c>
      <c r="AA198" s="231">
        <v>41913751</v>
      </c>
      <c r="AC198" s="230">
        <v>43371</v>
      </c>
      <c r="AD198" s="1">
        <v>46.25</v>
      </c>
      <c r="AE198" s="1">
        <v>49.182132166705003</v>
      </c>
      <c r="AF198" s="1">
        <v>17372</v>
      </c>
      <c r="AG198" s="1">
        <v>36227.14</v>
      </c>
      <c r="AH198" s="215">
        <f t="shared" si="28"/>
        <v>-8.1859183587424944E-3</v>
      </c>
      <c r="AI198" s="215">
        <f t="shared" si="23"/>
        <v>-2.5289778714436273E-2</v>
      </c>
      <c r="AJ198" s="231">
        <v>854392</v>
      </c>
      <c r="AL198" s="230">
        <v>44642</v>
      </c>
      <c r="AM198" s="1">
        <v>357.35</v>
      </c>
      <c r="AN198" s="1">
        <v>361.77790370257799</v>
      </c>
      <c r="AO198" s="1">
        <v>85589</v>
      </c>
      <c r="AP198" s="1">
        <v>57989.3</v>
      </c>
      <c r="AQ198" s="215">
        <f t="shared" si="29"/>
        <v>5.2783383912786697E-3</v>
      </c>
      <c r="AR198" s="215">
        <f t="shared" si="24"/>
        <v>-1.0384934921074507E-2</v>
      </c>
      <c r="AS198" s="231">
        <v>30964209</v>
      </c>
    </row>
    <row r="199" spans="2:45">
      <c r="B199" s="230">
        <v>43374</v>
      </c>
      <c r="C199" s="1">
        <v>321.39999999999998</v>
      </c>
      <c r="D199" s="1">
        <v>318.29272281275502</v>
      </c>
      <c r="E199" s="1">
        <v>1223</v>
      </c>
      <c r="F199" s="215">
        <v>36526.14</v>
      </c>
      <c r="G199" s="215">
        <f t="shared" si="25"/>
        <v>1.5302303253619254E-2</v>
      </c>
      <c r="H199" s="215">
        <f t="shared" si="20"/>
        <v>-9.5531587057011702E-3</v>
      </c>
      <c r="I199" s="231">
        <v>389272</v>
      </c>
      <c r="K199" s="230">
        <v>43374</v>
      </c>
      <c r="L199" s="1">
        <v>410.35</v>
      </c>
      <c r="M199" s="1">
        <v>400.35381274747698</v>
      </c>
      <c r="N199" s="1">
        <v>23487</v>
      </c>
      <c r="O199" s="1">
        <v>36526.14</v>
      </c>
      <c r="P199" s="215">
        <f t="shared" si="26"/>
        <v>1.5302303253619254E-2</v>
      </c>
      <c r="Q199" s="215">
        <f t="shared" si="21"/>
        <v>-1.4884167566918682E-2</v>
      </c>
      <c r="R199" s="231">
        <v>9403110</v>
      </c>
      <c r="T199" s="230">
        <v>43374</v>
      </c>
      <c r="U199" s="1">
        <v>112.5</v>
      </c>
      <c r="V199" s="1">
        <v>108.452054130086</v>
      </c>
      <c r="W199" s="1">
        <v>329872</v>
      </c>
      <c r="X199" s="1">
        <v>36526.14</v>
      </c>
      <c r="Y199" s="215">
        <f t="shared" si="27"/>
        <v>1.5302303253619254E-2</v>
      </c>
      <c r="Z199" s="215">
        <f t="shared" si="22"/>
        <v>-2.6816608996539704E-2</v>
      </c>
      <c r="AA199" s="231">
        <v>35775296</v>
      </c>
      <c r="AC199" s="230">
        <v>43374</v>
      </c>
      <c r="AD199" s="1">
        <v>47.45</v>
      </c>
      <c r="AE199" s="1">
        <v>47.027209826634497</v>
      </c>
      <c r="AF199" s="1">
        <v>12863</v>
      </c>
      <c r="AG199" s="1">
        <v>36526.14</v>
      </c>
      <c r="AH199" s="215">
        <f t="shared" si="28"/>
        <v>1.5302303253619254E-2</v>
      </c>
      <c r="AI199" s="215">
        <f t="shared" si="23"/>
        <v>-1.2486992715920797E-2</v>
      </c>
      <c r="AJ199" s="231">
        <v>604911</v>
      </c>
      <c r="AL199" s="230">
        <v>44643</v>
      </c>
      <c r="AM199" s="1">
        <v>361.1</v>
      </c>
      <c r="AN199" s="1">
        <v>360.60812735225301</v>
      </c>
      <c r="AO199" s="1">
        <v>58986</v>
      </c>
      <c r="AP199" s="1">
        <v>57684.82</v>
      </c>
      <c r="AQ199" s="215">
        <f t="shared" si="29"/>
        <v>1.5476855208584883E-3</v>
      </c>
      <c r="AR199" s="215">
        <f t="shared" si="24"/>
        <v>-4.4203282159872903E-2</v>
      </c>
      <c r="AS199" s="231">
        <v>21270831</v>
      </c>
    </row>
    <row r="200" spans="2:45">
      <c r="B200" s="230">
        <v>43376</v>
      </c>
      <c r="C200" s="1">
        <v>324.5</v>
      </c>
      <c r="D200" s="1">
        <v>326.855670103092</v>
      </c>
      <c r="E200" s="1">
        <v>97</v>
      </c>
      <c r="F200" s="215">
        <v>35975.629999999997</v>
      </c>
      <c r="G200" s="215">
        <f t="shared" si="25"/>
        <v>2.2931170377683108E-2</v>
      </c>
      <c r="H200" s="215">
        <f t="shared" si="20"/>
        <v>4.8465266558965991E-2</v>
      </c>
      <c r="I200" s="231">
        <v>31705</v>
      </c>
      <c r="K200" s="230">
        <v>43376</v>
      </c>
      <c r="L200" s="1">
        <v>416.55</v>
      </c>
      <c r="M200" s="1">
        <v>421.63327543589998</v>
      </c>
      <c r="N200" s="1">
        <v>29938</v>
      </c>
      <c r="O200" s="1">
        <v>35975.629999999997</v>
      </c>
      <c r="P200" s="215">
        <f t="shared" si="26"/>
        <v>2.2931170377683108E-2</v>
      </c>
      <c r="Q200" s="215">
        <f t="shared" si="21"/>
        <v>3.5421327367636035E-2</v>
      </c>
      <c r="R200" s="231">
        <v>12622857</v>
      </c>
      <c r="T200" s="230">
        <v>43376</v>
      </c>
      <c r="U200" s="1">
        <v>115.6</v>
      </c>
      <c r="V200" s="1">
        <v>115.53288613495501</v>
      </c>
      <c r="W200" s="1">
        <v>211092</v>
      </c>
      <c r="X200" s="1">
        <v>35975.629999999997</v>
      </c>
      <c r="Y200" s="215">
        <f t="shared" si="27"/>
        <v>2.2931170377683108E-2</v>
      </c>
      <c r="Z200" s="215">
        <f t="shared" si="22"/>
        <v>1.8951079770824109E-2</v>
      </c>
      <c r="AA200" s="231">
        <v>24388068</v>
      </c>
      <c r="AC200" s="230">
        <v>43376</v>
      </c>
      <c r="AD200" s="1">
        <v>48.05</v>
      </c>
      <c r="AE200" s="1">
        <v>48.4165309446254</v>
      </c>
      <c r="AF200" s="1">
        <v>4912</v>
      </c>
      <c r="AG200" s="1">
        <v>35975.629999999997</v>
      </c>
      <c r="AH200" s="215">
        <f t="shared" si="28"/>
        <v>2.2931170377683108E-2</v>
      </c>
      <c r="AI200" s="215">
        <f t="shared" si="23"/>
        <v>1.5856236786469413E-2</v>
      </c>
      <c r="AJ200" s="231">
        <v>237822</v>
      </c>
      <c r="AL200" s="230">
        <v>44644</v>
      </c>
      <c r="AM200" s="1">
        <v>377.8</v>
      </c>
      <c r="AN200" s="1">
        <v>377.51381054704899</v>
      </c>
      <c r="AO200" s="1">
        <v>89352</v>
      </c>
      <c r="AP200" s="1">
        <v>57595.68</v>
      </c>
      <c r="AQ200" s="215">
        <f t="shared" si="29"/>
        <v>4.0702762446349627E-3</v>
      </c>
      <c r="AR200" s="215">
        <f t="shared" si="24"/>
        <v>1.9840734242138058E-2</v>
      </c>
      <c r="AS200" s="231">
        <v>33731614</v>
      </c>
    </row>
    <row r="201" spans="2:45">
      <c r="B201" s="230">
        <v>43377</v>
      </c>
      <c r="C201" s="1">
        <v>309.5</v>
      </c>
      <c r="D201" s="1">
        <v>312.916015625</v>
      </c>
      <c r="E201" s="1">
        <v>512</v>
      </c>
      <c r="F201" s="215">
        <v>35169.160000000003</v>
      </c>
      <c r="G201" s="215">
        <f t="shared" si="25"/>
        <v>2.3043611438930744E-2</v>
      </c>
      <c r="H201" s="215">
        <f t="shared" si="20"/>
        <v>-6.0270229239411055E-2</v>
      </c>
      <c r="I201" s="231">
        <v>160213</v>
      </c>
      <c r="K201" s="230">
        <v>43377</v>
      </c>
      <c r="L201" s="1">
        <v>402.3</v>
      </c>
      <c r="M201" s="1">
        <v>404.77660953478301</v>
      </c>
      <c r="N201" s="1">
        <v>27772</v>
      </c>
      <c r="O201" s="1">
        <v>35169.160000000003</v>
      </c>
      <c r="P201" s="215">
        <f t="shared" si="26"/>
        <v>2.3043611438930744E-2</v>
      </c>
      <c r="Q201" s="215">
        <f t="shared" si="21"/>
        <v>2.9690299462503233E-2</v>
      </c>
      <c r="R201" s="231">
        <v>11241456</v>
      </c>
      <c r="T201" s="230">
        <v>43377</v>
      </c>
      <c r="U201" s="1">
        <v>113.45</v>
      </c>
      <c r="V201" s="1">
        <v>114.30019470537999</v>
      </c>
      <c r="W201" s="1">
        <v>146375</v>
      </c>
      <c r="X201" s="1">
        <v>35169.160000000003</v>
      </c>
      <c r="Y201" s="215">
        <f t="shared" si="27"/>
        <v>2.3043611438930744E-2</v>
      </c>
      <c r="Z201" s="215">
        <f t="shared" si="22"/>
        <v>1.2494422132976357E-2</v>
      </c>
      <c r="AA201" s="231">
        <v>16730691</v>
      </c>
      <c r="AC201" s="230">
        <v>43377</v>
      </c>
      <c r="AD201" s="1">
        <v>47.3</v>
      </c>
      <c r="AE201" s="1">
        <v>47.549128070504402</v>
      </c>
      <c r="AF201" s="1">
        <v>10666</v>
      </c>
      <c r="AG201" s="1">
        <v>35169.160000000003</v>
      </c>
      <c r="AH201" s="215">
        <f t="shared" si="28"/>
        <v>2.3043611438930744E-2</v>
      </c>
      <c r="AI201" s="215">
        <f t="shared" si="23"/>
        <v>2.8260869565217339E-2</v>
      </c>
      <c r="AJ201" s="231">
        <v>507159</v>
      </c>
      <c r="AL201" s="230">
        <v>44645</v>
      </c>
      <c r="AM201" s="1">
        <v>370.45</v>
      </c>
      <c r="AN201" s="1">
        <v>375.71436339414299</v>
      </c>
      <c r="AO201" s="1">
        <v>36781</v>
      </c>
      <c r="AP201" s="1">
        <v>57362.2</v>
      </c>
      <c r="AQ201" s="215">
        <f t="shared" si="29"/>
        <v>-4.0159052698490738E-3</v>
      </c>
      <c r="AR201" s="215">
        <f t="shared" si="24"/>
        <v>2.5467128027681696E-2</v>
      </c>
      <c r="AS201" s="231">
        <v>13819150</v>
      </c>
    </row>
    <row r="202" spans="2:45">
      <c r="B202" s="230">
        <v>43378</v>
      </c>
      <c r="C202" s="1">
        <v>329.35</v>
      </c>
      <c r="D202" s="1">
        <v>321.38623168371498</v>
      </c>
      <c r="E202" s="1">
        <v>7234</v>
      </c>
      <c r="F202" s="215">
        <v>34376.99</v>
      </c>
      <c r="G202" s="215">
        <f t="shared" si="25"/>
        <v>-2.8249964176295661E-3</v>
      </c>
      <c r="H202" s="215">
        <f t="shared" si="20"/>
        <v>4.5389620695127864E-2</v>
      </c>
      <c r="I202" s="231">
        <v>2324908</v>
      </c>
      <c r="K202" s="230">
        <v>43378</v>
      </c>
      <c r="L202" s="1">
        <v>390.7</v>
      </c>
      <c r="M202" s="1">
        <v>397.55197938370401</v>
      </c>
      <c r="N202" s="1">
        <v>18238</v>
      </c>
      <c r="O202" s="1">
        <v>34376.99</v>
      </c>
      <c r="P202" s="215">
        <f t="shared" si="26"/>
        <v>-2.8249964176295661E-3</v>
      </c>
      <c r="Q202" s="215">
        <f t="shared" si="21"/>
        <v>2.0104438642297717E-2</v>
      </c>
      <c r="R202" s="231">
        <v>7250553</v>
      </c>
      <c r="T202" s="230">
        <v>43378</v>
      </c>
      <c r="U202" s="1">
        <v>112.05</v>
      </c>
      <c r="V202" s="1">
        <v>113.03087676297601</v>
      </c>
      <c r="W202" s="1">
        <v>96286</v>
      </c>
      <c r="X202" s="1">
        <v>34376.99</v>
      </c>
      <c r="Y202" s="215">
        <f t="shared" si="27"/>
        <v>-2.8249964176295661E-3</v>
      </c>
      <c r="Z202" s="215">
        <f t="shared" si="22"/>
        <v>4.6218487394958041E-2</v>
      </c>
      <c r="AA202" s="231">
        <v>10883291</v>
      </c>
      <c r="AC202" s="230">
        <v>43378</v>
      </c>
      <c r="AD202" s="1">
        <v>46</v>
      </c>
      <c r="AE202" s="1">
        <v>47.468580294802102</v>
      </c>
      <c r="AF202" s="1">
        <v>2578</v>
      </c>
      <c r="AG202" s="1">
        <v>34376.99</v>
      </c>
      <c r="AH202" s="215">
        <f t="shared" si="28"/>
        <v>-2.8249964176295661E-3</v>
      </c>
      <c r="AI202" s="215">
        <f t="shared" si="23"/>
        <v>2.1087680355160954E-2</v>
      </c>
      <c r="AJ202" s="231">
        <v>122374</v>
      </c>
      <c r="AL202" s="230">
        <v>44648</v>
      </c>
      <c r="AM202" s="1">
        <v>361.25</v>
      </c>
      <c r="AN202" s="1">
        <v>360.725744487383</v>
      </c>
      <c r="AO202" s="1">
        <v>87980</v>
      </c>
      <c r="AP202" s="1">
        <v>57593.49</v>
      </c>
      <c r="AQ202" s="215">
        <f t="shared" si="29"/>
        <v>-6.0431125757525184E-3</v>
      </c>
      <c r="AR202" s="215">
        <f t="shared" si="24"/>
        <v>-1.8475750577367278E-2</v>
      </c>
      <c r="AS202" s="231">
        <v>31736651</v>
      </c>
    </row>
    <row r="203" spans="2:45">
      <c r="B203" s="230">
        <v>43381</v>
      </c>
      <c r="C203" s="1">
        <v>315.05</v>
      </c>
      <c r="D203" s="1">
        <v>328.46269005847898</v>
      </c>
      <c r="E203" s="1">
        <v>4275</v>
      </c>
      <c r="F203" s="215">
        <v>34474.379999999997</v>
      </c>
      <c r="G203" s="215">
        <f t="shared" si="25"/>
        <v>5.0994957064933732E-3</v>
      </c>
      <c r="H203" s="215">
        <f t="shared" si="20"/>
        <v>-1.238244514106579E-2</v>
      </c>
      <c r="I203" s="231">
        <v>1404178</v>
      </c>
      <c r="K203" s="230">
        <v>43381</v>
      </c>
      <c r="L203" s="1">
        <v>383</v>
      </c>
      <c r="M203" s="1">
        <v>388.10216718266201</v>
      </c>
      <c r="N203" s="1">
        <v>14212</v>
      </c>
      <c r="O203" s="1">
        <v>34474.379999999997</v>
      </c>
      <c r="P203" s="215">
        <f t="shared" si="26"/>
        <v>5.0994957064933732E-3</v>
      </c>
      <c r="Q203" s="215">
        <f t="shared" si="21"/>
        <v>-9.1838054585435813E-3</v>
      </c>
      <c r="R203" s="231">
        <v>5515708</v>
      </c>
      <c r="T203" s="230">
        <v>43381</v>
      </c>
      <c r="U203" s="1">
        <v>107.1</v>
      </c>
      <c r="V203" s="1">
        <v>107.350759771629</v>
      </c>
      <c r="W203" s="1">
        <v>170775</v>
      </c>
      <c r="X203" s="1">
        <v>34474.379999999997</v>
      </c>
      <c r="Y203" s="215">
        <f t="shared" si="27"/>
        <v>5.0994957064933732E-3</v>
      </c>
      <c r="Z203" s="215">
        <f t="shared" si="22"/>
        <v>4.2194092827003704E-3</v>
      </c>
      <c r="AA203" s="231">
        <v>18332826</v>
      </c>
      <c r="AC203" s="230">
        <v>43381</v>
      </c>
      <c r="AD203" s="1">
        <v>45.05</v>
      </c>
      <c r="AE203" s="1">
        <v>45.974041159962503</v>
      </c>
      <c r="AF203" s="1">
        <v>4276</v>
      </c>
      <c r="AG203" s="1">
        <v>34474.379999999997</v>
      </c>
      <c r="AH203" s="215">
        <f t="shared" si="28"/>
        <v>5.0994957064933732E-3</v>
      </c>
      <c r="AI203" s="215">
        <f t="shared" si="23"/>
        <v>-4.7568710359408017E-2</v>
      </c>
      <c r="AJ203" s="231">
        <v>196585</v>
      </c>
      <c r="AL203" s="230">
        <v>44649</v>
      </c>
      <c r="AM203" s="1">
        <v>368.05</v>
      </c>
      <c r="AN203" s="1">
        <v>364.84071922544899</v>
      </c>
      <c r="AO203" s="1">
        <v>36150</v>
      </c>
      <c r="AP203" s="1">
        <v>57943.65</v>
      </c>
      <c r="AQ203" s="215">
        <f t="shared" si="29"/>
        <v>-1.2615706600726972E-2</v>
      </c>
      <c r="AR203" s="215">
        <f t="shared" si="24"/>
        <v>1.3074593999449435E-2</v>
      </c>
      <c r="AS203" s="231">
        <v>13188992</v>
      </c>
    </row>
    <row r="204" spans="2:45">
      <c r="B204" s="230">
        <v>43382</v>
      </c>
      <c r="C204" s="1">
        <v>319</v>
      </c>
      <c r="D204" s="1">
        <v>316.65304659498202</v>
      </c>
      <c r="E204" s="1">
        <v>2790</v>
      </c>
      <c r="F204" s="215">
        <v>34299.47</v>
      </c>
      <c r="G204" s="215">
        <f t="shared" si="25"/>
        <v>-1.3274113522409814E-2</v>
      </c>
      <c r="H204" s="215">
        <f t="shared" si="20"/>
        <v>-5.6073383636632612E-2</v>
      </c>
      <c r="I204" s="231">
        <v>883462</v>
      </c>
      <c r="K204" s="230">
        <v>43382</v>
      </c>
      <c r="L204" s="1">
        <v>386.55</v>
      </c>
      <c r="M204" s="1">
        <v>387.76514975621001</v>
      </c>
      <c r="N204" s="1">
        <v>8614</v>
      </c>
      <c r="O204" s="1">
        <v>34299.47</v>
      </c>
      <c r="P204" s="215">
        <f t="shared" si="26"/>
        <v>-1.3274113522409814E-2</v>
      </c>
      <c r="Q204" s="215">
        <f t="shared" si="21"/>
        <v>-6.4496611810261339E-2</v>
      </c>
      <c r="R204" s="231">
        <v>3340209</v>
      </c>
      <c r="T204" s="230">
        <v>43382</v>
      </c>
      <c r="U204" s="1">
        <v>106.65</v>
      </c>
      <c r="V204" s="1">
        <v>107.351111973553</v>
      </c>
      <c r="W204" s="1">
        <v>144293</v>
      </c>
      <c r="X204" s="1">
        <v>34299.47</v>
      </c>
      <c r="Y204" s="215">
        <f t="shared" si="27"/>
        <v>-1.3274113522409814E-2</v>
      </c>
      <c r="Z204" s="215">
        <f t="shared" si="22"/>
        <v>-4.6064400715563392E-2</v>
      </c>
      <c r="AA204" s="231">
        <v>15490014</v>
      </c>
      <c r="AC204" s="230">
        <v>43382</v>
      </c>
      <c r="AD204" s="1">
        <v>47.3</v>
      </c>
      <c r="AE204" s="1">
        <v>46.689727463312302</v>
      </c>
      <c r="AF204" s="1">
        <v>3816</v>
      </c>
      <c r="AG204" s="1">
        <v>34299.47</v>
      </c>
      <c r="AH204" s="215">
        <f t="shared" si="28"/>
        <v>-1.3274113522409814E-2</v>
      </c>
      <c r="AI204" s="215">
        <f t="shared" si="23"/>
        <v>-7.3457394711067603E-2</v>
      </c>
      <c r="AJ204" s="231">
        <v>178168</v>
      </c>
      <c r="AL204" s="230">
        <v>44650</v>
      </c>
      <c r="AM204" s="1">
        <v>363.3</v>
      </c>
      <c r="AN204" s="1">
        <v>363.135110086917</v>
      </c>
      <c r="AO204" s="1">
        <v>39923</v>
      </c>
      <c r="AP204" s="1">
        <v>58683.99</v>
      </c>
      <c r="AQ204" s="215">
        <f t="shared" si="29"/>
        <v>1.9717080048646807E-3</v>
      </c>
      <c r="AR204" s="215">
        <f t="shared" si="24"/>
        <v>3.5911602209945936E-3</v>
      </c>
      <c r="AS204" s="231">
        <v>14497443</v>
      </c>
    </row>
    <row r="205" spans="2:45">
      <c r="B205" s="230">
        <v>43383</v>
      </c>
      <c r="C205" s="1">
        <v>337.95</v>
      </c>
      <c r="D205" s="1">
        <v>333.37698898408797</v>
      </c>
      <c r="E205" s="1">
        <v>1634</v>
      </c>
      <c r="F205" s="215">
        <v>34760.89</v>
      </c>
      <c r="G205" s="215">
        <f t="shared" si="25"/>
        <v>2.2344538346497078E-2</v>
      </c>
      <c r="H205" s="215">
        <f t="shared" si="20"/>
        <v>4.6284829721362275E-2</v>
      </c>
      <c r="I205" s="231">
        <v>544738</v>
      </c>
      <c r="K205" s="230">
        <v>43383</v>
      </c>
      <c r="L205" s="1">
        <v>413.2</v>
      </c>
      <c r="M205" s="1">
        <v>408.71348837209302</v>
      </c>
      <c r="N205" s="1">
        <v>22575</v>
      </c>
      <c r="O205" s="1">
        <v>34760.89</v>
      </c>
      <c r="P205" s="215">
        <f t="shared" si="26"/>
        <v>2.2344538346497078E-2</v>
      </c>
      <c r="Q205" s="215">
        <f t="shared" si="21"/>
        <v>-9.2315070135475796E-3</v>
      </c>
      <c r="R205" s="231">
        <v>9226707</v>
      </c>
      <c r="T205" s="230">
        <v>43383</v>
      </c>
      <c r="U205" s="1">
        <v>111.8</v>
      </c>
      <c r="V205" s="1">
        <v>111.384501562312</v>
      </c>
      <c r="W205" s="1">
        <v>133136</v>
      </c>
      <c r="X205" s="1">
        <v>34760.89</v>
      </c>
      <c r="Y205" s="215">
        <f t="shared" si="27"/>
        <v>2.2344538346497078E-2</v>
      </c>
      <c r="Z205" s="215">
        <f t="shared" si="22"/>
        <v>4.8780487804878092E-2</v>
      </c>
      <c r="AA205" s="231">
        <v>14829287</v>
      </c>
      <c r="AC205" s="230">
        <v>43383</v>
      </c>
      <c r="AD205" s="1">
        <v>51.05</v>
      </c>
      <c r="AE205" s="1">
        <v>50.285649819494502</v>
      </c>
      <c r="AF205" s="1">
        <v>6648</v>
      </c>
      <c r="AG205" s="1">
        <v>34760.89</v>
      </c>
      <c r="AH205" s="215">
        <f t="shared" si="28"/>
        <v>2.2344538346497078E-2</v>
      </c>
      <c r="AI205" s="215">
        <f t="shared" si="23"/>
        <v>2.9233870967741771E-2</v>
      </c>
      <c r="AJ205" s="231">
        <v>334299</v>
      </c>
      <c r="AL205" s="230">
        <v>44651</v>
      </c>
      <c r="AM205" s="1">
        <v>362</v>
      </c>
      <c r="AN205" s="1">
        <v>363.69186924872901</v>
      </c>
      <c r="AO205" s="1">
        <v>43686</v>
      </c>
      <c r="AP205" s="1">
        <v>58568.51</v>
      </c>
      <c r="AQ205" s="215">
        <f t="shared" si="29"/>
        <v>-1.1947023357748221E-2</v>
      </c>
      <c r="AR205" s="215">
        <f t="shared" si="24"/>
        <v>-4.9477735019242131E-3</v>
      </c>
      <c r="AS205" s="231">
        <v>15888243</v>
      </c>
    </row>
    <row r="206" spans="2:45">
      <c r="B206" s="230">
        <v>43384</v>
      </c>
      <c r="C206" s="1">
        <v>323</v>
      </c>
      <c r="D206" s="1">
        <v>319.71681415929203</v>
      </c>
      <c r="E206" s="1">
        <v>452</v>
      </c>
      <c r="F206" s="215">
        <v>34001.15</v>
      </c>
      <c r="G206" s="215">
        <f t="shared" si="25"/>
        <v>-2.1087086329713234E-2</v>
      </c>
      <c r="H206" s="215">
        <f t="shared" ref="H206:H269" si="30">IF(ISERROR(C206/C207-1),"NA",C206/C207-1)</f>
        <v>-5.0000000000000044E-2</v>
      </c>
      <c r="I206" s="231">
        <v>144512</v>
      </c>
      <c r="K206" s="230">
        <v>43384</v>
      </c>
      <c r="L206" s="1">
        <v>417.05</v>
      </c>
      <c r="M206" s="1">
        <v>410.17928474821503</v>
      </c>
      <c r="N206" s="1">
        <v>31793</v>
      </c>
      <c r="O206" s="1">
        <v>34001.15</v>
      </c>
      <c r="P206" s="215">
        <f t="shared" si="26"/>
        <v>-2.1087086329713234E-2</v>
      </c>
      <c r="Q206" s="215">
        <f t="shared" ref="Q206:Q269" si="31">IF(ISERROR(L206/L207-1),"NA",L206/L207-1)</f>
        <v>-2.7061705354018306E-2</v>
      </c>
      <c r="R206" s="231">
        <v>13040830</v>
      </c>
      <c r="T206" s="230">
        <v>43384</v>
      </c>
      <c r="U206" s="1">
        <v>106.6</v>
      </c>
      <c r="V206" s="1">
        <v>107.167512188228</v>
      </c>
      <c r="W206" s="1">
        <v>141530</v>
      </c>
      <c r="X206" s="1">
        <v>34001.15</v>
      </c>
      <c r="Y206" s="215">
        <f t="shared" si="27"/>
        <v>-2.1087086329713234E-2</v>
      </c>
      <c r="Z206" s="215">
        <f t="shared" ref="Z206:Z269" si="32">IF(ISERROR(U206/U207-1),"NA",U206/U207-1)</f>
        <v>-6.4501974550241425E-2</v>
      </c>
      <c r="AA206" s="231">
        <v>15167418</v>
      </c>
      <c r="AC206" s="230">
        <v>43384</v>
      </c>
      <c r="AD206" s="1">
        <v>49.6</v>
      </c>
      <c r="AE206" s="1">
        <v>49.572811059907799</v>
      </c>
      <c r="AF206" s="1">
        <v>2170</v>
      </c>
      <c r="AG206" s="1">
        <v>34001.15</v>
      </c>
      <c r="AH206" s="215">
        <f t="shared" si="28"/>
        <v>-2.1087086329713234E-2</v>
      </c>
      <c r="AI206" s="215">
        <f t="shared" ref="AI206:AI269" si="33">IF(ISERROR(AD206/AD207-1),"NA",AD206/AD207-1)</f>
        <v>-4.4315992292870865E-2</v>
      </c>
      <c r="AJ206" s="231">
        <v>107573</v>
      </c>
      <c r="AL206" s="230">
        <v>44652</v>
      </c>
      <c r="AM206" s="1">
        <v>363.8</v>
      </c>
      <c r="AN206" s="1">
        <v>365.07920427334602</v>
      </c>
      <c r="AO206" s="1">
        <v>16287</v>
      </c>
      <c r="AP206" s="1">
        <v>59276.69</v>
      </c>
      <c r="AQ206" s="215">
        <f t="shared" si="29"/>
        <v>-2.2026260919089213E-2</v>
      </c>
      <c r="AR206" s="215">
        <f t="shared" ref="AR206:AR269" si="34">IF(ISERROR(AM206/AM207-1),"NA",AM206/AM207-1)</f>
        <v>-2.0858565468981349E-2</v>
      </c>
      <c r="AS206" s="231">
        <v>5946045</v>
      </c>
    </row>
    <row r="207" spans="2:45">
      <c r="B207" s="230">
        <v>43385</v>
      </c>
      <c r="C207" s="1">
        <v>340</v>
      </c>
      <c r="D207" s="1">
        <v>333.10200803212803</v>
      </c>
      <c r="E207" s="1">
        <v>1245</v>
      </c>
      <c r="F207" s="215">
        <v>34733.58</v>
      </c>
      <c r="G207" s="215">
        <f t="shared" ref="G207:G270" si="35">IF(ISERROR(F207/F208-1),"NA",F207/F208-1)</f>
        <v>-3.7722536289870323E-3</v>
      </c>
      <c r="H207" s="215">
        <f t="shared" si="30"/>
        <v>-2.2707674619143359E-2</v>
      </c>
      <c r="I207" s="231">
        <v>414712</v>
      </c>
      <c r="K207" s="230">
        <v>43385</v>
      </c>
      <c r="L207" s="1">
        <v>428.65</v>
      </c>
      <c r="M207" s="1">
        <v>434.41096420010803</v>
      </c>
      <c r="N207" s="1">
        <v>12933</v>
      </c>
      <c r="O207" s="1">
        <v>34733.58</v>
      </c>
      <c r="P207" s="215">
        <f t="shared" ref="P207:P270" si="36">IF(ISERROR(O207/O208-1),"NA",O207/O208-1)</f>
        <v>-3.7722536289870323E-3</v>
      </c>
      <c r="Q207" s="215">
        <f t="shared" si="31"/>
        <v>-2.9076529425448028E-3</v>
      </c>
      <c r="R207" s="231">
        <v>5618237</v>
      </c>
      <c r="T207" s="230">
        <v>43385</v>
      </c>
      <c r="U207" s="1">
        <v>113.95</v>
      </c>
      <c r="V207" s="1">
        <v>113.050417051227</v>
      </c>
      <c r="W207" s="1">
        <v>115933</v>
      </c>
      <c r="X207" s="1">
        <v>34733.58</v>
      </c>
      <c r="Y207" s="215">
        <f t="shared" ref="Y207:Y270" si="37">IF(ISERROR(X207/X208-1),"NA",X207/X208-1)</f>
        <v>-3.7722536289870323E-3</v>
      </c>
      <c r="Z207" s="215">
        <f t="shared" si="32"/>
        <v>-2.3982869379014948E-2</v>
      </c>
      <c r="AA207" s="231">
        <v>13106274</v>
      </c>
      <c r="AC207" s="230">
        <v>43385</v>
      </c>
      <c r="AD207" s="1">
        <v>51.9</v>
      </c>
      <c r="AE207" s="1">
        <v>50.898664840807903</v>
      </c>
      <c r="AF207" s="1">
        <v>11684</v>
      </c>
      <c r="AG207" s="1">
        <v>34733.58</v>
      </c>
      <c r="AH207" s="215">
        <f t="shared" ref="AH207:AH270" si="38">IF(ISERROR(AG207/AG208-1),"NA",AG207/AG208-1)</f>
        <v>-3.7722536289870323E-3</v>
      </c>
      <c r="AI207" s="215">
        <f t="shared" si="33"/>
        <v>1.7647058823529349E-2</v>
      </c>
      <c r="AJ207" s="231">
        <v>594700</v>
      </c>
      <c r="AL207" s="230">
        <v>44655</v>
      </c>
      <c r="AM207" s="1">
        <v>371.55</v>
      </c>
      <c r="AN207" s="1">
        <v>370.914483601548</v>
      </c>
      <c r="AO207" s="1">
        <v>73635</v>
      </c>
      <c r="AP207" s="1">
        <v>60611.74</v>
      </c>
      <c r="AQ207" s="215">
        <f t="shared" ref="AQ207:AQ270" si="39">IF(ISERROR(AP207/AP208-1),"NA",AP207/AP208-1)</f>
        <v>7.232723737671698E-3</v>
      </c>
      <c r="AR207" s="215">
        <f t="shared" si="34"/>
        <v>5.4119875524285543E-3</v>
      </c>
      <c r="AS207" s="231">
        <v>27312288</v>
      </c>
    </row>
    <row r="208" spans="2:45">
      <c r="B208" s="230">
        <v>43388</v>
      </c>
      <c r="C208" s="1">
        <v>347.9</v>
      </c>
      <c r="D208" s="1">
        <v>342.48668555240698</v>
      </c>
      <c r="E208" s="1">
        <v>1765</v>
      </c>
      <c r="F208" s="215">
        <v>34865.1</v>
      </c>
      <c r="G208" s="215">
        <f t="shared" si="35"/>
        <v>-8.4573101783492755E-3</v>
      </c>
      <c r="H208" s="215">
        <f t="shared" si="30"/>
        <v>2.3235294117647021E-2</v>
      </c>
      <c r="I208" s="231">
        <v>604489</v>
      </c>
      <c r="K208" s="230">
        <v>43388</v>
      </c>
      <c r="L208" s="1">
        <v>429.9</v>
      </c>
      <c r="M208" s="1">
        <v>432.749112005683</v>
      </c>
      <c r="N208" s="1">
        <v>16892</v>
      </c>
      <c r="O208" s="1">
        <v>34865.1</v>
      </c>
      <c r="P208" s="215">
        <f t="shared" si="36"/>
        <v>-8.4573101783492755E-3</v>
      </c>
      <c r="Q208" s="215">
        <f t="shared" si="31"/>
        <v>-1.4103887168902762E-2</v>
      </c>
      <c r="R208" s="231">
        <v>7309998</v>
      </c>
      <c r="T208" s="230">
        <v>43388</v>
      </c>
      <c r="U208" s="1">
        <v>116.75</v>
      </c>
      <c r="V208" s="1">
        <v>116.43892462052899</v>
      </c>
      <c r="W208" s="1">
        <v>77740</v>
      </c>
      <c r="X208" s="1">
        <v>34865.1</v>
      </c>
      <c r="Y208" s="215">
        <f t="shared" si="37"/>
        <v>-8.4573101783492755E-3</v>
      </c>
      <c r="Z208" s="215">
        <f t="shared" si="32"/>
        <v>-4.2808219178080975E-4</v>
      </c>
      <c r="AA208" s="231">
        <v>9051962</v>
      </c>
      <c r="AC208" s="230">
        <v>43388</v>
      </c>
      <c r="AD208" s="1">
        <v>51</v>
      </c>
      <c r="AE208" s="1">
        <v>51.048564722874097</v>
      </c>
      <c r="AF208" s="1">
        <v>5539</v>
      </c>
      <c r="AG208" s="1">
        <v>34865.1</v>
      </c>
      <c r="AH208" s="215">
        <f t="shared" si="38"/>
        <v>-8.4573101783492755E-3</v>
      </c>
      <c r="AI208" s="215">
        <f t="shared" si="33"/>
        <v>0</v>
      </c>
      <c r="AJ208" s="231">
        <v>282758</v>
      </c>
      <c r="AL208" s="230">
        <v>44656</v>
      </c>
      <c r="AM208" s="1">
        <v>369.55</v>
      </c>
      <c r="AN208" s="1">
        <v>371.37650242946</v>
      </c>
      <c r="AO208" s="1">
        <v>46924</v>
      </c>
      <c r="AP208" s="1">
        <v>60176.5</v>
      </c>
      <c r="AQ208" s="215">
        <f t="shared" si="39"/>
        <v>9.4964956624186136E-3</v>
      </c>
      <c r="AR208" s="215">
        <f t="shared" si="34"/>
        <v>-4.1767717596336018E-3</v>
      </c>
      <c r="AS208" s="231">
        <v>17426471</v>
      </c>
    </row>
    <row r="209" spans="2:45">
      <c r="B209" s="230">
        <v>43389</v>
      </c>
      <c r="C209" s="1">
        <v>340</v>
      </c>
      <c r="D209" s="1">
        <v>344.752781211372</v>
      </c>
      <c r="E209" s="1">
        <v>809</v>
      </c>
      <c r="F209" s="215">
        <v>35162.480000000003</v>
      </c>
      <c r="G209" s="215">
        <f t="shared" si="35"/>
        <v>1.1009333637726604E-2</v>
      </c>
      <c r="H209" s="215">
        <f t="shared" si="30"/>
        <v>0</v>
      </c>
      <c r="I209" s="231">
        <v>278905</v>
      </c>
      <c r="K209" s="230">
        <v>43389</v>
      </c>
      <c r="L209" s="1">
        <v>436.05</v>
      </c>
      <c r="M209" s="1">
        <v>437.52818808468697</v>
      </c>
      <c r="N209" s="1">
        <v>8124</v>
      </c>
      <c r="O209" s="1">
        <v>35162.480000000003</v>
      </c>
      <c r="P209" s="215">
        <f t="shared" si="36"/>
        <v>1.1009333637726604E-2</v>
      </c>
      <c r="Q209" s="215">
        <f t="shared" si="31"/>
        <v>2.3351325979816817E-2</v>
      </c>
      <c r="R209" s="231">
        <v>3554479</v>
      </c>
      <c r="T209" s="230">
        <v>43389</v>
      </c>
      <c r="U209" s="1">
        <v>116.8</v>
      </c>
      <c r="V209" s="1">
        <v>117.912517887272</v>
      </c>
      <c r="W209" s="1">
        <v>93642</v>
      </c>
      <c r="X209" s="1">
        <v>35162.480000000003</v>
      </c>
      <c r="Y209" s="215">
        <f t="shared" si="37"/>
        <v>1.1009333637726604E-2</v>
      </c>
      <c r="Z209" s="215">
        <f t="shared" si="32"/>
        <v>4.2857142857142927E-2</v>
      </c>
      <c r="AA209" s="231">
        <v>11041564</v>
      </c>
      <c r="AC209" s="230">
        <v>43389</v>
      </c>
      <c r="AD209" s="1">
        <v>51</v>
      </c>
      <c r="AE209" s="1">
        <v>50.950806186245401</v>
      </c>
      <c r="AF209" s="1">
        <v>6078</v>
      </c>
      <c r="AG209" s="1">
        <v>35162.480000000003</v>
      </c>
      <c r="AH209" s="215">
        <f t="shared" si="38"/>
        <v>1.1009333637726604E-2</v>
      </c>
      <c r="AI209" s="215">
        <f t="shared" si="33"/>
        <v>1.8981018981019115E-2</v>
      </c>
      <c r="AJ209" s="231">
        <v>309679</v>
      </c>
      <c r="AL209" s="230">
        <v>44657</v>
      </c>
      <c r="AM209" s="1">
        <v>371.1</v>
      </c>
      <c r="AN209" s="1">
        <v>371.35400207485401</v>
      </c>
      <c r="AO209" s="1">
        <v>25062</v>
      </c>
      <c r="AP209" s="1">
        <v>59610.41</v>
      </c>
      <c r="AQ209" s="215">
        <f t="shared" si="39"/>
        <v>9.7477849985476706E-3</v>
      </c>
      <c r="AR209" s="215">
        <f t="shared" si="34"/>
        <v>1.5599343185550119E-2</v>
      </c>
      <c r="AS209" s="231">
        <v>9306874</v>
      </c>
    </row>
    <row r="210" spans="2:45">
      <c r="B210" s="230">
        <v>43390</v>
      </c>
      <c r="C210" s="1">
        <v>340</v>
      </c>
      <c r="D210" s="1">
        <v>340.03141361256502</v>
      </c>
      <c r="E210" s="1">
        <v>573</v>
      </c>
      <c r="F210" s="215">
        <v>34779.58</v>
      </c>
      <c r="G210" s="215">
        <f t="shared" si="35"/>
        <v>1.3520078168461458E-2</v>
      </c>
      <c r="H210" s="215">
        <f t="shared" si="30"/>
        <v>8.9020771513352859E-3</v>
      </c>
      <c r="I210" s="231">
        <v>194838</v>
      </c>
      <c r="K210" s="230">
        <v>43390</v>
      </c>
      <c r="L210" s="1">
        <v>426.1</v>
      </c>
      <c r="M210" s="1">
        <v>442.205936309327</v>
      </c>
      <c r="N210" s="1">
        <v>21259</v>
      </c>
      <c r="O210" s="1">
        <v>34779.58</v>
      </c>
      <c r="P210" s="215">
        <f t="shared" si="36"/>
        <v>1.3520078168461458E-2</v>
      </c>
      <c r="Q210" s="215">
        <f t="shared" si="31"/>
        <v>3.0097908860147626E-2</v>
      </c>
      <c r="R210" s="231">
        <v>9400856</v>
      </c>
      <c r="T210" s="230">
        <v>43390</v>
      </c>
      <c r="U210" s="1">
        <v>112</v>
      </c>
      <c r="V210" s="1">
        <v>115.077305948481</v>
      </c>
      <c r="W210" s="1">
        <v>69917</v>
      </c>
      <c r="X210" s="1">
        <v>34779.58</v>
      </c>
      <c r="Y210" s="215">
        <f t="shared" si="37"/>
        <v>1.3520078168461458E-2</v>
      </c>
      <c r="Z210" s="215">
        <f t="shared" si="32"/>
        <v>3.7037037037036979E-2</v>
      </c>
      <c r="AA210" s="231">
        <v>8045860</v>
      </c>
      <c r="AC210" s="230">
        <v>43390</v>
      </c>
      <c r="AD210" s="1">
        <v>50.05</v>
      </c>
      <c r="AE210" s="1">
        <v>50.827208918249298</v>
      </c>
      <c r="AF210" s="1">
        <v>4844</v>
      </c>
      <c r="AG210" s="1">
        <v>34779.58</v>
      </c>
      <c r="AH210" s="215">
        <f t="shared" si="38"/>
        <v>1.3520078168461458E-2</v>
      </c>
      <c r="AI210" s="215">
        <f t="shared" si="33"/>
        <v>8.0563947633434108E-3</v>
      </c>
      <c r="AJ210" s="231">
        <v>246207</v>
      </c>
      <c r="AL210" s="230">
        <v>44658</v>
      </c>
      <c r="AM210" s="1">
        <v>365.4</v>
      </c>
      <c r="AN210" s="1">
        <v>369.51400678151202</v>
      </c>
      <c r="AO210" s="1">
        <v>43943</v>
      </c>
      <c r="AP210" s="1">
        <v>59034.95</v>
      </c>
      <c r="AQ210" s="215">
        <f t="shared" si="39"/>
        <v>-6.9343911687653748E-3</v>
      </c>
      <c r="AR210" s="215">
        <f t="shared" si="34"/>
        <v>-8.0086873897109445E-3</v>
      </c>
      <c r="AS210" s="231">
        <v>16237554</v>
      </c>
    </row>
    <row r="211" spans="2:45">
      <c r="B211" s="230">
        <v>43392</v>
      </c>
      <c r="C211" s="1">
        <v>337</v>
      </c>
      <c r="D211" s="1">
        <v>337.06334841628899</v>
      </c>
      <c r="E211" s="1">
        <v>1547</v>
      </c>
      <c r="F211" s="215">
        <v>34315.629999999997</v>
      </c>
      <c r="G211" s="215">
        <f t="shared" si="35"/>
        <v>5.3098957707742311E-3</v>
      </c>
      <c r="H211" s="215">
        <f t="shared" si="30"/>
        <v>5.9701492537314049E-3</v>
      </c>
      <c r="I211" s="231">
        <v>521437</v>
      </c>
      <c r="K211" s="230">
        <v>43392</v>
      </c>
      <c r="L211" s="1">
        <v>413.65</v>
      </c>
      <c r="M211" s="1">
        <v>417.71535458685702</v>
      </c>
      <c r="N211" s="1">
        <v>6148</v>
      </c>
      <c r="O211" s="1">
        <v>34315.629999999997</v>
      </c>
      <c r="P211" s="215">
        <f t="shared" si="36"/>
        <v>5.3098957707742311E-3</v>
      </c>
      <c r="Q211" s="215">
        <f t="shared" si="31"/>
        <v>4.2464717741935498E-2</v>
      </c>
      <c r="R211" s="231">
        <v>2568114</v>
      </c>
      <c r="T211" s="230">
        <v>43392</v>
      </c>
      <c r="U211" s="1">
        <v>108</v>
      </c>
      <c r="V211" s="1">
        <v>108.096849094863</v>
      </c>
      <c r="W211" s="1">
        <v>95179</v>
      </c>
      <c r="X211" s="1">
        <v>34315.629999999997</v>
      </c>
      <c r="Y211" s="215">
        <f t="shared" si="37"/>
        <v>5.3098957707742311E-3</v>
      </c>
      <c r="Z211" s="215">
        <f t="shared" si="32"/>
        <v>2.8081865778200932E-2</v>
      </c>
      <c r="AA211" s="231">
        <v>10288550</v>
      </c>
      <c r="AC211" s="230">
        <v>43392</v>
      </c>
      <c r="AD211" s="1">
        <v>49.65</v>
      </c>
      <c r="AE211" s="1">
        <v>49.747165226781803</v>
      </c>
      <c r="AF211" s="1">
        <v>7408</v>
      </c>
      <c r="AG211" s="1">
        <v>34315.629999999997</v>
      </c>
      <c r="AH211" s="215">
        <f t="shared" si="38"/>
        <v>5.3098957707742311E-3</v>
      </c>
      <c r="AI211" s="215">
        <f t="shared" si="33"/>
        <v>-2.7424094025465195E-2</v>
      </c>
      <c r="AJ211" s="231">
        <v>368527</v>
      </c>
      <c r="AL211" s="230">
        <v>44659</v>
      </c>
      <c r="AM211" s="1">
        <v>368.35</v>
      </c>
      <c r="AN211" s="1">
        <v>369.85700449062199</v>
      </c>
      <c r="AO211" s="1">
        <v>11357</v>
      </c>
      <c r="AP211" s="1">
        <v>59447.18</v>
      </c>
      <c r="AQ211" s="215">
        <f t="shared" si="39"/>
        <v>8.1847455175201311E-3</v>
      </c>
      <c r="AR211" s="215">
        <f t="shared" si="34"/>
        <v>-3.3820346320346806E-3</v>
      </c>
      <c r="AS211" s="231">
        <v>4200466</v>
      </c>
    </row>
    <row r="212" spans="2:45">
      <c r="B212" s="230">
        <v>43395</v>
      </c>
      <c r="C212" s="1">
        <v>335</v>
      </c>
      <c r="D212" s="1">
        <v>334.61818181818097</v>
      </c>
      <c r="E212" s="1">
        <v>275</v>
      </c>
      <c r="F212" s="215">
        <v>34134.379999999997</v>
      </c>
      <c r="G212" s="215">
        <f t="shared" si="35"/>
        <v>8.4837075293899833E-3</v>
      </c>
      <c r="H212" s="215">
        <f t="shared" si="30"/>
        <v>-5.6396556841792345E-3</v>
      </c>
      <c r="I212" s="231">
        <v>92020</v>
      </c>
      <c r="K212" s="230">
        <v>43395</v>
      </c>
      <c r="L212" s="1">
        <v>396.8</v>
      </c>
      <c r="M212" s="1">
        <v>405.344162368544</v>
      </c>
      <c r="N212" s="1">
        <v>14929</v>
      </c>
      <c r="O212" s="1">
        <v>34134.379999999997</v>
      </c>
      <c r="P212" s="215">
        <f t="shared" si="36"/>
        <v>8.4837075293899833E-3</v>
      </c>
      <c r="Q212" s="215">
        <f t="shared" si="31"/>
        <v>2.1232788572899342E-2</v>
      </c>
      <c r="R212" s="231">
        <v>6051383</v>
      </c>
      <c r="T212" s="230">
        <v>43395</v>
      </c>
      <c r="U212" s="1">
        <v>105.05</v>
      </c>
      <c r="V212" s="1">
        <v>107.037011736943</v>
      </c>
      <c r="W212" s="1">
        <v>128824</v>
      </c>
      <c r="X212" s="1">
        <v>34134.379999999997</v>
      </c>
      <c r="Y212" s="215">
        <f t="shared" si="37"/>
        <v>8.4837075293899833E-3</v>
      </c>
      <c r="Z212" s="215">
        <f t="shared" si="32"/>
        <v>1.9902912621359237E-2</v>
      </c>
      <c r="AA212" s="231">
        <v>13788936</v>
      </c>
      <c r="AC212" s="230">
        <v>43395</v>
      </c>
      <c r="AD212" s="1">
        <v>51.05</v>
      </c>
      <c r="AE212" s="1">
        <v>50.799396378269599</v>
      </c>
      <c r="AF212" s="1">
        <v>14910</v>
      </c>
      <c r="AG212" s="1">
        <v>34134.379999999997</v>
      </c>
      <c r="AH212" s="215">
        <f t="shared" si="38"/>
        <v>8.4837075293899833E-3</v>
      </c>
      <c r="AI212" s="215">
        <f t="shared" si="33"/>
        <v>5.1493305870236927E-2</v>
      </c>
      <c r="AJ212" s="231">
        <v>757419</v>
      </c>
      <c r="AL212" s="230">
        <v>44662</v>
      </c>
      <c r="AM212" s="1">
        <v>369.6</v>
      </c>
      <c r="AN212" s="1">
        <v>368.841330760586</v>
      </c>
      <c r="AO212" s="1">
        <v>47161</v>
      </c>
      <c r="AP212" s="1">
        <v>58964.57</v>
      </c>
      <c r="AQ212" s="215">
        <f t="shared" si="39"/>
        <v>6.6272457648024474E-3</v>
      </c>
      <c r="AR212" s="215">
        <f t="shared" si="34"/>
        <v>3.1825795644891297E-2</v>
      </c>
      <c r="AS212" s="231">
        <v>17394926</v>
      </c>
    </row>
    <row r="213" spans="2:45">
      <c r="B213" s="230">
        <v>43396</v>
      </c>
      <c r="C213" s="1">
        <v>336.9</v>
      </c>
      <c r="D213" s="1">
        <v>334.61711229946502</v>
      </c>
      <c r="E213" s="1">
        <v>935</v>
      </c>
      <c r="F213" s="215">
        <v>33847.230000000003</v>
      </c>
      <c r="G213" s="215">
        <f t="shared" si="35"/>
        <v>-5.4865786996280974E-3</v>
      </c>
      <c r="H213" s="215">
        <f t="shared" si="30"/>
        <v>-3.2544378698226017E-3</v>
      </c>
      <c r="I213" s="231">
        <v>312867</v>
      </c>
      <c r="K213" s="230">
        <v>43396</v>
      </c>
      <c r="L213" s="1">
        <v>388.55</v>
      </c>
      <c r="M213" s="1">
        <v>386.18484416535</v>
      </c>
      <c r="N213" s="1">
        <v>25957</v>
      </c>
      <c r="O213" s="1">
        <v>33847.230000000003</v>
      </c>
      <c r="P213" s="215">
        <f t="shared" si="36"/>
        <v>-5.4865786996280974E-3</v>
      </c>
      <c r="Q213" s="215">
        <f t="shared" si="31"/>
        <v>-1.1826042726347907E-2</v>
      </c>
      <c r="R213" s="231">
        <v>10024200</v>
      </c>
      <c r="T213" s="230">
        <v>43396</v>
      </c>
      <c r="U213" s="1">
        <v>103</v>
      </c>
      <c r="V213" s="1">
        <v>103.365327264165</v>
      </c>
      <c r="W213" s="1">
        <v>101936</v>
      </c>
      <c r="X213" s="1">
        <v>33847.230000000003</v>
      </c>
      <c r="Y213" s="215">
        <f t="shared" si="37"/>
        <v>-5.4865786996280974E-3</v>
      </c>
      <c r="Z213" s="215">
        <f t="shared" si="32"/>
        <v>-1.056676272814594E-2</v>
      </c>
      <c r="AA213" s="231">
        <v>10536648</v>
      </c>
      <c r="AC213" s="230">
        <v>43396</v>
      </c>
      <c r="AD213" s="1">
        <v>48.55</v>
      </c>
      <c r="AE213" s="1">
        <v>49.756617647058803</v>
      </c>
      <c r="AF213" s="1">
        <v>6800</v>
      </c>
      <c r="AG213" s="1">
        <v>33847.230000000003</v>
      </c>
      <c r="AH213" s="215">
        <f t="shared" si="38"/>
        <v>-5.4865786996280974E-3</v>
      </c>
      <c r="AI213" s="215">
        <f t="shared" si="33"/>
        <v>-2.4120603015075459E-2</v>
      </c>
      <c r="AJ213" s="231">
        <v>338345</v>
      </c>
      <c r="AL213" s="230">
        <v>44663</v>
      </c>
      <c r="AM213" s="1">
        <v>358.2</v>
      </c>
      <c r="AN213" s="1">
        <v>358.44223437269102</v>
      </c>
      <c r="AO213" s="1">
        <v>33835</v>
      </c>
      <c r="AP213" s="1">
        <v>58576.37</v>
      </c>
      <c r="AQ213" s="215">
        <f t="shared" si="39"/>
        <v>4.070009511658812E-3</v>
      </c>
      <c r="AR213" s="215">
        <f t="shared" si="34"/>
        <v>-8.7173100871732467E-3</v>
      </c>
      <c r="AS213" s="231">
        <v>12127893</v>
      </c>
    </row>
    <row r="214" spans="2:45">
      <c r="B214" s="230">
        <v>43397</v>
      </c>
      <c r="C214" s="1">
        <v>338</v>
      </c>
      <c r="D214" s="1">
        <v>336.61168384879699</v>
      </c>
      <c r="E214" s="1">
        <v>291</v>
      </c>
      <c r="F214" s="215">
        <v>34033.96</v>
      </c>
      <c r="G214" s="215">
        <f t="shared" si="35"/>
        <v>1.0206859049649353E-2</v>
      </c>
      <c r="H214" s="215">
        <f t="shared" si="30"/>
        <v>4.4822256568779029E-2</v>
      </c>
      <c r="I214" s="231">
        <v>97954</v>
      </c>
      <c r="K214" s="230">
        <v>43397</v>
      </c>
      <c r="L214" s="1">
        <v>393.2</v>
      </c>
      <c r="M214" s="1">
        <v>395.36546361502297</v>
      </c>
      <c r="N214" s="1">
        <v>13632</v>
      </c>
      <c r="O214" s="1">
        <v>34033.96</v>
      </c>
      <c r="P214" s="215">
        <f t="shared" si="36"/>
        <v>1.0206859049649353E-2</v>
      </c>
      <c r="Q214" s="215">
        <f t="shared" si="31"/>
        <v>3.419253024723834E-2</v>
      </c>
      <c r="R214" s="231">
        <v>5389622</v>
      </c>
      <c r="T214" s="230">
        <v>43397</v>
      </c>
      <c r="U214" s="1">
        <v>104.1</v>
      </c>
      <c r="V214" s="1">
        <v>104.194945070725</v>
      </c>
      <c r="W214" s="1">
        <v>55708</v>
      </c>
      <c r="X214" s="1">
        <v>34033.96</v>
      </c>
      <c r="Y214" s="215">
        <f t="shared" si="37"/>
        <v>1.0206859049649353E-2</v>
      </c>
      <c r="Z214" s="215">
        <f t="shared" si="32"/>
        <v>1.8092909535452284E-2</v>
      </c>
      <c r="AA214" s="231">
        <v>5804492</v>
      </c>
      <c r="AC214" s="230">
        <v>43397</v>
      </c>
      <c r="AD214" s="1">
        <v>49.75</v>
      </c>
      <c r="AE214" s="1">
        <v>50.252229930624303</v>
      </c>
      <c r="AF214" s="1">
        <v>10090</v>
      </c>
      <c r="AG214" s="1">
        <v>34033.96</v>
      </c>
      <c r="AH214" s="215">
        <f t="shared" si="38"/>
        <v>1.0206859049649353E-2</v>
      </c>
      <c r="AI214" s="215">
        <f t="shared" si="33"/>
        <v>-1.0040160642569296E-3</v>
      </c>
      <c r="AJ214" s="231">
        <v>507045</v>
      </c>
      <c r="AL214" s="230">
        <v>44664</v>
      </c>
      <c r="AM214" s="1">
        <v>361.35</v>
      </c>
      <c r="AN214" s="1">
        <v>362.50437413130498</v>
      </c>
      <c r="AO214" s="1">
        <v>12231</v>
      </c>
      <c r="AP214" s="1">
        <v>58338.93</v>
      </c>
      <c r="AQ214" s="215">
        <f t="shared" si="39"/>
        <v>2.050475503763205E-2</v>
      </c>
      <c r="AR214" s="215">
        <f t="shared" si="34"/>
        <v>2.4670353041259085E-2</v>
      </c>
      <c r="AS214" s="231">
        <v>4433791</v>
      </c>
    </row>
    <row r="215" spans="2:45">
      <c r="B215" s="230">
        <v>43398</v>
      </c>
      <c r="C215" s="1">
        <v>323.5</v>
      </c>
      <c r="D215" s="1">
        <v>320.00116550116502</v>
      </c>
      <c r="E215" s="1">
        <v>858</v>
      </c>
      <c r="F215" s="215">
        <v>33690.089999999997</v>
      </c>
      <c r="G215" s="215">
        <f t="shared" si="35"/>
        <v>1.0218502271861052E-2</v>
      </c>
      <c r="H215" s="215">
        <f t="shared" si="30"/>
        <v>4.1364880090133616E-2</v>
      </c>
      <c r="I215" s="231">
        <v>274561</v>
      </c>
      <c r="K215" s="230">
        <v>43398</v>
      </c>
      <c r="L215" s="1">
        <v>380.2</v>
      </c>
      <c r="M215" s="1">
        <v>384.30369104263798</v>
      </c>
      <c r="N215" s="1">
        <v>21647</v>
      </c>
      <c r="O215" s="1">
        <v>33690.089999999997</v>
      </c>
      <c r="P215" s="215">
        <f t="shared" si="36"/>
        <v>1.0218502271861052E-2</v>
      </c>
      <c r="Q215" s="215">
        <f t="shared" si="31"/>
        <v>-2.4252534325676867E-2</v>
      </c>
      <c r="R215" s="231">
        <v>8319022</v>
      </c>
      <c r="T215" s="230">
        <v>43398</v>
      </c>
      <c r="U215" s="1">
        <v>102.25</v>
      </c>
      <c r="V215" s="1">
        <v>102.41878163477701</v>
      </c>
      <c r="W215" s="1">
        <v>55714</v>
      </c>
      <c r="X215" s="1">
        <v>33690.089999999997</v>
      </c>
      <c r="Y215" s="215">
        <f t="shared" si="37"/>
        <v>1.0218502271861052E-2</v>
      </c>
      <c r="Z215" s="215">
        <f t="shared" si="32"/>
        <v>9.378084896347616E-3</v>
      </c>
      <c r="AA215" s="231">
        <v>5706160</v>
      </c>
      <c r="AC215" s="230">
        <v>43398</v>
      </c>
      <c r="AD215" s="1">
        <v>49.8</v>
      </c>
      <c r="AE215" s="1">
        <v>51.701959465141698</v>
      </c>
      <c r="AF215" s="1">
        <v>23782</v>
      </c>
      <c r="AG215" s="1">
        <v>33690.089999999997</v>
      </c>
      <c r="AH215" s="215">
        <f t="shared" si="38"/>
        <v>1.0218502271861052E-2</v>
      </c>
      <c r="AI215" s="215">
        <f t="shared" si="33"/>
        <v>-1.4836795252225476E-2</v>
      </c>
      <c r="AJ215" s="231">
        <v>1229576</v>
      </c>
      <c r="AL215" s="230">
        <v>44669</v>
      </c>
      <c r="AM215" s="1">
        <v>352.65</v>
      </c>
      <c r="AN215" s="1">
        <v>354.510317551301</v>
      </c>
      <c r="AO215" s="1">
        <v>17446</v>
      </c>
      <c r="AP215" s="1">
        <v>57166.74</v>
      </c>
      <c r="AQ215" s="215">
        <f t="shared" si="39"/>
        <v>1.2461047603613995E-2</v>
      </c>
      <c r="AR215" s="215">
        <f t="shared" si="34"/>
        <v>-8.4997875053127725E-4</v>
      </c>
      <c r="AS215" s="231">
        <v>6184787</v>
      </c>
    </row>
    <row r="216" spans="2:45">
      <c r="B216" s="230">
        <v>43399</v>
      </c>
      <c r="C216" s="1">
        <v>310.64999999999998</v>
      </c>
      <c r="D216" s="1">
        <v>311.33447454599502</v>
      </c>
      <c r="E216" s="1">
        <v>6718</v>
      </c>
      <c r="F216" s="215">
        <v>33349.31</v>
      </c>
      <c r="G216" s="215">
        <f t="shared" si="35"/>
        <v>-2.107850907319031E-2</v>
      </c>
      <c r="H216" s="215">
        <f t="shared" si="30"/>
        <v>-0.16659959758551313</v>
      </c>
      <c r="I216" s="231">
        <v>2091545</v>
      </c>
      <c r="K216" s="230">
        <v>43399</v>
      </c>
      <c r="L216" s="1">
        <v>389.65</v>
      </c>
      <c r="M216" s="1">
        <v>396.90660717866399</v>
      </c>
      <c r="N216" s="1">
        <v>39896</v>
      </c>
      <c r="O216" s="1">
        <v>33349.31</v>
      </c>
      <c r="P216" s="215">
        <f t="shared" si="36"/>
        <v>-2.107850907319031E-2</v>
      </c>
      <c r="Q216" s="215">
        <f t="shared" si="31"/>
        <v>-1.4095335725269331E-3</v>
      </c>
      <c r="R216" s="231">
        <v>15834986</v>
      </c>
      <c r="T216" s="230">
        <v>43399</v>
      </c>
      <c r="U216" s="1">
        <v>101.3</v>
      </c>
      <c r="V216" s="1">
        <v>102.064194023569</v>
      </c>
      <c r="W216" s="1">
        <v>95040</v>
      </c>
      <c r="X216" s="1">
        <v>33349.31</v>
      </c>
      <c r="Y216" s="215">
        <f t="shared" si="37"/>
        <v>-2.107850907319031E-2</v>
      </c>
      <c r="Z216" s="215">
        <f t="shared" si="32"/>
        <v>-3.5238095238095291E-2</v>
      </c>
      <c r="AA216" s="231">
        <v>9700181</v>
      </c>
      <c r="AC216" s="230">
        <v>43399</v>
      </c>
      <c r="AD216" s="1">
        <v>50.55</v>
      </c>
      <c r="AE216" s="1">
        <v>50.6220606779912</v>
      </c>
      <c r="AF216" s="1">
        <v>13481</v>
      </c>
      <c r="AG216" s="1">
        <v>33349.31</v>
      </c>
      <c r="AH216" s="215">
        <f t="shared" si="38"/>
        <v>-2.107850907319031E-2</v>
      </c>
      <c r="AI216" s="215">
        <f t="shared" si="33"/>
        <v>-2.2243713733075543E-2</v>
      </c>
      <c r="AJ216" s="231">
        <v>682436</v>
      </c>
      <c r="AL216" s="230">
        <v>44670</v>
      </c>
      <c r="AM216" s="1">
        <v>352.95</v>
      </c>
      <c r="AN216" s="1">
        <v>357.16254259501898</v>
      </c>
      <c r="AO216" s="1">
        <v>38150</v>
      </c>
      <c r="AP216" s="1">
        <v>56463.15</v>
      </c>
      <c r="AQ216" s="215">
        <f t="shared" si="39"/>
        <v>-1.0069690992767888E-2</v>
      </c>
      <c r="AR216" s="215">
        <f t="shared" si="34"/>
        <v>7.7087794432548762E-3</v>
      </c>
      <c r="AS216" s="231">
        <v>13625751</v>
      </c>
    </row>
    <row r="217" spans="2:45">
      <c r="B217" s="230">
        <v>43402</v>
      </c>
      <c r="C217" s="1">
        <v>372.75</v>
      </c>
      <c r="D217" s="1">
        <v>367.89063139233599</v>
      </c>
      <c r="E217" s="1">
        <v>14666</v>
      </c>
      <c r="F217" s="215">
        <v>34067.4</v>
      </c>
      <c r="G217" s="215">
        <f t="shared" si="35"/>
        <v>5.2010658836103563E-3</v>
      </c>
      <c r="H217" s="215">
        <f t="shared" si="30"/>
        <v>-3.6074476338246675E-2</v>
      </c>
      <c r="I217" s="231">
        <v>5395484</v>
      </c>
      <c r="K217" s="230">
        <v>43402</v>
      </c>
      <c r="L217" s="1">
        <v>390.2</v>
      </c>
      <c r="M217" s="1">
        <v>395.53147047667198</v>
      </c>
      <c r="N217" s="1">
        <v>39545</v>
      </c>
      <c r="O217" s="1">
        <v>34067.4</v>
      </c>
      <c r="P217" s="215">
        <f t="shared" si="36"/>
        <v>5.2010658836103563E-3</v>
      </c>
      <c r="Q217" s="215">
        <f t="shared" si="31"/>
        <v>2.5358034423860198E-2</v>
      </c>
      <c r="R217" s="231">
        <v>15641292</v>
      </c>
      <c r="T217" s="230">
        <v>43402</v>
      </c>
      <c r="U217" s="1">
        <v>105</v>
      </c>
      <c r="V217" s="1">
        <v>106.28037368244399</v>
      </c>
      <c r="W217" s="1">
        <v>375506</v>
      </c>
      <c r="X217" s="1">
        <v>34067.4</v>
      </c>
      <c r="Y217" s="215">
        <f t="shared" si="37"/>
        <v>5.2010658836103563E-3</v>
      </c>
      <c r="Z217" s="215">
        <f t="shared" si="32"/>
        <v>-1.7773620205799867E-2</v>
      </c>
      <c r="AA217" s="231">
        <v>39908918</v>
      </c>
      <c r="AC217" s="230">
        <v>43402</v>
      </c>
      <c r="AD217" s="1">
        <v>51.7</v>
      </c>
      <c r="AE217" s="1">
        <v>50.966111111111097</v>
      </c>
      <c r="AF217" s="1">
        <v>1800</v>
      </c>
      <c r="AG217" s="1">
        <v>34067.4</v>
      </c>
      <c r="AH217" s="215">
        <f t="shared" si="38"/>
        <v>5.2010658836103563E-3</v>
      </c>
      <c r="AI217" s="215">
        <f t="shared" si="33"/>
        <v>9.765625E-3</v>
      </c>
      <c r="AJ217" s="231">
        <v>91739</v>
      </c>
      <c r="AL217" s="230">
        <v>44671</v>
      </c>
      <c r="AM217" s="1">
        <v>350.25</v>
      </c>
      <c r="AN217" s="1">
        <v>352.57370145063101</v>
      </c>
      <c r="AO217" s="1">
        <v>12822</v>
      </c>
      <c r="AP217" s="1">
        <v>57037.5</v>
      </c>
      <c r="AQ217" s="215">
        <f t="shared" si="39"/>
        <v>-1.5095055090786569E-2</v>
      </c>
      <c r="AR217" s="215">
        <f t="shared" si="34"/>
        <v>-4.8302315669839224E-3</v>
      </c>
      <c r="AS217" s="231">
        <v>4520700</v>
      </c>
    </row>
    <row r="218" spans="2:45">
      <c r="B218" s="230">
        <v>43403</v>
      </c>
      <c r="C218" s="1">
        <v>386.7</v>
      </c>
      <c r="D218" s="1">
        <v>400.596112696148</v>
      </c>
      <c r="E218" s="1">
        <v>5608</v>
      </c>
      <c r="F218" s="215">
        <v>33891.129999999997</v>
      </c>
      <c r="G218" s="215">
        <f t="shared" si="35"/>
        <v>-1.599556356256393E-2</v>
      </c>
      <c r="H218" s="215">
        <f t="shared" si="30"/>
        <v>1.5627051871306641E-2</v>
      </c>
      <c r="I218" s="231">
        <v>2246543</v>
      </c>
      <c r="K218" s="230">
        <v>43403</v>
      </c>
      <c r="L218" s="1">
        <v>380.55</v>
      </c>
      <c r="M218" s="1">
        <v>384.53388475071898</v>
      </c>
      <c r="N218" s="1">
        <v>21883</v>
      </c>
      <c r="O218" s="1">
        <v>33891.129999999997</v>
      </c>
      <c r="P218" s="215">
        <f t="shared" si="36"/>
        <v>-1.599556356256393E-2</v>
      </c>
      <c r="Q218" s="215">
        <f t="shared" si="31"/>
        <v>9.2056812204099892E-4</v>
      </c>
      <c r="R218" s="231">
        <v>8414755</v>
      </c>
      <c r="T218" s="230">
        <v>43403</v>
      </c>
      <c r="U218" s="1">
        <v>106.9</v>
      </c>
      <c r="V218" s="1">
        <v>107.36125170815799</v>
      </c>
      <c r="W218" s="1">
        <v>130989</v>
      </c>
      <c r="X218" s="1">
        <v>33891.129999999997</v>
      </c>
      <c r="Y218" s="215">
        <f t="shared" si="37"/>
        <v>-1.599556356256393E-2</v>
      </c>
      <c r="Z218" s="215">
        <f t="shared" si="32"/>
        <v>2.3456199138343736E-2</v>
      </c>
      <c r="AA218" s="231">
        <v>14063143</v>
      </c>
      <c r="AC218" s="230">
        <v>43403</v>
      </c>
      <c r="AD218" s="1">
        <v>51.2</v>
      </c>
      <c r="AE218" s="1">
        <v>51.678634999745697</v>
      </c>
      <c r="AF218" s="1">
        <v>19663</v>
      </c>
      <c r="AG218" s="1">
        <v>33891.129999999997</v>
      </c>
      <c r="AH218" s="215">
        <f t="shared" si="38"/>
        <v>-1.599556356256393E-2</v>
      </c>
      <c r="AI218" s="215">
        <f t="shared" si="33"/>
        <v>2.9382957884427352E-3</v>
      </c>
      <c r="AJ218" s="231">
        <v>1016157</v>
      </c>
      <c r="AL218" s="230">
        <v>44672</v>
      </c>
      <c r="AM218" s="1">
        <v>351.95</v>
      </c>
      <c r="AN218" s="1">
        <v>351.89248634551899</v>
      </c>
      <c r="AO218" s="1">
        <v>20323</v>
      </c>
      <c r="AP218" s="1">
        <v>57911.68</v>
      </c>
      <c r="AQ218" s="215">
        <f t="shared" si="39"/>
        <v>1.2492405653078853E-2</v>
      </c>
      <c r="AR218" s="215">
        <f t="shared" si="34"/>
        <v>8.0194758699698721E-3</v>
      </c>
      <c r="AS218" s="231">
        <v>7151511</v>
      </c>
    </row>
    <row r="219" spans="2:45">
      <c r="B219" s="230">
        <v>43404</v>
      </c>
      <c r="C219" s="1">
        <v>380.75</v>
      </c>
      <c r="D219" s="1">
        <v>378.637362637362</v>
      </c>
      <c r="E219" s="1">
        <v>819</v>
      </c>
      <c r="F219" s="215">
        <v>34442.050000000003</v>
      </c>
      <c r="G219" s="215">
        <f t="shared" si="35"/>
        <v>2.9275118443705672E-4</v>
      </c>
      <c r="H219" s="215">
        <f t="shared" si="30"/>
        <v>-8.3344185440812346E-3</v>
      </c>
      <c r="I219" s="231">
        <v>310104</v>
      </c>
      <c r="K219" s="230">
        <v>43404</v>
      </c>
      <c r="L219" s="1">
        <v>380.2</v>
      </c>
      <c r="M219" s="1">
        <v>383.19268482490202</v>
      </c>
      <c r="N219" s="1">
        <v>6425</v>
      </c>
      <c r="O219" s="1">
        <v>34442.050000000003</v>
      </c>
      <c r="P219" s="215">
        <f t="shared" si="36"/>
        <v>2.9275118443705672E-4</v>
      </c>
      <c r="Q219" s="215">
        <f t="shared" si="31"/>
        <v>-1.0668748373666492E-2</v>
      </c>
      <c r="R219" s="231">
        <v>2462013</v>
      </c>
      <c r="T219" s="230">
        <v>43404</v>
      </c>
      <c r="U219" s="1">
        <v>104.45</v>
      </c>
      <c r="V219" s="1">
        <v>104.738850190904</v>
      </c>
      <c r="W219" s="1">
        <v>146146</v>
      </c>
      <c r="X219" s="1">
        <v>34442.050000000003</v>
      </c>
      <c r="Y219" s="215">
        <f t="shared" si="37"/>
        <v>2.9275118443705672E-4</v>
      </c>
      <c r="Z219" s="215">
        <f t="shared" si="32"/>
        <v>-1.9709056780853995E-2</v>
      </c>
      <c r="AA219" s="231">
        <v>15307164</v>
      </c>
      <c r="AC219" s="230">
        <v>43404</v>
      </c>
      <c r="AD219" s="1">
        <v>51.05</v>
      </c>
      <c r="AE219" s="1">
        <v>50.530448404151102</v>
      </c>
      <c r="AF219" s="1">
        <v>5107</v>
      </c>
      <c r="AG219" s="1">
        <v>34442.050000000003</v>
      </c>
      <c r="AH219" s="215">
        <f t="shared" si="38"/>
        <v>2.9275118443705672E-4</v>
      </c>
      <c r="AI219" s="215">
        <f t="shared" si="33"/>
        <v>-6.809338521400754E-3</v>
      </c>
      <c r="AJ219" s="231">
        <v>258059</v>
      </c>
      <c r="AL219" s="230">
        <v>44673</v>
      </c>
      <c r="AM219" s="1">
        <v>349.15</v>
      </c>
      <c r="AN219" s="1">
        <v>352.931451612903</v>
      </c>
      <c r="AO219" s="1">
        <v>17112</v>
      </c>
      <c r="AP219" s="1">
        <v>57197.15</v>
      </c>
      <c r="AQ219" s="215">
        <f t="shared" si="39"/>
        <v>1.0909529870065215E-2</v>
      </c>
      <c r="AR219" s="215">
        <f t="shared" si="34"/>
        <v>2.6308054085831811E-2</v>
      </c>
      <c r="AS219" s="231">
        <v>6039363</v>
      </c>
    </row>
    <row r="220" spans="2:45">
      <c r="B220" s="230">
        <v>43405</v>
      </c>
      <c r="C220" s="1">
        <v>383.95</v>
      </c>
      <c r="D220" s="1">
        <v>393.09850863422201</v>
      </c>
      <c r="E220" s="1">
        <v>2548</v>
      </c>
      <c r="F220" s="215">
        <v>34431.97</v>
      </c>
      <c r="G220" s="215">
        <f t="shared" si="35"/>
        <v>-1.6556774673572972E-2</v>
      </c>
      <c r="H220" s="215">
        <f t="shared" si="30"/>
        <v>1.0527701013291146E-2</v>
      </c>
      <c r="I220" s="231">
        <v>1001615</v>
      </c>
      <c r="K220" s="230">
        <v>43405</v>
      </c>
      <c r="L220" s="1">
        <v>384.3</v>
      </c>
      <c r="M220" s="1">
        <v>385.71146373056899</v>
      </c>
      <c r="N220" s="1">
        <v>6176</v>
      </c>
      <c r="O220" s="1">
        <v>34431.97</v>
      </c>
      <c r="P220" s="215">
        <f t="shared" si="36"/>
        <v>-1.6556774673572972E-2</v>
      </c>
      <c r="Q220" s="215">
        <f t="shared" si="31"/>
        <v>-3.8408607531590033E-2</v>
      </c>
      <c r="R220" s="231">
        <v>2382154</v>
      </c>
      <c r="T220" s="230">
        <v>43405</v>
      </c>
      <c r="U220" s="1">
        <v>106.55</v>
      </c>
      <c r="V220" s="1">
        <v>107.286987623885</v>
      </c>
      <c r="W220" s="1">
        <v>140351</v>
      </c>
      <c r="X220" s="1">
        <v>34431.97</v>
      </c>
      <c r="Y220" s="215">
        <f t="shared" si="37"/>
        <v>-1.6556774673572972E-2</v>
      </c>
      <c r="Z220" s="215">
        <f t="shared" si="32"/>
        <v>-3.6182722749886875E-2</v>
      </c>
      <c r="AA220" s="231">
        <v>15057836</v>
      </c>
      <c r="AC220" s="230">
        <v>43405</v>
      </c>
      <c r="AD220" s="1">
        <v>51.4</v>
      </c>
      <c r="AE220" s="1">
        <v>51.351247600767699</v>
      </c>
      <c r="AF220" s="1">
        <v>2605</v>
      </c>
      <c r="AG220" s="1">
        <v>34431.97</v>
      </c>
      <c r="AH220" s="215">
        <f t="shared" si="38"/>
        <v>-1.6556774673572972E-2</v>
      </c>
      <c r="AI220" s="215">
        <f t="shared" si="33"/>
        <v>-4.8402710551790351E-3</v>
      </c>
      <c r="AJ220" s="231">
        <v>133770</v>
      </c>
      <c r="AL220" s="230">
        <v>44676</v>
      </c>
      <c r="AM220" s="1">
        <v>340.2</v>
      </c>
      <c r="AN220" s="1">
        <v>340.90892888968</v>
      </c>
      <c r="AO220" s="1">
        <v>50499</v>
      </c>
      <c r="AP220" s="1">
        <v>56579.89</v>
      </c>
      <c r="AQ220" s="215">
        <f t="shared" si="39"/>
        <v>-1.3541943988670146E-2</v>
      </c>
      <c r="AR220" s="215">
        <f t="shared" si="34"/>
        <v>6.8067475584492332E-3</v>
      </c>
      <c r="AS220" s="231">
        <v>17215560</v>
      </c>
    </row>
    <row r="221" spans="2:45">
      <c r="B221" s="230">
        <v>43406</v>
      </c>
      <c r="C221" s="1">
        <v>379.95</v>
      </c>
      <c r="D221" s="1">
        <v>381.26885938442899</v>
      </c>
      <c r="E221" s="1">
        <v>3314</v>
      </c>
      <c r="F221" s="215">
        <v>35011.65</v>
      </c>
      <c r="G221" s="215">
        <f t="shared" si="35"/>
        <v>1.7375794399689948E-3</v>
      </c>
      <c r="H221" s="215">
        <f t="shared" si="30"/>
        <v>-2.5769230769230766E-2</v>
      </c>
      <c r="I221" s="231">
        <v>1263525</v>
      </c>
      <c r="K221" s="230">
        <v>43406</v>
      </c>
      <c r="L221" s="1">
        <v>399.65</v>
      </c>
      <c r="M221" s="1">
        <v>400.548773307163</v>
      </c>
      <c r="N221" s="1">
        <v>20380</v>
      </c>
      <c r="O221" s="1">
        <v>35011.65</v>
      </c>
      <c r="P221" s="215">
        <f t="shared" si="36"/>
        <v>1.7375794399689948E-3</v>
      </c>
      <c r="Q221" s="215">
        <f t="shared" si="31"/>
        <v>3.0822801134898103E-2</v>
      </c>
      <c r="R221" s="231">
        <v>8163184</v>
      </c>
      <c r="T221" s="230">
        <v>43406</v>
      </c>
      <c r="U221" s="1">
        <v>110.55</v>
      </c>
      <c r="V221" s="1">
        <v>111.818260213898</v>
      </c>
      <c r="W221" s="1">
        <v>230764</v>
      </c>
      <c r="X221" s="1">
        <v>35011.65</v>
      </c>
      <c r="Y221" s="215">
        <f t="shared" si="37"/>
        <v>1.7375794399689948E-3</v>
      </c>
      <c r="Z221" s="215">
        <f t="shared" si="32"/>
        <v>-2.2546419098143256E-2</v>
      </c>
      <c r="AA221" s="231">
        <v>25803629</v>
      </c>
      <c r="AC221" s="230">
        <v>43406</v>
      </c>
      <c r="AD221" s="1">
        <v>51.65</v>
      </c>
      <c r="AE221" s="1">
        <v>51.589279332936201</v>
      </c>
      <c r="AF221" s="1">
        <v>25185</v>
      </c>
      <c r="AG221" s="1">
        <v>35011.65</v>
      </c>
      <c r="AH221" s="215">
        <f t="shared" si="38"/>
        <v>1.7375794399689948E-3</v>
      </c>
      <c r="AI221" s="215">
        <f t="shared" si="33"/>
        <v>8.7890625E-3</v>
      </c>
      <c r="AJ221" s="231">
        <v>1299276</v>
      </c>
      <c r="AL221" s="230">
        <v>44677</v>
      </c>
      <c r="AM221" s="1">
        <v>337.9</v>
      </c>
      <c r="AN221" s="1">
        <v>341.18719826868602</v>
      </c>
      <c r="AO221" s="1">
        <v>24028</v>
      </c>
      <c r="AP221" s="1">
        <v>57356.61</v>
      </c>
      <c r="AQ221" s="215">
        <f t="shared" si="39"/>
        <v>9.4548709516240059E-3</v>
      </c>
      <c r="AR221" s="215">
        <f t="shared" si="34"/>
        <v>9.1085560698818124E-3</v>
      </c>
      <c r="AS221" s="231">
        <v>8198046</v>
      </c>
    </row>
    <row r="222" spans="2:45">
      <c r="B222" s="230">
        <v>43409</v>
      </c>
      <c r="C222" s="1">
        <v>390</v>
      </c>
      <c r="D222" s="1">
        <v>386.79372197309402</v>
      </c>
      <c r="E222" s="1">
        <v>1115</v>
      </c>
      <c r="F222" s="215">
        <v>34950.92</v>
      </c>
      <c r="G222" s="215">
        <f t="shared" si="35"/>
        <v>-1.1714136210342341E-3</v>
      </c>
      <c r="H222" s="215">
        <f t="shared" si="30"/>
        <v>0</v>
      </c>
      <c r="I222" s="231">
        <v>431275</v>
      </c>
      <c r="K222" s="230">
        <v>43409</v>
      </c>
      <c r="L222" s="1">
        <v>387.7</v>
      </c>
      <c r="M222" s="1">
        <v>393.68719767816799</v>
      </c>
      <c r="N222" s="1">
        <v>6202</v>
      </c>
      <c r="O222" s="1">
        <v>34950.92</v>
      </c>
      <c r="P222" s="215">
        <f t="shared" si="36"/>
        <v>-1.1714136210342341E-3</v>
      </c>
      <c r="Q222" s="215">
        <f t="shared" si="31"/>
        <v>7.4054826555800535E-3</v>
      </c>
      <c r="R222" s="231">
        <v>2441648</v>
      </c>
      <c r="T222" s="230">
        <v>43409</v>
      </c>
      <c r="U222" s="1">
        <v>113.1</v>
      </c>
      <c r="V222" s="1">
        <v>113.015771093838</v>
      </c>
      <c r="W222" s="1">
        <v>106524</v>
      </c>
      <c r="X222" s="1">
        <v>34950.92</v>
      </c>
      <c r="Y222" s="215">
        <f t="shared" si="37"/>
        <v>-1.1714136210342341E-3</v>
      </c>
      <c r="Z222" s="215">
        <f t="shared" si="32"/>
        <v>1.2080536912751683E-2</v>
      </c>
      <c r="AA222" s="231">
        <v>12038892</v>
      </c>
      <c r="AC222" s="230">
        <v>43409</v>
      </c>
      <c r="AD222" s="1">
        <v>51.2</v>
      </c>
      <c r="AE222" s="1">
        <v>51.774058577405803</v>
      </c>
      <c r="AF222" s="1">
        <v>1912</v>
      </c>
      <c r="AG222" s="1">
        <v>34950.92</v>
      </c>
      <c r="AH222" s="215">
        <f t="shared" si="38"/>
        <v>-1.1714136210342341E-3</v>
      </c>
      <c r="AI222" s="215">
        <f t="shared" si="33"/>
        <v>-6.7895247332685482E-3</v>
      </c>
      <c r="AJ222" s="231">
        <v>98992</v>
      </c>
      <c r="AL222" s="230">
        <v>44678</v>
      </c>
      <c r="AM222" s="1">
        <v>334.85</v>
      </c>
      <c r="AN222" s="1">
        <v>335.19605413648401</v>
      </c>
      <c r="AO222" s="1">
        <v>10492</v>
      </c>
      <c r="AP222" s="1">
        <v>56819.39</v>
      </c>
      <c r="AQ222" s="215">
        <f t="shared" si="39"/>
        <v>-1.2198488692663156E-2</v>
      </c>
      <c r="AR222" s="215">
        <f t="shared" si="34"/>
        <v>5.2536775743019515E-3</v>
      </c>
      <c r="AS222" s="231">
        <v>3516877</v>
      </c>
    </row>
    <row r="223" spans="2:45">
      <c r="B223" s="230">
        <v>43410</v>
      </c>
      <c r="C223" s="1">
        <v>390</v>
      </c>
      <c r="D223" s="1">
        <v>385.18292682926801</v>
      </c>
      <c r="E223" s="1">
        <v>410</v>
      </c>
      <c r="F223" s="215">
        <v>34991.910000000003</v>
      </c>
      <c r="G223" s="215">
        <f t="shared" si="35"/>
        <v>-6.9746362416593932E-3</v>
      </c>
      <c r="H223" s="215">
        <f t="shared" si="30"/>
        <v>-2.0838563896560358E-2</v>
      </c>
      <c r="I223" s="231">
        <v>157925</v>
      </c>
      <c r="K223" s="230">
        <v>43410</v>
      </c>
      <c r="L223" s="1">
        <v>384.85</v>
      </c>
      <c r="M223" s="1">
        <v>386.62270762761301</v>
      </c>
      <c r="N223" s="1">
        <v>8561</v>
      </c>
      <c r="O223" s="1">
        <v>34991.910000000003</v>
      </c>
      <c r="P223" s="215">
        <f t="shared" si="36"/>
        <v>-6.9746362416593932E-3</v>
      </c>
      <c r="Q223" s="215">
        <f t="shared" si="31"/>
        <v>-1.1176772867420248E-2</v>
      </c>
      <c r="R223" s="231">
        <v>3309877</v>
      </c>
      <c r="T223" s="230">
        <v>43410</v>
      </c>
      <c r="U223" s="1">
        <v>111.75</v>
      </c>
      <c r="V223" s="1">
        <v>111.921228968005</v>
      </c>
      <c r="W223" s="1">
        <v>54322</v>
      </c>
      <c r="X223" s="1">
        <v>34991.910000000003</v>
      </c>
      <c r="Y223" s="215">
        <f t="shared" si="37"/>
        <v>-6.9746362416593932E-3</v>
      </c>
      <c r="Z223" s="215">
        <f t="shared" si="32"/>
        <v>-2.6773761713519972E-3</v>
      </c>
      <c r="AA223" s="231">
        <v>6079785</v>
      </c>
      <c r="AC223" s="230">
        <v>43410</v>
      </c>
      <c r="AD223" s="1">
        <v>51.55</v>
      </c>
      <c r="AE223" s="1">
        <v>51.233626588465199</v>
      </c>
      <c r="AF223" s="1">
        <v>4092</v>
      </c>
      <c r="AG223" s="1">
        <v>34991.910000000003</v>
      </c>
      <c r="AH223" s="215">
        <f t="shared" si="38"/>
        <v>-6.9746362416593932E-3</v>
      </c>
      <c r="AI223" s="215">
        <f t="shared" si="33"/>
        <v>-1.9961977186311874E-2</v>
      </c>
      <c r="AJ223" s="231">
        <v>209648</v>
      </c>
      <c r="AL223" s="230">
        <v>44679</v>
      </c>
      <c r="AM223" s="1">
        <v>333.1</v>
      </c>
      <c r="AN223" s="1">
        <v>334.58121868433801</v>
      </c>
      <c r="AO223" s="1">
        <v>12374</v>
      </c>
      <c r="AP223" s="1">
        <v>57521.06</v>
      </c>
      <c r="AQ223" s="215">
        <f t="shared" si="39"/>
        <v>8.0648963116054517E-3</v>
      </c>
      <c r="AR223" s="215">
        <f t="shared" si="34"/>
        <v>1.6013420771694431E-2</v>
      </c>
      <c r="AS223" s="231">
        <v>4140108</v>
      </c>
    </row>
    <row r="224" spans="2:45">
      <c r="B224" s="230">
        <v>43411</v>
      </c>
      <c r="C224" s="1">
        <v>398.3</v>
      </c>
      <c r="D224" s="1">
        <v>392.50478468899502</v>
      </c>
      <c r="E224" s="1">
        <v>836</v>
      </c>
      <c r="F224" s="215">
        <v>35237.68</v>
      </c>
      <c r="G224" s="215">
        <f t="shared" si="35"/>
        <v>2.250661645602392E-3</v>
      </c>
      <c r="H224" s="215">
        <f t="shared" si="30"/>
        <v>-2.8536585365853684E-2</v>
      </c>
      <c r="I224" s="231">
        <v>328134</v>
      </c>
      <c r="K224" s="230">
        <v>43411</v>
      </c>
      <c r="L224" s="1">
        <v>389.2</v>
      </c>
      <c r="M224" s="1">
        <v>389.296875</v>
      </c>
      <c r="N224" s="1">
        <v>1088</v>
      </c>
      <c r="O224" s="1">
        <v>35237.68</v>
      </c>
      <c r="P224" s="215">
        <f t="shared" si="36"/>
        <v>2.250661645602392E-3</v>
      </c>
      <c r="Q224" s="215">
        <f t="shared" si="31"/>
        <v>1.7915522427095487E-2</v>
      </c>
      <c r="R224" s="231">
        <v>423555</v>
      </c>
      <c r="T224" s="230">
        <v>43411</v>
      </c>
      <c r="U224" s="1">
        <v>112.05</v>
      </c>
      <c r="V224" s="1">
        <v>111.977996552037</v>
      </c>
      <c r="W224" s="1">
        <v>22042</v>
      </c>
      <c r="X224" s="1">
        <v>35237.68</v>
      </c>
      <c r="Y224" s="215">
        <f t="shared" si="37"/>
        <v>2.250661645602392E-3</v>
      </c>
      <c r="Z224" s="215">
        <f t="shared" si="32"/>
        <v>-2.9870129870129936E-2</v>
      </c>
      <c r="AA224" s="231">
        <v>2468219</v>
      </c>
      <c r="AC224" s="230">
        <v>43411</v>
      </c>
      <c r="AD224" s="1">
        <v>52.6</v>
      </c>
      <c r="AE224" s="1">
        <v>52.98</v>
      </c>
      <c r="AF224" s="1">
        <v>1500</v>
      </c>
      <c r="AG224" s="1">
        <v>35237.68</v>
      </c>
      <c r="AH224" s="215">
        <f t="shared" si="38"/>
        <v>2.250661645602392E-3</v>
      </c>
      <c r="AI224" s="215">
        <f t="shared" si="33"/>
        <v>-8.9965397923875368E-2</v>
      </c>
      <c r="AJ224" s="231">
        <v>79470</v>
      </c>
      <c r="AL224" s="230">
        <v>44680</v>
      </c>
      <c r="AM224" s="1">
        <v>327.85</v>
      </c>
      <c r="AN224" s="1">
        <v>331.77888286116098</v>
      </c>
      <c r="AO224" s="1">
        <v>9954</v>
      </c>
      <c r="AP224" s="1">
        <v>57060.87</v>
      </c>
      <c r="AQ224" s="215">
        <f t="shared" si="39"/>
        <v>1.4897503316748661E-3</v>
      </c>
      <c r="AR224" s="215">
        <f t="shared" si="34"/>
        <v>3.1136971221890297E-2</v>
      </c>
      <c r="AS224" s="231">
        <v>3302527</v>
      </c>
    </row>
    <row r="225" spans="2:45">
      <c r="B225" s="230">
        <v>43413</v>
      </c>
      <c r="C225" s="1">
        <v>410</v>
      </c>
      <c r="D225" s="1">
        <v>405.20694444444399</v>
      </c>
      <c r="E225" s="1">
        <v>2880</v>
      </c>
      <c r="F225" s="215">
        <v>35158.550000000003</v>
      </c>
      <c r="G225" s="215">
        <f t="shared" si="35"/>
        <v>9.9261798541292467E-3</v>
      </c>
      <c r="H225" s="215">
        <f t="shared" si="30"/>
        <v>3.7186946622818073E-2</v>
      </c>
      <c r="I225" s="231">
        <v>1166996</v>
      </c>
      <c r="K225" s="230">
        <v>43413</v>
      </c>
      <c r="L225" s="1">
        <v>382.35</v>
      </c>
      <c r="M225" s="1">
        <v>384.88759689922398</v>
      </c>
      <c r="N225" s="1">
        <v>4128</v>
      </c>
      <c r="O225" s="1">
        <v>35158.550000000003</v>
      </c>
      <c r="P225" s="215">
        <f t="shared" si="36"/>
        <v>9.9261798541292467E-3</v>
      </c>
      <c r="Q225" s="215">
        <f t="shared" si="31"/>
        <v>-1.1249030256012316E-2</v>
      </c>
      <c r="R225" s="231">
        <v>1588816</v>
      </c>
      <c r="T225" s="230">
        <v>43413</v>
      </c>
      <c r="U225" s="1">
        <v>115.5</v>
      </c>
      <c r="V225" s="1">
        <v>114.66483882023201</v>
      </c>
      <c r="W225" s="1">
        <v>148809</v>
      </c>
      <c r="X225" s="1">
        <v>35158.550000000003</v>
      </c>
      <c r="Y225" s="215">
        <f t="shared" si="37"/>
        <v>9.9261798541292467E-3</v>
      </c>
      <c r="Z225" s="215">
        <f t="shared" si="32"/>
        <v>2.6666666666666616E-2</v>
      </c>
      <c r="AA225" s="231">
        <v>17063160</v>
      </c>
      <c r="AC225" s="230">
        <v>43413</v>
      </c>
      <c r="AD225" s="1">
        <v>57.8</v>
      </c>
      <c r="AE225" s="1">
        <v>57.153876272513699</v>
      </c>
      <c r="AF225" s="1">
        <v>28094</v>
      </c>
      <c r="AG225" s="1">
        <v>35158.550000000003</v>
      </c>
      <c r="AH225" s="215">
        <f t="shared" si="38"/>
        <v>9.9261798541292467E-3</v>
      </c>
      <c r="AI225" s="215">
        <f t="shared" si="33"/>
        <v>-4.9342105263157854E-2</v>
      </c>
      <c r="AJ225" s="231">
        <v>1605681</v>
      </c>
      <c r="AL225" s="230">
        <v>44683</v>
      </c>
      <c r="AM225" s="1">
        <v>317.95</v>
      </c>
      <c r="AN225" s="1">
        <v>319.09171566383799</v>
      </c>
      <c r="AO225" s="1">
        <v>28403</v>
      </c>
      <c r="AP225" s="1">
        <v>56975.99</v>
      </c>
      <c r="AQ225" s="215">
        <f t="shared" si="39"/>
        <v>2.3477326621282879E-2</v>
      </c>
      <c r="AR225" s="215">
        <f t="shared" si="34"/>
        <v>3.7884767166533884E-3</v>
      </c>
      <c r="AS225" s="231">
        <v>9063162</v>
      </c>
    </row>
    <row r="226" spans="2:45">
      <c r="B226" s="230">
        <v>43416</v>
      </c>
      <c r="C226" s="1">
        <v>395.3</v>
      </c>
      <c r="D226" s="1">
        <v>408.13958741153402</v>
      </c>
      <c r="E226" s="1">
        <v>6641</v>
      </c>
      <c r="F226" s="215">
        <v>34812.99</v>
      </c>
      <c r="G226" s="215">
        <f t="shared" si="35"/>
        <v>-9.4324885636410949E-3</v>
      </c>
      <c r="H226" s="215">
        <f t="shared" si="30"/>
        <v>-1.1873515810523649E-2</v>
      </c>
      <c r="I226" s="231">
        <v>2710455</v>
      </c>
      <c r="K226" s="230">
        <v>43416</v>
      </c>
      <c r="L226" s="1">
        <v>386.7</v>
      </c>
      <c r="M226" s="1">
        <v>387.59573151871302</v>
      </c>
      <c r="N226" s="1">
        <v>6466</v>
      </c>
      <c r="O226" s="1">
        <v>34812.99</v>
      </c>
      <c r="P226" s="215">
        <f t="shared" si="36"/>
        <v>-9.4324885636410949E-3</v>
      </c>
      <c r="Q226" s="215">
        <f t="shared" si="31"/>
        <v>8.3441981747065519E-3</v>
      </c>
      <c r="R226" s="231">
        <v>2506194</v>
      </c>
      <c r="T226" s="230">
        <v>43416</v>
      </c>
      <c r="U226" s="1">
        <v>112.5</v>
      </c>
      <c r="V226" s="1">
        <v>113.739914695618</v>
      </c>
      <c r="W226" s="1">
        <v>64475</v>
      </c>
      <c r="X226" s="1">
        <v>34812.99</v>
      </c>
      <c r="Y226" s="215">
        <f t="shared" si="37"/>
        <v>-9.4324885636410949E-3</v>
      </c>
      <c r="Z226" s="215">
        <f t="shared" si="32"/>
        <v>0</v>
      </c>
      <c r="AA226" s="231">
        <v>7333381</v>
      </c>
      <c r="AC226" s="230">
        <v>43416</v>
      </c>
      <c r="AD226" s="1">
        <v>60.8</v>
      </c>
      <c r="AE226" s="1">
        <v>63.112945551973603</v>
      </c>
      <c r="AF226" s="1">
        <v>163477</v>
      </c>
      <c r="AG226" s="1">
        <v>34812.99</v>
      </c>
      <c r="AH226" s="215">
        <f t="shared" si="38"/>
        <v>-9.4324885636410949E-3</v>
      </c>
      <c r="AI226" s="215">
        <f t="shared" si="33"/>
        <v>-4.9099836333879043E-3</v>
      </c>
      <c r="AJ226" s="231">
        <v>10317515</v>
      </c>
      <c r="AL226" s="230">
        <v>44685</v>
      </c>
      <c r="AM226" s="1">
        <v>316.75</v>
      </c>
      <c r="AN226" s="1">
        <v>322.59750216825603</v>
      </c>
      <c r="AO226" s="1">
        <v>28825</v>
      </c>
      <c r="AP226" s="1">
        <v>55669.03</v>
      </c>
      <c r="AQ226" s="215">
        <f t="shared" si="39"/>
        <v>-5.9602640684230934E-4</v>
      </c>
      <c r="AR226" s="215">
        <f t="shared" si="34"/>
        <v>-1.5760441292356209E-3</v>
      </c>
      <c r="AS226" s="231">
        <v>9298873</v>
      </c>
    </row>
    <row r="227" spans="2:45">
      <c r="B227" s="230">
        <v>43417</v>
      </c>
      <c r="C227" s="1">
        <v>400.05</v>
      </c>
      <c r="D227" s="1">
        <v>408.34476911035699</v>
      </c>
      <c r="E227" s="1">
        <v>15332</v>
      </c>
      <c r="F227" s="215">
        <v>35144.49</v>
      </c>
      <c r="G227" s="215">
        <f t="shared" si="35"/>
        <v>7.1139966746347483E-5</v>
      </c>
      <c r="H227" s="215">
        <f t="shared" si="30"/>
        <v>-3.1355932203389836E-2</v>
      </c>
      <c r="I227" s="231">
        <v>6260742</v>
      </c>
      <c r="K227" s="230">
        <v>43417</v>
      </c>
      <c r="L227" s="1">
        <v>383.5</v>
      </c>
      <c r="M227" s="1">
        <v>385.62164948453602</v>
      </c>
      <c r="N227" s="1">
        <v>2910</v>
      </c>
      <c r="O227" s="1">
        <v>35144.49</v>
      </c>
      <c r="P227" s="215">
        <f t="shared" si="36"/>
        <v>7.1139966746347483E-5</v>
      </c>
      <c r="Q227" s="215">
        <f t="shared" si="31"/>
        <v>2.2213511041422329E-3</v>
      </c>
      <c r="R227" s="231">
        <v>1122159</v>
      </c>
      <c r="T227" s="230">
        <v>43417</v>
      </c>
      <c r="U227" s="1">
        <v>112.5</v>
      </c>
      <c r="V227" s="1">
        <v>112.376999190988</v>
      </c>
      <c r="W227" s="1">
        <v>32138</v>
      </c>
      <c r="X227" s="1">
        <v>35144.49</v>
      </c>
      <c r="Y227" s="215">
        <f t="shared" si="37"/>
        <v>7.1139966746347483E-5</v>
      </c>
      <c r="Z227" s="215">
        <f t="shared" si="32"/>
        <v>1.0781671159029615E-2</v>
      </c>
      <c r="AA227" s="231">
        <v>3611572</v>
      </c>
      <c r="AC227" s="230">
        <v>43417</v>
      </c>
      <c r="AD227" s="1">
        <v>61.1</v>
      </c>
      <c r="AE227" s="1">
        <v>61.719508101675203</v>
      </c>
      <c r="AF227" s="1">
        <v>32771</v>
      </c>
      <c r="AG227" s="1">
        <v>35144.49</v>
      </c>
      <c r="AH227" s="215">
        <f t="shared" si="38"/>
        <v>7.1139966746347483E-5</v>
      </c>
      <c r="AI227" s="215">
        <f t="shared" si="33"/>
        <v>1.6638935108153063E-2</v>
      </c>
      <c r="AJ227" s="231">
        <v>2022610</v>
      </c>
      <c r="AL227" s="230">
        <v>44686</v>
      </c>
      <c r="AM227" s="1">
        <v>317.25</v>
      </c>
      <c r="AN227" s="1">
        <v>319.04519050059702</v>
      </c>
      <c r="AO227" s="1">
        <v>11706</v>
      </c>
      <c r="AP227" s="1">
        <v>55702.23</v>
      </c>
      <c r="AQ227" s="215">
        <f t="shared" si="39"/>
        <v>1.580451962029028E-2</v>
      </c>
      <c r="AR227" s="215">
        <f t="shared" si="34"/>
        <v>1.9604692270609014E-2</v>
      </c>
      <c r="AS227" s="231">
        <v>3734743</v>
      </c>
    </row>
    <row r="228" spans="2:45">
      <c r="B228" s="230">
        <v>43418</v>
      </c>
      <c r="C228" s="1">
        <v>413</v>
      </c>
      <c r="D228" s="1">
        <v>413.538936959208</v>
      </c>
      <c r="E228" s="1">
        <v>1618</v>
      </c>
      <c r="F228" s="215">
        <v>35141.99</v>
      </c>
      <c r="G228" s="215">
        <f t="shared" si="35"/>
        <v>-3.3621152710651137E-3</v>
      </c>
      <c r="H228" s="215">
        <f t="shared" si="30"/>
        <v>-2.2369511184755608E-2</v>
      </c>
      <c r="I228" s="231">
        <v>669106</v>
      </c>
      <c r="K228" s="230">
        <v>43418</v>
      </c>
      <c r="L228" s="1">
        <v>382.65</v>
      </c>
      <c r="M228" s="1">
        <v>383.94352941176402</v>
      </c>
      <c r="N228" s="1">
        <v>2975</v>
      </c>
      <c r="O228" s="1">
        <v>35141.99</v>
      </c>
      <c r="P228" s="215">
        <f t="shared" si="36"/>
        <v>-3.3621152710651137E-3</v>
      </c>
      <c r="Q228" s="215">
        <f t="shared" si="31"/>
        <v>3.4608625118291103E-2</v>
      </c>
      <c r="R228" s="231">
        <v>1142232</v>
      </c>
      <c r="T228" s="230">
        <v>43418</v>
      </c>
      <c r="U228" s="1">
        <v>111.3</v>
      </c>
      <c r="V228" s="1">
        <v>112.795842894004</v>
      </c>
      <c r="W228" s="1">
        <v>118977</v>
      </c>
      <c r="X228" s="1">
        <v>35141.99</v>
      </c>
      <c r="Y228" s="215">
        <f t="shared" si="37"/>
        <v>-3.3621152710651137E-3</v>
      </c>
      <c r="Z228" s="215">
        <f t="shared" si="32"/>
        <v>3.3426183844011081E-2</v>
      </c>
      <c r="AA228" s="231">
        <v>13420111</v>
      </c>
      <c r="AC228" s="230">
        <v>43418</v>
      </c>
      <c r="AD228" s="1">
        <v>60.1</v>
      </c>
      <c r="AE228" s="1">
        <v>61.066941624365398</v>
      </c>
      <c r="AF228" s="1">
        <v>22064</v>
      </c>
      <c r="AG228" s="1">
        <v>35141.99</v>
      </c>
      <c r="AH228" s="215">
        <f t="shared" si="38"/>
        <v>-3.3621152710651137E-3</v>
      </c>
      <c r="AI228" s="215">
        <f t="shared" si="33"/>
        <v>5.0167224080268635E-3</v>
      </c>
      <c r="AJ228" s="231">
        <v>1347381</v>
      </c>
      <c r="AL228" s="230">
        <v>44687</v>
      </c>
      <c r="AM228" s="1">
        <v>311.14999999999998</v>
      </c>
      <c r="AN228" s="1">
        <v>308.972484599589</v>
      </c>
      <c r="AO228" s="1">
        <v>26785</v>
      </c>
      <c r="AP228" s="1">
        <v>54835.58</v>
      </c>
      <c r="AQ228" s="215">
        <f t="shared" si="39"/>
        <v>6.6992016070299698E-3</v>
      </c>
      <c r="AR228" s="215">
        <f t="shared" si="34"/>
        <v>1.9320560296247624E-3</v>
      </c>
      <c r="AS228" s="231">
        <v>8275828</v>
      </c>
    </row>
    <row r="229" spans="2:45">
      <c r="B229" s="230">
        <v>43419</v>
      </c>
      <c r="C229" s="1">
        <v>422.45</v>
      </c>
      <c r="D229" s="1">
        <v>411.78861241874</v>
      </c>
      <c r="E229" s="1">
        <v>4461</v>
      </c>
      <c r="F229" s="215">
        <v>35260.54</v>
      </c>
      <c r="G229" s="215">
        <f t="shared" si="35"/>
        <v>-5.5452833785899491E-3</v>
      </c>
      <c r="H229" s="215">
        <f t="shared" si="30"/>
        <v>3.7450884086444036E-2</v>
      </c>
      <c r="I229" s="231">
        <v>1836989</v>
      </c>
      <c r="K229" s="230">
        <v>43419</v>
      </c>
      <c r="L229" s="1">
        <v>369.85</v>
      </c>
      <c r="M229" s="1">
        <v>373.01007345225599</v>
      </c>
      <c r="N229" s="1">
        <v>4765</v>
      </c>
      <c r="O229" s="1">
        <v>35260.54</v>
      </c>
      <c r="P229" s="215">
        <f t="shared" si="36"/>
        <v>-5.5452833785899491E-3</v>
      </c>
      <c r="Q229" s="215">
        <f t="shared" si="31"/>
        <v>9.0681214980831593E-2</v>
      </c>
      <c r="R229" s="231">
        <v>1777393</v>
      </c>
      <c r="T229" s="230">
        <v>43419</v>
      </c>
      <c r="U229" s="1">
        <v>107.7</v>
      </c>
      <c r="V229" s="1">
        <v>108.290122636009</v>
      </c>
      <c r="W229" s="1">
        <v>97769</v>
      </c>
      <c r="X229" s="1">
        <v>35260.54</v>
      </c>
      <c r="Y229" s="215">
        <f t="shared" si="37"/>
        <v>-5.5452833785899491E-3</v>
      </c>
      <c r="Z229" s="215">
        <f t="shared" si="32"/>
        <v>3.0622009569378106E-2</v>
      </c>
      <c r="AA229" s="231">
        <v>10587417</v>
      </c>
      <c r="AC229" s="230">
        <v>43419</v>
      </c>
      <c r="AD229" s="1">
        <v>59.8</v>
      </c>
      <c r="AE229" s="1">
        <v>59.625090226649299</v>
      </c>
      <c r="AF229" s="1">
        <v>6927</v>
      </c>
      <c r="AG229" s="1">
        <v>35260.54</v>
      </c>
      <c r="AH229" s="215">
        <f t="shared" si="38"/>
        <v>-5.5452833785899491E-3</v>
      </c>
      <c r="AI229" s="215">
        <f t="shared" si="33"/>
        <v>1.3559322033898313E-2</v>
      </c>
      <c r="AJ229" s="231">
        <v>413023</v>
      </c>
      <c r="AL229" s="230">
        <v>44690</v>
      </c>
      <c r="AM229" s="1">
        <v>310.55</v>
      </c>
      <c r="AN229" s="1">
        <v>308.37320376913999</v>
      </c>
      <c r="AO229" s="1">
        <v>16980</v>
      </c>
      <c r="AP229" s="1">
        <v>54470.67</v>
      </c>
      <c r="AQ229" s="215">
        <f t="shared" si="39"/>
        <v>1.9464782851419393E-3</v>
      </c>
      <c r="AR229" s="215">
        <f t="shared" si="34"/>
        <v>1.7862995739101883E-2</v>
      </c>
      <c r="AS229" s="231">
        <v>5236177</v>
      </c>
    </row>
    <row r="230" spans="2:45">
      <c r="B230" s="230">
        <v>43420</v>
      </c>
      <c r="C230" s="1">
        <v>407.2</v>
      </c>
      <c r="D230" s="1">
        <v>410.08954451345699</v>
      </c>
      <c r="E230" s="1">
        <v>1932</v>
      </c>
      <c r="F230" s="215">
        <v>35457.160000000003</v>
      </c>
      <c r="G230" s="215">
        <f t="shared" si="35"/>
        <v>-8.8810919840959235E-3</v>
      </c>
      <c r="H230" s="215">
        <f t="shared" si="30"/>
        <v>-2.3501199040767418E-2</v>
      </c>
      <c r="I230" s="231">
        <v>792293</v>
      </c>
      <c r="K230" s="230">
        <v>43420</v>
      </c>
      <c r="L230" s="1">
        <v>339.1</v>
      </c>
      <c r="M230" s="1">
        <v>344.90907478359497</v>
      </c>
      <c r="N230" s="1">
        <v>28188</v>
      </c>
      <c r="O230" s="1">
        <v>35457.160000000003</v>
      </c>
      <c r="P230" s="215">
        <f t="shared" si="36"/>
        <v>-8.8810919840959235E-3</v>
      </c>
      <c r="Q230" s="215">
        <f t="shared" si="31"/>
        <v>-1.4673834083974935E-2</v>
      </c>
      <c r="R230" s="231">
        <v>9722297</v>
      </c>
      <c r="T230" s="230">
        <v>43420</v>
      </c>
      <c r="U230" s="1">
        <v>104.5</v>
      </c>
      <c r="V230" s="1">
        <v>105.623299262167</v>
      </c>
      <c r="W230" s="1">
        <v>73865</v>
      </c>
      <c r="X230" s="1">
        <v>35457.160000000003</v>
      </c>
      <c r="Y230" s="215">
        <f t="shared" si="37"/>
        <v>-8.8810919840959235E-3</v>
      </c>
      <c r="Z230" s="215">
        <f t="shared" si="32"/>
        <v>-2.3866348448687846E-3</v>
      </c>
      <c r="AA230" s="231">
        <v>7801865</v>
      </c>
      <c r="AC230" s="230">
        <v>43420</v>
      </c>
      <c r="AD230" s="1">
        <v>59</v>
      </c>
      <c r="AE230" s="1">
        <v>60.583274384972</v>
      </c>
      <c r="AF230" s="1">
        <v>12723</v>
      </c>
      <c r="AG230" s="1">
        <v>35457.160000000003</v>
      </c>
      <c r="AH230" s="215">
        <f t="shared" si="38"/>
        <v>-8.8810919840959235E-3</v>
      </c>
      <c r="AI230" s="215">
        <f t="shared" si="33"/>
        <v>-4.065040650406504E-2</v>
      </c>
      <c r="AJ230" s="231">
        <v>770801</v>
      </c>
      <c r="AL230" s="230">
        <v>44691</v>
      </c>
      <c r="AM230" s="1">
        <v>305.10000000000002</v>
      </c>
      <c r="AN230" s="1">
        <v>308.273659070554</v>
      </c>
      <c r="AO230" s="1">
        <v>30147</v>
      </c>
      <c r="AP230" s="1">
        <v>54364.85</v>
      </c>
      <c r="AQ230" s="215">
        <f t="shared" si="39"/>
        <v>5.1112632489154208E-3</v>
      </c>
      <c r="AR230" s="215">
        <f t="shared" si="34"/>
        <v>1.0264900662251719E-2</v>
      </c>
      <c r="AS230" s="231">
        <v>9293526</v>
      </c>
    </row>
    <row r="231" spans="2:45">
      <c r="B231" s="230">
        <v>43423</v>
      </c>
      <c r="C231" s="1">
        <v>417</v>
      </c>
      <c r="D231" s="1">
        <v>412.96005917159698</v>
      </c>
      <c r="E231" s="1">
        <v>676</v>
      </c>
      <c r="F231" s="215">
        <v>35774.879999999997</v>
      </c>
      <c r="G231" s="215">
        <f t="shared" si="35"/>
        <v>8.4672064533095615E-3</v>
      </c>
      <c r="H231" s="215">
        <f t="shared" si="30"/>
        <v>1.1031640198811976E-2</v>
      </c>
      <c r="I231" s="231">
        <v>279161</v>
      </c>
      <c r="K231" s="230">
        <v>43423</v>
      </c>
      <c r="L231" s="1">
        <v>344.15</v>
      </c>
      <c r="M231" s="1">
        <v>347.10935458583702</v>
      </c>
      <c r="N231" s="1">
        <v>7654</v>
      </c>
      <c r="O231" s="1">
        <v>35774.879999999997</v>
      </c>
      <c r="P231" s="215">
        <f t="shared" si="36"/>
        <v>8.4672064533095615E-3</v>
      </c>
      <c r="Q231" s="215">
        <f t="shared" si="31"/>
        <v>3.4881972635693703E-2</v>
      </c>
      <c r="R231" s="231">
        <v>2656775</v>
      </c>
      <c r="T231" s="230">
        <v>43423</v>
      </c>
      <c r="U231" s="1">
        <v>104.75</v>
      </c>
      <c r="V231" s="1">
        <v>105.690010607849</v>
      </c>
      <c r="W231" s="1">
        <v>49963</v>
      </c>
      <c r="X231" s="1">
        <v>35774.879999999997</v>
      </c>
      <c r="Y231" s="215">
        <f t="shared" si="37"/>
        <v>8.4672064533095615E-3</v>
      </c>
      <c r="Z231" s="215">
        <f t="shared" si="32"/>
        <v>2.9484029484029506E-2</v>
      </c>
      <c r="AA231" s="231">
        <v>5280590</v>
      </c>
      <c r="AC231" s="230">
        <v>43423</v>
      </c>
      <c r="AD231" s="1">
        <v>61.5</v>
      </c>
      <c r="AE231" s="1">
        <v>61.075448639608901</v>
      </c>
      <c r="AF231" s="1">
        <v>15547</v>
      </c>
      <c r="AG231" s="1">
        <v>35774.879999999997</v>
      </c>
      <c r="AH231" s="215">
        <f t="shared" si="38"/>
        <v>8.4672064533095615E-3</v>
      </c>
      <c r="AI231" s="215">
        <f t="shared" si="33"/>
        <v>3.187919463087252E-2</v>
      </c>
      <c r="AJ231" s="231">
        <v>949540</v>
      </c>
      <c r="AL231" s="230">
        <v>44692</v>
      </c>
      <c r="AM231" s="1">
        <v>302</v>
      </c>
      <c r="AN231" s="1">
        <v>301.94590127301501</v>
      </c>
      <c r="AO231" s="1">
        <v>281929</v>
      </c>
      <c r="AP231" s="1">
        <v>54088.39</v>
      </c>
      <c r="AQ231" s="215">
        <f t="shared" si="39"/>
        <v>2.1879335299566538E-2</v>
      </c>
      <c r="AR231" s="215">
        <f t="shared" si="34"/>
        <v>7.6743410076742791E-3</v>
      </c>
      <c r="AS231" s="231">
        <v>85127306</v>
      </c>
    </row>
    <row r="232" spans="2:45">
      <c r="B232" s="230">
        <v>43424</v>
      </c>
      <c r="C232" s="1">
        <v>412.45</v>
      </c>
      <c r="D232" s="1">
        <v>418.35107009620998</v>
      </c>
      <c r="E232" s="1">
        <v>5093</v>
      </c>
      <c r="F232" s="215">
        <v>35474.51</v>
      </c>
      <c r="G232" s="215">
        <f t="shared" si="35"/>
        <v>7.8043057062824328E-3</v>
      </c>
      <c r="H232" s="215">
        <f t="shared" si="30"/>
        <v>-1.1503894547633342E-2</v>
      </c>
      <c r="I232" s="231">
        <v>2130662</v>
      </c>
      <c r="K232" s="230">
        <v>43424</v>
      </c>
      <c r="L232" s="1">
        <v>332.55</v>
      </c>
      <c r="M232" s="1">
        <v>338.43198992443303</v>
      </c>
      <c r="N232" s="1">
        <v>4764</v>
      </c>
      <c r="O232" s="1">
        <v>35474.51</v>
      </c>
      <c r="P232" s="215">
        <f t="shared" si="36"/>
        <v>7.8043057062824328E-3</v>
      </c>
      <c r="Q232" s="215">
        <f t="shared" si="31"/>
        <v>5.2539958854249225E-2</v>
      </c>
      <c r="R232" s="231">
        <v>1612290</v>
      </c>
      <c r="T232" s="230">
        <v>43424</v>
      </c>
      <c r="U232" s="1">
        <v>101.75</v>
      </c>
      <c r="V232" s="1">
        <v>102.674148296593</v>
      </c>
      <c r="W232" s="1">
        <v>107285</v>
      </c>
      <c r="X232" s="1">
        <v>35474.51</v>
      </c>
      <c r="Y232" s="215">
        <f t="shared" si="37"/>
        <v>7.8043057062824328E-3</v>
      </c>
      <c r="Z232" s="215">
        <f t="shared" si="32"/>
        <v>-8.2846003898634502E-3</v>
      </c>
      <c r="AA232" s="231">
        <v>11015396</v>
      </c>
      <c r="AC232" s="230">
        <v>43424</v>
      </c>
      <c r="AD232" s="1">
        <v>59.6</v>
      </c>
      <c r="AE232" s="1">
        <v>60.576513366792902</v>
      </c>
      <c r="AF232" s="1">
        <v>39052</v>
      </c>
      <c r="AG232" s="1">
        <v>35474.51</v>
      </c>
      <c r="AH232" s="215">
        <f t="shared" si="38"/>
        <v>7.8043057062824328E-3</v>
      </c>
      <c r="AI232" s="215">
        <f t="shared" si="33"/>
        <v>-4.333868378812189E-2</v>
      </c>
      <c r="AJ232" s="231">
        <v>2365634</v>
      </c>
      <c r="AL232" s="230">
        <v>44693</v>
      </c>
      <c r="AM232" s="1">
        <v>299.7</v>
      </c>
      <c r="AN232" s="1">
        <v>298.84461531420197</v>
      </c>
      <c r="AO232" s="1">
        <v>21849</v>
      </c>
      <c r="AP232" s="1">
        <v>52930.31</v>
      </c>
      <c r="AQ232" s="215">
        <f t="shared" si="39"/>
        <v>2.5891386118246373E-3</v>
      </c>
      <c r="AR232" s="215">
        <f t="shared" si="34"/>
        <v>-5.310321938267637E-3</v>
      </c>
      <c r="AS232" s="231">
        <v>6529456</v>
      </c>
    </row>
    <row r="233" spans="2:45">
      <c r="B233" s="230">
        <v>43425</v>
      </c>
      <c r="C233" s="1">
        <v>417.25</v>
      </c>
      <c r="D233" s="1">
        <v>416.447580645161</v>
      </c>
      <c r="E233" s="1">
        <v>496</v>
      </c>
      <c r="F233" s="215">
        <v>35199.800000000003</v>
      </c>
      <c r="G233" s="215">
        <f t="shared" si="35"/>
        <v>6.2542487325984997E-3</v>
      </c>
      <c r="H233" s="215">
        <f t="shared" si="30"/>
        <v>4.4430538172715917E-2</v>
      </c>
      <c r="I233" s="231">
        <v>206558</v>
      </c>
      <c r="K233" s="230">
        <v>43425</v>
      </c>
      <c r="L233" s="1">
        <v>315.95</v>
      </c>
      <c r="M233" s="1">
        <v>321.77867999167103</v>
      </c>
      <c r="N233" s="1">
        <v>9606</v>
      </c>
      <c r="O233" s="1">
        <v>35199.800000000003</v>
      </c>
      <c r="P233" s="215">
        <f t="shared" si="36"/>
        <v>6.2542487325984997E-3</v>
      </c>
      <c r="Q233" s="215">
        <f t="shared" si="31"/>
        <v>8.5179460759059022E-2</v>
      </c>
      <c r="R233" s="231">
        <v>3091006</v>
      </c>
      <c r="T233" s="230">
        <v>43425</v>
      </c>
      <c r="U233" s="1">
        <v>102.6</v>
      </c>
      <c r="V233" s="1">
        <v>102.45989588866399</v>
      </c>
      <c r="W233" s="1">
        <v>75304</v>
      </c>
      <c r="X233" s="1">
        <v>35199.800000000003</v>
      </c>
      <c r="Y233" s="215">
        <f t="shared" si="37"/>
        <v>6.2542487325984997E-3</v>
      </c>
      <c r="Z233" s="215">
        <f t="shared" si="32"/>
        <v>3.1155778894472297E-2</v>
      </c>
      <c r="AA233" s="231">
        <v>7715640</v>
      </c>
      <c r="AC233" s="230">
        <v>43425</v>
      </c>
      <c r="AD233" s="1">
        <v>62.3</v>
      </c>
      <c r="AE233" s="1">
        <v>61.6063655886406</v>
      </c>
      <c r="AF233" s="1">
        <v>31199</v>
      </c>
      <c r="AG233" s="1">
        <v>35199.800000000003</v>
      </c>
      <c r="AH233" s="215">
        <f t="shared" si="38"/>
        <v>6.2542487325984997E-3</v>
      </c>
      <c r="AI233" s="215">
        <f t="shared" si="33"/>
        <v>8.090614886731462E-3</v>
      </c>
      <c r="AJ233" s="231">
        <v>1922057</v>
      </c>
      <c r="AL233" s="230">
        <v>44694</v>
      </c>
      <c r="AM233" s="1">
        <v>301.3</v>
      </c>
      <c r="AN233" s="1">
        <v>303.830188679245</v>
      </c>
      <c r="AO233" s="1">
        <v>5141</v>
      </c>
      <c r="AP233" s="1">
        <v>52793.62</v>
      </c>
      <c r="AQ233" s="215">
        <f t="shared" si="39"/>
        <v>-3.4020565622577825E-3</v>
      </c>
      <c r="AR233" s="215">
        <f t="shared" si="34"/>
        <v>4.6682227409138299E-3</v>
      </c>
      <c r="AS233" s="231">
        <v>1561991</v>
      </c>
    </row>
    <row r="234" spans="2:45">
      <c r="B234" s="230">
        <v>43426</v>
      </c>
      <c r="C234" s="1">
        <v>399.5</v>
      </c>
      <c r="D234" s="1">
        <v>402.36631259484</v>
      </c>
      <c r="E234" s="1">
        <v>6590</v>
      </c>
      <c r="F234" s="215">
        <v>34981.019999999997</v>
      </c>
      <c r="G234" s="215">
        <f t="shared" si="35"/>
        <v>-1.0552106008698381E-2</v>
      </c>
      <c r="H234" s="215">
        <f t="shared" si="30"/>
        <v>2.6464542651593037E-2</v>
      </c>
      <c r="I234" s="231">
        <v>2651594</v>
      </c>
      <c r="K234" s="230">
        <v>43426</v>
      </c>
      <c r="L234" s="1">
        <v>291.14999999999998</v>
      </c>
      <c r="M234" s="1">
        <v>299.81246346311201</v>
      </c>
      <c r="N234" s="1">
        <v>17106</v>
      </c>
      <c r="O234" s="1">
        <v>34981.019999999997</v>
      </c>
      <c r="P234" s="215">
        <f t="shared" si="36"/>
        <v>-1.0552106008698381E-2</v>
      </c>
      <c r="Q234" s="215">
        <f t="shared" si="31"/>
        <v>4.9945906959971031E-2</v>
      </c>
      <c r="R234" s="231">
        <v>5128592</v>
      </c>
      <c r="T234" s="230">
        <v>43426</v>
      </c>
      <c r="U234" s="1">
        <v>99.5</v>
      </c>
      <c r="V234" s="1">
        <v>100.62183457280101</v>
      </c>
      <c r="W234" s="1">
        <v>83638</v>
      </c>
      <c r="X234" s="1">
        <v>34981.019999999997</v>
      </c>
      <c r="Y234" s="215">
        <f t="shared" si="37"/>
        <v>-1.0552106008698381E-2</v>
      </c>
      <c r="Z234" s="215">
        <f t="shared" si="32"/>
        <v>6.7024128686327122E-2</v>
      </c>
      <c r="AA234" s="231">
        <v>8415809</v>
      </c>
      <c r="AC234" s="230">
        <v>43426</v>
      </c>
      <c r="AD234" s="1">
        <v>61.8</v>
      </c>
      <c r="AE234" s="1">
        <v>62.698900153887898</v>
      </c>
      <c r="AF234" s="1">
        <v>44188</v>
      </c>
      <c r="AG234" s="1">
        <v>34981.019999999997</v>
      </c>
      <c r="AH234" s="215">
        <f t="shared" si="38"/>
        <v>-1.0552106008698381E-2</v>
      </c>
      <c r="AI234" s="215">
        <f t="shared" si="33"/>
        <v>3.691275167785224E-2</v>
      </c>
      <c r="AJ234" s="231">
        <v>2770539</v>
      </c>
      <c r="AL234" s="230">
        <v>44697</v>
      </c>
      <c r="AM234" s="1">
        <v>299.89999999999998</v>
      </c>
      <c r="AN234" s="1">
        <v>302.04345468103799</v>
      </c>
      <c r="AO234" s="1">
        <v>14751</v>
      </c>
      <c r="AP234" s="1">
        <v>52973.84</v>
      </c>
      <c r="AQ234" s="215">
        <f t="shared" si="39"/>
        <v>-2.4754563226836224E-2</v>
      </c>
      <c r="AR234" s="215">
        <f t="shared" si="34"/>
        <v>-9.0661006670709643E-2</v>
      </c>
      <c r="AS234" s="231">
        <v>4455443</v>
      </c>
    </row>
    <row r="235" spans="2:45">
      <c r="B235" s="230">
        <v>43430</v>
      </c>
      <c r="C235" s="1">
        <v>389.2</v>
      </c>
      <c r="D235" s="1">
        <v>390.00258074030302</v>
      </c>
      <c r="E235" s="1">
        <v>13562</v>
      </c>
      <c r="F235" s="215">
        <v>35354.080000000002</v>
      </c>
      <c r="G235" s="215">
        <f t="shared" si="35"/>
        <v>-4.4789055543947853E-3</v>
      </c>
      <c r="H235" s="215">
        <f t="shared" si="30"/>
        <v>1.5790160511549134E-2</v>
      </c>
      <c r="I235" s="231">
        <v>5289215</v>
      </c>
      <c r="K235" s="230">
        <v>43430</v>
      </c>
      <c r="L235" s="1">
        <v>277.3</v>
      </c>
      <c r="M235" s="1">
        <v>278.48790589794498</v>
      </c>
      <c r="N235" s="1">
        <v>12072</v>
      </c>
      <c r="O235" s="1">
        <v>35354.080000000002</v>
      </c>
      <c r="P235" s="215">
        <f t="shared" si="36"/>
        <v>-4.4789055543947853E-3</v>
      </c>
      <c r="Q235" s="215">
        <f t="shared" si="31"/>
        <v>6.2452107279693525E-2</v>
      </c>
      <c r="R235" s="231">
        <v>3361906</v>
      </c>
      <c r="T235" s="230">
        <v>43430</v>
      </c>
      <c r="U235" s="1">
        <v>93.25</v>
      </c>
      <c r="V235" s="1">
        <v>94.331331251667706</v>
      </c>
      <c r="W235" s="1">
        <v>213611</v>
      </c>
      <c r="X235" s="1">
        <v>35354.080000000002</v>
      </c>
      <c r="Y235" s="215">
        <f t="shared" si="37"/>
        <v>-4.4789055543947853E-3</v>
      </c>
      <c r="Z235" s="215">
        <f t="shared" si="32"/>
        <v>5.3077357425183491E-2</v>
      </c>
      <c r="AA235" s="231">
        <v>20150210</v>
      </c>
      <c r="AC235" s="230">
        <v>43430</v>
      </c>
      <c r="AD235" s="1">
        <v>59.6</v>
      </c>
      <c r="AE235" s="1">
        <v>60.554214595511901</v>
      </c>
      <c r="AF235" s="1">
        <v>5303</v>
      </c>
      <c r="AG235" s="1">
        <v>35354.080000000002</v>
      </c>
      <c r="AH235" s="215">
        <f t="shared" si="38"/>
        <v>-4.4789055543947853E-3</v>
      </c>
      <c r="AI235" s="215">
        <f t="shared" si="33"/>
        <v>3.7423846823324558E-2</v>
      </c>
      <c r="AJ235" s="231">
        <v>321119</v>
      </c>
      <c r="AL235" s="230">
        <v>44698</v>
      </c>
      <c r="AM235" s="1">
        <v>329.8</v>
      </c>
      <c r="AN235" s="1">
        <v>327.333894471934</v>
      </c>
      <c r="AO235" s="1">
        <v>176427</v>
      </c>
      <c r="AP235" s="1">
        <v>54318.47</v>
      </c>
      <c r="AQ235" s="215">
        <f t="shared" si="39"/>
        <v>2.028094102533462E-3</v>
      </c>
      <c r="AR235" s="215">
        <f t="shared" si="34"/>
        <v>-3.5672514619882967E-2</v>
      </c>
      <c r="AS235" s="231">
        <v>57750537</v>
      </c>
    </row>
    <row r="236" spans="2:45">
      <c r="B236" s="230">
        <v>43431</v>
      </c>
      <c r="C236" s="1">
        <v>383.15</v>
      </c>
      <c r="D236" s="1">
        <v>387.88642875748798</v>
      </c>
      <c r="E236" s="1">
        <v>3839</v>
      </c>
      <c r="F236" s="215">
        <v>35513.14</v>
      </c>
      <c r="G236" s="215">
        <f t="shared" si="35"/>
        <v>-5.706254313428194E-3</v>
      </c>
      <c r="H236" s="215">
        <f t="shared" si="30"/>
        <v>2.7479717351477362E-3</v>
      </c>
      <c r="I236" s="231">
        <v>1489096</v>
      </c>
      <c r="K236" s="230">
        <v>43431</v>
      </c>
      <c r="L236" s="1">
        <v>261</v>
      </c>
      <c r="M236" s="1">
        <v>265.23626301799601</v>
      </c>
      <c r="N236" s="1">
        <v>22949</v>
      </c>
      <c r="O236" s="1">
        <v>35513.14</v>
      </c>
      <c r="P236" s="215">
        <f t="shared" si="36"/>
        <v>-5.706254313428194E-3</v>
      </c>
      <c r="Q236" s="215">
        <f t="shared" si="31"/>
        <v>-8.5814360770577913E-2</v>
      </c>
      <c r="R236" s="231">
        <v>6086907</v>
      </c>
      <c r="T236" s="230">
        <v>43431</v>
      </c>
      <c r="U236" s="1">
        <v>88.55</v>
      </c>
      <c r="V236" s="1">
        <v>90.482133679722097</v>
      </c>
      <c r="W236" s="1">
        <v>177065</v>
      </c>
      <c r="X236" s="1">
        <v>35513.14</v>
      </c>
      <c r="Y236" s="215">
        <f t="shared" si="37"/>
        <v>-5.706254313428194E-3</v>
      </c>
      <c r="Z236" s="215">
        <f t="shared" si="32"/>
        <v>1.2578616352201255E-2</v>
      </c>
      <c r="AA236" s="231">
        <v>16021219</v>
      </c>
      <c r="AC236" s="230">
        <v>43431</v>
      </c>
      <c r="AD236" s="1">
        <v>57.45</v>
      </c>
      <c r="AE236" s="1">
        <v>57.943692280104003</v>
      </c>
      <c r="AF236" s="1">
        <v>11153</v>
      </c>
      <c r="AG236" s="1">
        <v>35513.14</v>
      </c>
      <c r="AH236" s="215">
        <f t="shared" si="38"/>
        <v>-5.706254313428194E-3</v>
      </c>
      <c r="AI236" s="215">
        <f t="shared" si="33"/>
        <v>1.7714791851195733E-2</v>
      </c>
      <c r="AJ236" s="231">
        <v>646246</v>
      </c>
      <c r="AL236" s="230">
        <v>44699</v>
      </c>
      <c r="AM236" s="1">
        <v>342</v>
      </c>
      <c r="AN236" s="1">
        <v>334.467304255741</v>
      </c>
      <c r="AO236" s="1">
        <v>60436</v>
      </c>
      <c r="AP236" s="1">
        <v>54208.53</v>
      </c>
      <c r="AQ236" s="215">
        <f t="shared" si="39"/>
        <v>2.6827811592728512E-2</v>
      </c>
      <c r="AR236" s="215">
        <f t="shared" si="34"/>
        <v>3.1052155562255157E-2</v>
      </c>
      <c r="AS236" s="231">
        <v>20213866</v>
      </c>
    </row>
    <row r="237" spans="2:45">
      <c r="B237" s="230">
        <v>43432</v>
      </c>
      <c r="C237" s="1">
        <v>382.1</v>
      </c>
      <c r="D237" s="1">
        <v>385.51275318829698</v>
      </c>
      <c r="E237" s="1">
        <v>2666</v>
      </c>
      <c r="F237" s="215">
        <v>35716.949999999997</v>
      </c>
      <c r="G237" s="215">
        <f t="shared" si="35"/>
        <v>-1.2536766931865229E-2</v>
      </c>
      <c r="H237" s="215">
        <f t="shared" si="30"/>
        <v>-1.7737789203084775E-2</v>
      </c>
      <c r="I237" s="231">
        <v>1027777</v>
      </c>
      <c r="K237" s="230">
        <v>43432</v>
      </c>
      <c r="L237" s="1">
        <v>285.5</v>
      </c>
      <c r="M237" s="1">
        <v>289.56918776207402</v>
      </c>
      <c r="N237" s="1">
        <v>64390</v>
      </c>
      <c r="O237" s="1">
        <v>35716.949999999997</v>
      </c>
      <c r="P237" s="215">
        <f t="shared" si="36"/>
        <v>-1.2536766931865229E-2</v>
      </c>
      <c r="Q237" s="215">
        <f t="shared" si="31"/>
        <v>-1.7887856897144783E-2</v>
      </c>
      <c r="R237" s="231">
        <v>18645360</v>
      </c>
      <c r="T237" s="230">
        <v>43432</v>
      </c>
      <c r="U237" s="1">
        <v>87.45</v>
      </c>
      <c r="V237" s="1">
        <v>88.897550020555201</v>
      </c>
      <c r="W237" s="1">
        <v>294329</v>
      </c>
      <c r="X237" s="1">
        <v>35716.949999999997</v>
      </c>
      <c r="Y237" s="215">
        <f t="shared" si="37"/>
        <v>-1.2536766931865229E-2</v>
      </c>
      <c r="Z237" s="215">
        <f t="shared" si="32"/>
        <v>-2.3995535714285587E-2</v>
      </c>
      <c r="AA237" s="231">
        <v>26165127</v>
      </c>
      <c r="AC237" s="230">
        <v>43432</v>
      </c>
      <c r="AD237" s="1">
        <v>56.45</v>
      </c>
      <c r="AE237" s="1">
        <v>56.077147016011601</v>
      </c>
      <c r="AF237" s="1">
        <v>21984</v>
      </c>
      <c r="AG237" s="1">
        <v>35716.949999999997</v>
      </c>
      <c r="AH237" s="215">
        <f t="shared" si="38"/>
        <v>-1.2536766931865229E-2</v>
      </c>
      <c r="AI237" s="215">
        <f t="shared" si="33"/>
        <v>8.0357142857143682E-3</v>
      </c>
      <c r="AJ237" s="231">
        <v>1232800</v>
      </c>
      <c r="AL237" s="230">
        <v>44700</v>
      </c>
      <c r="AM237" s="1">
        <v>331.7</v>
      </c>
      <c r="AN237" s="1">
        <v>331.22338391683502</v>
      </c>
      <c r="AO237" s="1">
        <v>16738</v>
      </c>
      <c r="AP237" s="1">
        <v>52792.23</v>
      </c>
      <c r="AQ237" s="215">
        <f t="shared" si="39"/>
        <v>-2.8239682408494171E-2</v>
      </c>
      <c r="AR237" s="215">
        <f t="shared" si="34"/>
        <v>-9.8507462686567848E-3</v>
      </c>
      <c r="AS237" s="231">
        <v>5544017</v>
      </c>
    </row>
    <row r="238" spans="2:45">
      <c r="B238" s="230">
        <v>43433</v>
      </c>
      <c r="C238" s="1">
        <v>389</v>
      </c>
      <c r="D238" s="1">
        <v>388.62666228862201</v>
      </c>
      <c r="E238" s="1">
        <v>6091</v>
      </c>
      <c r="F238" s="215">
        <v>36170.410000000003</v>
      </c>
      <c r="G238" s="215">
        <f t="shared" si="35"/>
        <v>-6.6004868169844411E-4</v>
      </c>
      <c r="H238" s="215">
        <f t="shared" si="30"/>
        <v>2.7469624933967207E-2</v>
      </c>
      <c r="I238" s="231">
        <v>2367125</v>
      </c>
      <c r="K238" s="230">
        <v>43433</v>
      </c>
      <c r="L238" s="1">
        <v>290.7</v>
      </c>
      <c r="M238" s="1">
        <v>290.87901747525302</v>
      </c>
      <c r="N238" s="1">
        <v>16366</v>
      </c>
      <c r="O238" s="1">
        <v>36170.410000000003</v>
      </c>
      <c r="P238" s="215">
        <f t="shared" si="36"/>
        <v>-6.6004868169844411E-4</v>
      </c>
      <c r="Q238" s="215">
        <f t="shared" si="31"/>
        <v>1.5503875968991832E-3</v>
      </c>
      <c r="R238" s="231">
        <v>4760526</v>
      </c>
      <c r="T238" s="230">
        <v>43433</v>
      </c>
      <c r="U238" s="1">
        <v>89.6</v>
      </c>
      <c r="V238" s="1">
        <v>90.145926484255497</v>
      </c>
      <c r="W238" s="1">
        <v>136651</v>
      </c>
      <c r="X238" s="1">
        <v>36170.410000000003</v>
      </c>
      <c r="Y238" s="215">
        <f t="shared" si="37"/>
        <v>-6.6004868169844411E-4</v>
      </c>
      <c r="Z238" s="215">
        <f t="shared" si="32"/>
        <v>-4.9972237645752315E-3</v>
      </c>
      <c r="AA238" s="231">
        <v>12318531</v>
      </c>
      <c r="AC238" s="230">
        <v>43433</v>
      </c>
      <c r="AD238" s="1">
        <v>56</v>
      </c>
      <c r="AE238" s="1">
        <v>57.0867467974062</v>
      </c>
      <c r="AF238" s="1">
        <v>12646</v>
      </c>
      <c r="AG238" s="1">
        <v>36170.410000000003</v>
      </c>
      <c r="AH238" s="215">
        <f t="shared" si="38"/>
        <v>-6.6004868169844411E-4</v>
      </c>
      <c r="AI238" s="215">
        <f t="shared" si="33"/>
        <v>9.918845807033394E-3</v>
      </c>
      <c r="AJ238" s="231">
        <v>721919</v>
      </c>
      <c r="AL238" s="230">
        <v>44701</v>
      </c>
      <c r="AM238" s="1">
        <v>335</v>
      </c>
      <c r="AN238" s="1">
        <v>339.38779774341799</v>
      </c>
      <c r="AO238" s="1">
        <v>9572</v>
      </c>
      <c r="AP238" s="1">
        <v>54326.39</v>
      </c>
      <c r="AQ238" s="215">
        <f t="shared" si="39"/>
        <v>6.9591024710335958E-4</v>
      </c>
      <c r="AR238" s="215">
        <f t="shared" si="34"/>
        <v>0.10088728228721644</v>
      </c>
      <c r="AS238" s="231">
        <v>3248620</v>
      </c>
    </row>
    <row r="239" spans="2:45">
      <c r="B239" s="230">
        <v>43434</v>
      </c>
      <c r="C239" s="1">
        <v>378.6</v>
      </c>
      <c r="D239" s="1">
        <v>378.087679729348</v>
      </c>
      <c r="E239" s="1">
        <v>7094</v>
      </c>
      <c r="F239" s="215">
        <v>36194.300000000003</v>
      </c>
      <c r="G239" s="215">
        <f t="shared" si="35"/>
        <v>-1.2885957892992961E-3</v>
      </c>
      <c r="H239" s="215">
        <f t="shared" si="30"/>
        <v>-1.9043917605907401E-2</v>
      </c>
      <c r="I239" s="231">
        <v>2682154</v>
      </c>
      <c r="K239" s="230">
        <v>43434</v>
      </c>
      <c r="L239" s="1">
        <v>290.25</v>
      </c>
      <c r="M239" s="1">
        <v>291.15019092066098</v>
      </c>
      <c r="N239" s="1">
        <v>7071</v>
      </c>
      <c r="O239" s="1">
        <v>36194.300000000003</v>
      </c>
      <c r="P239" s="215">
        <f t="shared" si="36"/>
        <v>-1.2885957892992961E-3</v>
      </c>
      <c r="Q239" s="215">
        <f t="shared" si="31"/>
        <v>-1.7267648552564796E-2</v>
      </c>
      <c r="R239" s="231">
        <v>2058723</v>
      </c>
      <c r="T239" s="230">
        <v>43434</v>
      </c>
      <c r="U239" s="1">
        <v>90.05</v>
      </c>
      <c r="V239" s="1">
        <v>90.215452192414801</v>
      </c>
      <c r="W239" s="1">
        <v>182356</v>
      </c>
      <c r="X239" s="1">
        <v>36194.300000000003</v>
      </c>
      <c r="Y239" s="215">
        <f t="shared" si="37"/>
        <v>-1.2885957892992961E-3</v>
      </c>
      <c r="Z239" s="215">
        <f t="shared" si="32"/>
        <v>-4.8097251585623613E-2</v>
      </c>
      <c r="AA239" s="231">
        <v>16451329</v>
      </c>
      <c r="AC239" s="230">
        <v>43434</v>
      </c>
      <c r="AD239" s="1">
        <v>55.45</v>
      </c>
      <c r="AE239" s="1">
        <v>55.577521793275203</v>
      </c>
      <c r="AF239" s="1">
        <v>12848</v>
      </c>
      <c r="AG239" s="1">
        <v>36194.300000000003</v>
      </c>
      <c r="AH239" s="215">
        <f t="shared" si="38"/>
        <v>-1.2885957892992961E-3</v>
      </c>
      <c r="AI239" s="215">
        <f t="shared" si="33"/>
        <v>-7.1620411817368002E-3</v>
      </c>
      <c r="AJ239" s="231">
        <v>714060</v>
      </c>
      <c r="AL239" s="230">
        <v>44704</v>
      </c>
      <c r="AM239" s="1">
        <v>304.3</v>
      </c>
      <c r="AN239" s="1">
        <v>307.25918960505999</v>
      </c>
      <c r="AO239" s="1">
        <v>46792</v>
      </c>
      <c r="AP239" s="1">
        <v>54288.61</v>
      </c>
      <c r="AQ239" s="215">
        <f t="shared" si="39"/>
        <v>4.3661166408059948E-3</v>
      </c>
      <c r="AR239" s="215">
        <f t="shared" si="34"/>
        <v>-5.5555555555555358E-3</v>
      </c>
      <c r="AS239" s="231">
        <v>14377272</v>
      </c>
    </row>
    <row r="240" spans="2:45">
      <c r="B240" s="230">
        <v>43437</v>
      </c>
      <c r="C240" s="1">
        <v>385.95</v>
      </c>
      <c r="D240" s="1">
        <v>384.06844953836298</v>
      </c>
      <c r="E240" s="1">
        <v>6282</v>
      </c>
      <c r="F240" s="215">
        <v>36241</v>
      </c>
      <c r="G240" s="215">
        <f t="shared" si="35"/>
        <v>2.9525954695137635E-3</v>
      </c>
      <c r="H240" s="215">
        <f t="shared" si="30"/>
        <v>-2.3264831329973257E-3</v>
      </c>
      <c r="I240" s="231">
        <v>2412718</v>
      </c>
      <c r="K240" s="230">
        <v>43437</v>
      </c>
      <c r="L240" s="1">
        <v>295.35000000000002</v>
      </c>
      <c r="M240" s="1">
        <v>296.19731081926199</v>
      </c>
      <c r="N240" s="1">
        <v>9594</v>
      </c>
      <c r="O240" s="1">
        <v>36241</v>
      </c>
      <c r="P240" s="215">
        <f t="shared" si="36"/>
        <v>2.9525954695137635E-3</v>
      </c>
      <c r="Q240" s="215">
        <f t="shared" si="31"/>
        <v>9.226037929267239E-3</v>
      </c>
      <c r="R240" s="231">
        <v>2841717</v>
      </c>
      <c r="T240" s="230">
        <v>43437</v>
      </c>
      <c r="U240" s="1">
        <v>94.6</v>
      </c>
      <c r="V240" s="1">
        <v>94.510345402622306</v>
      </c>
      <c r="W240" s="1">
        <v>239865</v>
      </c>
      <c r="X240" s="1">
        <v>36241</v>
      </c>
      <c r="Y240" s="215">
        <f t="shared" si="37"/>
        <v>2.9525954695137635E-3</v>
      </c>
      <c r="Z240" s="215">
        <f t="shared" si="32"/>
        <v>2.1046950890447835E-2</v>
      </c>
      <c r="AA240" s="231">
        <v>22669724</v>
      </c>
      <c r="AC240" s="230">
        <v>43437</v>
      </c>
      <c r="AD240" s="1">
        <v>55.85</v>
      </c>
      <c r="AE240" s="1">
        <v>56.011198945981498</v>
      </c>
      <c r="AF240" s="1">
        <v>4554</v>
      </c>
      <c r="AG240" s="1">
        <v>36241</v>
      </c>
      <c r="AH240" s="215">
        <f t="shared" si="38"/>
        <v>2.9525954695137635E-3</v>
      </c>
      <c r="AI240" s="215">
        <f t="shared" si="33"/>
        <v>-1.3250883392226132E-2</v>
      </c>
      <c r="AJ240" s="231">
        <v>255075</v>
      </c>
      <c r="AL240" s="230">
        <v>44705</v>
      </c>
      <c r="AM240" s="1">
        <v>306</v>
      </c>
      <c r="AN240" s="1">
        <v>308.44931122266797</v>
      </c>
      <c r="AO240" s="1">
        <v>42031</v>
      </c>
      <c r="AP240" s="1">
        <v>54052.61</v>
      </c>
      <c r="AQ240" s="215">
        <f t="shared" si="39"/>
        <v>5.6437986309021415E-3</v>
      </c>
      <c r="AR240" s="215">
        <f t="shared" si="34"/>
        <v>8.2372322899506578E-3</v>
      </c>
      <c r="AS240" s="231">
        <v>12964433</v>
      </c>
    </row>
    <row r="241" spans="2:45">
      <c r="B241" s="230">
        <v>43438</v>
      </c>
      <c r="C241" s="1">
        <v>386.85</v>
      </c>
      <c r="D241" s="1">
        <v>389.34427207637202</v>
      </c>
      <c r="E241" s="1">
        <v>1676</v>
      </c>
      <c r="F241" s="215">
        <v>36134.31</v>
      </c>
      <c r="G241" s="215">
        <f t="shared" si="35"/>
        <v>6.9640269966817492E-3</v>
      </c>
      <c r="H241" s="215">
        <f t="shared" si="30"/>
        <v>2.9677934522225335E-2</v>
      </c>
      <c r="I241" s="231">
        <v>652541</v>
      </c>
      <c r="K241" s="230">
        <v>43438</v>
      </c>
      <c r="L241" s="1">
        <v>292.64999999999998</v>
      </c>
      <c r="M241" s="1">
        <v>293.20049592631898</v>
      </c>
      <c r="N241" s="1">
        <v>2823</v>
      </c>
      <c r="O241" s="1">
        <v>36134.31</v>
      </c>
      <c r="P241" s="215">
        <f t="shared" si="36"/>
        <v>6.9640269966817492E-3</v>
      </c>
      <c r="Q241" s="215">
        <f t="shared" si="31"/>
        <v>4.4619873004976274E-3</v>
      </c>
      <c r="R241" s="231">
        <v>827705</v>
      </c>
      <c r="T241" s="230">
        <v>43438</v>
      </c>
      <c r="U241" s="1">
        <v>92.65</v>
      </c>
      <c r="V241" s="1">
        <v>93.484240811180598</v>
      </c>
      <c r="W241" s="1">
        <v>92803</v>
      </c>
      <c r="X241" s="1">
        <v>36134.31</v>
      </c>
      <c r="Y241" s="215">
        <f t="shared" si="37"/>
        <v>6.9640269966817492E-3</v>
      </c>
      <c r="Z241" s="215">
        <f t="shared" si="32"/>
        <v>9.1926929876252395E-2</v>
      </c>
      <c r="AA241" s="231">
        <v>8675618</v>
      </c>
      <c r="AC241" s="230">
        <v>43438</v>
      </c>
      <c r="AD241" s="1">
        <v>56.6</v>
      </c>
      <c r="AE241" s="1">
        <v>55.184748427672901</v>
      </c>
      <c r="AF241" s="1">
        <v>2544</v>
      </c>
      <c r="AG241" s="1">
        <v>36134.31</v>
      </c>
      <c r="AH241" s="215">
        <f t="shared" si="38"/>
        <v>6.9640269966817492E-3</v>
      </c>
      <c r="AI241" s="215">
        <f t="shared" si="33"/>
        <v>4.1398344066237325E-2</v>
      </c>
      <c r="AJ241" s="231">
        <v>140390</v>
      </c>
      <c r="AL241" s="230">
        <v>44706</v>
      </c>
      <c r="AM241" s="1">
        <v>303.5</v>
      </c>
      <c r="AN241" s="1">
        <v>303.05588647512201</v>
      </c>
      <c r="AO241" s="1">
        <v>11416</v>
      </c>
      <c r="AP241" s="1">
        <v>53749.26</v>
      </c>
      <c r="AQ241" s="215">
        <f t="shared" si="39"/>
        <v>-9.2764337441958444E-3</v>
      </c>
      <c r="AR241" s="215">
        <f t="shared" si="34"/>
        <v>6.4665892886750509E-3</v>
      </c>
      <c r="AS241" s="231">
        <v>3459686</v>
      </c>
    </row>
    <row r="242" spans="2:45">
      <c r="B242" s="230">
        <v>43439</v>
      </c>
      <c r="C242" s="1">
        <v>375.7</v>
      </c>
      <c r="D242" s="1">
        <v>378.112819176654</v>
      </c>
      <c r="E242" s="1">
        <v>3838</v>
      </c>
      <c r="F242" s="215">
        <v>35884.410000000003</v>
      </c>
      <c r="G242" s="215">
        <f t="shared" si="35"/>
        <v>1.6206329099944128E-2</v>
      </c>
      <c r="H242" s="215">
        <f t="shared" si="30"/>
        <v>-7.9218378663850064E-3</v>
      </c>
      <c r="I242" s="231">
        <v>1451197</v>
      </c>
      <c r="K242" s="230">
        <v>43439</v>
      </c>
      <c r="L242" s="1">
        <v>291.35000000000002</v>
      </c>
      <c r="M242" s="1">
        <v>291.34174570004802</v>
      </c>
      <c r="N242" s="1">
        <v>6221</v>
      </c>
      <c r="O242" s="1">
        <v>35884.410000000003</v>
      </c>
      <c r="P242" s="215">
        <f t="shared" si="36"/>
        <v>1.6206329099944128E-2</v>
      </c>
      <c r="Q242" s="215">
        <f t="shared" si="31"/>
        <v>1.9062609303952538E-2</v>
      </c>
      <c r="R242" s="231">
        <v>1812437</v>
      </c>
      <c r="T242" s="230">
        <v>43439</v>
      </c>
      <c r="U242" s="1">
        <v>84.85</v>
      </c>
      <c r="V242" s="1">
        <v>85.9844201994499</v>
      </c>
      <c r="W242" s="1">
        <v>364703</v>
      </c>
      <c r="X242" s="1">
        <v>35884.410000000003</v>
      </c>
      <c r="Y242" s="215">
        <f t="shared" si="37"/>
        <v>1.6206329099944128E-2</v>
      </c>
      <c r="Z242" s="215">
        <f t="shared" si="32"/>
        <v>4.1743400859422852E-2</v>
      </c>
      <c r="AA242" s="231">
        <v>31358776</v>
      </c>
      <c r="AC242" s="230">
        <v>43439</v>
      </c>
      <c r="AD242" s="1">
        <v>54.35</v>
      </c>
      <c r="AE242" s="1">
        <v>54.372691807542203</v>
      </c>
      <c r="AF242" s="1">
        <v>3845</v>
      </c>
      <c r="AG242" s="1">
        <v>35884.410000000003</v>
      </c>
      <c r="AH242" s="215">
        <f t="shared" si="38"/>
        <v>1.6206329099944128E-2</v>
      </c>
      <c r="AI242" s="215">
        <f t="shared" si="33"/>
        <v>8.3487940630797564E-3</v>
      </c>
      <c r="AJ242" s="231">
        <v>209063</v>
      </c>
      <c r="AL242" s="230">
        <v>44707</v>
      </c>
      <c r="AM242" s="1">
        <v>301.55</v>
      </c>
      <c r="AN242" s="1">
        <v>299.82906752411498</v>
      </c>
      <c r="AO242" s="1">
        <v>7775</v>
      </c>
      <c r="AP242" s="1">
        <v>54252.53</v>
      </c>
      <c r="AQ242" s="215">
        <f t="shared" si="39"/>
        <v>-1.151742581624815E-2</v>
      </c>
      <c r="AR242" s="215">
        <f t="shared" si="34"/>
        <v>-1.2606417812704551E-2</v>
      </c>
      <c r="AS242" s="231">
        <v>2331171</v>
      </c>
    </row>
    <row r="243" spans="2:45">
      <c r="B243" s="230">
        <v>43440</v>
      </c>
      <c r="C243" s="1">
        <v>378.7</v>
      </c>
      <c r="D243" s="1">
        <v>377.43866877971402</v>
      </c>
      <c r="E243" s="1">
        <v>3155</v>
      </c>
      <c r="F243" s="215">
        <v>35312.129999999997</v>
      </c>
      <c r="G243" s="215">
        <f t="shared" si="35"/>
        <v>-1.0122991317023322E-2</v>
      </c>
      <c r="H243" s="215">
        <f t="shared" si="30"/>
        <v>-7.9155672823216783E-4</v>
      </c>
      <c r="I243" s="231">
        <v>1190819</v>
      </c>
      <c r="K243" s="230">
        <v>43440</v>
      </c>
      <c r="L243" s="1">
        <v>285.89999999999998</v>
      </c>
      <c r="M243" s="1">
        <v>287.92987128273398</v>
      </c>
      <c r="N243" s="1">
        <v>4506</v>
      </c>
      <c r="O243" s="1">
        <v>35312.129999999997</v>
      </c>
      <c r="P243" s="215">
        <f t="shared" si="36"/>
        <v>-1.0122991317023322E-2</v>
      </c>
      <c r="Q243" s="215">
        <f t="shared" si="31"/>
        <v>7.7851083883129002E-2</v>
      </c>
      <c r="R243" s="231">
        <v>1297412</v>
      </c>
      <c r="T243" s="230">
        <v>43440</v>
      </c>
      <c r="U243" s="1">
        <v>81.45</v>
      </c>
      <c r="V243" s="1">
        <v>82.810608629735199</v>
      </c>
      <c r="W243" s="1">
        <v>100258</v>
      </c>
      <c r="X243" s="1">
        <v>35312.129999999997</v>
      </c>
      <c r="Y243" s="215">
        <f t="shared" si="37"/>
        <v>-1.0122991317023322E-2</v>
      </c>
      <c r="Z243" s="215">
        <f t="shared" si="32"/>
        <v>7.738095238095255E-2</v>
      </c>
      <c r="AA243" s="231">
        <v>8302426</v>
      </c>
      <c r="AC243" s="230">
        <v>43440</v>
      </c>
      <c r="AD243" s="1">
        <v>53.9</v>
      </c>
      <c r="AE243" s="1">
        <v>53.789349670122498</v>
      </c>
      <c r="AF243" s="1">
        <v>10610</v>
      </c>
      <c r="AG243" s="1">
        <v>35312.129999999997</v>
      </c>
      <c r="AH243" s="215">
        <f t="shared" si="38"/>
        <v>-1.0122991317023322E-2</v>
      </c>
      <c r="AI243" s="215">
        <f t="shared" si="33"/>
        <v>-2.8828828828828867E-2</v>
      </c>
      <c r="AJ243" s="231">
        <v>570705</v>
      </c>
      <c r="AL243" s="230">
        <v>44708</v>
      </c>
      <c r="AM243" s="1">
        <v>305.39999999999998</v>
      </c>
      <c r="AN243" s="1">
        <v>305.20548306313401</v>
      </c>
      <c r="AO243" s="1">
        <v>7587</v>
      </c>
      <c r="AP243" s="1">
        <v>54884.66</v>
      </c>
      <c r="AQ243" s="215">
        <f t="shared" si="39"/>
        <v>-1.861539963530201E-2</v>
      </c>
      <c r="AR243" s="215">
        <f t="shared" si="34"/>
        <v>-1.2609117361784827E-2</v>
      </c>
      <c r="AS243" s="231">
        <v>2315594</v>
      </c>
    </row>
    <row r="244" spans="2:45">
      <c r="B244" s="230">
        <v>43441</v>
      </c>
      <c r="C244" s="1">
        <v>379</v>
      </c>
      <c r="D244" s="1">
        <v>377.85575364667699</v>
      </c>
      <c r="E244" s="1">
        <v>617</v>
      </c>
      <c r="F244" s="215">
        <v>35673.25</v>
      </c>
      <c r="G244" s="215">
        <f t="shared" si="35"/>
        <v>2.041006049247529E-2</v>
      </c>
      <c r="H244" s="215">
        <f t="shared" si="30"/>
        <v>9.5897709110281948E-3</v>
      </c>
      <c r="I244" s="231">
        <v>233137</v>
      </c>
      <c r="K244" s="230">
        <v>43441</v>
      </c>
      <c r="L244" s="1">
        <v>265.25</v>
      </c>
      <c r="M244" s="1">
        <v>269.54843669912799</v>
      </c>
      <c r="N244" s="1">
        <v>9755</v>
      </c>
      <c r="O244" s="1">
        <v>35673.25</v>
      </c>
      <c r="P244" s="215">
        <f t="shared" si="36"/>
        <v>2.041006049247529E-2</v>
      </c>
      <c r="Q244" s="215">
        <f t="shared" si="31"/>
        <v>5.4252782193958682E-2</v>
      </c>
      <c r="R244" s="231">
        <v>2629445</v>
      </c>
      <c r="T244" s="230">
        <v>43441</v>
      </c>
      <c r="U244" s="1">
        <v>75.599999999999994</v>
      </c>
      <c r="V244" s="1">
        <v>77.601866212076501</v>
      </c>
      <c r="W244" s="1">
        <v>156038</v>
      </c>
      <c r="X244" s="1">
        <v>35673.25</v>
      </c>
      <c r="Y244" s="215">
        <f t="shared" si="37"/>
        <v>2.041006049247529E-2</v>
      </c>
      <c r="Z244" s="215">
        <f t="shared" si="32"/>
        <v>6.2543921293042759E-2</v>
      </c>
      <c r="AA244" s="231">
        <v>12108840</v>
      </c>
      <c r="AC244" s="230">
        <v>43441</v>
      </c>
      <c r="AD244" s="1">
        <v>55.5</v>
      </c>
      <c r="AE244" s="1">
        <v>55.388414308595799</v>
      </c>
      <c r="AF244" s="1">
        <v>11238</v>
      </c>
      <c r="AG244" s="1">
        <v>35673.25</v>
      </c>
      <c r="AH244" s="215">
        <f t="shared" si="38"/>
        <v>2.041006049247529E-2</v>
      </c>
      <c r="AI244" s="215">
        <f t="shared" si="33"/>
        <v>2.9684601113172615E-2</v>
      </c>
      <c r="AJ244" s="231">
        <v>622455</v>
      </c>
      <c r="AL244" s="230">
        <v>44711</v>
      </c>
      <c r="AM244" s="1">
        <v>309.3</v>
      </c>
      <c r="AN244" s="1">
        <v>308.53981737099099</v>
      </c>
      <c r="AO244" s="1">
        <v>4709</v>
      </c>
      <c r="AP244" s="1">
        <v>55925.74</v>
      </c>
      <c r="AQ244" s="215">
        <f t="shared" si="39"/>
        <v>6.4666765407372928E-3</v>
      </c>
      <c r="AR244" s="215">
        <f t="shared" si="34"/>
        <v>-8.3360051298492222E-3</v>
      </c>
      <c r="AS244" s="231">
        <v>1452914</v>
      </c>
    </row>
    <row r="245" spans="2:45">
      <c r="B245" s="230">
        <v>43444</v>
      </c>
      <c r="C245" s="1">
        <v>375.4</v>
      </c>
      <c r="D245" s="1">
        <v>376.14904187366898</v>
      </c>
      <c r="E245" s="1">
        <v>2818</v>
      </c>
      <c r="F245" s="215">
        <v>34959.72</v>
      </c>
      <c r="G245" s="215">
        <f t="shared" si="35"/>
        <v>-5.4136542208664817E-3</v>
      </c>
      <c r="H245" s="215">
        <f t="shared" si="30"/>
        <v>-1.7020162346163881E-2</v>
      </c>
      <c r="I245" s="231">
        <v>1059988</v>
      </c>
      <c r="K245" s="230">
        <v>43444</v>
      </c>
      <c r="L245" s="1">
        <v>251.6</v>
      </c>
      <c r="M245" s="1">
        <v>254.81304307203499</v>
      </c>
      <c r="N245" s="1">
        <v>10703</v>
      </c>
      <c r="O245" s="1">
        <v>34959.72</v>
      </c>
      <c r="P245" s="215">
        <f t="shared" si="36"/>
        <v>-5.4136542208664817E-3</v>
      </c>
      <c r="Q245" s="215">
        <f t="shared" si="31"/>
        <v>-2.782071097372496E-2</v>
      </c>
      <c r="R245" s="231">
        <v>2727264</v>
      </c>
      <c r="T245" s="230">
        <v>43444</v>
      </c>
      <c r="U245" s="1">
        <v>71.150000000000006</v>
      </c>
      <c r="V245" s="1">
        <v>71.869309201784603</v>
      </c>
      <c r="W245" s="1">
        <v>142994</v>
      </c>
      <c r="X245" s="1">
        <v>34959.72</v>
      </c>
      <c r="Y245" s="215">
        <f t="shared" si="37"/>
        <v>-5.4136542208664817E-3</v>
      </c>
      <c r="Z245" s="215">
        <f t="shared" si="32"/>
        <v>-6.6272965879265011E-2</v>
      </c>
      <c r="AA245" s="231">
        <v>10276880</v>
      </c>
      <c r="AC245" s="230">
        <v>43444</v>
      </c>
      <c r="AD245" s="1">
        <v>53.9</v>
      </c>
      <c r="AE245" s="1">
        <v>53.892561983470998</v>
      </c>
      <c r="AF245" s="1">
        <v>3751</v>
      </c>
      <c r="AG245" s="1">
        <v>34959.72</v>
      </c>
      <c r="AH245" s="215">
        <f t="shared" si="38"/>
        <v>-5.4136542208664817E-3</v>
      </c>
      <c r="AI245" s="215">
        <f t="shared" si="33"/>
        <v>-3.2315978456014416E-2</v>
      </c>
      <c r="AJ245" s="231">
        <v>202151</v>
      </c>
      <c r="AL245" s="230">
        <v>44712</v>
      </c>
      <c r="AM245" s="1">
        <v>311.89999999999998</v>
      </c>
      <c r="AN245" s="1">
        <v>312.37173603418199</v>
      </c>
      <c r="AO245" s="1">
        <v>6319</v>
      </c>
      <c r="AP245" s="1">
        <v>55566.41</v>
      </c>
      <c r="AQ245" s="215">
        <f t="shared" si="39"/>
        <v>3.3448191867380128E-3</v>
      </c>
      <c r="AR245" s="215">
        <f t="shared" si="34"/>
        <v>4.8115477145138641E-4</v>
      </c>
      <c r="AS245" s="231">
        <v>1973877</v>
      </c>
    </row>
    <row r="246" spans="2:45">
      <c r="B246" s="230">
        <v>43445</v>
      </c>
      <c r="C246" s="1">
        <v>381.9</v>
      </c>
      <c r="D246" s="1">
        <v>379.00704776820601</v>
      </c>
      <c r="E246" s="1">
        <v>1277</v>
      </c>
      <c r="F246" s="215">
        <v>35150.01</v>
      </c>
      <c r="G246" s="215">
        <f t="shared" si="35"/>
        <v>-1.7581787341034771E-2</v>
      </c>
      <c r="H246" s="215">
        <f t="shared" si="30"/>
        <v>4.9999999999998934E-3</v>
      </c>
      <c r="I246" s="231">
        <v>483992</v>
      </c>
      <c r="K246" s="230">
        <v>43445</v>
      </c>
      <c r="L246" s="1">
        <v>258.8</v>
      </c>
      <c r="M246" s="1">
        <v>257.95948169477498</v>
      </c>
      <c r="N246" s="1">
        <v>4862</v>
      </c>
      <c r="O246" s="1">
        <v>35150.01</v>
      </c>
      <c r="P246" s="215">
        <f t="shared" si="36"/>
        <v>-1.7581787341034771E-2</v>
      </c>
      <c r="Q246" s="215">
        <f t="shared" si="31"/>
        <v>-0.13560454241816955</v>
      </c>
      <c r="R246" s="231">
        <v>1254199</v>
      </c>
      <c r="T246" s="230">
        <v>43445</v>
      </c>
      <c r="U246" s="1">
        <v>76.2</v>
      </c>
      <c r="V246" s="1">
        <v>74.871475369474894</v>
      </c>
      <c r="W246" s="1">
        <v>146221</v>
      </c>
      <c r="X246" s="1">
        <v>35150.01</v>
      </c>
      <c r="Y246" s="215">
        <f t="shared" si="37"/>
        <v>-1.7581787341034771E-2</v>
      </c>
      <c r="Z246" s="215">
        <f t="shared" si="32"/>
        <v>-7.0164734594264755E-2</v>
      </c>
      <c r="AA246" s="231">
        <v>10947782</v>
      </c>
      <c r="AC246" s="230">
        <v>43445</v>
      </c>
      <c r="AD246" s="1">
        <v>55.7</v>
      </c>
      <c r="AE246" s="1">
        <v>53.715860215053702</v>
      </c>
      <c r="AF246" s="1">
        <v>3720</v>
      </c>
      <c r="AG246" s="1">
        <v>35150.01</v>
      </c>
      <c r="AH246" s="215">
        <f t="shared" si="38"/>
        <v>-1.7581787341034771E-2</v>
      </c>
      <c r="AI246" s="215">
        <f t="shared" si="33"/>
        <v>-3.5778175313058158E-3</v>
      </c>
      <c r="AJ246" s="231">
        <v>199823</v>
      </c>
      <c r="AL246" s="230">
        <v>44713</v>
      </c>
      <c r="AM246" s="1">
        <v>311.75</v>
      </c>
      <c r="AN246" s="1">
        <v>312.99915594007098</v>
      </c>
      <c r="AO246" s="1">
        <v>4739</v>
      </c>
      <c r="AP246" s="1">
        <v>55381.17</v>
      </c>
      <c r="AQ246" s="215">
        <f t="shared" si="39"/>
        <v>-7.8279253812069127E-3</v>
      </c>
      <c r="AR246" s="215">
        <f t="shared" si="34"/>
        <v>1.1026431003729353E-2</v>
      </c>
      <c r="AS246" s="231">
        <v>1483303</v>
      </c>
    </row>
    <row r="247" spans="2:45">
      <c r="B247" s="230">
        <v>43446</v>
      </c>
      <c r="C247" s="1">
        <v>380</v>
      </c>
      <c r="D247" s="1">
        <v>382.54285714285697</v>
      </c>
      <c r="E247" s="1">
        <v>280</v>
      </c>
      <c r="F247" s="215">
        <v>35779.07</v>
      </c>
      <c r="G247" s="215">
        <f t="shared" si="35"/>
        <v>-4.190690471710834E-3</v>
      </c>
      <c r="H247" s="215">
        <f t="shared" si="30"/>
        <v>5.2659294365442477E-4</v>
      </c>
      <c r="I247" s="231">
        <v>107112</v>
      </c>
      <c r="K247" s="230">
        <v>43446</v>
      </c>
      <c r="L247" s="1">
        <v>299.39999999999998</v>
      </c>
      <c r="M247" s="1">
        <v>303.25913235489998</v>
      </c>
      <c r="N247" s="1">
        <v>105066</v>
      </c>
      <c r="O247" s="1">
        <v>35779.07</v>
      </c>
      <c r="P247" s="215">
        <f t="shared" si="36"/>
        <v>-4.190690471710834E-3</v>
      </c>
      <c r="Q247" s="215">
        <f t="shared" si="31"/>
        <v>4.1029207232266884E-2</v>
      </c>
      <c r="R247" s="231">
        <v>31862224</v>
      </c>
      <c r="T247" s="230">
        <v>43446</v>
      </c>
      <c r="U247" s="1">
        <v>81.95</v>
      </c>
      <c r="V247" s="1">
        <v>80.763716636059399</v>
      </c>
      <c r="W247" s="1">
        <v>159004</v>
      </c>
      <c r="X247" s="1">
        <v>35779.07</v>
      </c>
      <c r="Y247" s="215">
        <f t="shared" si="37"/>
        <v>-4.190690471710834E-3</v>
      </c>
      <c r="Z247" s="215">
        <f t="shared" si="32"/>
        <v>-1.2055455093429757E-2</v>
      </c>
      <c r="AA247" s="231">
        <v>12841754</v>
      </c>
      <c r="AC247" s="230">
        <v>43446</v>
      </c>
      <c r="AD247" s="1">
        <v>55.9</v>
      </c>
      <c r="AE247" s="1">
        <v>55.76</v>
      </c>
      <c r="AF247" s="1">
        <v>1025</v>
      </c>
      <c r="AG247" s="1">
        <v>35779.07</v>
      </c>
      <c r="AH247" s="215">
        <f t="shared" si="38"/>
        <v>-4.190690471710834E-3</v>
      </c>
      <c r="AI247" s="215">
        <f t="shared" si="33"/>
        <v>0</v>
      </c>
      <c r="AJ247" s="231">
        <v>57154</v>
      </c>
      <c r="AL247" s="230">
        <v>44714</v>
      </c>
      <c r="AM247" s="1">
        <v>308.35000000000002</v>
      </c>
      <c r="AN247" s="1">
        <v>309.51266149870798</v>
      </c>
      <c r="AO247" s="1">
        <v>3870</v>
      </c>
      <c r="AP247" s="1">
        <v>55818.11</v>
      </c>
      <c r="AQ247" s="215">
        <f t="shared" si="39"/>
        <v>8.7646897760640385E-4</v>
      </c>
      <c r="AR247" s="215">
        <f t="shared" si="34"/>
        <v>3.2536196518626603E-3</v>
      </c>
      <c r="AS247" s="231">
        <v>1197814</v>
      </c>
    </row>
    <row r="248" spans="2:45">
      <c r="B248" s="230">
        <v>43447</v>
      </c>
      <c r="C248" s="1">
        <v>379.8</v>
      </c>
      <c r="D248" s="1">
        <v>379.99384164222801</v>
      </c>
      <c r="E248" s="1">
        <v>3410</v>
      </c>
      <c r="F248" s="215">
        <v>35929.64</v>
      </c>
      <c r="G248" s="215">
        <f t="shared" si="35"/>
        <v>-9.2567541076327142E-4</v>
      </c>
      <c r="H248" s="215">
        <f t="shared" si="30"/>
        <v>9.1669988043043826E-3</v>
      </c>
      <c r="I248" s="231">
        <v>1295779</v>
      </c>
      <c r="K248" s="230">
        <v>43447</v>
      </c>
      <c r="L248" s="1">
        <v>287.60000000000002</v>
      </c>
      <c r="M248" s="1">
        <v>291.52100326996998</v>
      </c>
      <c r="N248" s="1">
        <v>27829</v>
      </c>
      <c r="O248" s="1">
        <v>35929.64</v>
      </c>
      <c r="P248" s="215">
        <f t="shared" si="36"/>
        <v>-9.2567541076327142E-4</v>
      </c>
      <c r="Q248" s="215">
        <f t="shared" si="31"/>
        <v>7.3555166374781322E-3</v>
      </c>
      <c r="R248" s="231">
        <v>8112738</v>
      </c>
      <c r="T248" s="230">
        <v>43447</v>
      </c>
      <c r="U248" s="1">
        <v>82.95</v>
      </c>
      <c r="V248" s="1">
        <v>84.004552394690705</v>
      </c>
      <c r="W248" s="1">
        <v>106757</v>
      </c>
      <c r="X248" s="1">
        <v>35929.64</v>
      </c>
      <c r="Y248" s="215">
        <f t="shared" si="37"/>
        <v>-9.2567541076327142E-4</v>
      </c>
      <c r="Z248" s="215">
        <f t="shared" si="32"/>
        <v>2.9156327543424343E-2</v>
      </c>
      <c r="AA248" s="231">
        <v>8968074</v>
      </c>
      <c r="AC248" s="230">
        <v>43447</v>
      </c>
      <c r="AD248" s="1">
        <v>55.9</v>
      </c>
      <c r="AE248" s="1">
        <v>55.869682646860198</v>
      </c>
      <c r="AF248" s="1">
        <v>1481</v>
      </c>
      <c r="AG248" s="1">
        <v>35929.64</v>
      </c>
      <c r="AH248" s="215">
        <f t="shared" si="38"/>
        <v>-9.2567541076327142E-4</v>
      </c>
      <c r="AI248" s="215">
        <f t="shared" si="33"/>
        <v>1.1764705882352899E-2</v>
      </c>
      <c r="AJ248" s="231">
        <v>82743</v>
      </c>
      <c r="AL248" s="230">
        <v>44715</v>
      </c>
      <c r="AM248" s="1">
        <v>307.35000000000002</v>
      </c>
      <c r="AN248" s="1">
        <v>307.954130975407</v>
      </c>
      <c r="AO248" s="1">
        <v>3619</v>
      </c>
      <c r="AP248" s="1">
        <v>55769.23</v>
      </c>
      <c r="AQ248" s="215">
        <f t="shared" si="39"/>
        <v>1.6867437852177147E-3</v>
      </c>
      <c r="AR248" s="215">
        <f t="shared" si="34"/>
        <v>1.0355029585799036E-2</v>
      </c>
      <c r="AS248" s="231">
        <v>1114486</v>
      </c>
    </row>
    <row r="249" spans="2:45">
      <c r="B249" s="230">
        <v>43448</v>
      </c>
      <c r="C249" s="1">
        <v>376.35</v>
      </c>
      <c r="D249" s="1">
        <v>377.371722846441</v>
      </c>
      <c r="E249" s="1">
        <v>2136</v>
      </c>
      <c r="F249" s="215">
        <v>35962.93</v>
      </c>
      <c r="G249" s="215">
        <f t="shared" si="35"/>
        <v>-8.4681391571618247E-3</v>
      </c>
      <c r="H249" s="215">
        <f t="shared" si="30"/>
        <v>1.9968051118210983E-3</v>
      </c>
      <c r="I249" s="231">
        <v>806066</v>
      </c>
      <c r="K249" s="230">
        <v>43448</v>
      </c>
      <c r="L249" s="1">
        <v>285.5</v>
      </c>
      <c r="M249" s="1">
        <v>291.48644207066502</v>
      </c>
      <c r="N249" s="1">
        <v>12170</v>
      </c>
      <c r="O249" s="1">
        <v>35962.93</v>
      </c>
      <c r="P249" s="215">
        <f t="shared" si="36"/>
        <v>-8.4681391571618247E-3</v>
      </c>
      <c r="Q249" s="215">
        <f t="shared" si="31"/>
        <v>-1.856308009625296E-2</v>
      </c>
      <c r="R249" s="231">
        <v>3547390</v>
      </c>
      <c r="T249" s="230">
        <v>43448</v>
      </c>
      <c r="U249" s="1">
        <v>80.599999999999994</v>
      </c>
      <c r="V249" s="1">
        <v>81.145879836931002</v>
      </c>
      <c r="W249" s="1">
        <v>149630</v>
      </c>
      <c r="X249" s="1">
        <v>35962.93</v>
      </c>
      <c r="Y249" s="215">
        <f t="shared" si="37"/>
        <v>-8.4681391571618247E-3</v>
      </c>
      <c r="Z249" s="215">
        <f t="shared" si="32"/>
        <v>-2.3030303030303068E-2</v>
      </c>
      <c r="AA249" s="231">
        <v>12141858</v>
      </c>
      <c r="AC249" s="230">
        <v>43448</v>
      </c>
      <c r="AD249" s="1">
        <v>55.25</v>
      </c>
      <c r="AE249" s="1">
        <v>55.401727861771001</v>
      </c>
      <c r="AF249" s="1">
        <v>1852</v>
      </c>
      <c r="AG249" s="1">
        <v>35962.93</v>
      </c>
      <c r="AH249" s="215">
        <f t="shared" si="38"/>
        <v>-8.4681391571618247E-3</v>
      </c>
      <c r="AI249" s="215">
        <f t="shared" si="33"/>
        <v>-2.8144239226033485E-2</v>
      </c>
      <c r="AJ249" s="231">
        <v>102604</v>
      </c>
      <c r="AL249" s="230">
        <v>44718</v>
      </c>
      <c r="AM249" s="1">
        <v>304.2</v>
      </c>
      <c r="AN249" s="1">
        <v>302.96959064327399</v>
      </c>
      <c r="AO249" s="1">
        <v>10260</v>
      </c>
      <c r="AP249" s="1">
        <v>55675.32</v>
      </c>
      <c r="AQ249" s="215">
        <f t="shared" si="39"/>
        <v>1.0306793976991191E-2</v>
      </c>
      <c r="AR249" s="215">
        <f t="shared" si="34"/>
        <v>-2.2493573264781519E-2</v>
      </c>
      <c r="AS249" s="231">
        <v>3108468</v>
      </c>
    </row>
    <row r="250" spans="2:45">
      <c r="B250" s="230">
        <v>43451</v>
      </c>
      <c r="C250" s="1">
        <v>375.6</v>
      </c>
      <c r="D250" s="1">
        <v>375.87682333873499</v>
      </c>
      <c r="E250" s="1">
        <v>6170</v>
      </c>
      <c r="F250" s="215">
        <v>36270.07</v>
      </c>
      <c r="G250" s="215">
        <f t="shared" si="35"/>
        <v>-2.1187396621682453E-3</v>
      </c>
      <c r="H250" s="215">
        <f t="shared" si="30"/>
        <v>5.3276505061283785E-4</v>
      </c>
      <c r="I250" s="231">
        <v>2319160</v>
      </c>
      <c r="K250" s="230">
        <v>43451</v>
      </c>
      <c r="L250" s="1">
        <v>290.89999999999998</v>
      </c>
      <c r="M250" s="1">
        <v>290.319032258064</v>
      </c>
      <c r="N250" s="1">
        <v>3100</v>
      </c>
      <c r="O250" s="1">
        <v>36270.07</v>
      </c>
      <c r="P250" s="215">
        <f t="shared" si="36"/>
        <v>-2.1187396621682453E-3</v>
      </c>
      <c r="Q250" s="215">
        <f t="shared" si="31"/>
        <v>2.447614016552202E-2</v>
      </c>
      <c r="R250" s="231">
        <v>899989</v>
      </c>
      <c r="T250" s="230">
        <v>43451</v>
      </c>
      <c r="U250" s="1">
        <v>82.5</v>
      </c>
      <c r="V250" s="1">
        <v>81.8914815782597</v>
      </c>
      <c r="W250" s="1">
        <v>191350</v>
      </c>
      <c r="X250" s="1">
        <v>36270.07</v>
      </c>
      <c r="Y250" s="215">
        <f t="shared" si="37"/>
        <v>-2.1187396621682453E-3</v>
      </c>
      <c r="Z250" s="215">
        <f t="shared" si="32"/>
        <v>1.6009852216748666E-2</v>
      </c>
      <c r="AA250" s="231">
        <v>15669935</v>
      </c>
      <c r="AC250" s="230">
        <v>43451</v>
      </c>
      <c r="AD250" s="1">
        <v>56.85</v>
      </c>
      <c r="AE250" s="1">
        <v>57.2781962242003</v>
      </c>
      <c r="AF250" s="1">
        <v>10223</v>
      </c>
      <c r="AG250" s="1">
        <v>36270.07</v>
      </c>
      <c r="AH250" s="215">
        <f t="shared" si="38"/>
        <v>-2.1187396621682453E-3</v>
      </c>
      <c r="AI250" s="215">
        <f t="shared" si="33"/>
        <v>-1.7559262510974394E-3</v>
      </c>
      <c r="AJ250" s="231">
        <v>585555</v>
      </c>
      <c r="AL250" s="230">
        <v>44719</v>
      </c>
      <c r="AM250" s="1">
        <v>311.2</v>
      </c>
      <c r="AN250" s="1">
        <v>308.34725736587001</v>
      </c>
      <c r="AO250" s="1">
        <v>23317</v>
      </c>
      <c r="AP250" s="1">
        <v>55107.34</v>
      </c>
      <c r="AQ250" s="215">
        <f t="shared" si="39"/>
        <v>3.9140144671885313E-3</v>
      </c>
      <c r="AR250" s="215">
        <f t="shared" si="34"/>
        <v>-9.3904185898455728E-3</v>
      </c>
      <c r="AS250" s="231">
        <v>7189733</v>
      </c>
    </row>
    <row r="251" spans="2:45">
      <c r="B251" s="230">
        <v>43452</v>
      </c>
      <c r="C251" s="1">
        <v>375.4</v>
      </c>
      <c r="D251" s="1">
        <v>376.56141584622497</v>
      </c>
      <c r="E251" s="1">
        <v>4266</v>
      </c>
      <c r="F251" s="215">
        <v>36347.08</v>
      </c>
      <c r="G251" s="215">
        <f t="shared" si="35"/>
        <v>-3.761889008239927E-3</v>
      </c>
      <c r="H251" s="215">
        <f t="shared" si="30"/>
        <v>6.6640010662410987E-4</v>
      </c>
      <c r="I251" s="231">
        <v>1606411</v>
      </c>
      <c r="K251" s="230">
        <v>43452</v>
      </c>
      <c r="L251" s="1">
        <v>283.95</v>
      </c>
      <c r="M251" s="1">
        <v>285.11090573012899</v>
      </c>
      <c r="N251" s="1">
        <v>2164</v>
      </c>
      <c r="O251" s="1">
        <v>36347.08</v>
      </c>
      <c r="P251" s="215">
        <f t="shared" si="36"/>
        <v>-3.761889008239927E-3</v>
      </c>
      <c r="Q251" s="215">
        <f t="shared" si="31"/>
        <v>-1.3548723293382081E-2</v>
      </c>
      <c r="R251" s="231">
        <v>616980</v>
      </c>
      <c r="T251" s="230">
        <v>43452</v>
      </c>
      <c r="U251" s="1">
        <v>81.2</v>
      </c>
      <c r="V251" s="1">
        <v>81.338177898375605</v>
      </c>
      <c r="W251" s="1">
        <v>107612</v>
      </c>
      <c r="X251" s="1">
        <v>36347.08</v>
      </c>
      <c r="Y251" s="215">
        <f t="shared" si="37"/>
        <v>-3.761889008239927E-3</v>
      </c>
      <c r="Z251" s="215">
        <f t="shared" si="32"/>
        <v>-4.0756054341405834E-2</v>
      </c>
      <c r="AA251" s="231">
        <v>8752964</v>
      </c>
      <c r="AC251" s="230">
        <v>43452</v>
      </c>
      <c r="AD251" s="1">
        <v>56.95</v>
      </c>
      <c r="AE251" s="1">
        <v>56.949211908931602</v>
      </c>
      <c r="AF251" s="1">
        <v>2284</v>
      </c>
      <c r="AG251" s="1">
        <v>36347.08</v>
      </c>
      <c r="AH251" s="215">
        <f t="shared" si="38"/>
        <v>-3.761889008239927E-3</v>
      </c>
      <c r="AI251" s="215">
        <f t="shared" si="33"/>
        <v>-7.8397212543552808E-3</v>
      </c>
      <c r="AJ251" s="231">
        <v>130072</v>
      </c>
      <c r="AL251" s="230">
        <v>44720</v>
      </c>
      <c r="AM251" s="1">
        <v>314.14999999999998</v>
      </c>
      <c r="AN251" s="1">
        <v>313.62069831700501</v>
      </c>
      <c r="AO251" s="1">
        <v>11943</v>
      </c>
      <c r="AP251" s="1">
        <v>54892.49</v>
      </c>
      <c r="AQ251" s="215">
        <f t="shared" si="39"/>
        <v>-7.7329688136068553E-3</v>
      </c>
      <c r="AR251" s="215">
        <f t="shared" si="34"/>
        <v>-2.3620823620823739E-2</v>
      </c>
      <c r="AS251" s="231">
        <v>3745572</v>
      </c>
    </row>
    <row r="252" spans="2:45">
      <c r="B252" s="230">
        <v>43453</v>
      </c>
      <c r="C252" s="1">
        <v>375.15</v>
      </c>
      <c r="D252" s="1">
        <v>374.89311408016403</v>
      </c>
      <c r="E252" s="1">
        <v>1946</v>
      </c>
      <c r="F252" s="215">
        <v>36484.33</v>
      </c>
      <c r="G252" s="215">
        <f t="shared" si="35"/>
        <v>1.4454456795420789E-3</v>
      </c>
      <c r="H252" s="215">
        <f t="shared" si="30"/>
        <v>-1.4189988175009938E-2</v>
      </c>
      <c r="I252" s="231">
        <v>729542</v>
      </c>
      <c r="K252" s="230">
        <v>43453</v>
      </c>
      <c r="L252" s="1">
        <v>287.85000000000002</v>
      </c>
      <c r="M252" s="1">
        <v>290.05337864853999</v>
      </c>
      <c r="N252" s="1">
        <v>5002</v>
      </c>
      <c r="O252" s="1">
        <v>36484.33</v>
      </c>
      <c r="P252" s="215">
        <f t="shared" si="36"/>
        <v>1.4454456795420789E-3</v>
      </c>
      <c r="Q252" s="215">
        <f t="shared" si="31"/>
        <v>-7.0714039323903632E-3</v>
      </c>
      <c r="R252" s="231">
        <v>1450847</v>
      </c>
      <c r="T252" s="230">
        <v>43453</v>
      </c>
      <c r="U252" s="1">
        <v>84.65</v>
      </c>
      <c r="V252" s="1">
        <v>85.140464831804195</v>
      </c>
      <c r="W252" s="1">
        <v>163500</v>
      </c>
      <c r="X252" s="1">
        <v>36484.33</v>
      </c>
      <c r="Y252" s="215">
        <f t="shared" si="37"/>
        <v>1.4454456795420789E-3</v>
      </c>
      <c r="Z252" s="215">
        <f t="shared" si="32"/>
        <v>-1.1799410029498247E-3</v>
      </c>
      <c r="AA252" s="231">
        <v>13920466</v>
      </c>
      <c r="AC252" s="230">
        <v>43453</v>
      </c>
      <c r="AD252" s="1">
        <v>57.4</v>
      </c>
      <c r="AE252" s="1">
        <v>57.165583008235799</v>
      </c>
      <c r="AF252" s="1">
        <v>4614</v>
      </c>
      <c r="AG252" s="1">
        <v>36484.33</v>
      </c>
      <c r="AH252" s="215">
        <f t="shared" si="38"/>
        <v>1.4454456795420789E-3</v>
      </c>
      <c r="AI252" s="215">
        <f t="shared" si="33"/>
        <v>-2.7942421676545259E-2</v>
      </c>
      <c r="AJ252" s="231">
        <v>263762</v>
      </c>
      <c r="AL252" s="230">
        <v>44721</v>
      </c>
      <c r="AM252" s="1">
        <v>321.75</v>
      </c>
      <c r="AN252" s="1">
        <v>319.43840406930502</v>
      </c>
      <c r="AO252" s="1">
        <v>6291</v>
      </c>
      <c r="AP252" s="1">
        <v>55320.28</v>
      </c>
      <c r="AQ252" s="215">
        <f t="shared" si="39"/>
        <v>1.8725148904010336E-2</v>
      </c>
      <c r="AR252" s="215">
        <f t="shared" si="34"/>
        <v>-1.3339466421343205E-2</v>
      </c>
      <c r="AS252" s="231">
        <v>2009587</v>
      </c>
    </row>
    <row r="253" spans="2:45">
      <c r="B253" s="230">
        <v>43454</v>
      </c>
      <c r="C253" s="1">
        <v>380.55</v>
      </c>
      <c r="D253" s="1">
        <v>380.19914953933301</v>
      </c>
      <c r="E253" s="1">
        <v>1411</v>
      </c>
      <c r="F253" s="215">
        <v>36431.67</v>
      </c>
      <c r="G253" s="215">
        <f t="shared" si="35"/>
        <v>1.9293790202973726E-2</v>
      </c>
      <c r="H253" s="215">
        <f t="shared" si="30"/>
        <v>-3.0128373067853653E-3</v>
      </c>
      <c r="I253" s="231">
        <v>536461</v>
      </c>
      <c r="K253" s="230">
        <v>43454</v>
      </c>
      <c r="L253" s="1">
        <v>289.89999999999998</v>
      </c>
      <c r="M253" s="1">
        <v>289.04583889630601</v>
      </c>
      <c r="N253" s="1">
        <v>6741</v>
      </c>
      <c r="O253" s="1">
        <v>36431.67</v>
      </c>
      <c r="P253" s="215">
        <f t="shared" si="36"/>
        <v>1.9293790202973726E-2</v>
      </c>
      <c r="Q253" s="215">
        <f t="shared" si="31"/>
        <v>1.5411558669001568E-2</v>
      </c>
      <c r="R253" s="231">
        <v>1948458</v>
      </c>
      <c r="T253" s="230">
        <v>43454</v>
      </c>
      <c r="U253" s="1">
        <v>84.75</v>
      </c>
      <c r="V253" s="1">
        <v>84.868801390951504</v>
      </c>
      <c r="W253" s="1">
        <v>110428</v>
      </c>
      <c r="X253" s="1">
        <v>36431.67</v>
      </c>
      <c r="Y253" s="215">
        <f t="shared" si="37"/>
        <v>1.9293790202973726E-2</v>
      </c>
      <c r="Z253" s="215">
        <f t="shared" si="32"/>
        <v>2.108433734939763E-2</v>
      </c>
      <c r="AA253" s="231">
        <v>9371892</v>
      </c>
      <c r="AC253" s="230">
        <v>43454</v>
      </c>
      <c r="AD253" s="1">
        <v>59.05</v>
      </c>
      <c r="AE253" s="1">
        <v>58.596333707444799</v>
      </c>
      <c r="AF253" s="1">
        <v>2673</v>
      </c>
      <c r="AG253" s="1">
        <v>36431.67</v>
      </c>
      <c r="AH253" s="215">
        <f t="shared" si="38"/>
        <v>1.9293790202973726E-2</v>
      </c>
      <c r="AI253" s="215">
        <f t="shared" si="33"/>
        <v>1.9861830742659681E-2</v>
      </c>
      <c r="AJ253" s="231">
        <v>156628</v>
      </c>
      <c r="AL253" s="230">
        <v>44722</v>
      </c>
      <c r="AM253" s="1">
        <v>326.10000000000002</v>
      </c>
      <c r="AN253" s="1">
        <v>322.862006809533</v>
      </c>
      <c r="AO253" s="1">
        <v>4993</v>
      </c>
      <c r="AP253" s="1">
        <v>54303.44</v>
      </c>
      <c r="AQ253" s="215">
        <f t="shared" si="39"/>
        <v>2.7565391973387365E-2</v>
      </c>
      <c r="AR253" s="215">
        <f t="shared" si="34"/>
        <v>4.6869983948635729E-2</v>
      </c>
      <c r="AS253" s="231">
        <v>1612050</v>
      </c>
    </row>
    <row r="254" spans="2:45">
      <c r="B254" s="230">
        <v>43455</v>
      </c>
      <c r="C254" s="1">
        <v>381.7</v>
      </c>
      <c r="D254" s="1">
        <v>378.12390243902399</v>
      </c>
      <c r="E254" s="1">
        <v>3075</v>
      </c>
      <c r="F254" s="215">
        <v>35742.07</v>
      </c>
      <c r="G254" s="215">
        <f t="shared" si="35"/>
        <v>7.6661643663755719E-3</v>
      </c>
      <c r="H254" s="215">
        <f t="shared" si="30"/>
        <v>4.5753424657534181E-2</v>
      </c>
      <c r="I254" s="231">
        <v>1162731</v>
      </c>
      <c r="K254" s="230">
        <v>43455</v>
      </c>
      <c r="L254" s="1">
        <v>285.5</v>
      </c>
      <c r="M254" s="1">
        <v>286.44926804644098</v>
      </c>
      <c r="N254" s="1">
        <v>5943</v>
      </c>
      <c r="O254" s="1">
        <v>35742.07</v>
      </c>
      <c r="P254" s="215">
        <f t="shared" si="36"/>
        <v>7.6661643663755719E-3</v>
      </c>
      <c r="Q254" s="215">
        <f t="shared" si="31"/>
        <v>2.6793742132709797E-2</v>
      </c>
      <c r="R254" s="231">
        <v>1702368</v>
      </c>
      <c r="T254" s="230">
        <v>43455</v>
      </c>
      <c r="U254" s="1">
        <v>83</v>
      </c>
      <c r="V254" s="1">
        <v>83.268584804766704</v>
      </c>
      <c r="W254" s="1">
        <v>183268</v>
      </c>
      <c r="X254" s="1">
        <v>35742.07</v>
      </c>
      <c r="Y254" s="215">
        <f t="shared" si="37"/>
        <v>7.6661643663755719E-3</v>
      </c>
      <c r="Z254" s="215">
        <f t="shared" si="32"/>
        <v>1.8105009052504784E-3</v>
      </c>
      <c r="AA254" s="231">
        <v>15260467</v>
      </c>
      <c r="AC254" s="230">
        <v>43455</v>
      </c>
      <c r="AD254" s="1">
        <v>57.9</v>
      </c>
      <c r="AE254" s="1">
        <v>58.540809405380898</v>
      </c>
      <c r="AF254" s="1">
        <v>4423</v>
      </c>
      <c r="AG254" s="1">
        <v>35742.07</v>
      </c>
      <c r="AH254" s="215">
        <f t="shared" si="38"/>
        <v>7.6661643663755719E-3</v>
      </c>
      <c r="AI254" s="215">
        <f t="shared" si="33"/>
        <v>4.8913043478260754E-2</v>
      </c>
      <c r="AJ254" s="231">
        <v>258926</v>
      </c>
      <c r="AL254" s="230">
        <v>44725</v>
      </c>
      <c r="AM254" s="1">
        <v>311.5</v>
      </c>
      <c r="AN254" s="1">
        <v>315.94686706181199</v>
      </c>
      <c r="AO254" s="1">
        <v>4724</v>
      </c>
      <c r="AP254" s="1">
        <v>52846.7</v>
      </c>
      <c r="AQ254" s="215">
        <f t="shared" si="39"/>
        <v>2.9060471704611679E-3</v>
      </c>
      <c r="AR254" s="215">
        <f t="shared" si="34"/>
        <v>7.275666936135794E-3</v>
      </c>
      <c r="AS254" s="231">
        <v>1492533</v>
      </c>
    </row>
    <row r="255" spans="2:45">
      <c r="B255" s="230">
        <v>43458</v>
      </c>
      <c r="C255" s="1">
        <v>365</v>
      </c>
      <c r="D255" s="1">
        <v>370.03436454849401</v>
      </c>
      <c r="E255" s="1">
        <v>11960</v>
      </c>
      <c r="F255" s="215">
        <v>35470.15</v>
      </c>
      <c r="G255" s="215">
        <f t="shared" si="35"/>
        <v>-5.0432062438253711E-3</v>
      </c>
      <c r="H255" s="215">
        <f t="shared" si="30"/>
        <v>-1.8817204301075252E-2</v>
      </c>
      <c r="I255" s="231">
        <v>4425611</v>
      </c>
      <c r="K255" s="230">
        <v>43458</v>
      </c>
      <c r="L255" s="1">
        <v>278.05</v>
      </c>
      <c r="M255" s="1">
        <v>280.47458432304001</v>
      </c>
      <c r="N255" s="1">
        <v>2105</v>
      </c>
      <c r="O255" s="1">
        <v>35470.15</v>
      </c>
      <c r="P255" s="215">
        <f t="shared" si="36"/>
        <v>-5.0432062438253711E-3</v>
      </c>
      <c r="Q255" s="215">
        <f t="shared" si="31"/>
        <v>3.3643122676579873E-2</v>
      </c>
      <c r="R255" s="231">
        <v>590399</v>
      </c>
      <c r="T255" s="230">
        <v>43458</v>
      </c>
      <c r="U255" s="1">
        <v>82.85</v>
      </c>
      <c r="V255" s="1">
        <v>83.514703556350398</v>
      </c>
      <c r="W255" s="1">
        <v>82191</v>
      </c>
      <c r="X255" s="1">
        <v>35470.15</v>
      </c>
      <c r="Y255" s="215">
        <f t="shared" si="37"/>
        <v>-5.0432062438253711E-3</v>
      </c>
      <c r="Z255" s="215">
        <f t="shared" si="32"/>
        <v>2.1578298397040729E-2</v>
      </c>
      <c r="AA255" s="231">
        <v>6864157</v>
      </c>
      <c r="AC255" s="230">
        <v>43458</v>
      </c>
      <c r="AD255" s="1">
        <v>55.2</v>
      </c>
      <c r="AE255" s="1">
        <v>55.461239233120303</v>
      </c>
      <c r="AF255" s="1">
        <v>3599</v>
      </c>
      <c r="AG255" s="1">
        <v>35470.15</v>
      </c>
      <c r="AH255" s="215">
        <f t="shared" si="38"/>
        <v>-5.0432062438253711E-3</v>
      </c>
      <c r="AI255" s="215">
        <f t="shared" si="33"/>
        <v>-3.6649214659685736E-2</v>
      </c>
      <c r="AJ255" s="231">
        <v>199605</v>
      </c>
      <c r="AL255" s="230">
        <v>44726</v>
      </c>
      <c r="AM255" s="1">
        <v>309.25</v>
      </c>
      <c r="AN255" s="1">
        <v>312.254048218783</v>
      </c>
      <c r="AO255" s="1">
        <v>13895</v>
      </c>
      <c r="AP255" s="1">
        <v>52693.57</v>
      </c>
      <c r="AQ255" s="215">
        <f t="shared" si="39"/>
        <v>2.8963832133104273E-3</v>
      </c>
      <c r="AR255" s="215">
        <f t="shared" si="34"/>
        <v>-3.6003740648379079E-2</v>
      </c>
      <c r="AS255" s="231">
        <v>4338770</v>
      </c>
    </row>
    <row r="256" spans="2:45">
      <c r="B256" s="230">
        <v>43460</v>
      </c>
      <c r="C256" s="1">
        <v>372</v>
      </c>
      <c r="D256" s="1">
        <v>373.017857142857</v>
      </c>
      <c r="E256" s="1">
        <v>224</v>
      </c>
      <c r="F256" s="215">
        <v>35649.94</v>
      </c>
      <c r="G256" s="215">
        <f t="shared" si="35"/>
        <v>-4.3940785225796697E-3</v>
      </c>
      <c r="H256" s="215">
        <f t="shared" si="30"/>
        <v>4.1725007000840142E-2</v>
      </c>
      <c r="I256" s="231">
        <v>83556</v>
      </c>
      <c r="K256" s="230">
        <v>43460</v>
      </c>
      <c r="L256" s="1">
        <v>269</v>
      </c>
      <c r="M256" s="1">
        <v>269.81212789415599</v>
      </c>
      <c r="N256" s="1">
        <v>9070</v>
      </c>
      <c r="O256" s="1">
        <v>35649.94</v>
      </c>
      <c r="P256" s="215">
        <f t="shared" si="36"/>
        <v>-4.3940785225796697E-3</v>
      </c>
      <c r="Q256" s="215">
        <f t="shared" si="31"/>
        <v>9.0022505626405902E-3</v>
      </c>
      <c r="R256" s="231">
        <v>2447196</v>
      </c>
      <c r="T256" s="230">
        <v>43460</v>
      </c>
      <c r="U256" s="1">
        <v>81.099999999999994</v>
      </c>
      <c r="V256" s="1">
        <v>80.834446463728597</v>
      </c>
      <c r="W256" s="1">
        <v>132060</v>
      </c>
      <c r="X256" s="1">
        <v>35649.94</v>
      </c>
      <c r="Y256" s="215">
        <f t="shared" si="37"/>
        <v>-4.3940785225796697E-3</v>
      </c>
      <c r="Z256" s="215">
        <f t="shared" si="32"/>
        <v>1.8529956763433386E-3</v>
      </c>
      <c r="AA256" s="231">
        <v>10674997</v>
      </c>
      <c r="AC256" s="230">
        <v>43460</v>
      </c>
      <c r="AD256" s="1">
        <v>57.3</v>
      </c>
      <c r="AE256" s="1">
        <v>55.936170212765902</v>
      </c>
      <c r="AF256" s="1">
        <v>47</v>
      </c>
      <c r="AG256" s="1">
        <v>35649.94</v>
      </c>
      <c r="AH256" s="215">
        <f t="shared" si="38"/>
        <v>-4.3940785225796697E-3</v>
      </c>
      <c r="AI256" s="215">
        <f t="shared" si="33"/>
        <v>5.2631578947368585E-3</v>
      </c>
      <c r="AJ256" s="231">
        <v>2629</v>
      </c>
      <c r="AL256" s="230">
        <v>44727</v>
      </c>
      <c r="AM256" s="1">
        <v>320.8</v>
      </c>
      <c r="AN256" s="1">
        <v>315.42268479184298</v>
      </c>
      <c r="AO256" s="1">
        <v>4708</v>
      </c>
      <c r="AP256" s="1">
        <v>52541.39</v>
      </c>
      <c r="AQ256" s="215">
        <f t="shared" si="39"/>
        <v>2.0304572470875693E-2</v>
      </c>
      <c r="AR256" s="215">
        <f t="shared" si="34"/>
        <v>5.2320813514843412E-2</v>
      </c>
      <c r="AS256" s="231">
        <v>1485010</v>
      </c>
    </row>
    <row r="257" spans="2:45">
      <c r="B257" s="230">
        <v>43461</v>
      </c>
      <c r="C257" s="1">
        <v>357.1</v>
      </c>
      <c r="D257" s="1">
        <v>361.32578641554699</v>
      </c>
      <c r="E257" s="1">
        <v>4991</v>
      </c>
      <c r="F257" s="215">
        <v>35807.279999999999</v>
      </c>
      <c r="G257" s="215">
        <f t="shared" si="35"/>
        <v>-7.468528181054257E-3</v>
      </c>
      <c r="H257" s="215">
        <f t="shared" si="30"/>
        <v>-3.1461893138052477E-2</v>
      </c>
      <c r="I257" s="231">
        <v>1803377</v>
      </c>
      <c r="K257" s="230">
        <v>43461</v>
      </c>
      <c r="L257" s="1">
        <v>266.60000000000002</v>
      </c>
      <c r="M257" s="1">
        <v>272.24263038548702</v>
      </c>
      <c r="N257" s="1">
        <v>2646</v>
      </c>
      <c r="O257" s="1">
        <v>35807.279999999999</v>
      </c>
      <c r="P257" s="215">
        <f t="shared" si="36"/>
        <v>-7.468528181054257E-3</v>
      </c>
      <c r="Q257" s="215">
        <f t="shared" si="31"/>
        <v>2.9741212823484187E-2</v>
      </c>
      <c r="R257" s="231">
        <v>720354</v>
      </c>
      <c r="T257" s="230">
        <v>43461</v>
      </c>
      <c r="U257" s="1">
        <v>80.95</v>
      </c>
      <c r="V257" s="1">
        <v>82.035629383969706</v>
      </c>
      <c r="W257" s="1">
        <v>102219</v>
      </c>
      <c r="X257" s="1">
        <v>35807.279999999999</v>
      </c>
      <c r="Y257" s="215">
        <f t="shared" si="37"/>
        <v>-7.468528181054257E-3</v>
      </c>
      <c r="Z257" s="215">
        <f t="shared" si="32"/>
        <v>0</v>
      </c>
      <c r="AA257" s="231">
        <v>8385600</v>
      </c>
      <c r="AC257" s="230">
        <v>43461</v>
      </c>
      <c r="AD257" s="1">
        <v>57</v>
      </c>
      <c r="AE257" s="1">
        <v>56.388910891089097</v>
      </c>
      <c r="AF257" s="1">
        <v>2525</v>
      </c>
      <c r="AG257" s="1">
        <v>35807.279999999999</v>
      </c>
      <c r="AH257" s="215">
        <f t="shared" si="38"/>
        <v>-7.468528181054257E-3</v>
      </c>
      <c r="AI257" s="215">
        <f t="shared" si="33"/>
        <v>8.8495575221239076E-3</v>
      </c>
      <c r="AJ257" s="231">
        <v>142382</v>
      </c>
      <c r="AL257" s="230">
        <v>44728</v>
      </c>
      <c r="AM257" s="1">
        <v>304.85000000000002</v>
      </c>
      <c r="AN257" s="1">
        <v>312.71611839459501</v>
      </c>
      <c r="AO257" s="1">
        <v>24866</v>
      </c>
      <c r="AP257" s="1">
        <v>51495.79</v>
      </c>
      <c r="AQ257" s="215">
        <f t="shared" si="39"/>
        <v>2.6356871692250206E-3</v>
      </c>
      <c r="AR257" s="215">
        <f t="shared" si="34"/>
        <v>1.4475873544093298E-2</v>
      </c>
      <c r="AS257" s="231">
        <v>7775999</v>
      </c>
    </row>
    <row r="258" spans="2:45">
      <c r="B258" s="230">
        <v>43462</v>
      </c>
      <c r="C258" s="1">
        <v>368.7</v>
      </c>
      <c r="D258" s="1">
        <v>368.611932938856</v>
      </c>
      <c r="E258" s="1">
        <v>2028</v>
      </c>
      <c r="F258" s="215">
        <v>36076.720000000001</v>
      </c>
      <c r="G258" s="215">
        <f t="shared" si="35"/>
        <v>2.3261404118235518E-4</v>
      </c>
      <c r="H258" s="215">
        <f t="shared" si="30"/>
        <v>3.9616523332863363E-2</v>
      </c>
      <c r="I258" s="231">
        <v>747545</v>
      </c>
      <c r="K258" s="230">
        <v>43462</v>
      </c>
      <c r="L258" s="1">
        <v>258.89999999999998</v>
      </c>
      <c r="M258" s="1">
        <v>261.61210353627399</v>
      </c>
      <c r="N258" s="1">
        <v>13715</v>
      </c>
      <c r="O258" s="1">
        <v>36076.720000000001</v>
      </c>
      <c r="P258" s="215">
        <f t="shared" si="36"/>
        <v>2.3261404118235518E-4</v>
      </c>
      <c r="Q258" s="215">
        <f t="shared" si="31"/>
        <v>-0.12237288135593227</v>
      </c>
      <c r="R258" s="231">
        <v>3588010</v>
      </c>
      <c r="T258" s="230">
        <v>43462</v>
      </c>
      <c r="U258" s="1">
        <v>80.95</v>
      </c>
      <c r="V258" s="1">
        <v>81.564889534380399</v>
      </c>
      <c r="W258" s="1">
        <v>103969</v>
      </c>
      <c r="X258" s="1">
        <v>36076.720000000001</v>
      </c>
      <c r="Y258" s="215">
        <f t="shared" si="37"/>
        <v>2.3261404118235518E-4</v>
      </c>
      <c r="Z258" s="215">
        <f t="shared" si="32"/>
        <v>-3.5160905840286083E-2</v>
      </c>
      <c r="AA258" s="231">
        <v>8480220</v>
      </c>
      <c r="AC258" s="230">
        <v>43462</v>
      </c>
      <c r="AD258" s="1">
        <v>56.5</v>
      </c>
      <c r="AE258" s="1">
        <v>56.6530089628681</v>
      </c>
      <c r="AF258" s="1">
        <v>781</v>
      </c>
      <c r="AG258" s="1">
        <v>36076.720000000001</v>
      </c>
      <c r="AH258" s="215">
        <f t="shared" si="38"/>
        <v>2.3261404118235518E-4</v>
      </c>
      <c r="AI258" s="215">
        <f t="shared" si="33"/>
        <v>1.7730496453900457E-3</v>
      </c>
      <c r="AJ258" s="231">
        <v>44246</v>
      </c>
      <c r="AL258" s="230">
        <v>44729</v>
      </c>
      <c r="AM258" s="1">
        <v>300.5</v>
      </c>
      <c r="AN258" s="1">
        <v>301.21049748973002</v>
      </c>
      <c r="AO258" s="1">
        <v>10955</v>
      </c>
      <c r="AP258" s="1">
        <v>51360.42</v>
      </c>
      <c r="AQ258" s="215">
        <f t="shared" si="39"/>
        <v>-4.6013554055750472E-3</v>
      </c>
      <c r="AR258" s="215">
        <f t="shared" si="34"/>
        <v>7.9576073289024496E-2</v>
      </c>
      <c r="AS258" s="231">
        <v>3299761</v>
      </c>
    </row>
    <row r="259" spans="2:45">
      <c r="B259" s="230">
        <v>43465</v>
      </c>
      <c r="C259" s="1">
        <v>354.65</v>
      </c>
      <c r="D259" s="1">
        <v>355.80125284738</v>
      </c>
      <c r="E259" s="1">
        <v>10536</v>
      </c>
      <c r="F259" s="215">
        <v>36068.33</v>
      </c>
      <c r="G259" s="215">
        <f t="shared" si="35"/>
        <v>-5.1370075551854244E-3</v>
      </c>
      <c r="H259" s="215">
        <f t="shared" si="30"/>
        <v>-2.0303867403315023E-2</v>
      </c>
      <c r="I259" s="231">
        <v>3748722</v>
      </c>
      <c r="K259" s="230">
        <v>43465</v>
      </c>
      <c r="L259" s="1">
        <v>295</v>
      </c>
      <c r="M259" s="1">
        <v>288.43249992655001</v>
      </c>
      <c r="N259" s="1">
        <v>34037</v>
      </c>
      <c r="O259" s="1">
        <v>36068.33</v>
      </c>
      <c r="P259" s="215">
        <f t="shared" si="36"/>
        <v>-5.1370075551854244E-3</v>
      </c>
      <c r="Q259" s="215">
        <f t="shared" si="31"/>
        <v>2.4661340743313831E-2</v>
      </c>
      <c r="R259" s="231">
        <v>9817377</v>
      </c>
      <c r="T259" s="230">
        <v>43465</v>
      </c>
      <c r="U259" s="1">
        <v>83.9</v>
      </c>
      <c r="V259" s="1">
        <v>83.349244263450501</v>
      </c>
      <c r="W259" s="1">
        <v>153228</v>
      </c>
      <c r="X259" s="1">
        <v>36068.33</v>
      </c>
      <c r="Y259" s="215">
        <f t="shared" si="37"/>
        <v>-5.1370075551854244E-3</v>
      </c>
      <c r="Z259" s="215">
        <f t="shared" si="32"/>
        <v>1.9441069258809396E-2</v>
      </c>
      <c r="AA259" s="231">
        <v>12771438</v>
      </c>
      <c r="AC259" s="230">
        <v>43465</v>
      </c>
      <c r="AD259" s="1">
        <v>56.4</v>
      </c>
      <c r="AE259" s="1">
        <v>56.540983606557297</v>
      </c>
      <c r="AF259" s="1">
        <v>976</v>
      </c>
      <c r="AG259" s="1">
        <v>36068.33</v>
      </c>
      <c r="AH259" s="215">
        <f t="shared" si="38"/>
        <v>-5.1370075551854244E-3</v>
      </c>
      <c r="AI259" s="215">
        <f t="shared" si="33"/>
        <v>-2.1682567215958404E-2</v>
      </c>
      <c r="AJ259" s="231">
        <v>55184</v>
      </c>
      <c r="AL259" s="230">
        <v>44732</v>
      </c>
      <c r="AM259" s="1">
        <v>278.35000000000002</v>
      </c>
      <c r="AN259" s="1">
        <v>284.12639383387398</v>
      </c>
      <c r="AO259" s="1">
        <v>51118</v>
      </c>
      <c r="AP259" s="1">
        <v>51597.84</v>
      </c>
      <c r="AQ259" s="215">
        <f t="shared" si="39"/>
        <v>-1.7783993663299413E-2</v>
      </c>
      <c r="AR259" s="215">
        <f t="shared" si="34"/>
        <v>-1.451584351212587E-2</v>
      </c>
      <c r="AS259" s="231">
        <v>14523973</v>
      </c>
    </row>
    <row r="260" spans="2:45">
      <c r="B260" s="230">
        <v>43466</v>
      </c>
      <c r="C260" s="1">
        <v>362</v>
      </c>
      <c r="D260" s="1">
        <v>359.62782727895802</v>
      </c>
      <c r="E260" s="1">
        <v>1459</v>
      </c>
      <c r="F260" s="215">
        <v>36254.57</v>
      </c>
      <c r="G260" s="215">
        <f t="shared" si="35"/>
        <v>1.0115202699690684E-2</v>
      </c>
      <c r="H260" s="215">
        <f t="shared" si="30"/>
        <v>3.3547466095646072E-2</v>
      </c>
      <c r="I260" s="231">
        <v>524697</v>
      </c>
      <c r="K260" s="230">
        <v>43466</v>
      </c>
      <c r="L260" s="1">
        <v>287.89999999999998</v>
      </c>
      <c r="M260" s="1">
        <v>289.39251328021197</v>
      </c>
      <c r="N260" s="1">
        <v>12048</v>
      </c>
      <c r="O260" s="1">
        <v>36254.57</v>
      </c>
      <c r="P260" s="215">
        <f t="shared" si="36"/>
        <v>1.0115202699690684E-2</v>
      </c>
      <c r="Q260" s="215">
        <f t="shared" si="31"/>
        <v>3.6543654365436495E-2</v>
      </c>
      <c r="R260" s="231">
        <v>3486601</v>
      </c>
      <c r="T260" s="230">
        <v>43466</v>
      </c>
      <c r="U260" s="1">
        <v>82.3</v>
      </c>
      <c r="V260" s="1">
        <v>83.156788272530406</v>
      </c>
      <c r="W260" s="1">
        <v>60030</v>
      </c>
      <c r="X260" s="1">
        <v>36254.57</v>
      </c>
      <c r="Y260" s="215">
        <f t="shared" si="37"/>
        <v>1.0115202699690684E-2</v>
      </c>
      <c r="Z260" s="215">
        <f t="shared" si="32"/>
        <v>3.0037546933666892E-2</v>
      </c>
      <c r="AA260" s="231">
        <v>4991902</v>
      </c>
      <c r="AC260" s="230">
        <v>43466</v>
      </c>
      <c r="AD260" s="1">
        <v>57.65</v>
      </c>
      <c r="AE260" s="1">
        <v>57.326430326430298</v>
      </c>
      <c r="AF260" s="1">
        <v>2849</v>
      </c>
      <c r="AG260" s="1">
        <v>36254.57</v>
      </c>
      <c r="AH260" s="215">
        <f t="shared" si="38"/>
        <v>1.0115202699690684E-2</v>
      </c>
      <c r="AI260" s="215">
        <f t="shared" si="33"/>
        <v>4.3554006968640202E-3</v>
      </c>
      <c r="AJ260" s="231">
        <v>163323</v>
      </c>
      <c r="AL260" s="230">
        <v>44733</v>
      </c>
      <c r="AM260" s="1">
        <v>282.45</v>
      </c>
      <c r="AN260" s="1">
        <v>283.26661996943398</v>
      </c>
      <c r="AO260" s="1">
        <v>15704</v>
      </c>
      <c r="AP260" s="1">
        <v>52532.07</v>
      </c>
      <c r="AQ260" s="215">
        <f t="shared" si="39"/>
        <v>1.3691728288834915E-2</v>
      </c>
      <c r="AR260" s="215">
        <f t="shared" si="34"/>
        <v>4.4452347083925314E-3</v>
      </c>
      <c r="AS260" s="231">
        <v>4448419</v>
      </c>
    </row>
    <row r="261" spans="2:45">
      <c r="B261" s="230">
        <v>43467</v>
      </c>
      <c r="C261" s="1">
        <v>350.25</v>
      </c>
      <c r="D261" s="1">
        <v>350.85745705284398</v>
      </c>
      <c r="E261" s="1">
        <v>16823</v>
      </c>
      <c r="F261" s="215">
        <v>35891.519999999997</v>
      </c>
      <c r="G261" s="215">
        <f t="shared" si="35"/>
        <v>1.0638426680850799E-2</v>
      </c>
      <c r="H261" s="215">
        <f t="shared" si="30"/>
        <v>-2.205779701242494E-2</v>
      </c>
      <c r="I261" s="231">
        <v>5902475</v>
      </c>
      <c r="K261" s="230">
        <v>43467</v>
      </c>
      <c r="L261" s="1">
        <v>277.75</v>
      </c>
      <c r="M261" s="1">
        <v>280.98222646918202</v>
      </c>
      <c r="N261" s="1">
        <v>10465</v>
      </c>
      <c r="O261" s="1">
        <v>35891.519999999997</v>
      </c>
      <c r="P261" s="215">
        <f t="shared" si="36"/>
        <v>1.0638426680850799E-2</v>
      </c>
      <c r="Q261" s="215">
        <f t="shared" si="31"/>
        <v>2.4907749077490715E-2</v>
      </c>
      <c r="R261" s="231">
        <v>2940479</v>
      </c>
      <c r="T261" s="230">
        <v>43467</v>
      </c>
      <c r="U261" s="1">
        <v>79.900000000000006</v>
      </c>
      <c r="V261" s="1">
        <v>80.319532137179095</v>
      </c>
      <c r="W261" s="1">
        <v>132090</v>
      </c>
      <c r="X261" s="1">
        <v>35891.519999999997</v>
      </c>
      <c r="Y261" s="215">
        <f t="shared" si="37"/>
        <v>1.0638426680850799E-2</v>
      </c>
      <c r="Z261" s="215">
        <f t="shared" si="32"/>
        <v>3.0303030303030498E-2</v>
      </c>
      <c r="AA261" s="231">
        <v>10609407</v>
      </c>
      <c r="AC261" s="230">
        <v>43467</v>
      </c>
      <c r="AD261" s="1">
        <v>57.4</v>
      </c>
      <c r="AE261" s="1">
        <v>57.134287925696498</v>
      </c>
      <c r="AF261" s="1">
        <v>2584</v>
      </c>
      <c r="AG261" s="1">
        <v>35891.519999999997</v>
      </c>
      <c r="AH261" s="215">
        <f t="shared" si="38"/>
        <v>1.0638426680850799E-2</v>
      </c>
      <c r="AI261" s="215">
        <f t="shared" si="33"/>
        <v>3.5166816952209023E-2</v>
      </c>
      <c r="AJ261" s="231">
        <v>147635</v>
      </c>
      <c r="AL261" s="230">
        <v>44734</v>
      </c>
      <c r="AM261" s="1">
        <v>281.2</v>
      </c>
      <c r="AN261" s="1">
        <v>281.42547425474203</v>
      </c>
      <c r="AO261" s="1">
        <v>5535</v>
      </c>
      <c r="AP261" s="1">
        <v>51822.53</v>
      </c>
      <c r="AQ261" s="215">
        <f t="shared" si="39"/>
        <v>-8.4795540939645031E-3</v>
      </c>
      <c r="AR261" s="215">
        <f t="shared" si="34"/>
        <v>1.7784101013695874E-4</v>
      </c>
      <c r="AS261" s="231">
        <v>1557690</v>
      </c>
    </row>
    <row r="262" spans="2:45">
      <c r="B262" s="230">
        <v>43468</v>
      </c>
      <c r="C262" s="1">
        <v>358.15</v>
      </c>
      <c r="D262" s="1">
        <v>355.31654343807702</v>
      </c>
      <c r="E262" s="1">
        <v>2164</v>
      </c>
      <c r="F262" s="215">
        <v>35513.71</v>
      </c>
      <c r="G262" s="215">
        <f t="shared" si="35"/>
        <v>-5.0816498623059703E-3</v>
      </c>
      <c r="H262" s="215">
        <f t="shared" si="30"/>
        <v>-2.6369444066875247E-2</v>
      </c>
      <c r="I262" s="231">
        <v>768905</v>
      </c>
      <c r="K262" s="230">
        <v>43468</v>
      </c>
      <c r="L262" s="1">
        <v>271</v>
      </c>
      <c r="M262" s="1">
        <v>274.87065349749599</v>
      </c>
      <c r="N262" s="1">
        <v>7391</v>
      </c>
      <c r="O262" s="1">
        <v>35513.71</v>
      </c>
      <c r="P262" s="215">
        <f t="shared" si="36"/>
        <v>-5.0816498623059703E-3</v>
      </c>
      <c r="Q262" s="215">
        <f t="shared" si="31"/>
        <v>5.5658627087198376E-3</v>
      </c>
      <c r="R262" s="231">
        <v>2031569</v>
      </c>
      <c r="T262" s="230">
        <v>43468</v>
      </c>
      <c r="U262" s="1">
        <v>77.55</v>
      </c>
      <c r="V262" s="1">
        <v>78.187451569999396</v>
      </c>
      <c r="W262" s="1">
        <v>86465</v>
      </c>
      <c r="X262" s="1">
        <v>35513.71</v>
      </c>
      <c r="Y262" s="215">
        <f t="shared" si="37"/>
        <v>-5.0816498623059703E-3</v>
      </c>
      <c r="Z262" s="215">
        <f t="shared" si="32"/>
        <v>-3.7243947858472959E-2</v>
      </c>
      <c r="AA262" s="231">
        <v>6760478</v>
      </c>
      <c r="AC262" s="230">
        <v>43468</v>
      </c>
      <c r="AD262" s="1">
        <v>55.45</v>
      </c>
      <c r="AE262" s="1">
        <v>55.500408385515897</v>
      </c>
      <c r="AF262" s="1">
        <v>3673</v>
      </c>
      <c r="AG262" s="1">
        <v>35513.71</v>
      </c>
      <c r="AH262" s="215">
        <f t="shared" si="38"/>
        <v>-5.0816498623059703E-3</v>
      </c>
      <c r="AI262" s="215">
        <f t="shared" si="33"/>
        <v>8.18181818181829E-3</v>
      </c>
      <c r="AJ262" s="231">
        <v>203853</v>
      </c>
      <c r="AL262" s="230">
        <v>44735</v>
      </c>
      <c r="AM262" s="1">
        <v>281.14999999999998</v>
      </c>
      <c r="AN262" s="1">
        <v>281.83655293527301</v>
      </c>
      <c r="AO262" s="1">
        <v>7972</v>
      </c>
      <c r="AP262" s="1">
        <v>52265.72</v>
      </c>
      <c r="AQ262" s="215">
        <f t="shared" si="39"/>
        <v>-8.7668824028532821E-3</v>
      </c>
      <c r="AR262" s="215">
        <f t="shared" si="34"/>
        <v>-1.7988124345092671E-2</v>
      </c>
      <c r="AS262" s="231">
        <v>2246801</v>
      </c>
    </row>
    <row r="263" spans="2:45">
      <c r="B263" s="230">
        <v>43469</v>
      </c>
      <c r="C263" s="1">
        <v>367.85</v>
      </c>
      <c r="D263" s="1">
        <v>365.22764227642199</v>
      </c>
      <c r="E263" s="1">
        <v>861</v>
      </c>
      <c r="F263" s="215">
        <v>35695.1</v>
      </c>
      <c r="G263" s="215">
        <f t="shared" si="35"/>
        <v>-4.3252247688714274E-3</v>
      </c>
      <c r="H263" s="215">
        <f t="shared" si="30"/>
        <v>5.8713483954526025E-2</v>
      </c>
      <c r="I263" s="231">
        <v>314461</v>
      </c>
      <c r="K263" s="230">
        <v>43469</v>
      </c>
      <c r="L263" s="1">
        <v>269.5</v>
      </c>
      <c r="M263" s="1">
        <v>269.90990593768299</v>
      </c>
      <c r="N263" s="1">
        <v>6804</v>
      </c>
      <c r="O263" s="1">
        <v>35695.1</v>
      </c>
      <c r="P263" s="215">
        <f t="shared" si="36"/>
        <v>-4.3252247688714274E-3</v>
      </c>
      <c r="Q263" s="215">
        <f t="shared" si="31"/>
        <v>3.1578947368421151E-2</v>
      </c>
      <c r="R263" s="231">
        <v>1836467</v>
      </c>
      <c r="T263" s="230">
        <v>43469</v>
      </c>
      <c r="U263" s="1">
        <v>80.55</v>
      </c>
      <c r="V263" s="1">
        <v>78.985419036993605</v>
      </c>
      <c r="W263" s="1">
        <v>90529</v>
      </c>
      <c r="X263" s="1">
        <v>35695.1</v>
      </c>
      <c r="Y263" s="215">
        <f t="shared" si="37"/>
        <v>-4.3252247688714274E-3</v>
      </c>
      <c r="Z263" s="215">
        <f t="shared" si="32"/>
        <v>-4.7872340425531901E-2</v>
      </c>
      <c r="AA263" s="231">
        <v>7150471</v>
      </c>
      <c r="AC263" s="230">
        <v>43469</v>
      </c>
      <c r="AD263" s="1">
        <v>55</v>
      </c>
      <c r="AE263" s="1">
        <v>55.074664167447601</v>
      </c>
      <c r="AF263" s="1">
        <v>3201</v>
      </c>
      <c r="AG263" s="1">
        <v>35695.1</v>
      </c>
      <c r="AH263" s="215">
        <f t="shared" si="38"/>
        <v>-4.3252247688714274E-3</v>
      </c>
      <c r="AI263" s="215">
        <f t="shared" si="33"/>
        <v>-2.3090586145648295E-2</v>
      </c>
      <c r="AJ263" s="231">
        <v>176294</v>
      </c>
      <c r="AL263" s="230">
        <v>44736</v>
      </c>
      <c r="AM263" s="1">
        <v>286.3</v>
      </c>
      <c r="AN263" s="1">
        <v>285.79014143094798</v>
      </c>
      <c r="AO263" s="1">
        <v>4808</v>
      </c>
      <c r="AP263" s="1">
        <v>52727.98</v>
      </c>
      <c r="AQ263" s="215">
        <f t="shared" si="39"/>
        <v>-8.1506690583822428E-3</v>
      </c>
      <c r="AR263" s="215">
        <f t="shared" si="34"/>
        <v>-1.0198789974070865E-2</v>
      </c>
      <c r="AS263" s="231">
        <v>1374079</v>
      </c>
    </row>
    <row r="264" spans="2:45">
      <c r="B264" s="230">
        <v>43472</v>
      </c>
      <c r="C264" s="1">
        <v>347.45</v>
      </c>
      <c r="D264" s="1">
        <v>349.25633832086402</v>
      </c>
      <c r="E264" s="1">
        <v>9624</v>
      </c>
      <c r="F264" s="215">
        <v>35850.160000000003</v>
      </c>
      <c r="G264" s="215">
        <f t="shared" si="35"/>
        <v>-3.6344252358123663E-3</v>
      </c>
      <c r="H264" s="215">
        <f t="shared" si="30"/>
        <v>7.1014492753622704E-3</v>
      </c>
      <c r="I264" s="231">
        <v>3361243</v>
      </c>
      <c r="K264" s="230">
        <v>43472</v>
      </c>
      <c r="L264" s="1">
        <v>261.25</v>
      </c>
      <c r="M264" s="1">
        <v>267.41934389140198</v>
      </c>
      <c r="N264" s="1">
        <v>17680</v>
      </c>
      <c r="O264" s="1">
        <v>35850.160000000003</v>
      </c>
      <c r="P264" s="215">
        <f t="shared" si="36"/>
        <v>-3.6344252358123663E-3</v>
      </c>
      <c r="Q264" s="215">
        <f t="shared" si="31"/>
        <v>6.9377529389091919E-3</v>
      </c>
      <c r="R264" s="231">
        <v>4727974</v>
      </c>
      <c r="T264" s="230">
        <v>43472</v>
      </c>
      <c r="U264" s="1">
        <v>84.6</v>
      </c>
      <c r="V264" s="1">
        <v>84.575290938951298</v>
      </c>
      <c r="W264" s="1">
        <v>113254</v>
      </c>
      <c r="X264" s="1">
        <v>35850.160000000003</v>
      </c>
      <c r="Y264" s="215">
        <f t="shared" si="37"/>
        <v>-3.6344252358123663E-3</v>
      </c>
      <c r="Z264" s="215">
        <f t="shared" si="32"/>
        <v>-2.9816513761467989E-2</v>
      </c>
      <c r="AA264" s="231">
        <v>9578490</v>
      </c>
      <c r="AC264" s="230">
        <v>43472</v>
      </c>
      <c r="AD264" s="1">
        <v>56.3</v>
      </c>
      <c r="AE264" s="1">
        <v>56.346153846153797</v>
      </c>
      <c r="AF264" s="1">
        <v>1664</v>
      </c>
      <c r="AG264" s="1">
        <v>35850.160000000003</v>
      </c>
      <c r="AH264" s="215">
        <f t="shared" si="38"/>
        <v>-3.6344252358123663E-3</v>
      </c>
      <c r="AI264" s="215">
        <f t="shared" si="33"/>
        <v>-9.674582233949014E-3</v>
      </c>
      <c r="AJ264" s="231">
        <v>93760</v>
      </c>
      <c r="AL264" s="230">
        <v>44739</v>
      </c>
      <c r="AM264" s="1">
        <v>289.25</v>
      </c>
      <c r="AN264" s="1">
        <v>289.858839050131</v>
      </c>
      <c r="AO264" s="1">
        <v>3032</v>
      </c>
      <c r="AP264" s="1">
        <v>53161.279999999999</v>
      </c>
      <c r="AQ264" s="215">
        <f t="shared" si="39"/>
        <v>-3.040762578874201E-4</v>
      </c>
      <c r="AR264" s="215">
        <f t="shared" si="34"/>
        <v>-1.728309713100451E-4</v>
      </c>
      <c r="AS264" s="231">
        <v>878852</v>
      </c>
    </row>
    <row r="265" spans="2:45">
      <c r="B265" s="230">
        <v>43473</v>
      </c>
      <c r="C265" s="1">
        <v>345</v>
      </c>
      <c r="D265" s="1">
        <v>346.14068365935498</v>
      </c>
      <c r="E265" s="1">
        <v>5061</v>
      </c>
      <c r="F265" s="215">
        <v>35980.93</v>
      </c>
      <c r="G265" s="215">
        <f t="shared" si="35"/>
        <v>-6.4060027211291226E-3</v>
      </c>
      <c r="H265" s="215">
        <f t="shared" si="30"/>
        <v>4.3497172683770735E-4</v>
      </c>
      <c r="I265" s="231">
        <v>1751818</v>
      </c>
      <c r="K265" s="230">
        <v>43473</v>
      </c>
      <c r="L265" s="1">
        <v>259.45</v>
      </c>
      <c r="M265" s="1">
        <v>264.45927619047598</v>
      </c>
      <c r="N265" s="1">
        <v>13125</v>
      </c>
      <c r="O265" s="1">
        <v>35980.93</v>
      </c>
      <c r="P265" s="215">
        <f t="shared" si="36"/>
        <v>-6.4060027211291226E-3</v>
      </c>
      <c r="Q265" s="215">
        <f t="shared" si="31"/>
        <v>3.3459470225054577E-2</v>
      </c>
      <c r="R265" s="231">
        <v>3471028</v>
      </c>
      <c r="T265" s="230">
        <v>43473</v>
      </c>
      <c r="U265" s="1">
        <v>87.2</v>
      </c>
      <c r="V265" s="1">
        <v>86.128995268443404</v>
      </c>
      <c r="W265" s="1">
        <v>82848</v>
      </c>
      <c r="X265" s="1">
        <v>35980.93</v>
      </c>
      <c r="Y265" s="215">
        <f t="shared" si="37"/>
        <v>-6.4060027211291226E-3</v>
      </c>
      <c r="Z265" s="215">
        <f t="shared" si="32"/>
        <v>-5.062602068590083E-2</v>
      </c>
      <c r="AA265" s="231">
        <v>7135615</v>
      </c>
      <c r="AC265" s="230">
        <v>43473</v>
      </c>
      <c r="AD265" s="1">
        <v>56.85</v>
      </c>
      <c r="AE265" s="1">
        <v>56.422222222222203</v>
      </c>
      <c r="AF265" s="1">
        <v>180</v>
      </c>
      <c r="AG265" s="1">
        <v>35980.93</v>
      </c>
      <c r="AH265" s="215">
        <f t="shared" si="38"/>
        <v>-6.4060027211291226E-3</v>
      </c>
      <c r="AI265" s="215">
        <f t="shared" si="33"/>
        <v>3.551912568306026E-2</v>
      </c>
      <c r="AJ265" s="231">
        <v>10156</v>
      </c>
      <c r="AL265" s="230">
        <v>44740</v>
      </c>
      <c r="AM265" s="1">
        <v>289.3</v>
      </c>
      <c r="AN265" s="1">
        <v>287.26661573720298</v>
      </c>
      <c r="AO265" s="1">
        <v>5236</v>
      </c>
      <c r="AP265" s="1">
        <v>53177.45</v>
      </c>
      <c r="AQ265" s="215">
        <f t="shared" si="39"/>
        <v>2.8378012170031663E-3</v>
      </c>
      <c r="AR265" s="215">
        <f t="shared" si="34"/>
        <v>1.3309982486865213E-2</v>
      </c>
      <c r="AS265" s="231">
        <v>1504128</v>
      </c>
    </row>
    <row r="266" spans="2:45">
      <c r="B266" s="230">
        <v>43474</v>
      </c>
      <c r="C266" s="1">
        <v>344.85</v>
      </c>
      <c r="D266" s="1">
        <v>347.82262160578199</v>
      </c>
      <c r="E266" s="1">
        <v>5119</v>
      </c>
      <c r="F266" s="215">
        <v>36212.910000000003</v>
      </c>
      <c r="G266" s="215">
        <f t="shared" si="35"/>
        <v>2.94711478542653E-3</v>
      </c>
      <c r="H266" s="215">
        <f t="shared" si="30"/>
        <v>1.2626633387167852E-2</v>
      </c>
      <c r="I266" s="231">
        <v>1780504</v>
      </c>
      <c r="K266" s="230">
        <v>43474</v>
      </c>
      <c r="L266" s="1">
        <v>251.05</v>
      </c>
      <c r="M266" s="1">
        <v>255.391800356506</v>
      </c>
      <c r="N266" s="1">
        <v>8415</v>
      </c>
      <c r="O266" s="1">
        <v>36212.910000000003</v>
      </c>
      <c r="P266" s="215">
        <f t="shared" si="36"/>
        <v>2.94711478542653E-3</v>
      </c>
      <c r="Q266" s="215">
        <f t="shared" si="31"/>
        <v>3.1968031968032662E-3</v>
      </c>
      <c r="R266" s="231">
        <v>2149122</v>
      </c>
      <c r="T266" s="230">
        <v>43474</v>
      </c>
      <c r="U266" s="1">
        <v>91.85</v>
      </c>
      <c r="V266" s="1">
        <v>89.870739577970397</v>
      </c>
      <c r="W266" s="1">
        <v>297183</v>
      </c>
      <c r="X266" s="1">
        <v>36212.910000000003</v>
      </c>
      <c r="Y266" s="215">
        <f t="shared" si="37"/>
        <v>2.94711478542653E-3</v>
      </c>
      <c r="Z266" s="215">
        <f t="shared" si="32"/>
        <v>-2.6497085320614788E-2</v>
      </c>
      <c r="AA266" s="231">
        <v>26708056</v>
      </c>
      <c r="AC266" s="230">
        <v>43474</v>
      </c>
      <c r="AD266" s="1">
        <v>54.9</v>
      </c>
      <c r="AE266" s="1">
        <v>55.013218770654298</v>
      </c>
      <c r="AF266" s="1">
        <v>1513</v>
      </c>
      <c r="AG266" s="1">
        <v>36212.910000000003</v>
      </c>
      <c r="AH266" s="215">
        <f t="shared" si="38"/>
        <v>2.94711478542653E-3</v>
      </c>
      <c r="AI266" s="215">
        <f t="shared" si="33"/>
        <v>-1.4362657091562037E-2</v>
      </c>
      <c r="AJ266" s="231">
        <v>83235</v>
      </c>
      <c r="AL266" s="230">
        <v>44741</v>
      </c>
      <c r="AM266" s="1">
        <v>285.5</v>
      </c>
      <c r="AN266" s="1">
        <v>286.80434332988602</v>
      </c>
      <c r="AO266" s="1">
        <v>4835</v>
      </c>
      <c r="AP266" s="1">
        <v>53026.97</v>
      </c>
      <c r="AQ266" s="215">
        <f t="shared" si="39"/>
        <v>1.5145531012117353E-4</v>
      </c>
      <c r="AR266" s="215">
        <f t="shared" si="34"/>
        <v>1.818830242510705E-2</v>
      </c>
      <c r="AS266" s="231">
        <v>1386699</v>
      </c>
    </row>
    <row r="267" spans="2:45">
      <c r="B267" s="230">
        <v>43475</v>
      </c>
      <c r="C267" s="1">
        <v>340.55</v>
      </c>
      <c r="D267" s="1">
        <v>343.45189681335302</v>
      </c>
      <c r="E267" s="1">
        <v>3295</v>
      </c>
      <c r="F267" s="215">
        <v>36106.5</v>
      </c>
      <c r="G267" s="215">
        <f t="shared" si="35"/>
        <v>2.6842663005446354E-3</v>
      </c>
      <c r="H267" s="215">
        <f t="shared" si="30"/>
        <v>-3.0324601366742532E-2</v>
      </c>
      <c r="I267" s="231">
        <v>1131674</v>
      </c>
      <c r="K267" s="230">
        <v>43475</v>
      </c>
      <c r="L267" s="1">
        <v>250.25</v>
      </c>
      <c r="M267" s="1">
        <v>251.14547038327501</v>
      </c>
      <c r="N267" s="1">
        <v>4592</v>
      </c>
      <c r="O267" s="1">
        <v>36106.5</v>
      </c>
      <c r="P267" s="215">
        <f t="shared" si="36"/>
        <v>2.6842663005446354E-3</v>
      </c>
      <c r="Q267" s="215">
        <f t="shared" si="31"/>
        <v>1.4595580782485351E-2</v>
      </c>
      <c r="R267" s="231">
        <v>1153260</v>
      </c>
      <c r="T267" s="230">
        <v>43475</v>
      </c>
      <c r="U267" s="1">
        <v>94.35</v>
      </c>
      <c r="V267" s="1">
        <v>93.524301380483905</v>
      </c>
      <c r="W267" s="1">
        <v>152193</v>
      </c>
      <c r="X267" s="1">
        <v>36106.5</v>
      </c>
      <c r="Y267" s="215">
        <f t="shared" si="37"/>
        <v>2.6842663005446354E-3</v>
      </c>
      <c r="Z267" s="215">
        <f t="shared" si="32"/>
        <v>-3.1811185223191485E-2</v>
      </c>
      <c r="AA267" s="231">
        <v>14233744</v>
      </c>
      <c r="AC267" s="230">
        <v>43475</v>
      </c>
      <c r="AD267" s="1">
        <v>55.7</v>
      </c>
      <c r="AE267" s="1">
        <v>55.327902240325798</v>
      </c>
      <c r="AF267" s="1">
        <v>491</v>
      </c>
      <c r="AG267" s="1">
        <v>36106.5</v>
      </c>
      <c r="AH267" s="215">
        <f t="shared" si="38"/>
        <v>2.6842663005446354E-3</v>
      </c>
      <c r="AI267" s="215">
        <f t="shared" si="33"/>
        <v>-4.4682752457551045E-3</v>
      </c>
      <c r="AJ267" s="231">
        <v>27166</v>
      </c>
      <c r="AL267" s="230">
        <v>44742</v>
      </c>
      <c r="AM267" s="1">
        <v>280.39999999999998</v>
      </c>
      <c r="AN267" s="1">
        <v>282.38365869017599</v>
      </c>
      <c r="AO267" s="1">
        <v>6352</v>
      </c>
      <c r="AP267" s="1">
        <v>53018.94</v>
      </c>
      <c r="AQ267" s="215">
        <f t="shared" si="39"/>
        <v>2.0981731850027163E-3</v>
      </c>
      <c r="AR267" s="215">
        <f t="shared" si="34"/>
        <v>1.300578034682065E-2</v>
      </c>
      <c r="AS267" s="231">
        <v>1793701</v>
      </c>
    </row>
    <row r="268" spans="2:45">
      <c r="B268" s="230">
        <v>43476</v>
      </c>
      <c r="C268" s="1">
        <v>351.2</v>
      </c>
      <c r="D268" s="1">
        <v>348.43517679057101</v>
      </c>
      <c r="E268" s="1">
        <v>1103</v>
      </c>
      <c r="F268" s="215">
        <v>36009.839999999997</v>
      </c>
      <c r="G268" s="215">
        <f t="shared" si="35"/>
        <v>4.3588419113749222E-3</v>
      </c>
      <c r="H268" s="215">
        <f t="shared" si="30"/>
        <v>1.8542290686063279E-3</v>
      </c>
      <c r="I268" s="231">
        <v>384324</v>
      </c>
      <c r="K268" s="230">
        <v>43476</v>
      </c>
      <c r="L268" s="1">
        <v>246.65</v>
      </c>
      <c r="M268" s="1">
        <v>247.83958191320099</v>
      </c>
      <c r="N268" s="1">
        <v>4401</v>
      </c>
      <c r="O268" s="1">
        <v>36009.839999999997</v>
      </c>
      <c r="P268" s="215">
        <f t="shared" si="36"/>
        <v>4.3588419113749222E-3</v>
      </c>
      <c r="Q268" s="215">
        <f t="shared" si="31"/>
        <v>2.2807381297947238E-2</v>
      </c>
      <c r="R268" s="231">
        <v>1090742</v>
      </c>
      <c r="T268" s="230">
        <v>43476</v>
      </c>
      <c r="U268" s="1">
        <v>97.45</v>
      </c>
      <c r="V268" s="1">
        <v>96.244951940988003</v>
      </c>
      <c r="W268" s="1">
        <v>241578</v>
      </c>
      <c r="X268" s="1">
        <v>36009.839999999997</v>
      </c>
      <c r="Y268" s="215">
        <f t="shared" si="37"/>
        <v>4.3588419113749222E-3</v>
      </c>
      <c r="Z268" s="215">
        <f t="shared" si="32"/>
        <v>1.7754569190600478E-2</v>
      </c>
      <c r="AA268" s="231">
        <v>23250663</v>
      </c>
      <c r="AC268" s="230">
        <v>43476</v>
      </c>
      <c r="AD268" s="1">
        <v>55.95</v>
      </c>
      <c r="AE268" s="1">
        <v>55.064462809917302</v>
      </c>
      <c r="AF268" s="1">
        <v>605</v>
      </c>
      <c r="AG268" s="1">
        <v>36009.839999999997</v>
      </c>
      <c r="AH268" s="215">
        <f t="shared" si="38"/>
        <v>4.3588419113749222E-3</v>
      </c>
      <c r="AI268" s="215">
        <f t="shared" si="33"/>
        <v>3.6111111111111205E-2</v>
      </c>
      <c r="AJ268" s="231">
        <v>33314</v>
      </c>
      <c r="AL268" s="230">
        <v>44743</v>
      </c>
      <c r="AM268" s="1">
        <v>276.8</v>
      </c>
      <c r="AN268" s="1">
        <v>277.83396533044402</v>
      </c>
      <c r="AO268" s="1">
        <v>3692</v>
      </c>
      <c r="AP268" s="1">
        <v>52907.93</v>
      </c>
      <c r="AQ268" s="215">
        <f t="shared" si="39"/>
        <v>-6.1395963577939305E-3</v>
      </c>
      <c r="AR268" s="215">
        <f t="shared" si="34"/>
        <v>1.0849909584087492E-3</v>
      </c>
      <c r="AS268" s="231">
        <v>1025763</v>
      </c>
    </row>
    <row r="269" spans="2:45">
      <c r="B269" s="230">
        <v>43479</v>
      </c>
      <c r="C269" s="1">
        <v>350.55</v>
      </c>
      <c r="D269" s="1">
        <v>347.87726244343798</v>
      </c>
      <c r="E269" s="1">
        <v>1768</v>
      </c>
      <c r="F269" s="215">
        <v>35853.56</v>
      </c>
      <c r="G269" s="215">
        <f t="shared" si="35"/>
        <v>-1.2797119250802624E-2</v>
      </c>
      <c r="H269" s="215">
        <f t="shared" si="30"/>
        <v>-2.3809523809523836E-2</v>
      </c>
      <c r="I269" s="231">
        <v>615047</v>
      </c>
      <c r="K269" s="230">
        <v>43479</v>
      </c>
      <c r="L269" s="1">
        <v>241.15</v>
      </c>
      <c r="M269" s="1">
        <v>241.60918440564399</v>
      </c>
      <c r="N269" s="1">
        <v>4181</v>
      </c>
      <c r="O269" s="1">
        <v>35853.56</v>
      </c>
      <c r="P269" s="215">
        <f t="shared" si="36"/>
        <v>-1.2797119250802624E-2</v>
      </c>
      <c r="Q269" s="215">
        <f t="shared" si="31"/>
        <v>-3.0162879549567645E-2</v>
      </c>
      <c r="R269" s="231">
        <v>1010168</v>
      </c>
      <c r="T269" s="230">
        <v>43479</v>
      </c>
      <c r="U269" s="1">
        <v>95.75</v>
      </c>
      <c r="V269" s="1">
        <v>96.972673833503606</v>
      </c>
      <c r="W269" s="1">
        <v>512732</v>
      </c>
      <c r="X269" s="1">
        <v>35853.56</v>
      </c>
      <c r="Y269" s="215">
        <f t="shared" si="37"/>
        <v>-1.2797119250802624E-2</v>
      </c>
      <c r="Z269" s="215">
        <f t="shared" si="32"/>
        <v>-1.0847107438016534E-2</v>
      </c>
      <c r="AA269" s="231">
        <v>49720993</v>
      </c>
      <c r="AC269" s="230">
        <v>43479</v>
      </c>
      <c r="AD269" s="1">
        <v>54</v>
      </c>
      <c r="AE269" s="1">
        <v>54.309266628766302</v>
      </c>
      <c r="AF269" s="1">
        <v>1759</v>
      </c>
      <c r="AG269" s="1">
        <v>35853.56</v>
      </c>
      <c r="AH269" s="215">
        <f t="shared" si="38"/>
        <v>-1.2797119250802624E-2</v>
      </c>
      <c r="AI269" s="215">
        <f t="shared" si="33"/>
        <v>-2.7027027027026973E-2</v>
      </c>
      <c r="AJ269" s="231">
        <v>95530</v>
      </c>
      <c r="AL269" s="230">
        <v>44746</v>
      </c>
      <c r="AM269" s="1">
        <v>276.5</v>
      </c>
      <c r="AN269" s="1">
        <v>277.51308061932701</v>
      </c>
      <c r="AO269" s="1">
        <v>3746</v>
      </c>
      <c r="AP269" s="1">
        <v>53234.77</v>
      </c>
      <c r="AQ269" s="215">
        <f t="shared" si="39"/>
        <v>1.889926196518843E-3</v>
      </c>
      <c r="AR269" s="215">
        <f t="shared" si="34"/>
        <v>-5.2167656053246914E-3</v>
      </c>
      <c r="AS269" s="231">
        <v>1039564</v>
      </c>
    </row>
    <row r="270" spans="2:45">
      <c r="B270" s="230">
        <v>43480</v>
      </c>
      <c r="C270" s="1">
        <v>359.1</v>
      </c>
      <c r="D270" s="1">
        <v>354.72551073860598</v>
      </c>
      <c r="E270" s="1">
        <v>9545</v>
      </c>
      <c r="F270" s="215">
        <v>36318.33</v>
      </c>
      <c r="G270" s="215">
        <f t="shared" si="35"/>
        <v>-8.1494902851697582E-5</v>
      </c>
      <c r="H270" s="215">
        <f t="shared" ref="H270:H333" si="40">IF(ISERROR(C270/C271-1),"NA",C270/C271-1)</f>
        <v>3.5616438356164348E-2</v>
      </c>
      <c r="I270" s="231">
        <v>3385855</v>
      </c>
      <c r="K270" s="230">
        <v>43480</v>
      </c>
      <c r="L270" s="1">
        <v>248.65</v>
      </c>
      <c r="M270" s="1">
        <v>249.99581187390299</v>
      </c>
      <c r="N270" s="1">
        <v>17669</v>
      </c>
      <c r="O270" s="1">
        <v>36318.33</v>
      </c>
      <c r="P270" s="215">
        <f t="shared" si="36"/>
        <v>-8.1494902851697582E-5</v>
      </c>
      <c r="Q270" s="215">
        <f t="shared" ref="Q270:Q333" si="41">IF(ISERROR(L270/L271-1),"NA",L270/L271-1)</f>
        <v>-6.3936063936064214E-3</v>
      </c>
      <c r="R270" s="231">
        <v>4417176</v>
      </c>
      <c r="T270" s="230">
        <v>43480</v>
      </c>
      <c r="U270" s="1">
        <v>96.8</v>
      </c>
      <c r="V270" s="1">
        <v>96.808108558586994</v>
      </c>
      <c r="W270" s="1">
        <v>173989</v>
      </c>
      <c r="X270" s="1">
        <v>36318.33</v>
      </c>
      <c r="Y270" s="215">
        <f t="shared" si="37"/>
        <v>-8.1494902851697582E-5</v>
      </c>
      <c r="Z270" s="215">
        <f t="shared" ref="Z270:Z333" si="42">IF(ISERROR(U270/U271-1),"NA",U270/U271-1)</f>
        <v>6.2370062370060708E-3</v>
      </c>
      <c r="AA270" s="231">
        <v>16843546</v>
      </c>
      <c r="AC270" s="230">
        <v>43480</v>
      </c>
      <c r="AD270" s="1">
        <v>55.5</v>
      </c>
      <c r="AE270" s="1">
        <v>55.352667011910903</v>
      </c>
      <c r="AF270" s="1">
        <v>7724</v>
      </c>
      <c r="AG270" s="1">
        <v>36318.33</v>
      </c>
      <c r="AH270" s="215">
        <f t="shared" si="38"/>
        <v>-8.1494902851697582E-5</v>
      </c>
      <c r="AI270" s="215">
        <f t="shared" ref="AI270:AI333" si="43">IF(ISERROR(AD270/AD271-1),"NA",AD270/AD271-1)</f>
        <v>-1.4209591474245054E-2</v>
      </c>
      <c r="AJ270" s="231">
        <v>427544</v>
      </c>
      <c r="AL270" s="230">
        <v>44747</v>
      </c>
      <c r="AM270" s="1">
        <v>277.95</v>
      </c>
      <c r="AN270" s="1">
        <v>279.89140431552801</v>
      </c>
      <c r="AO270" s="1">
        <v>5654</v>
      </c>
      <c r="AP270" s="1">
        <v>53134.35</v>
      </c>
      <c r="AQ270" s="215">
        <f t="shared" si="39"/>
        <v>-1.1471792974154793E-2</v>
      </c>
      <c r="AR270" s="215">
        <f t="shared" ref="AR270:AR333" si="44">IF(ISERROR(AM270/AM271-1),"NA",AM270/AM271-1)</f>
        <v>9.0025207057986556E-4</v>
      </c>
      <c r="AS270" s="231">
        <v>1582506</v>
      </c>
    </row>
    <row r="271" spans="2:45">
      <c r="B271" s="230">
        <v>43481</v>
      </c>
      <c r="C271" s="1">
        <v>346.75</v>
      </c>
      <c r="D271" s="1">
        <v>348.03056768558901</v>
      </c>
      <c r="E271" s="1">
        <v>2748</v>
      </c>
      <c r="F271" s="215">
        <v>36321.29</v>
      </c>
      <c r="G271" s="215">
        <f t="shared" ref="G271:G334" si="45">IF(ISERROR(F271/F272-1),"NA",F271/F272-1)</f>
        <v>-1.4513081842895126E-3</v>
      </c>
      <c r="H271" s="215">
        <f t="shared" si="40"/>
        <v>-2.0146783709885652E-3</v>
      </c>
      <c r="I271" s="231">
        <v>956388</v>
      </c>
      <c r="K271" s="230">
        <v>43481</v>
      </c>
      <c r="L271" s="1">
        <v>250.25</v>
      </c>
      <c r="M271" s="1">
        <v>253.958344158655</v>
      </c>
      <c r="N271" s="1">
        <v>11547</v>
      </c>
      <c r="O271" s="1">
        <v>36321.29</v>
      </c>
      <c r="P271" s="215">
        <f t="shared" ref="P271:P334" si="46">IF(ISERROR(O271/O272-1),"NA",O271/O272-1)</f>
        <v>-1.4513081842895126E-3</v>
      </c>
      <c r="Q271" s="215">
        <f t="shared" si="41"/>
        <v>3.0060120240480437E-3</v>
      </c>
      <c r="R271" s="231">
        <v>2932457</v>
      </c>
      <c r="T271" s="230">
        <v>43481</v>
      </c>
      <c r="U271" s="1">
        <v>96.2</v>
      </c>
      <c r="V271" s="1">
        <v>96.052464314089505</v>
      </c>
      <c r="W271" s="1">
        <v>112019</v>
      </c>
      <c r="X271" s="1">
        <v>36321.29</v>
      </c>
      <c r="Y271" s="215">
        <f t="shared" ref="Y271:Y334" si="47">IF(ISERROR(X271/X272-1),"NA",X271/X272-1)</f>
        <v>-1.4513081842895126E-3</v>
      </c>
      <c r="Z271" s="215">
        <f t="shared" si="42"/>
        <v>1.476793248945163E-2</v>
      </c>
      <c r="AA271" s="231">
        <v>10759701</v>
      </c>
      <c r="AC271" s="230">
        <v>43481</v>
      </c>
      <c r="AD271" s="1">
        <v>56.3</v>
      </c>
      <c r="AE271" s="1">
        <v>56.448957907641997</v>
      </c>
      <c r="AF271" s="1">
        <v>12235</v>
      </c>
      <c r="AG271" s="1">
        <v>36321.29</v>
      </c>
      <c r="AH271" s="215">
        <f t="shared" ref="AH271:AH334" si="48">IF(ISERROR(AG271/AG272-1),"NA",AG271/AG272-1)</f>
        <v>-1.4513081842895126E-3</v>
      </c>
      <c r="AI271" s="215">
        <f t="shared" si="43"/>
        <v>2.1778584392014411E-2</v>
      </c>
      <c r="AJ271" s="231">
        <v>690653</v>
      </c>
      <c r="AL271" s="230">
        <v>44748</v>
      </c>
      <c r="AM271" s="1">
        <v>277.7</v>
      </c>
      <c r="AN271" s="1">
        <v>276.073236714975</v>
      </c>
      <c r="AO271" s="1">
        <v>5175</v>
      </c>
      <c r="AP271" s="1">
        <v>53750.97</v>
      </c>
      <c r="AQ271" s="215">
        <f t="shared" ref="AQ271:AQ334" si="49">IF(ISERROR(AP271/AP272-1),"NA",AP271/AP272-1)</f>
        <v>-7.8904051536348163E-3</v>
      </c>
      <c r="AR271" s="215">
        <f t="shared" si="44"/>
        <v>-2.4758560140474173E-2</v>
      </c>
      <c r="AS271" s="231">
        <v>1428679</v>
      </c>
    </row>
    <row r="272" spans="2:45">
      <c r="B272" s="230">
        <v>43482</v>
      </c>
      <c r="C272" s="1">
        <v>347.45</v>
      </c>
      <c r="D272" s="1">
        <v>347.79690048939602</v>
      </c>
      <c r="E272" s="1">
        <v>1226</v>
      </c>
      <c r="F272" s="215">
        <v>36374.080000000002</v>
      </c>
      <c r="G272" s="215">
        <f t="shared" si="45"/>
        <v>-3.4435744357608211E-4</v>
      </c>
      <c r="H272" s="215">
        <f t="shared" si="40"/>
        <v>2.2212415416299036E-2</v>
      </c>
      <c r="I272" s="231">
        <v>426399</v>
      </c>
      <c r="K272" s="230">
        <v>43482</v>
      </c>
      <c r="L272" s="1">
        <v>249.5</v>
      </c>
      <c r="M272" s="1">
        <v>251.802379997325</v>
      </c>
      <c r="N272" s="1">
        <v>7479</v>
      </c>
      <c r="O272" s="1">
        <v>36374.080000000002</v>
      </c>
      <c r="P272" s="215">
        <f t="shared" si="46"/>
        <v>-3.4435744357608211E-4</v>
      </c>
      <c r="Q272" s="215">
        <f t="shared" si="41"/>
        <v>2.2122081114297476E-2</v>
      </c>
      <c r="R272" s="231">
        <v>1883230</v>
      </c>
      <c r="T272" s="230">
        <v>43482</v>
      </c>
      <c r="U272" s="1">
        <v>94.8</v>
      </c>
      <c r="V272" s="1">
        <v>95.278503635455394</v>
      </c>
      <c r="W272" s="1">
        <v>90085</v>
      </c>
      <c r="X272" s="1">
        <v>36374.080000000002</v>
      </c>
      <c r="Y272" s="215">
        <f t="shared" si="47"/>
        <v>-3.4435744357608211E-4</v>
      </c>
      <c r="Z272" s="215">
        <f t="shared" si="42"/>
        <v>5.6856187290969862E-2</v>
      </c>
      <c r="AA272" s="231">
        <v>8583164</v>
      </c>
      <c r="AC272" s="230">
        <v>43482</v>
      </c>
      <c r="AD272" s="1">
        <v>55.1</v>
      </c>
      <c r="AE272" s="1">
        <v>55.723118279569803</v>
      </c>
      <c r="AF272" s="1">
        <v>1116</v>
      </c>
      <c r="AG272" s="1">
        <v>36374.080000000002</v>
      </c>
      <c r="AH272" s="215">
        <f t="shared" si="48"/>
        <v>-3.4435744357608211E-4</v>
      </c>
      <c r="AI272" s="215">
        <f t="shared" si="43"/>
        <v>8.2342177493137658E-3</v>
      </c>
      <c r="AJ272" s="231">
        <v>62187</v>
      </c>
      <c r="AL272" s="230">
        <v>44749</v>
      </c>
      <c r="AM272" s="1">
        <v>284.75</v>
      </c>
      <c r="AN272" s="1">
        <v>282.88001644736801</v>
      </c>
      <c r="AO272" s="1">
        <v>12160</v>
      </c>
      <c r="AP272" s="1">
        <v>54178.46</v>
      </c>
      <c r="AQ272" s="215">
        <f t="shared" si="49"/>
        <v>-5.5684609770888516E-3</v>
      </c>
      <c r="AR272" s="215">
        <f t="shared" si="44"/>
        <v>2.1115607953545723E-3</v>
      </c>
      <c r="AS272" s="231">
        <v>3439821</v>
      </c>
    </row>
    <row r="273" spans="2:45">
      <c r="B273" s="230">
        <v>43483</v>
      </c>
      <c r="C273" s="1">
        <v>339.9</v>
      </c>
      <c r="D273" s="1">
        <v>340.69010877814299</v>
      </c>
      <c r="E273" s="1">
        <v>3953</v>
      </c>
      <c r="F273" s="215">
        <v>36386.61</v>
      </c>
      <c r="G273" s="215">
        <f t="shared" si="45"/>
        <v>-5.2584873927524756E-3</v>
      </c>
      <c r="H273" s="215">
        <f t="shared" si="40"/>
        <v>8.0071174377223109E-3</v>
      </c>
      <c r="I273" s="231">
        <v>1346748</v>
      </c>
      <c r="K273" s="230">
        <v>43483</v>
      </c>
      <c r="L273" s="1">
        <v>244.1</v>
      </c>
      <c r="M273" s="1">
        <v>249.24706345560699</v>
      </c>
      <c r="N273" s="1">
        <v>15239</v>
      </c>
      <c r="O273" s="1">
        <v>36386.61</v>
      </c>
      <c r="P273" s="215">
        <f t="shared" si="46"/>
        <v>-5.2584873927524756E-3</v>
      </c>
      <c r="Q273" s="215">
        <f t="shared" si="41"/>
        <v>6.338488346765403E-2</v>
      </c>
      <c r="R273" s="231">
        <v>3798276</v>
      </c>
      <c r="T273" s="230">
        <v>43483</v>
      </c>
      <c r="U273" s="1">
        <v>89.7</v>
      </c>
      <c r="V273" s="1">
        <v>91.747755115392707</v>
      </c>
      <c r="W273" s="1">
        <v>61139</v>
      </c>
      <c r="X273" s="1">
        <v>36386.61</v>
      </c>
      <c r="Y273" s="215">
        <f t="shared" si="47"/>
        <v>-5.2584873927524756E-3</v>
      </c>
      <c r="Z273" s="215">
        <f t="shared" si="42"/>
        <v>5.2199413489736113E-2</v>
      </c>
      <c r="AA273" s="231">
        <v>5609366</v>
      </c>
      <c r="AC273" s="230">
        <v>43483</v>
      </c>
      <c r="AD273" s="1">
        <v>54.65</v>
      </c>
      <c r="AE273" s="1">
        <v>54.860360360360303</v>
      </c>
      <c r="AF273" s="1">
        <v>222</v>
      </c>
      <c r="AG273" s="1">
        <v>36386.61</v>
      </c>
      <c r="AH273" s="215">
        <f t="shared" si="48"/>
        <v>-5.2584873927524756E-3</v>
      </c>
      <c r="AI273" s="215">
        <f t="shared" si="43"/>
        <v>-1.3537906137184086E-2</v>
      </c>
      <c r="AJ273" s="231">
        <v>12179</v>
      </c>
      <c r="AL273" s="230">
        <v>44750</v>
      </c>
      <c r="AM273" s="1">
        <v>284.14999999999998</v>
      </c>
      <c r="AN273" s="1">
        <v>285.326882625157</v>
      </c>
      <c r="AO273" s="1">
        <v>2377</v>
      </c>
      <c r="AP273" s="1">
        <v>54481.84</v>
      </c>
      <c r="AQ273" s="215">
        <f t="shared" si="49"/>
        <v>1.5922352015056429E-3</v>
      </c>
      <c r="AR273" s="215">
        <f t="shared" si="44"/>
        <v>-4.4552790854068602E-2</v>
      </c>
      <c r="AS273" s="231">
        <v>678222</v>
      </c>
    </row>
    <row r="274" spans="2:45">
      <c r="B274" s="230">
        <v>43486</v>
      </c>
      <c r="C274" s="1">
        <v>337.2</v>
      </c>
      <c r="D274" s="1">
        <v>340.277155084573</v>
      </c>
      <c r="E274" s="1">
        <v>4907</v>
      </c>
      <c r="F274" s="215">
        <v>36578.959999999999</v>
      </c>
      <c r="G274" s="215">
        <f t="shared" si="45"/>
        <v>3.6855899797609837E-3</v>
      </c>
      <c r="H274" s="215">
        <f t="shared" si="40"/>
        <v>3.4355828220858919E-2</v>
      </c>
      <c r="I274" s="231">
        <v>1669740</v>
      </c>
      <c r="K274" s="230">
        <v>43486</v>
      </c>
      <c r="L274" s="1">
        <v>229.55</v>
      </c>
      <c r="M274" s="1">
        <v>235.794061194535</v>
      </c>
      <c r="N274" s="1">
        <v>17714</v>
      </c>
      <c r="O274" s="1">
        <v>36578.959999999999</v>
      </c>
      <c r="P274" s="215">
        <f t="shared" si="46"/>
        <v>3.6855899797609837E-3</v>
      </c>
      <c r="Q274" s="215">
        <f t="shared" si="41"/>
        <v>2.2266755733689525E-2</v>
      </c>
      <c r="R274" s="231">
        <v>4176856</v>
      </c>
      <c r="T274" s="230">
        <v>43486</v>
      </c>
      <c r="U274" s="1">
        <v>85.25</v>
      </c>
      <c r="V274" s="1">
        <v>85.896009336335197</v>
      </c>
      <c r="W274" s="1">
        <v>96826</v>
      </c>
      <c r="X274" s="1">
        <v>36578.959999999999</v>
      </c>
      <c r="Y274" s="215">
        <f t="shared" si="47"/>
        <v>3.6855899797609837E-3</v>
      </c>
      <c r="Z274" s="215">
        <f t="shared" si="42"/>
        <v>-3.9436619718309807E-2</v>
      </c>
      <c r="AA274" s="231">
        <v>8316967</v>
      </c>
      <c r="AC274" s="230">
        <v>43486</v>
      </c>
      <c r="AD274" s="1">
        <v>55.4</v>
      </c>
      <c r="AE274" s="1">
        <v>55.203685741998001</v>
      </c>
      <c r="AF274" s="1">
        <v>1031</v>
      </c>
      <c r="AG274" s="1">
        <v>36578.959999999999</v>
      </c>
      <c r="AH274" s="215">
        <f t="shared" si="48"/>
        <v>3.6855899797609837E-3</v>
      </c>
      <c r="AI274" s="215">
        <f t="shared" si="43"/>
        <v>2.8783658310120641E-2</v>
      </c>
      <c r="AJ274" s="231">
        <v>56915</v>
      </c>
      <c r="AL274" s="230">
        <v>44753</v>
      </c>
      <c r="AM274" s="1">
        <v>297.39999999999998</v>
      </c>
      <c r="AN274" s="1">
        <v>294.81255500146602</v>
      </c>
      <c r="AO274" s="1">
        <v>17045</v>
      </c>
      <c r="AP274" s="1">
        <v>54395.23</v>
      </c>
      <c r="AQ274" s="215">
        <f t="shared" si="49"/>
        <v>9.4387084286802203E-3</v>
      </c>
      <c r="AR274" s="215">
        <f t="shared" si="44"/>
        <v>1.9715412309274871E-2</v>
      </c>
      <c r="AS274" s="231">
        <v>5025080</v>
      </c>
    </row>
    <row r="275" spans="2:45">
      <c r="B275" s="230">
        <v>43487</v>
      </c>
      <c r="C275" s="1">
        <v>326</v>
      </c>
      <c r="D275" s="1">
        <v>331.54834658853002</v>
      </c>
      <c r="E275" s="1">
        <v>4778</v>
      </c>
      <c r="F275" s="215">
        <v>36444.639999999999</v>
      </c>
      <c r="G275" s="215">
        <f t="shared" si="45"/>
        <v>9.3100039962923375E-3</v>
      </c>
      <c r="H275" s="215">
        <f t="shared" si="40"/>
        <v>-5.0807977871596965E-2</v>
      </c>
      <c r="I275" s="231">
        <v>1584138</v>
      </c>
      <c r="K275" s="230">
        <v>43487</v>
      </c>
      <c r="L275" s="1">
        <v>224.55</v>
      </c>
      <c r="M275" s="1">
        <v>223.847775644103</v>
      </c>
      <c r="N275" s="1">
        <v>24996</v>
      </c>
      <c r="O275" s="1">
        <v>36444.639999999999</v>
      </c>
      <c r="P275" s="215">
        <f t="shared" si="46"/>
        <v>9.3100039962923375E-3</v>
      </c>
      <c r="Q275" s="215">
        <f t="shared" si="41"/>
        <v>7.8789334614460804E-2</v>
      </c>
      <c r="R275" s="231">
        <v>5595299</v>
      </c>
      <c r="T275" s="230">
        <v>43487</v>
      </c>
      <c r="U275" s="1">
        <v>88.75</v>
      </c>
      <c r="V275" s="1">
        <v>86.951956915857906</v>
      </c>
      <c r="W275" s="1">
        <v>337572</v>
      </c>
      <c r="X275" s="1">
        <v>36444.639999999999</v>
      </c>
      <c r="Y275" s="215">
        <f t="shared" si="47"/>
        <v>9.3100039962923375E-3</v>
      </c>
      <c r="Z275" s="215">
        <f t="shared" si="42"/>
        <v>-4.4868199663489206E-3</v>
      </c>
      <c r="AA275" s="231">
        <v>29352546</v>
      </c>
      <c r="AC275" s="230">
        <v>43487</v>
      </c>
      <c r="AD275" s="1">
        <v>53.85</v>
      </c>
      <c r="AE275" s="1">
        <v>54.051470588235198</v>
      </c>
      <c r="AF275" s="1">
        <v>2040</v>
      </c>
      <c r="AG275" s="1">
        <v>36444.639999999999</v>
      </c>
      <c r="AH275" s="215">
        <f t="shared" si="48"/>
        <v>9.3100039962923375E-3</v>
      </c>
      <c r="AI275" s="215">
        <f t="shared" si="43"/>
        <v>-2.2686025408348409E-2</v>
      </c>
      <c r="AJ275" s="231">
        <v>110265</v>
      </c>
      <c r="AL275" s="230">
        <v>44754</v>
      </c>
      <c r="AM275" s="1">
        <v>291.64999999999998</v>
      </c>
      <c r="AN275" s="1">
        <v>294.94358292718903</v>
      </c>
      <c r="AO275" s="1">
        <v>6771</v>
      </c>
      <c r="AP275" s="1">
        <v>53886.61</v>
      </c>
      <c r="AQ275" s="215">
        <f t="shared" si="49"/>
        <v>6.960028328955925E-3</v>
      </c>
      <c r="AR275" s="215">
        <f t="shared" si="44"/>
        <v>5.3429851775248505E-3</v>
      </c>
      <c r="AS275" s="231">
        <v>1997063</v>
      </c>
    </row>
    <row r="276" spans="2:45">
      <c r="B276" s="230">
        <v>43488</v>
      </c>
      <c r="C276" s="1">
        <v>343.45</v>
      </c>
      <c r="D276" s="1">
        <v>337.70518713066298</v>
      </c>
      <c r="E276" s="1">
        <v>1523</v>
      </c>
      <c r="F276" s="215">
        <v>36108.47</v>
      </c>
      <c r="G276" s="215">
        <f t="shared" si="45"/>
        <v>-2.3934178935821615E-3</v>
      </c>
      <c r="H276" s="215">
        <f t="shared" si="40"/>
        <v>1.7478892015997616E-2</v>
      </c>
      <c r="I276" s="231">
        <v>514325</v>
      </c>
      <c r="K276" s="230">
        <v>43488</v>
      </c>
      <c r="L276" s="1">
        <v>208.15</v>
      </c>
      <c r="M276" s="1">
        <v>212.17011695906399</v>
      </c>
      <c r="N276" s="1">
        <v>17100</v>
      </c>
      <c r="O276" s="1">
        <v>36108.47</v>
      </c>
      <c r="P276" s="215">
        <f t="shared" si="46"/>
        <v>-2.3934178935821615E-3</v>
      </c>
      <c r="Q276" s="215">
        <f t="shared" si="41"/>
        <v>4.0229885057471382E-2</v>
      </c>
      <c r="R276" s="231">
        <v>3628109</v>
      </c>
      <c r="T276" s="230">
        <v>43488</v>
      </c>
      <c r="U276" s="1">
        <v>89.15</v>
      </c>
      <c r="V276" s="1">
        <v>88.881227682366898</v>
      </c>
      <c r="W276" s="1">
        <v>58810</v>
      </c>
      <c r="X276" s="1">
        <v>36108.47</v>
      </c>
      <c r="Y276" s="215">
        <f t="shared" si="47"/>
        <v>-2.3934178935821615E-3</v>
      </c>
      <c r="Z276" s="215">
        <f t="shared" si="42"/>
        <v>1.7694063926940728E-2</v>
      </c>
      <c r="AA276" s="231">
        <v>5227105</v>
      </c>
      <c r="AC276" s="230">
        <v>43488</v>
      </c>
      <c r="AD276" s="1">
        <v>55.1</v>
      </c>
      <c r="AE276" s="1">
        <v>55.142857142857103</v>
      </c>
      <c r="AF276" s="1">
        <v>7</v>
      </c>
      <c r="AG276" s="1">
        <v>36108.47</v>
      </c>
      <c r="AH276" s="215">
        <f t="shared" si="48"/>
        <v>-2.3934178935821615E-3</v>
      </c>
      <c r="AI276" s="215">
        <f t="shared" si="43"/>
        <v>3.3771106941838713E-2</v>
      </c>
      <c r="AJ276" s="231">
        <v>386</v>
      </c>
      <c r="AL276" s="230">
        <v>44755</v>
      </c>
      <c r="AM276" s="1">
        <v>290.10000000000002</v>
      </c>
      <c r="AN276" s="1">
        <v>291.50004183050203</v>
      </c>
      <c r="AO276" s="1">
        <v>11953</v>
      </c>
      <c r="AP276" s="1">
        <v>53514.15</v>
      </c>
      <c r="AQ276" s="215">
        <f t="shared" si="49"/>
        <v>1.8346511307909541E-3</v>
      </c>
      <c r="AR276" s="215">
        <f t="shared" si="44"/>
        <v>7.2916666666666963E-3</v>
      </c>
      <c r="AS276" s="231">
        <v>3484300</v>
      </c>
    </row>
    <row r="277" spans="2:45">
      <c r="B277" s="230">
        <v>43489</v>
      </c>
      <c r="C277" s="1">
        <v>337.55</v>
      </c>
      <c r="D277" s="1">
        <v>338.72987721691601</v>
      </c>
      <c r="E277" s="1">
        <v>733</v>
      </c>
      <c r="F277" s="215">
        <v>36195.1</v>
      </c>
      <c r="G277" s="215">
        <f t="shared" si="45"/>
        <v>4.7066608855828029E-3</v>
      </c>
      <c r="H277" s="215">
        <f t="shared" si="40"/>
        <v>9.5708090324508888E-3</v>
      </c>
      <c r="I277" s="231">
        <v>248289</v>
      </c>
      <c r="K277" s="230">
        <v>43489</v>
      </c>
      <c r="L277" s="1">
        <v>200.1</v>
      </c>
      <c r="M277" s="1">
        <v>199.53933112043501</v>
      </c>
      <c r="N277" s="1">
        <v>31934</v>
      </c>
      <c r="O277" s="1">
        <v>36195.1</v>
      </c>
      <c r="P277" s="215">
        <f t="shared" si="46"/>
        <v>4.7066608855828029E-3</v>
      </c>
      <c r="Q277" s="215">
        <f t="shared" si="41"/>
        <v>-4.9857549857549865E-2</v>
      </c>
      <c r="R277" s="231">
        <v>6372089</v>
      </c>
      <c r="T277" s="230">
        <v>43489</v>
      </c>
      <c r="U277" s="1">
        <v>87.6</v>
      </c>
      <c r="V277" s="1">
        <v>86.909222545712197</v>
      </c>
      <c r="W277" s="1">
        <v>64917</v>
      </c>
      <c r="X277" s="1">
        <v>36195.1</v>
      </c>
      <c r="Y277" s="215">
        <f t="shared" si="47"/>
        <v>4.7066608855828029E-3</v>
      </c>
      <c r="Z277" s="215">
        <f t="shared" si="42"/>
        <v>1.8604651162790642E-2</v>
      </c>
      <c r="AA277" s="231">
        <v>5641886</v>
      </c>
      <c r="AC277" s="230">
        <v>43489</v>
      </c>
      <c r="AD277" s="1">
        <v>53.3</v>
      </c>
      <c r="AE277" s="1">
        <v>53.517331589274001</v>
      </c>
      <c r="AF277" s="1">
        <v>1529</v>
      </c>
      <c r="AG277" s="1">
        <v>36195.1</v>
      </c>
      <c r="AH277" s="215">
        <f t="shared" si="48"/>
        <v>4.7066608855828029E-3</v>
      </c>
      <c r="AI277" s="215">
        <f t="shared" si="43"/>
        <v>5.12820512820511E-2</v>
      </c>
      <c r="AJ277" s="231">
        <v>81828</v>
      </c>
      <c r="AL277" s="230">
        <v>44756</v>
      </c>
      <c r="AM277" s="1">
        <v>288</v>
      </c>
      <c r="AN277" s="1">
        <v>288.591943127962</v>
      </c>
      <c r="AO277" s="1">
        <v>4220</v>
      </c>
      <c r="AP277" s="1">
        <v>53416.15</v>
      </c>
      <c r="AQ277" s="215">
        <f t="shared" si="49"/>
        <v>-6.4104352652620822E-3</v>
      </c>
      <c r="AR277" s="215">
        <f t="shared" si="44"/>
        <v>4.3591979075849885E-3</v>
      </c>
      <c r="AS277" s="231">
        <v>1217858</v>
      </c>
    </row>
    <row r="278" spans="2:45">
      <c r="B278" s="230">
        <v>43490</v>
      </c>
      <c r="C278" s="1">
        <v>334.35</v>
      </c>
      <c r="D278" s="1">
        <v>332.66923241393999</v>
      </c>
      <c r="E278" s="1">
        <v>4677</v>
      </c>
      <c r="F278" s="215">
        <v>36025.54</v>
      </c>
      <c r="G278" s="215">
        <f t="shared" si="45"/>
        <v>1.0344198986445896E-2</v>
      </c>
      <c r="H278" s="215">
        <f t="shared" si="40"/>
        <v>4.0616246498599518E-2</v>
      </c>
      <c r="I278" s="231">
        <v>1555894</v>
      </c>
      <c r="K278" s="230">
        <v>43490</v>
      </c>
      <c r="L278" s="1">
        <v>210.6</v>
      </c>
      <c r="M278" s="1">
        <v>212.07211965768499</v>
      </c>
      <c r="N278" s="1">
        <v>39379</v>
      </c>
      <c r="O278" s="1">
        <v>36025.54</v>
      </c>
      <c r="P278" s="215">
        <f t="shared" si="46"/>
        <v>1.0344198986445896E-2</v>
      </c>
      <c r="Q278" s="215">
        <f t="shared" si="41"/>
        <v>6.4516129032257119E-3</v>
      </c>
      <c r="R278" s="231">
        <v>8351188</v>
      </c>
      <c r="T278" s="230">
        <v>43490</v>
      </c>
      <c r="U278" s="1">
        <v>86</v>
      </c>
      <c r="V278" s="1">
        <v>85.583887264025506</v>
      </c>
      <c r="W278" s="1">
        <v>124113</v>
      </c>
      <c r="X278" s="1">
        <v>36025.54</v>
      </c>
      <c r="Y278" s="215">
        <f t="shared" si="47"/>
        <v>1.0344198986445896E-2</v>
      </c>
      <c r="Z278" s="215">
        <f t="shared" si="42"/>
        <v>-5.8105752469495009E-4</v>
      </c>
      <c r="AA278" s="231">
        <v>10622073</v>
      </c>
      <c r="AC278" s="230">
        <v>43490</v>
      </c>
      <c r="AD278" s="1">
        <v>50.7</v>
      </c>
      <c r="AE278" s="1">
        <v>50.742760753443903</v>
      </c>
      <c r="AF278" s="1">
        <v>10671</v>
      </c>
      <c r="AG278" s="1">
        <v>36025.54</v>
      </c>
      <c r="AH278" s="215">
        <f t="shared" si="48"/>
        <v>1.0344198986445896E-2</v>
      </c>
      <c r="AI278" s="215">
        <f t="shared" si="43"/>
        <v>7.9872204472843489E-2</v>
      </c>
      <c r="AJ278" s="231">
        <v>541476</v>
      </c>
      <c r="AL278" s="230">
        <v>44757</v>
      </c>
      <c r="AM278" s="1">
        <v>286.75</v>
      </c>
      <c r="AN278" s="1">
        <v>288.23809523809501</v>
      </c>
      <c r="AO278" s="1">
        <v>4662</v>
      </c>
      <c r="AP278" s="1">
        <v>53760.78</v>
      </c>
      <c r="AQ278" s="215">
        <f t="shared" si="49"/>
        <v>-1.3946330919285543E-2</v>
      </c>
      <c r="AR278" s="215">
        <f t="shared" si="44"/>
        <v>-1.5281593406593408E-2</v>
      </c>
      <c r="AS278" s="231">
        <v>1343766</v>
      </c>
    </row>
    <row r="279" spans="2:45">
      <c r="B279" s="230">
        <v>43493</v>
      </c>
      <c r="C279" s="1">
        <v>321.3</v>
      </c>
      <c r="D279" s="1">
        <v>314.170916141541</v>
      </c>
      <c r="E279" s="1">
        <v>10315</v>
      </c>
      <c r="F279" s="215">
        <v>35656.699999999997</v>
      </c>
      <c r="G279" s="215">
        <f t="shared" si="45"/>
        <v>1.8037507901944583E-3</v>
      </c>
      <c r="H279" s="215">
        <f t="shared" si="40"/>
        <v>2.965506477290436E-3</v>
      </c>
      <c r="I279" s="231">
        <v>3240673</v>
      </c>
      <c r="K279" s="230">
        <v>43493</v>
      </c>
      <c r="L279" s="1">
        <v>209.25</v>
      </c>
      <c r="M279" s="1">
        <v>208.26458067262601</v>
      </c>
      <c r="N279" s="1">
        <v>4698</v>
      </c>
      <c r="O279" s="1">
        <v>35656.699999999997</v>
      </c>
      <c r="P279" s="215">
        <f t="shared" si="46"/>
        <v>1.8037507901944583E-3</v>
      </c>
      <c r="Q279" s="215">
        <f t="shared" si="41"/>
        <v>1.0869565217391353E-2</v>
      </c>
      <c r="R279" s="231">
        <v>978427</v>
      </c>
      <c r="T279" s="230">
        <v>43493</v>
      </c>
      <c r="U279" s="1">
        <v>86.05</v>
      </c>
      <c r="V279" s="1">
        <v>85.366257773768197</v>
      </c>
      <c r="W279" s="1">
        <v>239427</v>
      </c>
      <c r="X279" s="1">
        <v>35656.699999999997</v>
      </c>
      <c r="Y279" s="215">
        <f t="shared" si="47"/>
        <v>1.8037507901944583E-3</v>
      </c>
      <c r="Z279" s="215">
        <f t="shared" si="42"/>
        <v>4.0840140023337135E-3</v>
      </c>
      <c r="AA279" s="231">
        <v>20438987</v>
      </c>
      <c r="AC279" s="230">
        <v>43493</v>
      </c>
      <c r="AD279" s="1">
        <v>46.95</v>
      </c>
      <c r="AE279" s="1">
        <v>48.357460088824801</v>
      </c>
      <c r="AF279" s="1">
        <v>8331</v>
      </c>
      <c r="AG279" s="1">
        <v>35656.699999999997</v>
      </c>
      <c r="AH279" s="215">
        <f t="shared" si="48"/>
        <v>1.8037507901944583E-3</v>
      </c>
      <c r="AI279" s="215">
        <f t="shared" si="43"/>
        <v>-2.3908523908523827E-2</v>
      </c>
      <c r="AJ279" s="231">
        <v>402866</v>
      </c>
      <c r="AL279" s="230">
        <v>44760</v>
      </c>
      <c r="AM279" s="1">
        <v>291.2</v>
      </c>
      <c r="AN279" s="1">
        <v>291.59541284403599</v>
      </c>
      <c r="AO279" s="1">
        <v>2180</v>
      </c>
      <c r="AP279" s="1">
        <v>54521.15</v>
      </c>
      <c r="AQ279" s="215">
        <f t="shared" si="49"/>
        <v>-4.5002868483239311E-3</v>
      </c>
      <c r="AR279" s="215">
        <f t="shared" si="44"/>
        <v>-1.1541072640869121E-2</v>
      </c>
      <c r="AS279" s="231">
        <v>635678</v>
      </c>
    </row>
    <row r="280" spans="2:45">
      <c r="B280" s="230">
        <v>43494</v>
      </c>
      <c r="C280" s="1">
        <v>320.35000000000002</v>
      </c>
      <c r="D280" s="1">
        <v>323.80234563642603</v>
      </c>
      <c r="E280" s="1">
        <v>2899</v>
      </c>
      <c r="F280" s="215">
        <v>35592.5</v>
      </c>
      <c r="G280" s="215">
        <f t="shared" si="45"/>
        <v>3.5120991816794955E-5</v>
      </c>
      <c r="H280" s="215">
        <f t="shared" si="40"/>
        <v>-2.9567382508558504E-3</v>
      </c>
      <c r="I280" s="231">
        <v>938703</v>
      </c>
      <c r="K280" s="230">
        <v>43494</v>
      </c>
      <c r="L280" s="1">
        <v>207</v>
      </c>
      <c r="M280" s="1">
        <v>208.31211419753001</v>
      </c>
      <c r="N280" s="1">
        <v>2592</v>
      </c>
      <c r="O280" s="1">
        <v>35592.5</v>
      </c>
      <c r="P280" s="215">
        <f t="shared" si="46"/>
        <v>3.5120991816794955E-5</v>
      </c>
      <c r="Q280" s="215">
        <f t="shared" si="41"/>
        <v>-4.2995839112344059E-2</v>
      </c>
      <c r="R280" s="231">
        <v>539945</v>
      </c>
      <c r="T280" s="230">
        <v>43494</v>
      </c>
      <c r="U280" s="1">
        <v>85.7</v>
      </c>
      <c r="V280" s="1">
        <v>85.401373094205795</v>
      </c>
      <c r="W280" s="1">
        <v>75887</v>
      </c>
      <c r="X280" s="1">
        <v>35592.5</v>
      </c>
      <c r="Y280" s="215">
        <f t="shared" si="47"/>
        <v>3.5120991816794955E-5</v>
      </c>
      <c r="Z280" s="215">
        <f t="shared" si="42"/>
        <v>-3.4883720930232176E-3</v>
      </c>
      <c r="AA280" s="231">
        <v>6480854</v>
      </c>
      <c r="AC280" s="230">
        <v>43494</v>
      </c>
      <c r="AD280" s="1">
        <v>48.1</v>
      </c>
      <c r="AE280" s="1">
        <v>48.079124579124503</v>
      </c>
      <c r="AF280" s="1">
        <v>594</v>
      </c>
      <c r="AG280" s="1">
        <v>35592.5</v>
      </c>
      <c r="AH280" s="215">
        <f t="shared" si="48"/>
        <v>3.5120991816794955E-5</v>
      </c>
      <c r="AI280" s="215">
        <f t="shared" si="43"/>
        <v>-5.1282051282051322E-2</v>
      </c>
      <c r="AJ280" s="231">
        <v>28559</v>
      </c>
      <c r="AL280" s="230">
        <v>44761</v>
      </c>
      <c r="AM280" s="1">
        <v>294.60000000000002</v>
      </c>
      <c r="AN280" s="1">
        <v>293.75951838594199</v>
      </c>
      <c r="AO280" s="1">
        <v>3073</v>
      </c>
      <c r="AP280" s="1">
        <v>54767.62</v>
      </c>
      <c r="AQ280" s="215">
        <f t="shared" si="49"/>
        <v>-1.1370723568361218E-2</v>
      </c>
      <c r="AR280" s="215">
        <f t="shared" si="44"/>
        <v>-1.2403620516258762E-2</v>
      </c>
      <c r="AS280" s="231">
        <v>902723</v>
      </c>
    </row>
    <row r="281" spans="2:45">
      <c r="B281" s="230">
        <v>43495</v>
      </c>
      <c r="C281" s="1">
        <v>321.3</v>
      </c>
      <c r="D281" s="1">
        <v>318.00913043478198</v>
      </c>
      <c r="E281" s="1">
        <v>2300</v>
      </c>
      <c r="F281" s="215">
        <v>35591.25</v>
      </c>
      <c r="G281" s="215">
        <f t="shared" si="45"/>
        <v>-1.8353578332716003E-2</v>
      </c>
      <c r="H281" s="215">
        <f t="shared" si="40"/>
        <v>-2.1739130434782483E-3</v>
      </c>
      <c r="I281" s="231">
        <v>731421</v>
      </c>
      <c r="K281" s="230">
        <v>43495</v>
      </c>
      <c r="L281" s="1">
        <v>216.3</v>
      </c>
      <c r="M281" s="1">
        <v>211.97317848748699</v>
      </c>
      <c r="N281" s="1">
        <v>7233</v>
      </c>
      <c r="O281" s="1">
        <v>35591.25</v>
      </c>
      <c r="P281" s="215">
        <f t="shared" si="46"/>
        <v>-1.8353578332716003E-2</v>
      </c>
      <c r="Q281" s="215">
        <f t="shared" si="41"/>
        <v>-6.8876452862677517E-2</v>
      </c>
      <c r="R281" s="231">
        <v>1533202</v>
      </c>
      <c r="T281" s="230">
        <v>43495</v>
      </c>
      <c r="U281" s="1">
        <v>86</v>
      </c>
      <c r="V281" s="1">
        <v>86.106432480881793</v>
      </c>
      <c r="W281" s="1">
        <v>52437</v>
      </c>
      <c r="X281" s="1">
        <v>35591.25</v>
      </c>
      <c r="Y281" s="215">
        <f t="shared" si="47"/>
        <v>-1.8353578332716003E-2</v>
      </c>
      <c r="Z281" s="215">
        <f t="shared" si="42"/>
        <v>0</v>
      </c>
      <c r="AA281" s="231">
        <v>4515163</v>
      </c>
      <c r="AC281" s="230">
        <v>43495</v>
      </c>
      <c r="AD281" s="1">
        <v>50.7</v>
      </c>
      <c r="AE281" s="1">
        <v>49.949391415759102</v>
      </c>
      <c r="AF281" s="1">
        <v>6244</v>
      </c>
      <c r="AG281" s="1">
        <v>35591.25</v>
      </c>
      <c r="AH281" s="215">
        <f t="shared" si="48"/>
        <v>-1.8353578332716003E-2</v>
      </c>
      <c r="AI281" s="215">
        <f t="shared" si="43"/>
        <v>3.1536113936927901E-2</v>
      </c>
      <c r="AJ281" s="231">
        <v>311884</v>
      </c>
      <c r="AL281" s="230">
        <v>44762</v>
      </c>
      <c r="AM281" s="1">
        <v>298.3</v>
      </c>
      <c r="AN281" s="1">
        <v>300.01254506840502</v>
      </c>
      <c r="AO281" s="1">
        <v>20247</v>
      </c>
      <c r="AP281" s="1">
        <v>55397.53</v>
      </c>
      <c r="AQ281" s="215">
        <f t="shared" si="49"/>
        <v>-5.1079389281445398E-3</v>
      </c>
      <c r="AR281" s="215">
        <f t="shared" si="44"/>
        <v>-5.6666666666665977E-3</v>
      </c>
      <c r="AS281" s="231">
        <v>6074354</v>
      </c>
    </row>
    <row r="282" spans="2:45">
      <c r="B282" s="230">
        <v>43496</v>
      </c>
      <c r="C282" s="1">
        <v>322</v>
      </c>
      <c r="D282" s="1">
        <v>321.39473684210498</v>
      </c>
      <c r="E282" s="1">
        <v>570</v>
      </c>
      <c r="F282" s="215">
        <v>36256.69</v>
      </c>
      <c r="G282" s="215">
        <f t="shared" si="45"/>
        <v>-5.833378805207512E-3</v>
      </c>
      <c r="H282" s="215">
        <f t="shared" si="40"/>
        <v>-1.2572830420116587E-2</v>
      </c>
      <c r="I282" s="231">
        <v>183195</v>
      </c>
      <c r="K282" s="230">
        <v>43496</v>
      </c>
      <c r="L282" s="1">
        <v>232.3</v>
      </c>
      <c r="M282" s="1">
        <v>227.53215826752401</v>
      </c>
      <c r="N282" s="1">
        <v>24566</v>
      </c>
      <c r="O282" s="1">
        <v>36256.69</v>
      </c>
      <c r="P282" s="215">
        <f t="shared" si="46"/>
        <v>-5.833378805207512E-3</v>
      </c>
      <c r="Q282" s="215">
        <f t="shared" si="41"/>
        <v>1.6407788230146547E-2</v>
      </c>
      <c r="R282" s="231">
        <v>5589555</v>
      </c>
      <c r="T282" s="230">
        <v>43496</v>
      </c>
      <c r="U282" s="1">
        <v>86</v>
      </c>
      <c r="V282" s="1">
        <v>86.081542385759207</v>
      </c>
      <c r="W282" s="1">
        <v>36852</v>
      </c>
      <c r="X282" s="1">
        <v>36256.69</v>
      </c>
      <c r="Y282" s="215">
        <f t="shared" si="47"/>
        <v>-5.833378805207512E-3</v>
      </c>
      <c r="Z282" s="215">
        <f t="shared" si="42"/>
        <v>1.116990005878904E-2</v>
      </c>
      <c r="AA282" s="231">
        <v>3172277</v>
      </c>
      <c r="AC282" s="230">
        <v>43496</v>
      </c>
      <c r="AD282" s="1">
        <v>49.15</v>
      </c>
      <c r="AE282" s="1">
        <v>49.8735294117647</v>
      </c>
      <c r="AF282" s="1">
        <v>340</v>
      </c>
      <c r="AG282" s="1">
        <v>36256.69</v>
      </c>
      <c r="AH282" s="215">
        <f t="shared" si="48"/>
        <v>-8.9126730255851827E-3</v>
      </c>
      <c r="AI282" s="215">
        <f t="shared" si="43"/>
        <v>1.0277492291880685E-2</v>
      </c>
      <c r="AJ282" s="231">
        <v>16957</v>
      </c>
      <c r="AL282" s="230">
        <v>44763</v>
      </c>
      <c r="AM282" s="1">
        <v>300</v>
      </c>
      <c r="AN282" s="1">
        <v>300.311469402711</v>
      </c>
      <c r="AO282" s="1">
        <v>2729</v>
      </c>
      <c r="AP282" s="1">
        <v>55681.95</v>
      </c>
      <c r="AQ282" s="215">
        <f t="shared" si="49"/>
        <v>-6.9603081596719685E-3</v>
      </c>
      <c r="AR282" s="215">
        <f t="shared" si="44"/>
        <v>9.9309880491500468E-3</v>
      </c>
      <c r="AS282" s="231">
        <v>819550</v>
      </c>
    </row>
    <row r="283" spans="2:45">
      <c r="B283" s="230">
        <v>43497</v>
      </c>
      <c r="C283" s="1">
        <v>326.10000000000002</v>
      </c>
      <c r="D283" s="1">
        <v>331.27397260273898</v>
      </c>
      <c r="E283" s="1">
        <v>876</v>
      </c>
      <c r="F283" s="215">
        <v>36469.43</v>
      </c>
      <c r="G283" s="215">
        <f t="shared" si="45"/>
        <v>-3.0973623080172707E-3</v>
      </c>
      <c r="H283" s="215">
        <f t="shared" si="40"/>
        <v>-8.2116788321167089E-3</v>
      </c>
      <c r="I283" s="231">
        <v>290196</v>
      </c>
      <c r="K283" s="230">
        <v>43497</v>
      </c>
      <c r="L283" s="1">
        <v>228.55</v>
      </c>
      <c r="M283" s="1">
        <v>232.55335250491899</v>
      </c>
      <c r="N283" s="1">
        <v>13214</v>
      </c>
      <c r="O283" s="1">
        <v>36469.43</v>
      </c>
      <c r="P283" s="215">
        <f t="shared" si="46"/>
        <v>-3.0973623080172707E-3</v>
      </c>
      <c r="Q283" s="215">
        <f t="shared" si="41"/>
        <v>5.4197416974169688E-2</v>
      </c>
      <c r="R283" s="231">
        <v>3072960</v>
      </c>
      <c r="T283" s="230">
        <v>43497</v>
      </c>
      <c r="U283" s="1">
        <v>85.05</v>
      </c>
      <c r="V283" s="1">
        <v>85.367687210072802</v>
      </c>
      <c r="W283" s="1">
        <v>37725</v>
      </c>
      <c r="X283" s="1">
        <v>36469.43</v>
      </c>
      <c r="Y283" s="215">
        <f t="shared" si="47"/>
        <v>-3.0973623080172707E-3</v>
      </c>
      <c r="Z283" s="215">
        <f t="shared" si="42"/>
        <v>2.4081878386514211E-2</v>
      </c>
      <c r="AA283" s="231">
        <v>3220496</v>
      </c>
      <c r="AC283" s="230">
        <v>43500</v>
      </c>
      <c r="AD283" s="1">
        <v>48.65</v>
      </c>
      <c r="AE283" s="1">
        <v>48.794755661501704</v>
      </c>
      <c r="AF283" s="1">
        <v>4195</v>
      </c>
      <c r="AG283" s="1">
        <v>36582.74</v>
      </c>
      <c r="AH283" s="215">
        <f t="shared" si="48"/>
        <v>-9.3044697230593165E-4</v>
      </c>
      <c r="AI283" s="215">
        <f t="shared" si="43"/>
        <v>2.5289778714436162E-2</v>
      </c>
      <c r="AJ283" s="231">
        <v>204694</v>
      </c>
      <c r="AL283" s="230">
        <v>44764</v>
      </c>
      <c r="AM283" s="1">
        <v>297.05</v>
      </c>
      <c r="AN283" s="1">
        <v>298.88552316041898</v>
      </c>
      <c r="AO283" s="1">
        <v>7923</v>
      </c>
      <c r="AP283" s="1">
        <v>56072.23</v>
      </c>
      <c r="AQ283" s="215">
        <f t="shared" si="49"/>
        <v>5.4873721044748081E-3</v>
      </c>
      <c r="AR283" s="215">
        <f t="shared" si="44"/>
        <v>6.7785121165904183E-3</v>
      </c>
      <c r="AS283" s="231">
        <v>2368070</v>
      </c>
    </row>
    <row r="284" spans="2:45">
      <c r="B284" s="230">
        <v>43500</v>
      </c>
      <c r="C284" s="1">
        <v>328.8</v>
      </c>
      <c r="D284" s="1">
        <v>329.77845220030298</v>
      </c>
      <c r="E284" s="1">
        <v>659</v>
      </c>
      <c r="F284" s="215">
        <v>36582.74</v>
      </c>
      <c r="G284" s="215">
        <f t="shared" si="45"/>
        <v>-9.3044697230593165E-4</v>
      </c>
      <c r="H284" s="215">
        <f t="shared" si="40"/>
        <v>8.1250958148091357E-3</v>
      </c>
      <c r="I284" s="231">
        <v>217324</v>
      </c>
      <c r="K284" s="230">
        <v>43500</v>
      </c>
      <c r="L284" s="1">
        <v>216.8</v>
      </c>
      <c r="M284" s="1">
        <v>222.43961400226399</v>
      </c>
      <c r="N284" s="1">
        <v>20311</v>
      </c>
      <c r="O284" s="1">
        <v>36582.74</v>
      </c>
      <c r="P284" s="215">
        <f t="shared" si="46"/>
        <v>-9.3044697230593165E-4</v>
      </c>
      <c r="Q284" s="215">
        <f t="shared" si="41"/>
        <v>4.9116864263247129E-2</v>
      </c>
      <c r="R284" s="231">
        <v>4517971</v>
      </c>
      <c r="T284" s="230">
        <v>43500</v>
      </c>
      <c r="U284" s="1">
        <v>83.05</v>
      </c>
      <c r="V284" s="1">
        <v>82.4810779429435</v>
      </c>
      <c r="W284" s="1">
        <v>74067</v>
      </c>
      <c r="X284" s="1">
        <v>36582.74</v>
      </c>
      <c r="Y284" s="215">
        <f t="shared" si="47"/>
        <v>-9.3044697230593165E-4</v>
      </c>
      <c r="Z284" s="215">
        <f t="shared" si="42"/>
        <v>-1.0131108462455352E-2</v>
      </c>
      <c r="AA284" s="231">
        <v>6109126</v>
      </c>
      <c r="AC284" s="230">
        <v>43501</v>
      </c>
      <c r="AD284" s="1">
        <v>47.45</v>
      </c>
      <c r="AE284" s="1">
        <v>48.460144927536199</v>
      </c>
      <c r="AF284" s="1">
        <v>2208</v>
      </c>
      <c r="AG284" s="1">
        <v>36616.81</v>
      </c>
      <c r="AH284" s="215">
        <f t="shared" si="48"/>
        <v>-9.6935164433056276E-3</v>
      </c>
      <c r="AI284" s="215">
        <f t="shared" si="43"/>
        <v>0</v>
      </c>
      <c r="AJ284" s="231">
        <v>107000</v>
      </c>
      <c r="AL284" s="230">
        <v>44767</v>
      </c>
      <c r="AM284" s="1">
        <v>295.05</v>
      </c>
      <c r="AN284" s="1">
        <v>295.87602811425103</v>
      </c>
      <c r="AO284" s="1">
        <v>13374</v>
      </c>
      <c r="AP284" s="1">
        <v>55766.22</v>
      </c>
      <c r="AQ284" s="215">
        <f t="shared" si="49"/>
        <v>9.0056739382604611E-3</v>
      </c>
      <c r="AR284" s="215">
        <f t="shared" si="44"/>
        <v>1.2699502316801059E-2</v>
      </c>
      <c r="AS284" s="231">
        <v>3957046</v>
      </c>
    </row>
    <row r="285" spans="2:45">
      <c r="B285" s="230">
        <v>43501</v>
      </c>
      <c r="C285" s="1">
        <v>326.14999999999998</v>
      </c>
      <c r="D285" s="1">
        <v>329.30082041932502</v>
      </c>
      <c r="E285" s="1">
        <v>2194</v>
      </c>
      <c r="F285" s="215">
        <v>36616.81</v>
      </c>
      <c r="G285" s="215">
        <f t="shared" si="45"/>
        <v>-9.6935164433056276E-3</v>
      </c>
      <c r="H285" s="215">
        <f t="shared" si="40"/>
        <v>-2.8881941342861484E-2</v>
      </c>
      <c r="I285" s="231">
        <v>722486</v>
      </c>
      <c r="K285" s="230">
        <v>43501</v>
      </c>
      <c r="L285" s="1">
        <v>206.65</v>
      </c>
      <c r="M285" s="1">
        <v>209.986280539316</v>
      </c>
      <c r="N285" s="1">
        <v>29593</v>
      </c>
      <c r="O285" s="1">
        <v>36616.81</v>
      </c>
      <c r="P285" s="215">
        <f t="shared" si="46"/>
        <v>-9.6935164433056276E-3</v>
      </c>
      <c r="Q285" s="215">
        <f t="shared" si="41"/>
        <v>-6.7884528642309316E-2</v>
      </c>
      <c r="R285" s="231">
        <v>6214124</v>
      </c>
      <c r="T285" s="230">
        <v>43501</v>
      </c>
      <c r="U285" s="1">
        <v>83.9</v>
      </c>
      <c r="V285" s="1">
        <v>82.621469677436494</v>
      </c>
      <c r="W285" s="1">
        <v>75241</v>
      </c>
      <c r="X285" s="1">
        <v>36616.81</v>
      </c>
      <c r="Y285" s="215">
        <f t="shared" si="47"/>
        <v>-9.6935164433056276E-3</v>
      </c>
      <c r="Z285" s="215">
        <f t="shared" si="42"/>
        <v>-2.2144522144522005E-2</v>
      </c>
      <c r="AA285" s="231">
        <v>6216522</v>
      </c>
      <c r="AC285" s="230">
        <v>43502</v>
      </c>
      <c r="AD285" s="1">
        <v>47.45</v>
      </c>
      <c r="AE285" s="1">
        <v>47.113386761650297</v>
      </c>
      <c r="AF285" s="1">
        <v>3369</v>
      </c>
      <c r="AG285" s="1">
        <v>36975.230000000003</v>
      </c>
      <c r="AH285" s="215">
        <f t="shared" si="48"/>
        <v>1.1731635987925593E-2</v>
      </c>
      <c r="AI285" s="215">
        <f t="shared" si="43"/>
        <v>-4.1414141414141348E-2</v>
      </c>
      <c r="AJ285" s="231">
        <v>158725</v>
      </c>
      <c r="AL285" s="230">
        <v>44768</v>
      </c>
      <c r="AM285" s="1">
        <v>291.35000000000002</v>
      </c>
      <c r="AN285" s="1">
        <v>293.12925376148598</v>
      </c>
      <c r="AO285" s="1">
        <v>9903</v>
      </c>
      <c r="AP285" s="1">
        <v>55268.49</v>
      </c>
      <c r="AQ285" s="215">
        <f t="shared" si="49"/>
        <v>-9.8148713494548012E-3</v>
      </c>
      <c r="AR285" s="215">
        <f t="shared" si="44"/>
        <v>2.2359821121431533E-3</v>
      </c>
      <c r="AS285" s="231">
        <v>2902859</v>
      </c>
    </row>
    <row r="286" spans="2:45">
      <c r="B286" s="230">
        <v>43502</v>
      </c>
      <c r="C286" s="1">
        <v>335.85</v>
      </c>
      <c r="D286" s="1">
        <v>334.23757115749498</v>
      </c>
      <c r="E286" s="1">
        <v>2635</v>
      </c>
      <c r="F286" s="215">
        <v>36975.230000000003</v>
      </c>
      <c r="G286" s="215">
        <f t="shared" si="45"/>
        <v>1.1197938713758404E-4</v>
      </c>
      <c r="H286" s="215">
        <f t="shared" si="40"/>
        <v>-1.8126004970033582E-2</v>
      </c>
      <c r="I286" s="231">
        <v>880716</v>
      </c>
      <c r="K286" s="230">
        <v>43502</v>
      </c>
      <c r="L286" s="1">
        <v>221.7</v>
      </c>
      <c r="M286" s="1">
        <v>215.04913021326101</v>
      </c>
      <c r="N286" s="1">
        <v>27478</v>
      </c>
      <c r="O286" s="1">
        <v>36975.230000000003</v>
      </c>
      <c r="P286" s="215">
        <f t="shared" si="46"/>
        <v>1.1197938713758404E-4</v>
      </c>
      <c r="Q286" s="215">
        <f t="shared" si="41"/>
        <v>-4.5013999569244123E-2</v>
      </c>
      <c r="R286" s="231">
        <v>5909120</v>
      </c>
      <c r="T286" s="230">
        <v>43502</v>
      </c>
      <c r="U286" s="1">
        <v>85.8</v>
      </c>
      <c r="V286" s="1">
        <v>84.375267868397799</v>
      </c>
      <c r="W286" s="1">
        <v>39665</v>
      </c>
      <c r="X286" s="1">
        <v>36975.230000000003</v>
      </c>
      <c r="Y286" s="215">
        <f t="shared" si="47"/>
        <v>1.1197938713758404E-4</v>
      </c>
      <c r="Z286" s="215">
        <f t="shared" si="42"/>
        <v>-3.4327518289251513E-2</v>
      </c>
      <c r="AA286" s="231">
        <v>3346745</v>
      </c>
      <c r="AC286" s="230">
        <v>43504</v>
      </c>
      <c r="AD286" s="1">
        <v>49.5</v>
      </c>
      <c r="AE286" s="1">
        <v>49.811540680900102</v>
      </c>
      <c r="AF286" s="1">
        <v>8665</v>
      </c>
      <c r="AG286" s="1">
        <v>36546.480000000003</v>
      </c>
      <c r="AH286" s="215">
        <f t="shared" si="48"/>
        <v>4.1612824608197041E-3</v>
      </c>
      <c r="AI286" s="215">
        <f t="shared" si="43"/>
        <v>2.6970954356846377E-2</v>
      </c>
      <c r="AJ286" s="231">
        <v>431617</v>
      </c>
      <c r="AL286" s="230">
        <v>44769</v>
      </c>
      <c r="AM286" s="1">
        <v>290.7</v>
      </c>
      <c r="AN286" s="1">
        <v>292.36568574514001</v>
      </c>
      <c r="AO286" s="1">
        <v>7408</v>
      </c>
      <c r="AP286" s="1">
        <v>55816.32</v>
      </c>
      <c r="AQ286" s="215">
        <f t="shared" si="49"/>
        <v>-1.8317103074178553E-2</v>
      </c>
      <c r="AR286" s="215">
        <f t="shared" si="44"/>
        <v>-1.5410668924640158E-2</v>
      </c>
      <c r="AS286" s="231">
        <v>2165845</v>
      </c>
    </row>
    <row r="287" spans="2:45">
      <c r="B287" s="230">
        <v>43503</v>
      </c>
      <c r="C287" s="1">
        <v>342.05</v>
      </c>
      <c r="D287" s="1">
        <v>338.92787794729497</v>
      </c>
      <c r="E287" s="1">
        <v>721</v>
      </c>
      <c r="F287" s="215">
        <v>36971.089999999997</v>
      </c>
      <c r="G287" s="215">
        <f t="shared" si="45"/>
        <v>1.1618355584450013E-2</v>
      </c>
      <c r="H287" s="215">
        <f t="shared" si="40"/>
        <v>2.058779650902598E-2</v>
      </c>
      <c r="I287" s="231">
        <v>244367</v>
      </c>
      <c r="K287" s="230">
        <v>43503</v>
      </c>
      <c r="L287" s="1">
        <v>232.15</v>
      </c>
      <c r="M287" s="1">
        <v>237.068988613529</v>
      </c>
      <c r="N287" s="1">
        <v>31353</v>
      </c>
      <c r="O287" s="1">
        <v>36971.089999999997</v>
      </c>
      <c r="P287" s="215">
        <f t="shared" si="46"/>
        <v>1.1618355584450013E-2</v>
      </c>
      <c r="Q287" s="215">
        <f t="shared" si="41"/>
        <v>2.8077753779698345E-3</v>
      </c>
      <c r="R287" s="231">
        <v>7432824</v>
      </c>
      <c r="T287" s="230">
        <v>43503</v>
      </c>
      <c r="U287" s="1">
        <v>88.85</v>
      </c>
      <c r="V287" s="1">
        <v>86.811617001068498</v>
      </c>
      <c r="W287" s="1">
        <v>101076</v>
      </c>
      <c r="X287" s="1">
        <v>36971.089999999997</v>
      </c>
      <c r="Y287" s="215">
        <f t="shared" si="47"/>
        <v>1.1618355584450013E-2</v>
      </c>
      <c r="Z287" s="215">
        <f t="shared" si="42"/>
        <v>9.6590909090907839E-3</v>
      </c>
      <c r="AA287" s="231">
        <v>8774571</v>
      </c>
      <c r="AC287" s="230">
        <v>43507</v>
      </c>
      <c r="AD287" s="1">
        <v>48.2</v>
      </c>
      <c r="AE287" s="1">
        <v>47.170450694679701</v>
      </c>
      <c r="AF287" s="1">
        <v>2951</v>
      </c>
      <c r="AG287" s="1">
        <v>36395.03</v>
      </c>
      <c r="AH287" s="215">
        <f t="shared" si="48"/>
        <v>6.6773396412307395E-3</v>
      </c>
      <c r="AI287" s="215">
        <f t="shared" si="43"/>
        <v>2.5531914893617058E-2</v>
      </c>
      <c r="AJ287" s="231">
        <v>139200</v>
      </c>
      <c r="AL287" s="230">
        <v>44770</v>
      </c>
      <c r="AM287" s="1">
        <v>295.25</v>
      </c>
      <c r="AN287" s="1">
        <v>292.814306185813</v>
      </c>
      <c r="AO287" s="1">
        <v>8374</v>
      </c>
      <c r="AP287" s="1">
        <v>56857.79</v>
      </c>
      <c r="AQ287" s="215">
        <f t="shared" si="49"/>
        <v>-1.2375489076389301E-2</v>
      </c>
      <c r="AR287" s="215">
        <f t="shared" si="44"/>
        <v>-2.3966942148760384E-2</v>
      </c>
      <c r="AS287" s="231">
        <v>2452027</v>
      </c>
    </row>
    <row r="288" spans="2:45">
      <c r="B288" s="230">
        <v>43504</v>
      </c>
      <c r="C288" s="1">
        <v>335.15</v>
      </c>
      <c r="D288" s="1">
        <v>336.749821300929</v>
      </c>
      <c r="E288" s="1">
        <v>1399</v>
      </c>
      <c r="F288" s="215">
        <v>36546.480000000003</v>
      </c>
      <c r="G288" s="215">
        <f t="shared" si="45"/>
        <v>4.1612824608197041E-3</v>
      </c>
      <c r="H288" s="215">
        <f t="shared" si="40"/>
        <v>5.4926030846710772E-2</v>
      </c>
      <c r="I288" s="231">
        <v>471113</v>
      </c>
      <c r="K288" s="230">
        <v>43504</v>
      </c>
      <c r="L288" s="1">
        <v>231.5</v>
      </c>
      <c r="M288" s="1">
        <v>236.347877532909</v>
      </c>
      <c r="N288" s="1">
        <v>6761</v>
      </c>
      <c r="O288" s="1">
        <v>36546.480000000003</v>
      </c>
      <c r="P288" s="215">
        <f t="shared" si="46"/>
        <v>4.1612824608197041E-3</v>
      </c>
      <c r="Q288" s="215">
        <f t="shared" si="41"/>
        <v>-3.1988291867029117E-2</v>
      </c>
      <c r="R288" s="231">
        <v>1597948</v>
      </c>
      <c r="T288" s="230">
        <v>43504</v>
      </c>
      <c r="U288" s="1">
        <v>88</v>
      </c>
      <c r="V288" s="1">
        <v>87.9318197757717</v>
      </c>
      <c r="W288" s="1">
        <v>99809</v>
      </c>
      <c r="X288" s="1">
        <v>36546.480000000003</v>
      </c>
      <c r="Y288" s="215">
        <f t="shared" si="47"/>
        <v>4.1612824608197041E-3</v>
      </c>
      <c r="Z288" s="215">
        <f t="shared" si="42"/>
        <v>2.5043680838672255E-2</v>
      </c>
      <c r="AA288" s="231">
        <v>8776387</v>
      </c>
      <c r="AC288" s="230">
        <v>43508</v>
      </c>
      <c r="AD288" s="1">
        <v>47</v>
      </c>
      <c r="AE288" s="1">
        <v>46.9987755815987</v>
      </c>
      <c r="AF288" s="1">
        <v>5717</v>
      </c>
      <c r="AG288" s="1">
        <v>36153.620000000003</v>
      </c>
      <c r="AH288" s="215">
        <f t="shared" si="48"/>
        <v>3.3165797628968985E-3</v>
      </c>
      <c r="AI288" s="215">
        <f t="shared" si="43"/>
        <v>3.1833150384193321E-2</v>
      </c>
      <c r="AJ288" s="231">
        <v>268692</v>
      </c>
      <c r="AL288" s="230">
        <v>44771</v>
      </c>
      <c r="AM288" s="1">
        <v>302.5</v>
      </c>
      <c r="AN288" s="1">
        <v>300.85069025599699</v>
      </c>
      <c r="AO288" s="1">
        <v>7461</v>
      </c>
      <c r="AP288" s="1">
        <v>57570.25</v>
      </c>
      <c r="AQ288" s="215">
        <f t="shared" si="49"/>
        <v>-9.3821785926302415E-3</v>
      </c>
      <c r="AR288" s="215">
        <f t="shared" si="44"/>
        <v>-2.6861830464854464E-2</v>
      </c>
      <c r="AS288" s="231">
        <v>2244647</v>
      </c>
    </row>
    <row r="289" spans="2:45">
      <c r="B289" s="230">
        <v>43507</v>
      </c>
      <c r="C289" s="1">
        <v>317.7</v>
      </c>
      <c r="D289" s="1">
        <v>318.70889639639603</v>
      </c>
      <c r="E289" s="1">
        <v>3552</v>
      </c>
      <c r="F289" s="215">
        <v>36395.03</v>
      </c>
      <c r="G289" s="215">
        <f t="shared" si="45"/>
        <v>6.6773396412307395E-3</v>
      </c>
      <c r="H289" s="215">
        <f t="shared" si="40"/>
        <v>3.7914691943128354E-3</v>
      </c>
      <c r="I289" s="231">
        <v>1132054</v>
      </c>
      <c r="K289" s="230">
        <v>43507</v>
      </c>
      <c r="L289" s="1">
        <v>239.15</v>
      </c>
      <c r="M289" s="1">
        <v>237.236957818679</v>
      </c>
      <c r="N289" s="1">
        <v>45257</v>
      </c>
      <c r="O289" s="1">
        <v>36395.03</v>
      </c>
      <c r="P289" s="215">
        <f t="shared" si="46"/>
        <v>6.6773396412307395E-3</v>
      </c>
      <c r="Q289" s="215">
        <f t="shared" si="41"/>
        <v>-6.4541365147662844E-2</v>
      </c>
      <c r="R289" s="231">
        <v>10736633</v>
      </c>
      <c r="T289" s="230">
        <v>43507</v>
      </c>
      <c r="U289" s="1">
        <v>85.85</v>
      </c>
      <c r="V289" s="1">
        <v>86.518632791785095</v>
      </c>
      <c r="W289" s="1">
        <v>20743</v>
      </c>
      <c r="X289" s="1">
        <v>36395.03</v>
      </c>
      <c r="Y289" s="215">
        <f t="shared" si="47"/>
        <v>6.6773396412307395E-3</v>
      </c>
      <c r="Z289" s="215">
        <f t="shared" si="42"/>
        <v>-2.3242300987798004E-3</v>
      </c>
      <c r="AA289" s="231">
        <v>1794656</v>
      </c>
      <c r="AC289" s="230">
        <v>43509</v>
      </c>
      <c r="AD289" s="1">
        <v>45.55</v>
      </c>
      <c r="AE289" s="1">
        <v>47.241987923827203</v>
      </c>
      <c r="AF289" s="1">
        <v>2153</v>
      </c>
      <c r="AG289" s="1">
        <v>36034.11</v>
      </c>
      <c r="AH289" s="215">
        <f t="shared" si="48"/>
        <v>4.4009653190888454E-3</v>
      </c>
      <c r="AI289" s="215">
        <f t="shared" si="43"/>
        <v>0</v>
      </c>
      <c r="AJ289" s="231">
        <v>101712</v>
      </c>
      <c r="AL289" s="230">
        <v>44774</v>
      </c>
      <c r="AM289" s="1">
        <v>310.85000000000002</v>
      </c>
      <c r="AN289" s="1">
        <v>309.16106959952901</v>
      </c>
      <c r="AO289" s="1">
        <v>23822</v>
      </c>
      <c r="AP289" s="1">
        <v>58115.5</v>
      </c>
      <c r="AQ289" s="215">
        <f t="shared" si="49"/>
        <v>-3.5881159398354345E-4</v>
      </c>
      <c r="AR289" s="215">
        <f t="shared" si="44"/>
        <v>2.580228995323397E-3</v>
      </c>
      <c r="AS289" s="231">
        <v>7364835</v>
      </c>
    </row>
    <row r="290" spans="2:45">
      <c r="B290" s="230">
        <v>43508</v>
      </c>
      <c r="C290" s="1">
        <v>316.5</v>
      </c>
      <c r="D290" s="1">
        <v>320.51296958854999</v>
      </c>
      <c r="E290" s="1">
        <v>2236</v>
      </c>
      <c r="F290" s="215">
        <v>36153.620000000003</v>
      </c>
      <c r="G290" s="215">
        <f t="shared" si="45"/>
        <v>3.3165797628968985E-3</v>
      </c>
      <c r="H290" s="215">
        <f t="shared" si="40"/>
        <v>1.5800284405131926E-4</v>
      </c>
      <c r="I290" s="231">
        <v>716667</v>
      </c>
      <c r="K290" s="230">
        <v>43508</v>
      </c>
      <c r="L290" s="1">
        <v>255.65</v>
      </c>
      <c r="M290" s="1">
        <v>251.215556196519</v>
      </c>
      <c r="N290" s="1">
        <v>31203</v>
      </c>
      <c r="O290" s="1">
        <v>36153.620000000003</v>
      </c>
      <c r="P290" s="215">
        <f t="shared" si="46"/>
        <v>3.3165797628968985E-3</v>
      </c>
      <c r="Q290" s="215">
        <f t="shared" si="41"/>
        <v>3.3555690317364162E-2</v>
      </c>
      <c r="R290" s="231">
        <v>7838679</v>
      </c>
      <c r="T290" s="230">
        <v>43508</v>
      </c>
      <c r="U290" s="1">
        <v>86.05</v>
      </c>
      <c r="V290" s="1">
        <v>85.851526697452201</v>
      </c>
      <c r="W290" s="1">
        <v>56953</v>
      </c>
      <c r="X290" s="1">
        <v>36153.620000000003</v>
      </c>
      <c r="Y290" s="215">
        <f t="shared" si="47"/>
        <v>3.3165797628968985E-3</v>
      </c>
      <c r="Z290" s="215">
        <f t="shared" si="42"/>
        <v>-5.2023121387283489E-3</v>
      </c>
      <c r="AA290" s="231">
        <v>4889502</v>
      </c>
      <c r="AC290" s="230">
        <v>43510</v>
      </c>
      <c r="AD290" s="1">
        <v>45.55</v>
      </c>
      <c r="AE290" s="1">
        <v>45.766986998304098</v>
      </c>
      <c r="AF290" s="1">
        <v>8845</v>
      </c>
      <c r="AG290" s="1">
        <v>35876.22</v>
      </c>
      <c r="AH290" s="215">
        <f t="shared" si="48"/>
        <v>1.8785806341712341E-3</v>
      </c>
      <c r="AI290" s="215">
        <f t="shared" si="43"/>
        <v>2.3595505617977519E-2</v>
      </c>
      <c r="AJ290" s="231">
        <v>404809</v>
      </c>
      <c r="AL290" s="230">
        <v>44775</v>
      </c>
      <c r="AM290" s="1">
        <v>310.05</v>
      </c>
      <c r="AN290" s="1">
        <v>310.88418079095999</v>
      </c>
      <c r="AO290" s="1">
        <v>6018</v>
      </c>
      <c r="AP290" s="1">
        <v>58136.36</v>
      </c>
      <c r="AQ290" s="215">
        <f t="shared" si="49"/>
        <v>-3.6704036792810646E-3</v>
      </c>
      <c r="AR290" s="215">
        <f t="shared" si="44"/>
        <v>1.6224188790560534E-2</v>
      </c>
      <c r="AS290" s="231">
        <v>1870901</v>
      </c>
    </row>
    <row r="291" spans="2:45">
      <c r="B291" s="230">
        <v>43509</v>
      </c>
      <c r="C291" s="1">
        <v>316.45</v>
      </c>
      <c r="D291" s="1">
        <v>318.06570302233899</v>
      </c>
      <c r="E291" s="1">
        <v>761</v>
      </c>
      <c r="F291" s="215">
        <v>36034.11</v>
      </c>
      <c r="G291" s="215">
        <f t="shared" si="45"/>
        <v>4.4009653190888454E-3</v>
      </c>
      <c r="H291" s="215">
        <f t="shared" si="40"/>
        <v>1.424050632911289E-3</v>
      </c>
      <c r="I291" s="231">
        <v>242048</v>
      </c>
      <c r="K291" s="230">
        <v>43509</v>
      </c>
      <c r="L291" s="1">
        <v>247.35</v>
      </c>
      <c r="M291" s="1">
        <v>252.59279107326299</v>
      </c>
      <c r="N291" s="1">
        <v>13622</v>
      </c>
      <c r="O291" s="1">
        <v>36034.11</v>
      </c>
      <c r="P291" s="215">
        <f t="shared" si="46"/>
        <v>4.4009653190888454E-3</v>
      </c>
      <c r="Q291" s="215">
        <f t="shared" si="41"/>
        <v>8.0922516690273838E-4</v>
      </c>
      <c r="R291" s="231">
        <v>3440819</v>
      </c>
      <c r="T291" s="230">
        <v>43509</v>
      </c>
      <c r="U291" s="1">
        <v>86.5</v>
      </c>
      <c r="V291" s="1">
        <v>86.492223599684394</v>
      </c>
      <c r="W291" s="1">
        <v>53238</v>
      </c>
      <c r="X291" s="1">
        <v>36034.11</v>
      </c>
      <c r="Y291" s="215">
        <f t="shared" si="47"/>
        <v>4.4009653190888454E-3</v>
      </c>
      <c r="Z291" s="215">
        <f t="shared" si="42"/>
        <v>2.6706231454005858E-2</v>
      </c>
      <c r="AA291" s="231">
        <v>4604673</v>
      </c>
      <c r="AC291" s="230">
        <v>43511</v>
      </c>
      <c r="AD291" s="1">
        <v>44.5</v>
      </c>
      <c r="AE291" s="1">
        <v>45.206954867350099</v>
      </c>
      <c r="AF291" s="1">
        <v>9461</v>
      </c>
      <c r="AG291" s="1">
        <v>35808.949999999997</v>
      </c>
      <c r="AH291" s="215">
        <f t="shared" si="48"/>
        <v>8.7471449449607608E-3</v>
      </c>
      <c r="AI291" s="215">
        <f t="shared" si="43"/>
        <v>3.8506417736289267E-2</v>
      </c>
      <c r="AJ291" s="231">
        <v>427703</v>
      </c>
      <c r="AL291" s="230">
        <v>44776</v>
      </c>
      <c r="AM291" s="1">
        <v>305.10000000000002</v>
      </c>
      <c r="AN291" s="1">
        <v>304.41151643050898</v>
      </c>
      <c r="AO291" s="1">
        <v>9951</v>
      </c>
      <c r="AP291" s="1">
        <v>58350.53</v>
      </c>
      <c r="AQ291" s="215">
        <f t="shared" si="49"/>
        <v>8.8732529657553627E-4</v>
      </c>
      <c r="AR291" s="215">
        <f t="shared" si="44"/>
        <v>1.3789666057484773E-2</v>
      </c>
      <c r="AS291" s="231">
        <v>3029199</v>
      </c>
    </row>
    <row r="292" spans="2:45">
      <c r="B292" s="230">
        <v>43510</v>
      </c>
      <c r="C292" s="1">
        <v>316</v>
      </c>
      <c r="D292" s="1">
        <v>312.67383512544802</v>
      </c>
      <c r="E292" s="1">
        <v>837</v>
      </c>
      <c r="F292" s="215">
        <v>35876.22</v>
      </c>
      <c r="G292" s="215">
        <f t="shared" si="45"/>
        <v>1.8785806341712341E-3</v>
      </c>
      <c r="H292" s="215">
        <f t="shared" si="40"/>
        <v>-1.5797788309637184E-3</v>
      </c>
      <c r="I292" s="231">
        <v>261708</v>
      </c>
      <c r="K292" s="230">
        <v>43510</v>
      </c>
      <c r="L292" s="1">
        <v>247.15</v>
      </c>
      <c r="M292" s="1">
        <v>243.19746568109801</v>
      </c>
      <c r="N292" s="1">
        <v>6629</v>
      </c>
      <c r="O292" s="1">
        <v>35876.22</v>
      </c>
      <c r="P292" s="215">
        <f t="shared" si="46"/>
        <v>1.8785806341712341E-3</v>
      </c>
      <c r="Q292" s="215">
        <f t="shared" si="41"/>
        <v>-1.592673700975511E-2</v>
      </c>
      <c r="R292" s="231">
        <v>1612156</v>
      </c>
      <c r="T292" s="230">
        <v>43510</v>
      </c>
      <c r="U292" s="1">
        <v>84.25</v>
      </c>
      <c r="V292" s="1">
        <v>84.899048062195803</v>
      </c>
      <c r="W292" s="1">
        <v>51579</v>
      </c>
      <c r="X292" s="1">
        <v>35876.22</v>
      </c>
      <c r="Y292" s="215">
        <f t="shared" si="47"/>
        <v>1.8785806341712341E-3</v>
      </c>
      <c r="Z292" s="215">
        <f t="shared" si="42"/>
        <v>-8.2401412595645152E-3</v>
      </c>
      <c r="AA292" s="231">
        <v>4379008</v>
      </c>
      <c r="AC292" s="230">
        <v>43514</v>
      </c>
      <c r="AD292" s="1">
        <v>42.85</v>
      </c>
      <c r="AE292" s="1">
        <v>43.123356293049397</v>
      </c>
      <c r="AF292" s="1">
        <v>1597</v>
      </c>
      <c r="AG292" s="1">
        <v>35498.44</v>
      </c>
      <c r="AH292" s="215">
        <f t="shared" si="48"/>
        <v>4.1250136835724316E-3</v>
      </c>
      <c r="AI292" s="215">
        <f t="shared" si="43"/>
        <v>-1.2672811059907807E-2</v>
      </c>
      <c r="AJ292" s="231">
        <v>68868</v>
      </c>
      <c r="AL292" s="230">
        <v>44777</v>
      </c>
      <c r="AM292" s="1">
        <v>300.95</v>
      </c>
      <c r="AN292" s="1">
        <v>301.541149130539</v>
      </c>
      <c r="AO292" s="1">
        <v>24958</v>
      </c>
      <c r="AP292" s="1">
        <v>58298.8</v>
      </c>
      <c r="AQ292" s="215">
        <f t="shared" si="49"/>
        <v>-1.5265141271492144E-3</v>
      </c>
      <c r="AR292" s="215">
        <f t="shared" si="44"/>
        <v>8.3139341536409006E-4</v>
      </c>
      <c r="AS292" s="231">
        <v>7525864</v>
      </c>
    </row>
    <row r="293" spans="2:45">
      <c r="B293" s="230">
        <v>43511</v>
      </c>
      <c r="C293" s="1">
        <v>316.5</v>
      </c>
      <c r="D293" s="1">
        <v>311.59816513761399</v>
      </c>
      <c r="E293" s="1">
        <v>4360</v>
      </c>
      <c r="F293" s="215">
        <v>35808.949999999997</v>
      </c>
      <c r="G293" s="215">
        <f t="shared" si="45"/>
        <v>8.7471449449607608E-3</v>
      </c>
      <c r="H293" s="215">
        <f t="shared" si="40"/>
        <v>2.5101214574898778E-2</v>
      </c>
      <c r="I293" s="231">
        <v>1358568</v>
      </c>
      <c r="K293" s="230">
        <v>43511</v>
      </c>
      <c r="L293" s="1">
        <v>251.15</v>
      </c>
      <c r="M293" s="1">
        <v>250.77836895697601</v>
      </c>
      <c r="N293" s="1">
        <v>10901</v>
      </c>
      <c r="O293" s="1">
        <v>35808.949999999997</v>
      </c>
      <c r="P293" s="215">
        <f t="shared" si="46"/>
        <v>8.7471449449607608E-3</v>
      </c>
      <c r="Q293" s="215">
        <f t="shared" si="41"/>
        <v>2.3014256619144691E-2</v>
      </c>
      <c r="R293" s="231">
        <v>2733735</v>
      </c>
      <c r="T293" s="230">
        <v>43511</v>
      </c>
      <c r="U293" s="1">
        <v>84.95</v>
      </c>
      <c r="V293" s="1">
        <v>85.043562961120699</v>
      </c>
      <c r="W293" s="1">
        <v>24126</v>
      </c>
      <c r="X293" s="1">
        <v>35808.949999999997</v>
      </c>
      <c r="Y293" s="215">
        <f t="shared" si="47"/>
        <v>8.7471449449607608E-3</v>
      </c>
      <c r="Z293" s="215">
        <f t="shared" si="42"/>
        <v>-5.8823529411766717E-4</v>
      </c>
      <c r="AA293" s="231">
        <v>2051761</v>
      </c>
      <c r="AC293" s="230">
        <v>43515</v>
      </c>
      <c r="AD293" s="1">
        <v>43.4</v>
      </c>
      <c r="AE293" s="1">
        <v>43.891445003594498</v>
      </c>
      <c r="AF293" s="1">
        <v>4173</v>
      </c>
      <c r="AG293" s="1">
        <v>35352.61</v>
      </c>
      <c r="AH293" s="215">
        <f t="shared" si="48"/>
        <v>-1.1288932343595293E-2</v>
      </c>
      <c r="AI293" s="215">
        <f t="shared" si="43"/>
        <v>0</v>
      </c>
      <c r="AJ293" s="231">
        <v>183159</v>
      </c>
      <c r="AL293" s="230">
        <v>44778</v>
      </c>
      <c r="AM293" s="1">
        <v>300.7</v>
      </c>
      <c r="AN293" s="1">
        <v>300.877814448111</v>
      </c>
      <c r="AO293" s="1">
        <v>13635</v>
      </c>
      <c r="AP293" s="1">
        <v>58387.93</v>
      </c>
      <c r="AQ293" s="215">
        <f t="shared" si="49"/>
        <v>-7.9034109860368629E-3</v>
      </c>
      <c r="AR293" s="215">
        <f t="shared" si="44"/>
        <v>-1.1625975751536899E-3</v>
      </c>
      <c r="AS293" s="231">
        <v>4102469</v>
      </c>
    </row>
    <row r="294" spans="2:45">
      <c r="B294" s="230">
        <v>43514</v>
      </c>
      <c r="C294" s="1">
        <v>308.75</v>
      </c>
      <c r="D294" s="1">
        <v>312.72263588979803</v>
      </c>
      <c r="E294" s="1">
        <v>2686</v>
      </c>
      <c r="F294" s="215">
        <v>35498.44</v>
      </c>
      <c r="G294" s="215">
        <f t="shared" si="45"/>
        <v>4.1250136835724316E-3</v>
      </c>
      <c r="H294" s="215">
        <f t="shared" si="40"/>
        <v>1.1348897535667923E-3</v>
      </c>
      <c r="I294" s="231">
        <v>839973</v>
      </c>
      <c r="K294" s="230">
        <v>43514</v>
      </c>
      <c r="L294" s="1">
        <v>245.5</v>
      </c>
      <c r="M294" s="1">
        <v>248.53522193607</v>
      </c>
      <c r="N294" s="1">
        <v>6601</v>
      </c>
      <c r="O294" s="1">
        <v>35498.44</v>
      </c>
      <c r="P294" s="215">
        <f t="shared" si="46"/>
        <v>4.1250136835724316E-3</v>
      </c>
      <c r="Q294" s="215">
        <f t="shared" si="41"/>
        <v>-1.8588846691984795E-2</v>
      </c>
      <c r="R294" s="231">
        <v>1640581</v>
      </c>
      <c r="T294" s="230">
        <v>43514</v>
      </c>
      <c r="U294" s="1">
        <v>85</v>
      </c>
      <c r="V294" s="1">
        <v>85.0078237928211</v>
      </c>
      <c r="W294" s="1">
        <v>98929</v>
      </c>
      <c r="X294" s="1">
        <v>35498.44</v>
      </c>
      <c r="Y294" s="215">
        <f t="shared" si="47"/>
        <v>4.1250136835724316E-3</v>
      </c>
      <c r="Z294" s="215">
        <f t="shared" si="42"/>
        <v>-2.3474178403756207E-3</v>
      </c>
      <c r="AA294" s="231">
        <v>8409739</v>
      </c>
      <c r="AC294" s="230">
        <v>43516</v>
      </c>
      <c r="AD294" s="1">
        <v>43.4</v>
      </c>
      <c r="AE294" s="1">
        <v>43.276145710928297</v>
      </c>
      <c r="AF294" s="1">
        <v>851</v>
      </c>
      <c r="AG294" s="1">
        <v>35756.26</v>
      </c>
      <c r="AH294" s="215">
        <f t="shared" si="48"/>
        <v>-3.9581206378564993E-3</v>
      </c>
      <c r="AI294" s="215">
        <f t="shared" si="43"/>
        <v>-1.9209039548022666E-2</v>
      </c>
      <c r="AJ294" s="231">
        <v>36828</v>
      </c>
      <c r="AL294" s="230">
        <v>44781</v>
      </c>
      <c r="AM294" s="1">
        <v>301.05</v>
      </c>
      <c r="AN294" s="1">
        <v>301.69500090236397</v>
      </c>
      <c r="AO294" s="1">
        <v>5541</v>
      </c>
      <c r="AP294" s="1">
        <v>58853.07</v>
      </c>
      <c r="AQ294" s="215">
        <f t="shared" si="49"/>
        <v>6.0832452498238432E-4</v>
      </c>
      <c r="AR294" s="215">
        <f t="shared" si="44"/>
        <v>-6.6390041493769036E-4</v>
      </c>
      <c r="AS294" s="231">
        <v>1671692</v>
      </c>
    </row>
    <row r="295" spans="2:45">
      <c r="B295" s="230">
        <v>43515</v>
      </c>
      <c r="C295" s="1">
        <v>308.39999999999998</v>
      </c>
      <c r="D295" s="1">
        <v>309.125817622162</v>
      </c>
      <c r="E295" s="1">
        <v>2599</v>
      </c>
      <c r="F295" s="215">
        <v>35352.61</v>
      </c>
      <c r="G295" s="215">
        <f t="shared" si="45"/>
        <v>-1.1288932343595293E-2</v>
      </c>
      <c r="H295" s="215">
        <f t="shared" si="40"/>
        <v>-1.2962073931829132E-2</v>
      </c>
      <c r="I295" s="231">
        <v>803418</v>
      </c>
      <c r="K295" s="230">
        <v>43515</v>
      </c>
      <c r="L295" s="1">
        <v>250.15</v>
      </c>
      <c r="M295" s="1">
        <v>251.02115685995099</v>
      </c>
      <c r="N295" s="1">
        <v>14038</v>
      </c>
      <c r="O295" s="1">
        <v>35352.61</v>
      </c>
      <c r="P295" s="215">
        <f t="shared" si="46"/>
        <v>-1.1288932343595293E-2</v>
      </c>
      <c r="Q295" s="215">
        <f t="shared" si="41"/>
        <v>-1.6125860373647938E-2</v>
      </c>
      <c r="R295" s="231">
        <v>3523835</v>
      </c>
      <c r="T295" s="230">
        <v>43515</v>
      </c>
      <c r="U295" s="1">
        <v>85.2</v>
      </c>
      <c r="V295" s="1">
        <v>85.179754273504201</v>
      </c>
      <c r="W295" s="1">
        <v>22464</v>
      </c>
      <c r="X295" s="1">
        <v>35352.61</v>
      </c>
      <c r="Y295" s="215">
        <f t="shared" si="47"/>
        <v>-1.1288932343595293E-2</v>
      </c>
      <c r="Z295" s="215">
        <f t="shared" si="42"/>
        <v>-4.054054054054046E-2</v>
      </c>
      <c r="AA295" s="231">
        <v>1913478</v>
      </c>
      <c r="AC295" s="230">
        <v>43517</v>
      </c>
      <c r="AD295" s="1">
        <v>44.25</v>
      </c>
      <c r="AE295" s="1">
        <v>43.992647058823501</v>
      </c>
      <c r="AF295" s="1">
        <v>1768</v>
      </c>
      <c r="AG295" s="1">
        <v>35898.35</v>
      </c>
      <c r="AH295" s="215">
        <f t="shared" si="48"/>
        <v>7.4906304395572221E-4</v>
      </c>
      <c r="AI295" s="215">
        <f t="shared" si="43"/>
        <v>-5.6179775280899014E-3</v>
      </c>
      <c r="AJ295" s="231">
        <v>77779</v>
      </c>
      <c r="AL295" s="230">
        <v>44783</v>
      </c>
      <c r="AM295" s="1">
        <v>301.25</v>
      </c>
      <c r="AN295" s="1">
        <v>301.27478134110697</v>
      </c>
      <c r="AO295" s="1">
        <v>4116</v>
      </c>
      <c r="AP295" s="1">
        <v>58817.29</v>
      </c>
      <c r="AQ295" s="215">
        <f t="shared" si="49"/>
        <v>-8.6851073440232796E-3</v>
      </c>
      <c r="AR295" s="215">
        <f t="shared" si="44"/>
        <v>1.2434884893295139E-2</v>
      </c>
      <c r="AS295" s="231">
        <v>1240047</v>
      </c>
    </row>
    <row r="296" spans="2:45">
      <c r="B296" s="230">
        <v>43516</v>
      </c>
      <c r="C296" s="1">
        <v>312.45</v>
      </c>
      <c r="D296" s="1">
        <v>309.52825112107598</v>
      </c>
      <c r="E296" s="1">
        <v>2230</v>
      </c>
      <c r="F296" s="215">
        <v>35756.26</v>
      </c>
      <c r="G296" s="215">
        <f t="shared" si="45"/>
        <v>-3.9581206378564993E-3</v>
      </c>
      <c r="H296" s="215">
        <f t="shared" si="40"/>
        <v>-1.4353312302839205E-2</v>
      </c>
      <c r="I296" s="231">
        <v>690248</v>
      </c>
      <c r="K296" s="230">
        <v>43516</v>
      </c>
      <c r="L296" s="1">
        <v>254.25</v>
      </c>
      <c r="M296" s="1">
        <v>257.03197108701602</v>
      </c>
      <c r="N296" s="1">
        <v>7194</v>
      </c>
      <c r="O296" s="1">
        <v>35756.26</v>
      </c>
      <c r="P296" s="215">
        <f t="shared" si="46"/>
        <v>-3.9581206378564993E-3</v>
      </c>
      <c r="Q296" s="215">
        <f t="shared" si="41"/>
        <v>-1.1785503830289423E-3</v>
      </c>
      <c r="R296" s="231">
        <v>1849088</v>
      </c>
      <c r="T296" s="230">
        <v>43516</v>
      </c>
      <c r="U296" s="1">
        <v>88.8</v>
      </c>
      <c r="V296" s="1">
        <v>88.1802983956551</v>
      </c>
      <c r="W296" s="1">
        <v>80095</v>
      </c>
      <c r="X296" s="1">
        <v>35756.26</v>
      </c>
      <c r="Y296" s="215">
        <f t="shared" si="47"/>
        <v>-3.9581206378564993E-3</v>
      </c>
      <c r="Z296" s="215">
        <f t="shared" si="42"/>
        <v>-2.2471910112359383E-3</v>
      </c>
      <c r="AA296" s="231">
        <v>7062801</v>
      </c>
      <c r="AC296" s="230">
        <v>43518</v>
      </c>
      <c r="AD296" s="1">
        <v>44.5</v>
      </c>
      <c r="AE296" s="1">
        <v>44.154772624943703</v>
      </c>
      <c r="AF296" s="1">
        <v>17768</v>
      </c>
      <c r="AG296" s="1">
        <v>35871.480000000003</v>
      </c>
      <c r="AH296" s="215">
        <f t="shared" si="48"/>
        <v>-9.4412617656787212E-3</v>
      </c>
      <c r="AI296" s="215">
        <f t="shared" si="43"/>
        <v>-1.0011123470522909E-2</v>
      </c>
      <c r="AJ296" s="231">
        <v>784542</v>
      </c>
      <c r="AL296" s="230">
        <v>44784</v>
      </c>
      <c r="AM296" s="1">
        <v>297.55</v>
      </c>
      <c r="AN296" s="1">
        <v>302.62173668943501</v>
      </c>
      <c r="AO296" s="1">
        <v>21374</v>
      </c>
      <c r="AP296" s="1">
        <v>59332.6</v>
      </c>
      <c r="AQ296" s="215">
        <f t="shared" si="49"/>
        <v>-2.1892686483880874E-3</v>
      </c>
      <c r="AR296" s="215">
        <f t="shared" si="44"/>
        <v>-2.681414446120356E-3</v>
      </c>
      <c r="AS296" s="231">
        <v>6468237</v>
      </c>
    </row>
    <row r="297" spans="2:45">
      <c r="B297" s="230">
        <v>43517</v>
      </c>
      <c r="C297" s="1">
        <v>317</v>
      </c>
      <c r="D297" s="1">
        <v>314.70889487870602</v>
      </c>
      <c r="E297" s="1">
        <v>371</v>
      </c>
      <c r="F297" s="215">
        <v>35898.35</v>
      </c>
      <c r="G297" s="215">
        <f t="shared" si="45"/>
        <v>7.4906304395572221E-4</v>
      </c>
      <c r="H297" s="215">
        <f t="shared" si="40"/>
        <v>2.847200253084381E-3</v>
      </c>
      <c r="I297" s="231">
        <v>116757</v>
      </c>
      <c r="K297" s="230">
        <v>43517</v>
      </c>
      <c r="L297" s="1">
        <v>254.55</v>
      </c>
      <c r="M297" s="1">
        <v>254.53248587570599</v>
      </c>
      <c r="N297" s="1">
        <v>10620</v>
      </c>
      <c r="O297" s="1">
        <v>35898.35</v>
      </c>
      <c r="P297" s="215">
        <f t="shared" si="46"/>
        <v>7.4906304395572221E-4</v>
      </c>
      <c r="Q297" s="215">
        <f t="shared" si="41"/>
        <v>-2.0019249278152018E-2</v>
      </c>
      <c r="R297" s="231">
        <v>2703135</v>
      </c>
      <c r="T297" s="230">
        <v>43517</v>
      </c>
      <c r="U297" s="1">
        <v>89</v>
      </c>
      <c r="V297" s="1">
        <v>89.501108797589396</v>
      </c>
      <c r="W297" s="1">
        <v>59073</v>
      </c>
      <c r="X297" s="1">
        <v>35898.35</v>
      </c>
      <c r="Y297" s="215">
        <f t="shared" si="47"/>
        <v>7.4906304395572221E-4</v>
      </c>
      <c r="Z297" s="215">
        <f t="shared" si="42"/>
        <v>5.6211354693647131E-4</v>
      </c>
      <c r="AA297" s="231">
        <v>5287099</v>
      </c>
      <c r="AC297" s="230">
        <v>43521</v>
      </c>
      <c r="AD297" s="1">
        <v>44.95</v>
      </c>
      <c r="AE297" s="1">
        <v>44.278495887191497</v>
      </c>
      <c r="AF297" s="1">
        <v>851</v>
      </c>
      <c r="AG297" s="1">
        <v>36213.379999999997</v>
      </c>
      <c r="AH297" s="215">
        <f t="shared" si="48"/>
        <v>6.6623653773825176E-3</v>
      </c>
      <c r="AI297" s="215">
        <f t="shared" si="43"/>
        <v>4.1714947856315243E-2</v>
      </c>
      <c r="AJ297" s="231">
        <v>37681</v>
      </c>
      <c r="AL297" s="230">
        <v>44785</v>
      </c>
      <c r="AM297" s="1">
        <v>298.35000000000002</v>
      </c>
      <c r="AN297" s="1">
        <v>300.338447653429</v>
      </c>
      <c r="AO297" s="1">
        <v>18836</v>
      </c>
      <c r="AP297" s="1">
        <v>59462.78</v>
      </c>
      <c r="AQ297" s="215">
        <f t="shared" si="49"/>
        <v>-6.3405078121279157E-3</v>
      </c>
      <c r="AR297" s="215">
        <f t="shared" si="44"/>
        <v>-5.0025012506252908E-3</v>
      </c>
      <c r="AS297" s="231">
        <v>5657175</v>
      </c>
    </row>
    <row r="298" spans="2:45">
      <c r="B298" s="230">
        <v>43518</v>
      </c>
      <c r="C298" s="1">
        <v>316.10000000000002</v>
      </c>
      <c r="D298" s="1">
        <v>314.26337448559599</v>
      </c>
      <c r="E298" s="1">
        <v>243</v>
      </c>
      <c r="F298" s="215">
        <v>35871.480000000003</v>
      </c>
      <c r="G298" s="215">
        <f t="shared" si="45"/>
        <v>-9.4412617656787212E-3</v>
      </c>
      <c r="H298" s="215">
        <f t="shared" si="40"/>
        <v>-1.2187499999999907E-2</v>
      </c>
      <c r="I298" s="231">
        <v>76366</v>
      </c>
      <c r="K298" s="230">
        <v>43518</v>
      </c>
      <c r="L298" s="1">
        <v>259.75</v>
      </c>
      <c r="M298" s="1">
        <v>260.93854235062298</v>
      </c>
      <c r="N298" s="1">
        <v>30460</v>
      </c>
      <c r="O298" s="1">
        <v>35871.480000000003</v>
      </c>
      <c r="P298" s="215">
        <f t="shared" si="46"/>
        <v>-9.4412617656787212E-3</v>
      </c>
      <c r="Q298" s="215">
        <f t="shared" si="41"/>
        <v>6.0030983733541099E-3</v>
      </c>
      <c r="R298" s="231">
        <v>7948188</v>
      </c>
      <c r="T298" s="230">
        <v>43518</v>
      </c>
      <c r="U298" s="1">
        <v>88.95</v>
      </c>
      <c r="V298" s="1">
        <v>88.723303122844996</v>
      </c>
      <c r="W298" s="1">
        <v>81208</v>
      </c>
      <c r="X298" s="1">
        <v>35871.480000000003</v>
      </c>
      <c r="Y298" s="215">
        <f t="shared" si="47"/>
        <v>-9.4412617656787212E-3</v>
      </c>
      <c r="Z298" s="215">
        <f t="shared" si="42"/>
        <v>-6.3191153238546627E-2</v>
      </c>
      <c r="AA298" s="231">
        <v>7205042</v>
      </c>
      <c r="AC298" s="230">
        <v>43522</v>
      </c>
      <c r="AD298" s="1">
        <v>43.15</v>
      </c>
      <c r="AE298" s="1">
        <v>43.8161350844277</v>
      </c>
      <c r="AF298" s="1">
        <v>2665</v>
      </c>
      <c r="AG298" s="1">
        <v>35973.71</v>
      </c>
      <c r="AH298" s="215">
        <f t="shared" si="48"/>
        <v>1.9016622276908368E-3</v>
      </c>
      <c r="AI298" s="215">
        <f t="shared" si="43"/>
        <v>-3.7904124860646649E-2</v>
      </c>
      <c r="AJ298" s="231">
        <v>116770</v>
      </c>
      <c r="AL298" s="230">
        <v>44789</v>
      </c>
      <c r="AM298" s="1">
        <v>299.85000000000002</v>
      </c>
      <c r="AN298" s="1">
        <v>299.51795084230798</v>
      </c>
      <c r="AO298" s="1">
        <v>14484</v>
      </c>
      <c r="AP298" s="1">
        <v>59842.21</v>
      </c>
      <c r="AQ298" s="215">
        <f t="shared" si="49"/>
        <v>-6.9352654898022781E-3</v>
      </c>
      <c r="AR298" s="215">
        <f t="shared" si="44"/>
        <v>-3.3239155725444114E-3</v>
      </c>
      <c r="AS298" s="231">
        <v>4338218</v>
      </c>
    </row>
    <row r="299" spans="2:45">
      <c r="B299" s="230">
        <v>43521</v>
      </c>
      <c r="C299" s="1">
        <v>320</v>
      </c>
      <c r="D299" s="1">
        <v>320.01526717557198</v>
      </c>
      <c r="E299" s="1">
        <v>393</v>
      </c>
      <c r="F299" s="215">
        <v>36213.379999999997</v>
      </c>
      <c r="G299" s="215">
        <f t="shared" si="45"/>
        <v>6.6623653773825176E-3</v>
      </c>
      <c r="H299" s="215">
        <f t="shared" si="40"/>
        <v>2.5062656641603454E-3</v>
      </c>
      <c r="I299" s="231">
        <v>125766</v>
      </c>
      <c r="K299" s="230">
        <v>43521</v>
      </c>
      <c r="L299" s="1">
        <v>258.2</v>
      </c>
      <c r="M299" s="1">
        <v>258.66652006597002</v>
      </c>
      <c r="N299" s="1">
        <v>9095</v>
      </c>
      <c r="O299" s="1">
        <v>36213.379999999997</v>
      </c>
      <c r="P299" s="215">
        <f t="shared" si="46"/>
        <v>6.6623653773825176E-3</v>
      </c>
      <c r="Q299" s="215">
        <f t="shared" si="41"/>
        <v>2.5009924573243358E-2</v>
      </c>
      <c r="R299" s="231">
        <v>2352572</v>
      </c>
      <c r="T299" s="230">
        <v>43521</v>
      </c>
      <c r="U299" s="1">
        <v>94.95</v>
      </c>
      <c r="V299" s="1">
        <v>93.739387902166001</v>
      </c>
      <c r="W299" s="1">
        <v>235910</v>
      </c>
      <c r="X299" s="1">
        <v>36213.379999999997</v>
      </c>
      <c r="Y299" s="215">
        <f t="shared" si="47"/>
        <v>6.6623653773825176E-3</v>
      </c>
      <c r="Z299" s="215">
        <f t="shared" si="42"/>
        <v>4.0547945205479552E-2</v>
      </c>
      <c r="AA299" s="231">
        <v>22114059</v>
      </c>
      <c r="AC299" s="230">
        <v>43523</v>
      </c>
      <c r="AD299" s="1">
        <v>44.85</v>
      </c>
      <c r="AE299" s="1">
        <v>44.0080704328686</v>
      </c>
      <c r="AF299" s="1">
        <v>2726</v>
      </c>
      <c r="AG299" s="1">
        <v>35905.43</v>
      </c>
      <c r="AH299" s="215">
        <f t="shared" si="48"/>
        <v>1.0591779062012474E-3</v>
      </c>
      <c r="AI299" s="215">
        <f t="shared" si="43"/>
        <v>4.3023255813953609E-2</v>
      </c>
      <c r="AJ299" s="231">
        <v>119966</v>
      </c>
      <c r="AL299" s="230">
        <v>44790</v>
      </c>
      <c r="AM299" s="1">
        <v>300.85000000000002</v>
      </c>
      <c r="AN299" s="1">
        <v>301.28582385274098</v>
      </c>
      <c r="AO299" s="1">
        <v>15646</v>
      </c>
      <c r="AP299" s="1">
        <v>60260.13</v>
      </c>
      <c r="AQ299" s="215">
        <f t="shared" si="49"/>
        <v>-6.2804736475507994E-4</v>
      </c>
      <c r="AR299" s="215">
        <f t="shared" si="44"/>
        <v>-3.3129037601458133E-3</v>
      </c>
      <c r="AS299" s="231">
        <v>4713918</v>
      </c>
    </row>
    <row r="300" spans="2:45">
      <c r="B300" s="230">
        <v>43522</v>
      </c>
      <c r="C300" s="1">
        <v>319.2</v>
      </c>
      <c r="D300" s="1">
        <v>319.80790960451901</v>
      </c>
      <c r="E300" s="1">
        <v>531</v>
      </c>
      <c r="F300" s="215">
        <v>35973.71</v>
      </c>
      <c r="G300" s="215">
        <f t="shared" si="45"/>
        <v>1.9016622276908368E-3</v>
      </c>
      <c r="H300" s="215">
        <f t="shared" si="40"/>
        <v>5.6710775047259521E-3</v>
      </c>
      <c r="I300" s="231">
        <v>169818</v>
      </c>
      <c r="K300" s="230">
        <v>43522</v>
      </c>
      <c r="L300" s="1">
        <v>251.9</v>
      </c>
      <c r="M300" s="1">
        <v>252.64984196916001</v>
      </c>
      <c r="N300" s="1">
        <v>10441</v>
      </c>
      <c r="O300" s="1">
        <v>35973.71</v>
      </c>
      <c r="P300" s="215">
        <f t="shared" si="46"/>
        <v>1.9016622276908368E-3</v>
      </c>
      <c r="Q300" s="215">
        <f t="shared" si="41"/>
        <v>4.3859649122806044E-3</v>
      </c>
      <c r="R300" s="231">
        <v>2637917</v>
      </c>
      <c r="T300" s="230">
        <v>43522</v>
      </c>
      <c r="U300" s="1">
        <v>91.25</v>
      </c>
      <c r="V300" s="1">
        <v>91.723526615969504</v>
      </c>
      <c r="W300" s="1">
        <v>84160</v>
      </c>
      <c r="X300" s="1">
        <v>35973.71</v>
      </c>
      <c r="Y300" s="215">
        <f t="shared" si="47"/>
        <v>1.9016622276908368E-3</v>
      </c>
      <c r="Z300" s="215">
        <f t="shared" si="42"/>
        <v>1.2763596004439659E-2</v>
      </c>
      <c r="AA300" s="231">
        <v>7719452</v>
      </c>
      <c r="AC300" s="230">
        <v>43524</v>
      </c>
      <c r="AD300" s="1">
        <v>43</v>
      </c>
      <c r="AE300" s="1">
        <v>42.996579247434397</v>
      </c>
      <c r="AF300" s="1">
        <v>1754</v>
      </c>
      <c r="AG300" s="1">
        <v>35867.440000000002</v>
      </c>
      <c r="AH300" s="215">
        <f t="shared" si="48"/>
        <v>-5.4450708341685639E-3</v>
      </c>
      <c r="AI300" s="215">
        <f t="shared" si="43"/>
        <v>-6.9284064665126044E-3</v>
      </c>
      <c r="AJ300" s="231">
        <v>75416</v>
      </c>
      <c r="AL300" s="230">
        <v>44791</v>
      </c>
      <c r="AM300" s="1">
        <v>301.85000000000002</v>
      </c>
      <c r="AN300" s="1">
        <v>300.264502677731</v>
      </c>
      <c r="AO300" s="1">
        <v>24461</v>
      </c>
      <c r="AP300" s="1">
        <v>60298</v>
      </c>
      <c r="AQ300" s="215">
        <f t="shared" si="49"/>
        <v>1.0928618192456607E-2</v>
      </c>
      <c r="AR300" s="215">
        <f t="shared" si="44"/>
        <v>8.3514280942040831E-3</v>
      </c>
      <c r="AS300" s="231">
        <v>7344770</v>
      </c>
    </row>
    <row r="301" spans="2:45">
      <c r="B301" s="230">
        <v>43523</v>
      </c>
      <c r="C301" s="1">
        <v>317.39999999999998</v>
      </c>
      <c r="D301" s="1">
        <v>318.74806201550302</v>
      </c>
      <c r="E301" s="1">
        <v>774</v>
      </c>
      <c r="F301" s="215">
        <v>35905.43</v>
      </c>
      <c r="G301" s="215">
        <f t="shared" si="45"/>
        <v>1.0591779062012474E-3</v>
      </c>
      <c r="H301" s="215">
        <f t="shared" si="40"/>
        <v>-7.8702974972455486E-4</v>
      </c>
      <c r="I301" s="231">
        <v>246711</v>
      </c>
      <c r="K301" s="230">
        <v>43523</v>
      </c>
      <c r="L301" s="1">
        <v>250.8</v>
      </c>
      <c r="M301" s="1">
        <v>256.11749944233702</v>
      </c>
      <c r="N301" s="1">
        <v>17932</v>
      </c>
      <c r="O301" s="1">
        <v>35905.43</v>
      </c>
      <c r="P301" s="215">
        <f t="shared" si="46"/>
        <v>1.0591779062012474E-3</v>
      </c>
      <c r="Q301" s="215">
        <f t="shared" si="41"/>
        <v>6.21865596790383E-3</v>
      </c>
      <c r="R301" s="231">
        <v>4592699</v>
      </c>
      <c r="T301" s="230">
        <v>43523</v>
      </c>
      <c r="U301" s="1">
        <v>90.1</v>
      </c>
      <c r="V301" s="1">
        <v>91.093043146591995</v>
      </c>
      <c r="W301" s="1">
        <v>86519</v>
      </c>
      <c r="X301" s="1">
        <v>35905.43</v>
      </c>
      <c r="Y301" s="215">
        <f t="shared" si="47"/>
        <v>1.0591779062012474E-3</v>
      </c>
      <c r="Z301" s="215">
        <f t="shared" si="42"/>
        <v>5.0195203569436408E-3</v>
      </c>
      <c r="AA301" s="231">
        <v>7881279</v>
      </c>
      <c r="AC301" s="230">
        <v>43525</v>
      </c>
      <c r="AD301" s="1">
        <v>43.3</v>
      </c>
      <c r="AE301" s="1">
        <v>43.33</v>
      </c>
      <c r="AF301" s="1">
        <v>500</v>
      </c>
      <c r="AG301" s="1">
        <v>36063.81</v>
      </c>
      <c r="AH301" s="215">
        <f t="shared" si="48"/>
        <v>-1.0392524780105994E-2</v>
      </c>
      <c r="AI301" s="215">
        <f t="shared" si="43"/>
        <v>-6.7814854682454406E-2</v>
      </c>
      <c r="AJ301" s="231">
        <v>21665</v>
      </c>
      <c r="AL301" s="230">
        <v>44792</v>
      </c>
      <c r="AM301" s="1">
        <v>299.35000000000002</v>
      </c>
      <c r="AN301" s="1">
        <v>300.61948556901399</v>
      </c>
      <c r="AO301" s="1">
        <v>13374</v>
      </c>
      <c r="AP301" s="1">
        <v>59646.15</v>
      </c>
      <c r="AQ301" s="215">
        <f t="shared" si="49"/>
        <v>1.4841289164725824E-2</v>
      </c>
      <c r="AR301" s="215">
        <f t="shared" si="44"/>
        <v>1.837047116856616E-2</v>
      </c>
      <c r="AS301" s="231">
        <v>4020485</v>
      </c>
    </row>
    <row r="302" spans="2:45">
      <c r="B302" s="230">
        <v>43524</v>
      </c>
      <c r="C302" s="1">
        <v>317.64999999999998</v>
      </c>
      <c r="D302" s="1">
        <v>318.67246376811499</v>
      </c>
      <c r="E302" s="1">
        <v>345</v>
      </c>
      <c r="F302" s="215">
        <v>35867.440000000002</v>
      </c>
      <c r="G302" s="215">
        <f t="shared" si="45"/>
        <v>-5.4450708341685639E-3</v>
      </c>
      <c r="H302" s="215">
        <f t="shared" si="40"/>
        <v>-4.7526236881559325E-2</v>
      </c>
      <c r="I302" s="231">
        <v>109942</v>
      </c>
      <c r="K302" s="230">
        <v>43524</v>
      </c>
      <c r="L302" s="1">
        <v>249.25</v>
      </c>
      <c r="M302" s="1">
        <v>250.21230634955199</v>
      </c>
      <c r="N302" s="1">
        <v>9166</v>
      </c>
      <c r="O302" s="1">
        <v>35867.440000000002</v>
      </c>
      <c r="P302" s="215">
        <f t="shared" si="46"/>
        <v>-5.4450708341685639E-3</v>
      </c>
      <c r="Q302" s="215">
        <f t="shared" si="41"/>
        <v>-3.1850844824237723E-2</v>
      </c>
      <c r="R302" s="231">
        <v>2293446</v>
      </c>
      <c r="T302" s="230">
        <v>43524</v>
      </c>
      <c r="U302" s="1">
        <v>89.65</v>
      </c>
      <c r="V302" s="1">
        <v>90.084801550217094</v>
      </c>
      <c r="W302" s="1">
        <v>145528</v>
      </c>
      <c r="X302" s="1">
        <v>35867.440000000002</v>
      </c>
      <c r="Y302" s="215">
        <f t="shared" si="47"/>
        <v>-5.4450708341685639E-3</v>
      </c>
      <c r="Z302" s="215">
        <f t="shared" si="42"/>
        <v>-1.5376166941240998E-2</v>
      </c>
      <c r="AA302" s="231">
        <v>13109861</v>
      </c>
      <c r="AC302" s="230">
        <v>43529</v>
      </c>
      <c r="AD302" s="1">
        <v>46.45</v>
      </c>
      <c r="AE302" s="1">
        <v>45.491666666666603</v>
      </c>
      <c r="AF302" s="1">
        <v>1200</v>
      </c>
      <c r="AG302" s="1">
        <v>36442.54</v>
      </c>
      <c r="AH302" s="215">
        <f t="shared" si="48"/>
        <v>-5.28331345312405E-3</v>
      </c>
      <c r="AI302" s="215">
        <f t="shared" si="43"/>
        <v>-4.2268041237113363E-2</v>
      </c>
      <c r="AJ302" s="231">
        <v>54590</v>
      </c>
      <c r="AL302" s="230">
        <v>44795</v>
      </c>
      <c r="AM302" s="1">
        <v>293.95</v>
      </c>
      <c r="AN302" s="1">
        <v>294.46276084374801</v>
      </c>
      <c r="AO302" s="1">
        <v>17683</v>
      </c>
      <c r="AP302" s="1">
        <v>58773.87</v>
      </c>
      <c r="AQ302" s="215">
        <f t="shared" si="49"/>
        <v>-4.360906840947143E-3</v>
      </c>
      <c r="AR302" s="215">
        <f t="shared" si="44"/>
        <v>-1.0435953543174614E-2</v>
      </c>
      <c r="AS302" s="231">
        <v>5206985</v>
      </c>
    </row>
    <row r="303" spans="2:45">
      <c r="B303" s="230">
        <v>43525</v>
      </c>
      <c r="C303" s="1">
        <v>333.5</v>
      </c>
      <c r="D303" s="1">
        <v>333.53750000000002</v>
      </c>
      <c r="E303" s="1">
        <v>480</v>
      </c>
      <c r="F303" s="215">
        <v>36063.81</v>
      </c>
      <c r="G303" s="215">
        <f t="shared" si="45"/>
        <v>-1.0392524780105994E-2</v>
      </c>
      <c r="H303" s="215">
        <f t="shared" si="40"/>
        <v>-4.8909168686724569E-2</v>
      </c>
      <c r="I303" s="231">
        <v>160098</v>
      </c>
      <c r="K303" s="230">
        <v>43525</v>
      </c>
      <c r="L303" s="1">
        <v>257.45</v>
      </c>
      <c r="M303" s="1">
        <v>257.50765492101999</v>
      </c>
      <c r="N303" s="1">
        <v>12345</v>
      </c>
      <c r="O303" s="1">
        <v>36063.81</v>
      </c>
      <c r="P303" s="215">
        <f t="shared" si="46"/>
        <v>-1.0392524780105994E-2</v>
      </c>
      <c r="Q303" s="215">
        <f t="shared" si="41"/>
        <v>-8.315527065527073E-2</v>
      </c>
      <c r="R303" s="231">
        <v>3178932</v>
      </c>
      <c r="T303" s="230">
        <v>43525</v>
      </c>
      <c r="U303" s="1">
        <v>91.05</v>
      </c>
      <c r="V303" s="1">
        <v>91.108084225953107</v>
      </c>
      <c r="W303" s="1">
        <v>46399</v>
      </c>
      <c r="X303" s="1">
        <v>36063.81</v>
      </c>
      <c r="Y303" s="215">
        <f t="shared" si="47"/>
        <v>-1.0392524780105994E-2</v>
      </c>
      <c r="Z303" s="215">
        <f t="shared" si="42"/>
        <v>-2.5160599571734554E-2</v>
      </c>
      <c r="AA303" s="231">
        <v>4227324</v>
      </c>
      <c r="AC303" s="230">
        <v>43530</v>
      </c>
      <c r="AD303" s="1">
        <v>48.5</v>
      </c>
      <c r="AE303" s="1">
        <v>48.3730011782528</v>
      </c>
      <c r="AF303" s="1">
        <v>5941</v>
      </c>
      <c r="AG303" s="1">
        <v>36636.1</v>
      </c>
      <c r="AH303" s="215">
        <f t="shared" si="48"/>
        <v>-2.4321028867743122E-3</v>
      </c>
      <c r="AI303" s="215">
        <f t="shared" si="43"/>
        <v>-1.8218623481781382E-2</v>
      </c>
      <c r="AJ303" s="231">
        <v>287384</v>
      </c>
      <c r="AL303" s="230">
        <v>44796</v>
      </c>
      <c r="AM303" s="1">
        <v>297.05</v>
      </c>
      <c r="AN303" s="1">
        <v>294.31112812659501</v>
      </c>
      <c r="AO303" s="1">
        <v>3918</v>
      </c>
      <c r="AP303" s="1">
        <v>59031.3</v>
      </c>
      <c r="AQ303" s="215">
        <f t="shared" si="49"/>
        <v>-9.161311003406114E-4</v>
      </c>
      <c r="AR303" s="215">
        <f t="shared" si="44"/>
        <v>-7.0198896874476002E-3</v>
      </c>
      <c r="AS303" s="231">
        <v>1153111</v>
      </c>
    </row>
    <row r="304" spans="2:45">
      <c r="B304" s="230">
        <v>43529</v>
      </c>
      <c r="C304" s="1">
        <v>350.65</v>
      </c>
      <c r="D304" s="1">
        <v>357.11081322609402</v>
      </c>
      <c r="E304" s="1">
        <v>1119</v>
      </c>
      <c r="F304" s="215">
        <v>36442.54</v>
      </c>
      <c r="G304" s="215">
        <f t="shared" si="45"/>
        <v>-5.28331345312405E-3</v>
      </c>
      <c r="H304" s="215">
        <f t="shared" si="40"/>
        <v>2.0002857551078002E-3</v>
      </c>
      <c r="I304" s="231">
        <v>399607</v>
      </c>
      <c r="K304" s="230">
        <v>43529</v>
      </c>
      <c r="L304" s="1">
        <v>280.8</v>
      </c>
      <c r="M304" s="1">
        <v>278.986678507992</v>
      </c>
      <c r="N304" s="1">
        <v>48418</v>
      </c>
      <c r="O304" s="1">
        <v>36442.54</v>
      </c>
      <c r="P304" s="215">
        <f t="shared" si="46"/>
        <v>-5.28331345312405E-3</v>
      </c>
      <c r="Q304" s="215">
        <f t="shared" si="41"/>
        <v>1.9607843137255054E-2</v>
      </c>
      <c r="R304" s="231">
        <v>13507977</v>
      </c>
      <c r="T304" s="230">
        <v>43529</v>
      </c>
      <c r="U304" s="1">
        <v>93.4</v>
      </c>
      <c r="V304" s="1">
        <v>93.593323081179093</v>
      </c>
      <c r="W304" s="1">
        <v>245802</v>
      </c>
      <c r="X304" s="1">
        <v>36442.54</v>
      </c>
      <c r="Y304" s="215">
        <f t="shared" si="47"/>
        <v>-5.28331345312405E-3</v>
      </c>
      <c r="Z304" s="215">
        <f t="shared" si="42"/>
        <v>8.0949811117108084E-3</v>
      </c>
      <c r="AA304" s="231">
        <v>23005426</v>
      </c>
      <c r="AC304" s="230">
        <v>43531</v>
      </c>
      <c r="AD304" s="1">
        <v>49.4</v>
      </c>
      <c r="AE304" s="1">
        <v>48.997395079594703</v>
      </c>
      <c r="AF304" s="1">
        <v>10365</v>
      </c>
      <c r="AG304" s="1">
        <v>36725.42</v>
      </c>
      <c r="AH304" s="215">
        <f t="shared" si="48"/>
        <v>1.4722632850694417E-3</v>
      </c>
      <c r="AI304" s="215">
        <f t="shared" si="43"/>
        <v>-2.0202020202020332E-3</v>
      </c>
      <c r="AJ304" s="231">
        <v>507858</v>
      </c>
      <c r="AL304" s="230">
        <v>44797</v>
      </c>
      <c r="AM304" s="1">
        <v>299.14999999999998</v>
      </c>
      <c r="AN304" s="1">
        <v>299.71627298395401</v>
      </c>
      <c r="AO304" s="1">
        <v>14521</v>
      </c>
      <c r="AP304" s="1">
        <v>59085.43</v>
      </c>
      <c r="AQ304" s="215">
        <f t="shared" si="49"/>
        <v>5.286456490137148E-3</v>
      </c>
      <c r="AR304" s="215">
        <f t="shared" si="44"/>
        <v>6.222670702993538E-3</v>
      </c>
      <c r="AS304" s="231">
        <v>4352180</v>
      </c>
    </row>
    <row r="305" spans="2:45">
      <c r="B305" s="230">
        <v>43530</v>
      </c>
      <c r="C305" s="1">
        <v>349.95</v>
      </c>
      <c r="D305" s="1">
        <v>344.65122873345899</v>
      </c>
      <c r="E305" s="1">
        <v>6348</v>
      </c>
      <c r="F305" s="215">
        <v>36636.1</v>
      </c>
      <c r="G305" s="215">
        <f t="shared" si="45"/>
        <v>-2.4321028867743122E-3</v>
      </c>
      <c r="H305" s="215">
        <f t="shared" si="40"/>
        <v>-6.2473377821951059E-3</v>
      </c>
      <c r="I305" s="231">
        <v>2187846</v>
      </c>
      <c r="K305" s="230">
        <v>43530</v>
      </c>
      <c r="L305" s="1">
        <v>275.39999999999998</v>
      </c>
      <c r="M305" s="1">
        <v>276.78584681991498</v>
      </c>
      <c r="N305" s="1">
        <v>19402</v>
      </c>
      <c r="O305" s="1">
        <v>36636.1</v>
      </c>
      <c r="P305" s="215">
        <f t="shared" si="46"/>
        <v>-2.4321028867743122E-3</v>
      </c>
      <c r="Q305" s="215">
        <f t="shared" si="41"/>
        <v>-3.436185133239833E-2</v>
      </c>
      <c r="R305" s="231">
        <v>5370199</v>
      </c>
      <c r="T305" s="230">
        <v>43530</v>
      </c>
      <c r="U305" s="1">
        <v>92.65</v>
      </c>
      <c r="V305" s="1">
        <v>93.774659331358393</v>
      </c>
      <c r="W305" s="1">
        <v>118150</v>
      </c>
      <c r="X305" s="1">
        <v>36636.1</v>
      </c>
      <c r="Y305" s="215">
        <f t="shared" si="47"/>
        <v>-2.4321028867743122E-3</v>
      </c>
      <c r="Z305" s="215">
        <f t="shared" si="42"/>
        <v>-6.4343163538873593E-3</v>
      </c>
      <c r="AA305" s="231">
        <v>11079476</v>
      </c>
      <c r="AC305" s="230">
        <v>43532</v>
      </c>
      <c r="AD305" s="1">
        <v>49.5</v>
      </c>
      <c r="AE305" s="1">
        <v>49.525063291139197</v>
      </c>
      <c r="AF305" s="1">
        <v>1975</v>
      </c>
      <c r="AG305" s="1">
        <v>36671.43</v>
      </c>
      <c r="AH305" s="215">
        <f t="shared" si="48"/>
        <v>-1.032733219805626E-2</v>
      </c>
      <c r="AI305" s="215">
        <f t="shared" si="43"/>
        <v>-1.098901098901095E-2</v>
      </c>
      <c r="AJ305" s="231">
        <v>97812</v>
      </c>
      <c r="AL305" s="230">
        <v>44798</v>
      </c>
      <c r="AM305" s="1">
        <v>297.3</v>
      </c>
      <c r="AN305" s="1">
        <v>298.915484455176</v>
      </c>
      <c r="AO305" s="1">
        <v>6626</v>
      </c>
      <c r="AP305" s="1">
        <v>58774.720000000001</v>
      </c>
      <c r="AQ305" s="215">
        <f t="shared" si="49"/>
        <v>-1.0053732654337066E-3</v>
      </c>
      <c r="AR305" s="215">
        <f t="shared" si="44"/>
        <v>-1.5399900645802211E-2</v>
      </c>
      <c r="AS305" s="231">
        <v>1980614</v>
      </c>
    </row>
    <row r="306" spans="2:45">
      <c r="B306" s="230">
        <v>43531</v>
      </c>
      <c r="C306" s="1">
        <v>352.15</v>
      </c>
      <c r="D306" s="1">
        <v>352.40828402366799</v>
      </c>
      <c r="E306" s="1">
        <v>1859</v>
      </c>
      <c r="F306" s="215">
        <v>36725.42</v>
      </c>
      <c r="G306" s="215">
        <f t="shared" si="45"/>
        <v>1.4722632850694417E-3</v>
      </c>
      <c r="H306" s="215">
        <f t="shared" si="40"/>
        <v>-1.7009213323884165E-3</v>
      </c>
      <c r="I306" s="231">
        <v>655127</v>
      </c>
      <c r="K306" s="230">
        <v>43531</v>
      </c>
      <c r="L306" s="1">
        <v>285.2</v>
      </c>
      <c r="M306" s="1">
        <v>285.10089302679</v>
      </c>
      <c r="N306" s="1">
        <v>42104</v>
      </c>
      <c r="O306" s="1">
        <v>36725.42</v>
      </c>
      <c r="P306" s="215">
        <f t="shared" si="46"/>
        <v>1.4722632850694417E-3</v>
      </c>
      <c r="Q306" s="215">
        <f t="shared" si="41"/>
        <v>4.7181935010097265E-2</v>
      </c>
      <c r="R306" s="231">
        <v>12003888</v>
      </c>
      <c r="T306" s="230">
        <v>43531</v>
      </c>
      <c r="U306" s="1">
        <v>93.25</v>
      </c>
      <c r="V306" s="1">
        <v>94.160802401535705</v>
      </c>
      <c r="W306" s="1">
        <v>155234</v>
      </c>
      <c r="X306" s="1">
        <v>36725.42</v>
      </c>
      <c r="Y306" s="215">
        <f t="shared" si="47"/>
        <v>1.4722632850694417E-3</v>
      </c>
      <c r="Z306" s="215">
        <f t="shared" si="42"/>
        <v>1.0735373054213682E-3</v>
      </c>
      <c r="AA306" s="231">
        <v>14616958</v>
      </c>
      <c r="AC306" s="230">
        <v>43535</v>
      </c>
      <c r="AD306" s="1">
        <v>50.05</v>
      </c>
      <c r="AE306" s="1">
        <v>50.426390594841202</v>
      </c>
      <c r="AF306" s="1">
        <v>11398</v>
      </c>
      <c r="AG306" s="1">
        <v>37054.1</v>
      </c>
      <c r="AH306" s="215">
        <f t="shared" si="48"/>
        <v>-1.2829400095802357E-2</v>
      </c>
      <c r="AI306" s="215">
        <f t="shared" si="43"/>
        <v>-1.7664376840039409E-2</v>
      </c>
      <c r="AJ306" s="231">
        <v>574760</v>
      </c>
      <c r="AL306" s="230">
        <v>44799</v>
      </c>
      <c r="AM306" s="1">
        <v>301.95</v>
      </c>
      <c r="AN306" s="1">
        <v>303.458361910262</v>
      </c>
      <c r="AO306" s="1">
        <v>27703</v>
      </c>
      <c r="AP306" s="1">
        <v>58833.87</v>
      </c>
      <c r="AQ306" s="215">
        <f t="shared" si="49"/>
        <v>1.4856151058896483E-2</v>
      </c>
      <c r="AR306" s="215">
        <f t="shared" si="44"/>
        <v>1.3935527199462561E-2</v>
      </c>
      <c r="AS306" s="231">
        <v>8406707</v>
      </c>
    </row>
    <row r="307" spans="2:45">
      <c r="B307" s="230">
        <v>43532</v>
      </c>
      <c r="C307" s="1">
        <v>352.75</v>
      </c>
      <c r="D307" s="1">
        <v>351.042925278219</v>
      </c>
      <c r="E307" s="1">
        <v>629</v>
      </c>
      <c r="F307" s="215">
        <v>36671.43</v>
      </c>
      <c r="G307" s="215">
        <f t="shared" si="45"/>
        <v>-1.032733219805626E-2</v>
      </c>
      <c r="H307" s="215">
        <f t="shared" si="40"/>
        <v>8.1451843383824052E-3</v>
      </c>
      <c r="I307" s="231">
        <v>220806</v>
      </c>
      <c r="K307" s="230">
        <v>43532</v>
      </c>
      <c r="L307" s="1">
        <v>272.35000000000002</v>
      </c>
      <c r="M307" s="1">
        <v>277.53237305397897</v>
      </c>
      <c r="N307" s="1">
        <v>13746</v>
      </c>
      <c r="O307" s="1">
        <v>36671.43</v>
      </c>
      <c r="P307" s="215">
        <f t="shared" si="46"/>
        <v>-1.032733219805626E-2</v>
      </c>
      <c r="Q307" s="215">
        <f t="shared" si="41"/>
        <v>-2.9574202743630651E-2</v>
      </c>
      <c r="R307" s="231">
        <v>3814960</v>
      </c>
      <c r="T307" s="230">
        <v>43532</v>
      </c>
      <c r="U307" s="1">
        <v>93.15</v>
      </c>
      <c r="V307" s="1">
        <v>93.297903497682199</v>
      </c>
      <c r="W307" s="1">
        <v>94920</v>
      </c>
      <c r="X307" s="1">
        <v>36671.43</v>
      </c>
      <c r="Y307" s="215">
        <f t="shared" si="47"/>
        <v>-1.032733219805626E-2</v>
      </c>
      <c r="Z307" s="215">
        <f t="shared" si="42"/>
        <v>7.0270270270271773E-3</v>
      </c>
      <c r="AA307" s="231">
        <v>8855837</v>
      </c>
      <c r="AC307" s="230">
        <v>43536</v>
      </c>
      <c r="AD307" s="1">
        <v>50.95</v>
      </c>
      <c r="AE307" s="1">
        <v>50.749632533072003</v>
      </c>
      <c r="AF307" s="1">
        <v>2041</v>
      </c>
      <c r="AG307" s="1">
        <v>37535.660000000003</v>
      </c>
      <c r="AH307" s="215">
        <f t="shared" si="48"/>
        <v>-5.7350345688736981E-3</v>
      </c>
      <c r="AI307" s="215">
        <f t="shared" si="43"/>
        <v>3.2421479229989947E-2</v>
      </c>
      <c r="AJ307" s="231">
        <v>103580</v>
      </c>
      <c r="AL307" s="230">
        <v>44802</v>
      </c>
      <c r="AM307" s="1">
        <v>297.8</v>
      </c>
      <c r="AN307" s="1">
        <v>296.75967596759602</v>
      </c>
      <c r="AO307" s="1">
        <v>16665</v>
      </c>
      <c r="AP307" s="1">
        <v>57972.62</v>
      </c>
      <c r="AQ307" s="215">
        <f t="shared" si="49"/>
        <v>-2.6276906135958567E-2</v>
      </c>
      <c r="AR307" s="215">
        <f t="shared" si="44"/>
        <v>-1.3580655846306633E-2</v>
      </c>
      <c r="AS307" s="231">
        <v>4945500</v>
      </c>
    </row>
    <row r="308" spans="2:45">
      <c r="B308" s="230">
        <v>43535</v>
      </c>
      <c r="C308" s="1">
        <v>349.9</v>
      </c>
      <c r="D308" s="1">
        <v>341.05378704719999</v>
      </c>
      <c r="E308" s="1">
        <v>5466</v>
      </c>
      <c r="F308" s="215">
        <v>37054.1</v>
      </c>
      <c r="G308" s="215">
        <f t="shared" si="45"/>
        <v>-1.2829400095802357E-2</v>
      </c>
      <c r="H308" s="215">
        <f t="shared" si="40"/>
        <v>5.4233202771919231E-2</v>
      </c>
      <c r="I308" s="231">
        <v>1864200</v>
      </c>
      <c r="K308" s="230">
        <v>43535</v>
      </c>
      <c r="L308" s="1">
        <v>280.64999999999998</v>
      </c>
      <c r="M308" s="1">
        <v>283.638561939167</v>
      </c>
      <c r="N308" s="1">
        <v>34324</v>
      </c>
      <c r="O308" s="1">
        <v>37054.1</v>
      </c>
      <c r="P308" s="215">
        <f t="shared" si="46"/>
        <v>-1.2829400095802357E-2</v>
      </c>
      <c r="Q308" s="215">
        <f t="shared" si="41"/>
        <v>8.26297826477429E-3</v>
      </c>
      <c r="R308" s="231">
        <v>9735610</v>
      </c>
      <c r="T308" s="230">
        <v>43535</v>
      </c>
      <c r="U308" s="1">
        <v>92.5</v>
      </c>
      <c r="V308" s="1">
        <v>92.862392847832396</v>
      </c>
      <c r="W308" s="1">
        <v>130422</v>
      </c>
      <c r="X308" s="1">
        <v>37054.1</v>
      </c>
      <c r="Y308" s="215">
        <f t="shared" si="47"/>
        <v>-1.2829400095802357E-2</v>
      </c>
      <c r="Z308" s="215">
        <f t="shared" si="42"/>
        <v>4.8886474741989261E-3</v>
      </c>
      <c r="AA308" s="231">
        <v>12111299</v>
      </c>
      <c r="AC308" s="230">
        <v>43537</v>
      </c>
      <c r="AD308" s="1">
        <v>49.35</v>
      </c>
      <c r="AE308" s="1">
        <v>50.310756972111498</v>
      </c>
      <c r="AF308" s="1">
        <v>1255</v>
      </c>
      <c r="AG308" s="1">
        <v>37752.17</v>
      </c>
      <c r="AH308" s="215">
        <f t="shared" si="48"/>
        <v>-7.2043647855957182E-5</v>
      </c>
      <c r="AI308" s="215">
        <f t="shared" si="43"/>
        <v>-5.0403225806451291E-3</v>
      </c>
      <c r="AJ308" s="231">
        <v>63140</v>
      </c>
      <c r="AL308" s="230">
        <v>44803</v>
      </c>
      <c r="AM308" s="1">
        <v>301.89999999999998</v>
      </c>
      <c r="AN308" s="1">
        <v>301.52983890651598</v>
      </c>
      <c r="AO308" s="1">
        <v>16388</v>
      </c>
      <c r="AP308" s="1">
        <v>59537.07</v>
      </c>
      <c r="AQ308" s="215">
        <f t="shared" si="49"/>
        <v>1.3110850910355687E-2</v>
      </c>
      <c r="AR308" s="215">
        <f t="shared" si="44"/>
        <v>5.998000666444403E-3</v>
      </c>
      <c r="AS308" s="231">
        <v>4941471</v>
      </c>
    </row>
    <row r="309" spans="2:45">
      <c r="B309" s="230">
        <v>43536</v>
      </c>
      <c r="C309" s="1">
        <v>331.9</v>
      </c>
      <c r="D309" s="1">
        <v>336.53923867941501</v>
      </c>
      <c r="E309" s="1">
        <v>11086</v>
      </c>
      <c r="F309" s="215">
        <v>37535.660000000003</v>
      </c>
      <c r="G309" s="215">
        <f t="shared" si="45"/>
        <v>-5.7350345688736981E-3</v>
      </c>
      <c r="H309" s="215">
        <f t="shared" si="40"/>
        <v>5.3316407489685691E-2</v>
      </c>
      <c r="I309" s="231">
        <v>3730874</v>
      </c>
      <c r="K309" s="230">
        <v>43536</v>
      </c>
      <c r="L309" s="1">
        <v>278.35000000000002</v>
      </c>
      <c r="M309" s="1">
        <v>281.42860703958502</v>
      </c>
      <c r="N309" s="1">
        <v>20058</v>
      </c>
      <c r="O309" s="1">
        <v>37535.660000000003</v>
      </c>
      <c r="P309" s="215">
        <f t="shared" si="46"/>
        <v>-5.7350345688736981E-3</v>
      </c>
      <c r="Q309" s="215">
        <f t="shared" si="41"/>
        <v>2.7311312050193992E-2</v>
      </c>
      <c r="R309" s="231">
        <v>5644895</v>
      </c>
      <c r="T309" s="230">
        <v>43536</v>
      </c>
      <c r="U309" s="1">
        <v>92.05</v>
      </c>
      <c r="V309" s="1">
        <v>92.936923669206706</v>
      </c>
      <c r="W309" s="1">
        <v>163643</v>
      </c>
      <c r="X309" s="1">
        <v>37535.660000000003</v>
      </c>
      <c r="Y309" s="215">
        <f t="shared" si="47"/>
        <v>-5.7350345688736981E-3</v>
      </c>
      <c r="Z309" s="215">
        <f t="shared" si="42"/>
        <v>6.0109289617487072E-3</v>
      </c>
      <c r="AA309" s="231">
        <v>15208477</v>
      </c>
      <c r="AC309" s="230">
        <v>43538</v>
      </c>
      <c r="AD309" s="1">
        <v>49.6</v>
      </c>
      <c r="AE309" s="1">
        <v>49.669704378750801</v>
      </c>
      <c r="AF309" s="1">
        <v>4499</v>
      </c>
      <c r="AG309" s="1">
        <v>37754.89</v>
      </c>
      <c r="AH309" s="215">
        <f t="shared" si="48"/>
        <v>-7.085728291787996E-3</v>
      </c>
      <c r="AI309" s="215">
        <f t="shared" si="43"/>
        <v>1.2244897959183598E-2</v>
      </c>
      <c r="AJ309" s="231">
        <v>223464</v>
      </c>
      <c r="AL309" s="230">
        <v>44805</v>
      </c>
      <c r="AM309" s="1">
        <v>300.10000000000002</v>
      </c>
      <c r="AN309" s="1">
        <v>302.300477108922</v>
      </c>
      <c r="AO309" s="1">
        <v>9851</v>
      </c>
      <c r="AP309" s="1">
        <v>58766.59</v>
      </c>
      <c r="AQ309" s="215">
        <f t="shared" si="49"/>
        <v>-6.2479454819996949E-4</v>
      </c>
      <c r="AR309" s="215">
        <f t="shared" si="44"/>
        <v>1.6598915989159968E-2</v>
      </c>
      <c r="AS309" s="231">
        <v>2977962</v>
      </c>
    </row>
    <row r="310" spans="2:45">
      <c r="B310" s="230">
        <v>43537</v>
      </c>
      <c r="C310" s="1">
        <v>315.10000000000002</v>
      </c>
      <c r="D310" s="1">
        <v>320.20075766325499</v>
      </c>
      <c r="E310" s="1">
        <v>43291</v>
      </c>
      <c r="F310" s="215">
        <v>37752.17</v>
      </c>
      <c r="G310" s="215">
        <f t="shared" si="45"/>
        <v>-7.2043647855957182E-5</v>
      </c>
      <c r="H310" s="215">
        <f t="shared" si="40"/>
        <v>-3.2693783576362212E-2</v>
      </c>
      <c r="I310" s="231">
        <v>13861811</v>
      </c>
      <c r="K310" s="230">
        <v>43537</v>
      </c>
      <c r="L310" s="1">
        <v>270.95</v>
      </c>
      <c r="M310" s="1">
        <v>271.43356590207702</v>
      </c>
      <c r="N310" s="1">
        <v>65787</v>
      </c>
      <c r="O310" s="1">
        <v>37752.17</v>
      </c>
      <c r="P310" s="215">
        <f t="shared" si="46"/>
        <v>-7.2043647855957182E-5</v>
      </c>
      <c r="Q310" s="215">
        <f t="shared" si="41"/>
        <v>1.4414077124672353E-2</v>
      </c>
      <c r="R310" s="231">
        <v>17856800</v>
      </c>
      <c r="T310" s="230">
        <v>43537</v>
      </c>
      <c r="U310" s="1">
        <v>91.5</v>
      </c>
      <c r="V310" s="1">
        <v>91.474161299462494</v>
      </c>
      <c r="W310" s="1">
        <v>472934</v>
      </c>
      <c r="X310" s="1">
        <v>37752.17</v>
      </c>
      <c r="Y310" s="215">
        <f t="shared" si="47"/>
        <v>-7.2043647855957182E-5</v>
      </c>
      <c r="Z310" s="215">
        <f t="shared" si="42"/>
        <v>2.924634420697414E-2</v>
      </c>
      <c r="AA310" s="231">
        <v>43261241</v>
      </c>
      <c r="AC310" s="230">
        <v>43539</v>
      </c>
      <c r="AD310" s="1">
        <v>49</v>
      </c>
      <c r="AE310" s="1">
        <v>49.407884465261503</v>
      </c>
      <c r="AF310" s="1">
        <v>2562</v>
      </c>
      <c r="AG310" s="1">
        <v>38024.32</v>
      </c>
      <c r="AH310" s="215">
        <f t="shared" si="48"/>
        <v>-1.8571956948759683E-3</v>
      </c>
      <c r="AI310" s="215">
        <f t="shared" si="43"/>
        <v>-1.6064257028112428E-2</v>
      </c>
      <c r="AJ310" s="231">
        <v>126583</v>
      </c>
      <c r="AL310" s="230">
        <v>44806</v>
      </c>
      <c r="AM310" s="1">
        <v>295.2</v>
      </c>
      <c r="AN310" s="1">
        <v>297.32267713591301</v>
      </c>
      <c r="AO310" s="1">
        <v>21396</v>
      </c>
      <c r="AP310" s="1">
        <v>58803.33</v>
      </c>
      <c r="AQ310" s="215">
        <f t="shared" si="49"/>
        <v>-7.4713929957779257E-3</v>
      </c>
      <c r="AR310" s="215">
        <f t="shared" si="44"/>
        <v>-1.1551983927674536E-2</v>
      </c>
      <c r="AS310" s="231">
        <v>6361516</v>
      </c>
    </row>
    <row r="311" spans="2:45">
      <c r="B311" s="230">
        <v>43538</v>
      </c>
      <c r="C311" s="1">
        <v>325.75</v>
      </c>
      <c r="D311" s="1">
        <v>327.20012372409502</v>
      </c>
      <c r="E311" s="1">
        <v>3233</v>
      </c>
      <c r="F311" s="215">
        <v>37754.89</v>
      </c>
      <c r="G311" s="215">
        <f t="shared" si="45"/>
        <v>-7.085728291787996E-3</v>
      </c>
      <c r="H311" s="215">
        <f t="shared" si="40"/>
        <v>8.1866489538359177E-2</v>
      </c>
      <c r="I311" s="231">
        <v>1057838</v>
      </c>
      <c r="K311" s="230">
        <v>43538</v>
      </c>
      <c r="L311" s="1">
        <v>267.10000000000002</v>
      </c>
      <c r="M311" s="1">
        <v>265.55497568822398</v>
      </c>
      <c r="N311" s="1">
        <v>109412</v>
      </c>
      <c r="O311" s="1">
        <v>37754.89</v>
      </c>
      <c r="P311" s="215">
        <f t="shared" si="46"/>
        <v>-7.085728291787996E-3</v>
      </c>
      <c r="Q311" s="215">
        <f t="shared" si="41"/>
        <v>3.7684537684537833E-2</v>
      </c>
      <c r="R311" s="231">
        <v>29054901</v>
      </c>
      <c r="T311" s="230">
        <v>43538</v>
      </c>
      <c r="U311" s="1">
        <v>88.9</v>
      </c>
      <c r="V311" s="1">
        <v>89.181808610367</v>
      </c>
      <c r="W311" s="1">
        <v>493893</v>
      </c>
      <c r="X311" s="1">
        <v>37754.89</v>
      </c>
      <c r="Y311" s="215">
        <f t="shared" si="47"/>
        <v>-7.085728291787996E-3</v>
      </c>
      <c r="Z311" s="215">
        <f t="shared" si="42"/>
        <v>-1.9305019305019266E-2</v>
      </c>
      <c r="AA311" s="231">
        <v>44046271</v>
      </c>
      <c r="AC311" s="230">
        <v>43542</v>
      </c>
      <c r="AD311" s="1">
        <v>49.8</v>
      </c>
      <c r="AE311" s="1">
        <v>49.743891603731598</v>
      </c>
      <c r="AF311" s="1">
        <v>4502</v>
      </c>
      <c r="AG311" s="1">
        <v>38095.07</v>
      </c>
      <c r="AH311" s="215">
        <f t="shared" si="48"/>
        <v>-6.9962388699458256E-3</v>
      </c>
      <c r="AI311" s="215">
        <f t="shared" si="43"/>
        <v>1.0141987829614507E-2</v>
      </c>
      <c r="AJ311" s="231">
        <v>223947</v>
      </c>
      <c r="AL311" s="230">
        <v>44809</v>
      </c>
      <c r="AM311" s="1">
        <v>298.64999999999998</v>
      </c>
      <c r="AN311" s="1">
        <v>299.02076217266</v>
      </c>
      <c r="AO311" s="1">
        <v>14931</v>
      </c>
      <c r="AP311" s="1">
        <v>59245.98</v>
      </c>
      <c r="AQ311" s="215">
        <f t="shared" si="49"/>
        <v>8.2757586154302842E-4</v>
      </c>
      <c r="AR311" s="215">
        <f t="shared" si="44"/>
        <v>-1.7275419545903281E-2</v>
      </c>
      <c r="AS311" s="231">
        <v>4464679</v>
      </c>
    </row>
    <row r="312" spans="2:45">
      <c r="B312" s="230">
        <v>43539</v>
      </c>
      <c r="C312" s="1">
        <v>301.10000000000002</v>
      </c>
      <c r="D312" s="1">
        <v>308.42569422511599</v>
      </c>
      <c r="E312" s="1">
        <v>41161</v>
      </c>
      <c r="F312" s="215">
        <v>38024.32</v>
      </c>
      <c r="G312" s="215">
        <f t="shared" si="45"/>
        <v>-1.8571956948759683E-3</v>
      </c>
      <c r="H312" s="215">
        <f t="shared" si="40"/>
        <v>-7.7370920790562292E-2</v>
      </c>
      <c r="I312" s="231">
        <v>12695110</v>
      </c>
      <c r="K312" s="230">
        <v>43539</v>
      </c>
      <c r="L312" s="1">
        <v>257.39999999999998</v>
      </c>
      <c r="M312" s="1">
        <v>263.70002305741201</v>
      </c>
      <c r="N312" s="1">
        <v>143121</v>
      </c>
      <c r="O312" s="1">
        <v>38024.32</v>
      </c>
      <c r="P312" s="215">
        <f t="shared" si="46"/>
        <v>-1.8571956948759683E-3</v>
      </c>
      <c r="Q312" s="215">
        <f t="shared" si="41"/>
        <v>5.0761421319795996E-3</v>
      </c>
      <c r="R312" s="231">
        <v>37741011</v>
      </c>
      <c r="T312" s="230">
        <v>43539</v>
      </c>
      <c r="U312" s="1">
        <v>90.65</v>
      </c>
      <c r="V312" s="1">
        <v>90.475900857378207</v>
      </c>
      <c r="W312" s="1">
        <v>196646</v>
      </c>
      <c r="X312" s="1">
        <v>38024.32</v>
      </c>
      <c r="Y312" s="215">
        <f t="shared" si="47"/>
        <v>-1.8571956948759683E-3</v>
      </c>
      <c r="Z312" s="215">
        <f t="shared" si="42"/>
        <v>-2.2114347357065745E-2</v>
      </c>
      <c r="AA312" s="231">
        <v>17791724</v>
      </c>
      <c r="AC312" s="230">
        <v>43543</v>
      </c>
      <c r="AD312" s="1">
        <v>49.3</v>
      </c>
      <c r="AE312" s="1">
        <v>51.340814630091401</v>
      </c>
      <c r="AF312" s="1">
        <v>1203</v>
      </c>
      <c r="AG312" s="1">
        <v>38363.47</v>
      </c>
      <c r="AH312" s="215">
        <f t="shared" si="48"/>
        <v>-6.0645926003111139E-4</v>
      </c>
      <c r="AI312" s="215">
        <f t="shared" si="43"/>
        <v>-1.3013013013013164E-2</v>
      </c>
      <c r="AJ312" s="231">
        <v>61763</v>
      </c>
      <c r="AL312" s="230">
        <v>44810</v>
      </c>
      <c r="AM312" s="1">
        <v>303.89999999999998</v>
      </c>
      <c r="AN312" s="1">
        <v>303.33931911709601</v>
      </c>
      <c r="AO312" s="1">
        <v>10692</v>
      </c>
      <c r="AP312" s="1">
        <v>59196.99</v>
      </c>
      <c r="AQ312" s="215">
        <f t="shared" si="49"/>
        <v>2.8474183243429874E-3</v>
      </c>
      <c r="AR312" s="215">
        <f t="shared" si="44"/>
        <v>1.0809911857641685E-2</v>
      </c>
      <c r="AS312" s="231">
        <v>3243304</v>
      </c>
    </row>
    <row r="313" spans="2:45">
      <c r="B313" s="230">
        <v>43542</v>
      </c>
      <c r="C313" s="1">
        <v>326.35000000000002</v>
      </c>
      <c r="D313" s="1">
        <v>326.78273809523802</v>
      </c>
      <c r="E313" s="1">
        <v>6384</v>
      </c>
      <c r="F313" s="215">
        <v>38095.07</v>
      </c>
      <c r="G313" s="215">
        <f t="shared" si="45"/>
        <v>-6.9962388699458256E-3</v>
      </c>
      <c r="H313" s="215">
        <f t="shared" si="40"/>
        <v>-4.0288192912806942E-2</v>
      </c>
      <c r="I313" s="231">
        <v>2086181</v>
      </c>
      <c r="K313" s="230">
        <v>43542</v>
      </c>
      <c r="L313" s="1">
        <v>256.10000000000002</v>
      </c>
      <c r="M313" s="1">
        <v>256.63202529825998</v>
      </c>
      <c r="N313" s="1">
        <v>41742</v>
      </c>
      <c r="O313" s="1">
        <v>38095.07</v>
      </c>
      <c r="P313" s="215">
        <f t="shared" si="46"/>
        <v>-6.9962388699458256E-3</v>
      </c>
      <c r="Q313" s="215">
        <f t="shared" si="41"/>
        <v>2.9371450949677858E-3</v>
      </c>
      <c r="R313" s="231">
        <v>10712334</v>
      </c>
      <c r="T313" s="230">
        <v>43542</v>
      </c>
      <c r="U313" s="1">
        <v>92.7</v>
      </c>
      <c r="V313" s="1">
        <v>93.384561447573503</v>
      </c>
      <c r="W313" s="1">
        <v>95553</v>
      </c>
      <c r="X313" s="1">
        <v>38095.07</v>
      </c>
      <c r="Y313" s="215">
        <f t="shared" si="47"/>
        <v>-6.9962388699458256E-3</v>
      </c>
      <c r="Z313" s="215">
        <f t="shared" si="42"/>
        <v>1.6207455429497752E-3</v>
      </c>
      <c r="AA313" s="231">
        <v>8923175</v>
      </c>
      <c r="AC313" s="230">
        <v>43544</v>
      </c>
      <c r="AD313" s="1">
        <v>49.95</v>
      </c>
      <c r="AE313" s="1">
        <v>48.820763956904898</v>
      </c>
      <c r="AF313" s="1">
        <v>1021</v>
      </c>
      <c r="AG313" s="1">
        <v>38386.75</v>
      </c>
      <c r="AH313" s="215">
        <f t="shared" si="48"/>
        <v>5.8205756589677637E-3</v>
      </c>
      <c r="AI313" s="215">
        <f t="shared" si="43"/>
        <v>2.4615384615384706E-2</v>
      </c>
      <c r="AJ313" s="231">
        <v>49846</v>
      </c>
      <c r="AL313" s="230">
        <v>44811</v>
      </c>
      <c r="AM313" s="1">
        <v>300.64999999999998</v>
      </c>
      <c r="AN313" s="1">
        <v>301.39518440665</v>
      </c>
      <c r="AO313" s="1">
        <v>5233</v>
      </c>
      <c r="AP313" s="1">
        <v>59028.91</v>
      </c>
      <c r="AQ313" s="215">
        <f t="shared" si="49"/>
        <v>-1.1045898168851376E-2</v>
      </c>
      <c r="AR313" s="215">
        <f t="shared" si="44"/>
        <v>6.6566816441993026E-4</v>
      </c>
      <c r="AS313" s="231">
        <v>1577201</v>
      </c>
    </row>
    <row r="314" spans="2:45">
      <c r="B314" s="230">
        <v>43543</v>
      </c>
      <c r="C314" s="1">
        <v>340.05</v>
      </c>
      <c r="D314" s="1">
        <v>333.50693000693002</v>
      </c>
      <c r="E314" s="1">
        <v>2886</v>
      </c>
      <c r="F314" s="215">
        <v>38363.47</v>
      </c>
      <c r="G314" s="215">
        <f t="shared" si="45"/>
        <v>-6.0645926003111139E-4</v>
      </c>
      <c r="H314" s="215">
        <f t="shared" si="40"/>
        <v>-4.10016107775657E-3</v>
      </c>
      <c r="I314" s="231">
        <v>962501</v>
      </c>
      <c r="K314" s="230">
        <v>43543</v>
      </c>
      <c r="L314" s="1">
        <v>255.35</v>
      </c>
      <c r="M314" s="1">
        <v>258.50007930214099</v>
      </c>
      <c r="N314" s="1">
        <v>6305</v>
      </c>
      <c r="O314" s="1">
        <v>38363.47</v>
      </c>
      <c r="P314" s="215">
        <f t="shared" si="46"/>
        <v>-6.0645926003111139E-4</v>
      </c>
      <c r="Q314" s="215">
        <f t="shared" si="41"/>
        <v>2.7358680346006858E-2</v>
      </c>
      <c r="R314" s="231">
        <v>1629843</v>
      </c>
      <c r="T314" s="230">
        <v>43543</v>
      </c>
      <c r="U314" s="1">
        <v>92.55</v>
      </c>
      <c r="V314" s="1">
        <v>92.871569197457802</v>
      </c>
      <c r="W314" s="1">
        <v>199516</v>
      </c>
      <c r="X314" s="1">
        <v>38363.47</v>
      </c>
      <c r="Y314" s="215">
        <f t="shared" si="47"/>
        <v>-6.0645926003111139E-4</v>
      </c>
      <c r="Z314" s="215">
        <f t="shared" si="42"/>
        <v>1.3691128148959564E-2</v>
      </c>
      <c r="AA314" s="231">
        <v>18529364</v>
      </c>
      <c r="AC314" s="230">
        <v>43546</v>
      </c>
      <c r="AD314" s="1">
        <v>48.75</v>
      </c>
      <c r="AE314" s="1">
        <v>48.841763942931202</v>
      </c>
      <c r="AF314" s="1">
        <v>771</v>
      </c>
      <c r="AG314" s="1">
        <v>38164.61</v>
      </c>
      <c r="AH314" s="215">
        <f t="shared" si="48"/>
        <v>9.4078353488633581E-3</v>
      </c>
      <c r="AI314" s="215">
        <f t="shared" si="43"/>
        <v>1.8808777429466961E-2</v>
      </c>
      <c r="AJ314" s="231">
        <v>37657</v>
      </c>
      <c r="AL314" s="230">
        <v>44812</v>
      </c>
      <c r="AM314" s="1">
        <v>300.45</v>
      </c>
      <c r="AN314" s="1">
        <v>301.43574321836201</v>
      </c>
      <c r="AO314" s="1">
        <v>8147</v>
      </c>
      <c r="AP314" s="1">
        <v>59688.22</v>
      </c>
      <c r="AQ314" s="215">
        <f t="shared" si="49"/>
        <v>-1.7547163437142688E-3</v>
      </c>
      <c r="AR314" s="215">
        <f t="shared" si="44"/>
        <v>-1.5886013756960415E-2</v>
      </c>
      <c r="AS314" s="231">
        <v>2455797</v>
      </c>
    </row>
    <row r="315" spans="2:45">
      <c r="B315" s="230">
        <v>43544</v>
      </c>
      <c r="C315" s="1">
        <v>341.45</v>
      </c>
      <c r="D315" s="1">
        <v>339.61123429416102</v>
      </c>
      <c r="E315" s="1">
        <v>1353</v>
      </c>
      <c r="F315" s="215">
        <v>38386.75</v>
      </c>
      <c r="G315" s="215">
        <f t="shared" si="45"/>
        <v>5.8205756589677637E-3</v>
      </c>
      <c r="H315" s="215">
        <f t="shared" si="40"/>
        <v>1.5615704937537167E-2</v>
      </c>
      <c r="I315" s="231">
        <v>459494</v>
      </c>
      <c r="K315" s="230">
        <v>43544</v>
      </c>
      <c r="L315" s="1">
        <v>248.55</v>
      </c>
      <c r="M315" s="1">
        <v>251.774135229601</v>
      </c>
      <c r="N315" s="1">
        <v>8297</v>
      </c>
      <c r="O315" s="1">
        <v>38386.75</v>
      </c>
      <c r="P315" s="215">
        <f t="shared" si="46"/>
        <v>5.8205756589677637E-3</v>
      </c>
      <c r="Q315" s="215">
        <f t="shared" si="41"/>
        <v>3.433208489388262E-2</v>
      </c>
      <c r="R315" s="231">
        <v>2088970</v>
      </c>
      <c r="T315" s="230">
        <v>43544</v>
      </c>
      <c r="U315" s="1">
        <v>91.3</v>
      </c>
      <c r="V315" s="1">
        <v>92.290970776466906</v>
      </c>
      <c r="W315" s="1">
        <v>64845</v>
      </c>
      <c r="X315" s="1">
        <v>38386.75</v>
      </c>
      <c r="Y315" s="215">
        <f t="shared" si="47"/>
        <v>5.8205756589677637E-3</v>
      </c>
      <c r="Z315" s="215">
        <f t="shared" si="42"/>
        <v>6.0606060606060996E-3</v>
      </c>
      <c r="AA315" s="231">
        <v>5984608</v>
      </c>
      <c r="AC315" s="230">
        <v>43549</v>
      </c>
      <c r="AD315" s="1">
        <v>47.85</v>
      </c>
      <c r="AE315" s="1">
        <v>48.082352941176403</v>
      </c>
      <c r="AF315" s="1">
        <v>425</v>
      </c>
      <c r="AG315" s="1">
        <v>37808.910000000003</v>
      </c>
      <c r="AH315" s="215">
        <f t="shared" si="48"/>
        <v>-1.1102854806829932E-2</v>
      </c>
      <c r="AI315" s="215">
        <f t="shared" si="43"/>
        <v>-2.3469387755101989E-2</v>
      </c>
      <c r="AJ315" s="231">
        <v>20435</v>
      </c>
      <c r="AL315" s="230">
        <v>44813</v>
      </c>
      <c r="AM315" s="1">
        <v>305.3</v>
      </c>
      <c r="AN315" s="1">
        <v>304.73188994908202</v>
      </c>
      <c r="AO315" s="1">
        <v>23371</v>
      </c>
      <c r="AP315" s="1">
        <v>59793.14</v>
      </c>
      <c r="AQ315" s="215">
        <f t="shared" si="49"/>
        <v>-5.3562223021059729E-3</v>
      </c>
      <c r="AR315" s="215">
        <f t="shared" si="44"/>
        <v>6.5941312232113969E-3</v>
      </c>
      <c r="AS315" s="231">
        <v>7121889</v>
      </c>
    </row>
    <row r="316" spans="2:45">
      <c r="B316" s="230">
        <v>43546</v>
      </c>
      <c r="C316" s="1">
        <v>336.2</v>
      </c>
      <c r="D316" s="1">
        <v>336.739130434782</v>
      </c>
      <c r="E316" s="1">
        <v>644</v>
      </c>
      <c r="F316" s="215">
        <v>38164.61</v>
      </c>
      <c r="G316" s="215">
        <f t="shared" si="45"/>
        <v>9.4078353488633581E-3</v>
      </c>
      <c r="H316" s="215">
        <f t="shared" si="40"/>
        <v>6.7301587301587196E-2</v>
      </c>
      <c r="I316" s="231">
        <v>216860</v>
      </c>
      <c r="K316" s="230">
        <v>43546</v>
      </c>
      <c r="L316" s="1">
        <v>240.3</v>
      </c>
      <c r="M316" s="1">
        <v>244.09997187851499</v>
      </c>
      <c r="N316" s="1">
        <v>14224</v>
      </c>
      <c r="O316" s="1">
        <v>38164.61</v>
      </c>
      <c r="P316" s="215">
        <f t="shared" si="46"/>
        <v>9.4078353488633581E-3</v>
      </c>
      <c r="Q316" s="215">
        <f t="shared" si="41"/>
        <v>3.9359861591695688E-2</v>
      </c>
      <c r="R316" s="231">
        <v>3472078</v>
      </c>
      <c r="T316" s="230">
        <v>43546</v>
      </c>
      <c r="U316" s="1">
        <v>90.75</v>
      </c>
      <c r="V316" s="1">
        <v>91.526584106888706</v>
      </c>
      <c r="W316" s="1">
        <v>47077</v>
      </c>
      <c r="X316" s="1">
        <v>38164.61</v>
      </c>
      <c r="Y316" s="215">
        <f t="shared" si="47"/>
        <v>9.4078353488633581E-3</v>
      </c>
      <c r="Z316" s="215">
        <f t="shared" si="42"/>
        <v>3.125E-2</v>
      </c>
      <c r="AA316" s="231">
        <v>4308797</v>
      </c>
      <c r="AC316" s="230">
        <v>43550</v>
      </c>
      <c r="AD316" s="1">
        <v>49</v>
      </c>
      <c r="AE316" s="1">
        <v>48.957654723127</v>
      </c>
      <c r="AF316" s="1">
        <v>307</v>
      </c>
      <c r="AG316" s="1">
        <v>38233.410000000003</v>
      </c>
      <c r="AH316" s="215">
        <f t="shared" si="48"/>
        <v>2.6363075644957323E-3</v>
      </c>
      <c r="AI316" s="215">
        <f t="shared" si="43"/>
        <v>1.5544041450777257E-2</v>
      </c>
      <c r="AJ316" s="231">
        <v>15030</v>
      </c>
      <c r="AL316" s="230">
        <v>44816</v>
      </c>
      <c r="AM316" s="1">
        <v>303.3</v>
      </c>
      <c r="AN316" s="1">
        <v>304.10689772341101</v>
      </c>
      <c r="AO316" s="1">
        <v>14715</v>
      </c>
      <c r="AP316" s="1">
        <v>60115.13</v>
      </c>
      <c r="AQ316" s="215">
        <f t="shared" si="49"/>
        <v>-7.5275197338400268E-3</v>
      </c>
      <c r="AR316" s="215">
        <f t="shared" si="44"/>
        <v>-4.9431537320798746E-4</v>
      </c>
      <c r="AS316" s="231">
        <v>4474933</v>
      </c>
    </row>
    <row r="317" spans="2:45">
      <c r="B317" s="230">
        <v>43549</v>
      </c>
      <c r="C317" s="1">
        <v>315</v>
      </c>
      <c r="D317" s="1">
        <v>321.42722146014302</v>
      </c>
      <c r="E317" s="1">
        <v>6561</v>
      </c>
      <c r="F317" s="215">
        <v>37808.910000000003</v>
      </c>
      <c r="G317" s="215">
        <f t="shared" si="45"/>
        <v>-1.1102854806829932E-2</v>
      </c>
      <c r="H317" s="215">
        <f t="shared" si="40"/>
        <v>-4.1533546325878579E-2</v>
      </c>
      <c r="I317" s="231">
        <v>2108884</v>
      </c>
      <c r="K317" s="230">
        <v>43549</v>
      </c>
      <c r="L317" s="1">
        <v>231.2</v>
      </c>
      <c r="M317" s="1">
        <v>230.675921327108</v>
      </c>
      <c r="N317" s="1">
        <v>20134</v>
      </c>
      <c r="O317" s="1">
        <v>37808.910000000003</v>
      </c>
      <c r="P317" s="215">
        <f t="shared" si="46"/>
        <v>-1.1102854806829932E-2</v>
      </c>
      <c r="Q317" s="215">
        <f t="shared" si="41"/>
        <v>-2.3029790830340291E-2</v>
      </c>
      <c r="R317" s="231">
        <v>4644429</v>
      </c>
      <c r="T317" s="230">
        <v>43549</v>
      </c>
      <c r="U317" s="1">
        <v>88</v>
      </c>
      <c r="V317" s="1">
        <v>88.1552119307634</v>
      </c>
      <c r="W317" s="1">
        <v>192846</v>
      </c>
      <c r="X317" s="1">
        <v>37808.910000000003</v>
      </c>
      <c r="Y317" s="215">
        <f t="shared" si="47"/>
        <v>-1.1102854806829932E-2</v>
      </c>
      <c r="Z317" s="215">
        <f t="shared" si="42"/>
        <v>-2.0044543429844075E-2</v>
      </c>
      <c r="AA317" s="231">
        <v>17000380</v>
      </c>
      <c r="AC317" s="230">
        <v>43551</v>
      </c>
      <c r="AD317" s="1">
        <v>48.25</v>
      </c>
      <c r="AE317" s="1">
        <v>47.945529290853003</v>
      </c>
      <c r="AF317" s="1">
        <v>973</v>
      </c>
      <c r="AG317" s="1">
        <v>38132.879999999997</v>
      </c>
      <c r="AH317" s="215">
        <f t="shared" si="48"/>
        <v>-1.0710397937825578E-2</v>
      </c>
      <c r="AI317" s="215">
        <f t="shared" si="43"/>
        <v>-3.4034034034034044E-2</v>
      </c>
      <c r="AJ317" s="231">
        <v>46651</v>
      </c>
      <c r="AL317" s="230">
        <v>44817</v>
      </c>
      <c r="AM317" s="1">
        <v>303.45</v>
      </c>
      <c r="AN317" s="1">
        <v>304.25409988241802</v>
      </c>
      <c r="AO317" s="1">
        <v>16159</v>
      </c>
      <c r="AP317" s="1">
        <v>60571.08</v>
      </c>
      <c r="AQ317" s="215">
        <f t="shared" si="49"/>
        <v>3.713691010501341E-3</v>
      </c>
      <c r="AR317" s="215">
        <f t="shared" si="44"/>
        <v>-4.2657916324856382E-3</v>
      </c>
      <c r="AS317" s="231">
        <v>4916442</v>
      </c>
    </row>
    <row r="318" spans="2:45">
      <c r="B318" s="230">
        <v>43550</v>
      </c>
      <c r="C318" s="1">
        <v>328.65</v>
      </c>
      <c r="D318" s="1">
        <v>328.478515625</v>
      </c>
      <c r="E318" s="1">
        <v>512</v>
      </c>
      <c r="F318" s="215">
        <v>38233.410000000003</v>
      </c>
      <c r="G318" s="215">
        <f t="shared" si="45"/>
        <v>2.6363075644957323E-3</v>
      </c>
      <c r="H318" s="215">
        <f t="shared" si="40"/>
        <v>3.122058362096003E-2</v>
      </c>
      <c r="I318" s="231">
        <v>168181</v>
      </c>
      <c r="K318" s="230">
        <v>43550</v>
      </c>
      <c r="L318" s="1">
        <v>236.65</v>
      </c>
      <c r="M318" s="1">
        <v>236.44101647497601</v>
      </c>
      <c r="N318" s="1">
        <v>12868</v>
      </c>
      <c r="O318" s="1">
        <v>38233.410000000003</v>
      </c>
      <c r="P318" s="215">
        <f t="shared" si="46"/>
        <v>2.6363075644957323E-3</v>
      </c>
      <c r="Q318" s="215">
        <f t="shared" si="41"/>
        <v>5.5236881240705582E-3</v>
      </c>
      <c r="R318" s="231">
        <v>3042523</v>
      </c>
      <c r="T318" s="230">
        <v>43550</v>
      </c>
      <c r="U318" s="1">
        <v>89.8</v>
      </c>
      <c r="V318" s="1">
        <v>89.491995727845705</v>
      </c>
      <c r="W318" s="1">
        <v>332385</v>
      </c>
      <c r="X318" s="1">
        <v>38233.410000000003</v>
      </c>
      <c r="Y318" s="215">
        <f t="shared" si="47"/>
        <v>2.6363075644957323E-3</v>
      </c>
      <c r="Z318" s="215">
        <f t="shared" si="42"/>
        <v>7.2910824453167322E-3</v>
      </c>
      <c r="AA318" s="231">
        <v>29745797</v>
      </c>
      <c r="AC318" s="230">
        <v>43552</v>
      </c>
      <c r="AD318" s="1">
        <v>49.95</v>
      </c>
      <c r="AE318" s="1">
        <v>49.95</v>
      </c>
      <c r="AF318" s="1">
        <v>200</v>
      </c>
      <c r="AG318" s="1">
        <v>38545.72</v>
      </c>
      <c r="AH318" s="215">
        <f t="shared" si="48"/>
        <v>-3.2888655133529454E-3</v>
      </c>
      <c r="AI318" s="215">
        <f t="shared" si="43"/>
        <v>4.020100502512669E-3</v>
      </c>
      <c r="AJ318" s="231">
        <v>9990</v>
      </c>
      <c r="AL318" s="230">
        <v>44818</v>
      </c>
      <c r="AM318" s="1">
        <v>304.75</v>
      </c>
      <c r="AN318" s="1">
        <v>303.57871701351598</v>
      </c>
      <c r="AO318" s="1">
        <v>23305</v>
      </c>
      <c r="AP318" s="1">
        <v>60346.97</v>
      </c>
      <c r="AQ318" s="215">
        <f t="shared" si="49"/>
        <v>6.8902447875587303E-3</v>
      </c>
      <c r="AR318" s="215">
        <f t="shared" si="44"/>
        <v>4.7807451368282461E-3</v>
      </c>
      <c r="AS318" s="231">
        <v>7074902</v>
      </c>
    </row>
    <row r="319" spans="2:45">
      <c r="B319" s="230">
        <v>43551</v>
      </c>
      <c r="C319" s="1">
        <v>318.7</v>
      </c>
      <c r="D319" s="1">
        <v>319.43512219702598</v>
      </c>
      <c r="E319" s="1">
        <v>3969</v>
      </c>
      <c r="F319" s="215">
        <v>38132.879999999997</v>
      </c>
      <c r="G319" s="215">
        <f t="shared" si="45"/>
        <v>-1.0710397937825578E-2</v>
      </c>
      <c r="H319" s="215">
        <f t="shared" si="40"/>
        <v>1.1746031746031615E-2</v>
      </c>
      <c r="I319" s="231">
        <v>1267838</v>
      </c>
      <c r="K319" s="230">
        <v>43551</v>
      </c>
      <c r="L319" s="1">
        <v>235.35</v>
      </c>
      <c r="M319" s="1">
        <v>236.12682119205201</v>
      </c>
      <c r="N319" s="1">
        <v>9060</v>
      </c>
      <c r="O319" s="1">
        <v>38132.879999999997</v>
      </c>
      <c r="P319" s="215">
        <f t="shared" si="46"/>
        <v>-1.0710397937825578E-2</v>
      </c>
      <c r="Q319" s="215">
        <f t="shared" si="41"/>
        <v>4.0529010238907759E-3</v>
      </c>
      <c r="R319" s="231">
        <v>2139309</v>
      </c>
      <c r="T319" s="230">
        <v>43551</v>
      </c>
      <c r="U319" s="1">
        <v>89.15</v>
      </c>
      <c r="V319" s="1">
        <v>89.629854791868297</v>
      </c>
      <c r="W319" s="1">
        <v>129125</v>
      </c>
      <c r="X319" s="1">
        <v>38132.879999999997</v>
      </c>
      <c r="Y319" s="215">
        <f t="shared" si="47"/>
        <v>-1.0710397937825578E-2</v>
      </c>
      <c r="Z319" s="215">
        <f t="shared" si="42"/>
        <v>-3.353828954723248E-3</v>
      </c>
      <c r="AA319" s="231">
        <v>11573455</v>
      </c>
      <c r="AC319" s="230">
        <v>43553</v>
      </c>
      <c r="AD319" s="1">
        <v>49.75</v>
      </c>
      <c r="AE319" s="1">
        <v>50.238833746898202</v>
      </c>
      <c r="AF319" s="1">
        <v>1612</v>
      </c>
      <c r="AG319" s="1">
        <v>38672.910000000003</v>
      </c>
      <c r="AH319" s="215">
        <f t="shared" si="48"/>
        <v>-5.1183542237612789E-3</v>
      </c>
      <c r="AI319" s="215">
        <f t="shared" si="43"/>
        <v>-2.0060180541625616E-3</v>
      </c>
      <c r="AJ319" s="231">
        <v>80985</v>
      </c>
      <c r="AL319" s="230">
        <v>44819</v>
      </c>
      <c r="AM319" s="1">
        <v>303.3</v>
      </c>
      <c r="AN319" s="1">
        <v>304.57375276480701</v>
      </c>
      <c r="AO319" s="1">
        <v>20345</v>
      </c>
      <c r="AP319" s="1">
        <v>59934.01</v>
      </c>
      <c r="AQ319" s="215">
        <f t="shared" si="49"/>
        <v>1.857928827944022E-2</v>
      </c>
      <c r="AR319" s="215">
        <f t="shared" si="44"/>
        <v>1.8982025869309638E-2</v>
      </c>
      <c r="AS319" s="231">
        <v>6196553</v>
      </c>
    </row>
    <row r="320" spans="2:45">
      <c r="B320" s="230">
        <v>43552</v>
      </c>
      <c r="C320" s="1">
        <v>315</v>
      </c>
      <c r="D320" s="1">
        <v>313.5</v>
      </c>
      <c r="E320" s="1">
        <v>13560</v>
      </c>
      <c r="F320" s="215">
        <v>38545.72</v>
      </c>
      <c r="G320" s="215">
        <f t="shared" si="45"/>
        <v>-3.2888655133529454E-3</v>
      </c>
      <c r="H320" s="215">
        <f t="shared" si="40"/>
        <v>-6.9356872635560896E-3</v>
      </c>
      <c r="I320" s="231">
        <v>4251060</v>
      </c>
      <c r="K320" s="230">
        <v>43552</v>
      </c>
      <c r="L320" s="1">
        <v>234.4</v>
      </c>
      <c r="M320" s="1">
        <v>238.10619671132699</v>
      </c>
      <c r="N320" s="1">
        <v>13136</v>
      </c>
      <c r="O320" s="1">
        <v>38545.72</v>
      </c>
      <c r="P320" s="215">
        <f t="shared" si="46"/>
        <v>-3.2888655133529454E-3</v>
      </c>
      <c r="Q320" s="215">
        <f t="shared" si="41"/>
        <v>1.2964563526361328E-2</v>
      </c>
      <c r="R320" s="231">
        <v>3127763</v>
      </c>
      <c r="T320" s="230">
        <v>43552</v>
      </c>
      <c r="U320" s="1">
        <v>89.45</v>
      </c>
      <c r="V320" s="1">
        <v>89.903789461120695</v>
      </c>
      <c r="W320" s="1">
        <v>83785</v>
      </c>
      <c r="X320" s="1">
        <v>38545.72</v>
      </c>
      <c r="Y320" s="215">
        <f t="shared" si="47"/>
        <v>-3.2888655133529454E-3</v>
      </c>
      <c r="Z320" s="215">
        <f t="shared" si="42"/>
        <v>-6.662965019433531E-3</v>
      </c>
      <c r="AA320" s="231">
        <v>7532589</v>
      </c>
      <c r="AC320" s="230">
        <v>43556</v>
      </c>
      <c r="AD320" s="1">
        <v>49.85</v>
      </c>
      <c r="AE320" s="1">
        <v>46.550685368186102</v>
      </c>
      <c r="AF320" s="1">
        <v>6274</v>
      </c>
      <c r="AG320" s="1">
        <v>38871.870000000003</v>
      </c>
      <c r="AH320" s="215">
        <f t="shared" si="48"/>
        <v>-4.7310765260205612E-3</v>
      </c>
      <c r="AI320" s="215">
        <f t="shared" si="43"/>
        <v>2.7835051546391876E-2</v>
      </c>
      <c r="AJ320" s="231">
        <v>292059</v>
      </c>
      <c r="AL320" s="230">
        <v>44820</v>
      </c>
      <c r="AM320" s="1">
        <v>297.64999999999998</v>
      </c>
      <c r="AN320" s="1">
        <v>298.00853615161799</v>
      </c>
      <c r="AO320" s="1">
        <v>19681</v>
      </c>
      <c r="AP320" s="1">
        <v>58840.79</v>
      </c>
      <c r="AQ320" s="215">
        <f t="shared" si="49"/>
        <v>-5.0800431441822003E-3</v>
      </c>
      <c r="AR320" s="215">
        <f t="shared" si="44"/>
        <v>-2.1790144150185542E-3</v>
      </c>
      <c r="AS320" s="231">
        <v>5865106</v>
      </c>
    </row>
    <row r="321" spans="2:45">
      <c r="B321" s="230">
        <v>43553</v>
      </c>
      <c r="C321" s="1">
        <v>317.2</v>
      </c>
      <c r="D321" s="1">
        <v>320.94664371772802</v>
      </c>
      <c r="E321" s="1">
        <v>581</v>
      </c>
      <c r="F321" s="215">
        <v>38672.910000000003</v>
      </c>
      <c r="G321" s="215">
        <f t="shared" si="45"/>
        <v>-5.1183542237612789E-3</v>
      </c>
      <c r="H321" s="215">
        <f t="shared" si="40"/>
        <v>-2.6097635861221935E-2</v>
      </c>
      <c r="I321" s="231">
        <v>186470</v>
      </c>
      <c r="K321" s="230">
        <v>43553</v>
      </c>
      <c r="L321" s="1">
        <v>231.4</v>
      </c>
      <c r="M321" s="1">
        <v>234.38854690480301</v>
      </c>
      <c r="N321" s="1">
        <v>23068</v>
      </c>
      <c r="O321" s="1">
        <v>38672.910000000003</v>
      </c>
      <c r="P321" s="215">
        <f t="shared" si="46"/>
        <v>-5.1183542237612789E-3</v>
      </c>
      <c r="Q321" s="215">
        <f t="shared" si="41"/>
        <v>-0.10535472646433397</v>
      </c>
      <c r="R321" s="231">
        <v>5406875</v>
      </c>
      <c r="T321" s="230">
        <v>43553</v>
      </c>
      <c r="U321" s="1">
        <v>90.05</v>
      </c>
      <c r="V321" s="1">
        <v>89.904996426404907</v>
      </c>
      <c r="W321" s="1">
        <v>166499</v>
      </c>
      <c r="X321" s="1">
        <v>38672.910000000003</v>
      </c>
      <c r="Y321" s="215">
        <f t="shared" si="47"/>
        <v>-5.1183542237612789E-3</v>
      </c>
      <c r="Z321" s="215">
        <f t="shared" si="42"/>
        <v>-4.1001064962726375E-2</v>
      </c>
      <c r="AA321" s="231">
        <v>14969092</v>
      </c>
      <c r="AC321" s="230">
        <v>43557</v>
      </c>
      <c r="AD321" s="1">
        <v>48.5</v>
      </c>
      <c r="AE321" s="1">
        <v>48.1</v>
      </c>
      <c r="AF321" s="1">
        <v>250</v>
      </c>
      <c r="AG321" s="1">
        <v>39056.65</v>
      </c>
      <c r="AH321" s="215">
        <f t="shared" si="48"/>
        <v>4.6178832176868578E-3</v>
      </c>
      <c r="AI321" s="215">
        <f t="shared" si="43"/>
        <v>-1.7223910840932111E-2</v>
      </c>
      <c r="AJ321" s="231">
        <v>12025</v>
      </c>
      <c r="AL321" s="230">
        <v>44823</v>
      </c>
      <c r="AM321" s="1">
        <v>298.3</v>
      </c>
      <c r="AN321" s="1">
        <v>296.202723857232</v>
      </c>
      <c r="AO321" s="1">
        <v>25552</v>
      </c>
      <c r="AP321" s="1">
        <v>59141.23</v>
      </c>
      <c r="AQ321" s="215">
        <f t="shared" si="49"/>
        <v>-9.6870816919162328E-3</v>
      </c>
      <c r="AR321" s="215">
        <f t="shared" si="44"/>
        <v>-6.4945878434637949E-3</v>
      </c>
      <c r="AS321" s="231">
        <v>7568572</v>
      </c>
    </row>
    <row r="322" spans="2:45">
      <c r="B322" s="230">
        <v>43556</v>
      </c>
      <c r="C322" s="1">
        <v>325.7</v>
      </c>
      <c r="D322" s="1">
        <v>326.99432892249501</v>
      </c>
      <c r="E322" s="1">
        <v>529</v>
      </c>
      <c r="F322" s="215">
        <v>38871.870000000003</v>
      </c>
      <c r="G322" s="215">
        <f t="shared" si="45"/>
        <v>-4.7310765260205612E-3</v>
      </c>
      <c r="H322" s="215">
        <f t="shared" si="40"/>
        <v>-1.4374338023906752E-2</v>
      </c>
      <c r="I322" s="231">
        <v>172980</v>
      </c>
      <c r="K322" s="230">
        <v>43556</v>
      </c>
      <c r="L322" s="1">
        <v>258.64999999999998</v>
      </c>
      <c r="M322" s="1">
        <v>256.495646806575</v>
      </c>
      <c r="N322" s="1">
        <v>61564</v>
      </c>
      <c r="O322" s="1">
        <v>38871.870000000003</v>
      </c>
      <c r="P322" s="215">
        <f t="shared" si="46"/>
        <v>-4.7310765260205612E-3</v>
      </c>
      <c r="Q322" s="215">
        <f t="shared" si="41"/>
        <v>2.7612236789829048E-2</v>
      </c>
      <c r="R322" s="231">
        <v>15790898</v>
      </c>
      <c r="T322" s="230">
        <v>43556</v>
      </c>
      <c r="U322" s="1">
        <v>93.9</v>
      </c>
      <c r="V322" s="1">
        <v>92.643707862985394</v>
      </c>
      <c r="W322" s="1">
        <v>257345</v>
      </c>
      <c r="X322" s="1">
        <v>38871.870000000003</v>
      </c>
      <c r="Y322" s="215">
        <f t="shared" si="47"/>
        <v>-4.7310765260205612E-3</v>
      </c>
      <c r="Z322" s="215">
        <f t="shared" si="42"/>
        <v>2.5109170305676942E-2</v>
      </c>
      <c r="AA322" s="231">
        <v>23841395</v>
      </c>
      <c r="AC322" s="230">
        <v>43558</v>
      </c>
      <c r="AD322" s="1">
        <v>49.35</v>
      </c>
      <c r="AE322" s="1">
        <v>49.915082895268903</v>
      </c>
      <c r="AF322" s="1">
        <v>2473</v>
      </c>
      <c r="AG322" s="1">
        <v>38877.120000000003</v>
      </c>
      <c r="AH322" s="215">
        <f t="shared" si="48"/>
        <v>4.9735399403174618E-3</v>
      </c>
      <c r="AI322" s="215">
        <f t="shared" si="43"/>
        <v>3.0271398747390377E-2</v>
      </c>
      <c r="AJ322" s="231">
        <v>123440</v>
      </c>
      <c r="AL322" s="230">
        <v>44824</v>
      </c>
      <c r="AM322" s="1">
        <v>300.25</v>
      </c>
      <c r="AN322" s="1">
        <v>300.19340703432601</v>
      </c>
      <c r="AO322" s="1">
        <v>94707</v>
      </c>
      <c r="AP322" s="1">
        <v>59719.74</v>
      </c>
      <c r="AQ322" s="215">
        <f t="shared" si="49"/>
        <v>4.4227083942318668E-3</v>
      </c>
      <c r="AR322" s="215">
        <f t="shared" si="44"/>
        <v>1.8832711231761223E-2</v>
      </c>
      <c r="AS322" s="231">
        <v>28430417</v>
      </c>
    </row>
    <row r="323" spans="2:45">
      <c r="B323" s="230">
        <v>43557</v>
      </c>
      <c r="C323" s="1">
        <v>330.45</v>
      </c>
      <c r="D323" s="1">
        <v>329.71605270233903</v>
      </c>
      <c r="E323" s="1">
        <v>3719</v>
      </c>
      <c r="F323" s="215">
        <v>39056.65</v>
      </c>
      <c r="G323" s="215">
        <f t="shared" si="45"/>
        <v>4.6178832176868578E-3</v>
      </c>
      <c r="H323" s="215">
        <f t="shared" si="40"/>
        <v>-2.5077445050892488E-2</v>
      </c>
      <c r="I323" s="231">
        <v>1226214</v>
      </c>
      <c r="K323" s="230">
        <v>43557</v>
      </c>
      <c r="L323" s="1">
        <v>251.7</v>
      </c>
      <c r="M323" s="1">
        <v>253.33004231311699</v>
      </c>
      <c r="N323" s="1">
        <v>24815</v>
      </c>
      <c r="O323" s="1">
        <v>39056.65</v>
      </c>
      <c r="P323" s="215">
        <f t="shared" si="46"/>
        <v>4.6178832176868578E-3</v>
      </c>
      <c r="Q323" s="215">
        <f t="shared" si="41"/>
        <v>2.6927784577723379E-2</v>
      </c>
      <c r="R323" s="231">
        <v>6286385</v>
      </c>
      <c r="T323" s="230">
        <v>43557</v>
      </c>
      <c r="U323" s="1">
        <v>91.6</v>
      </c>
      <c r="V323" s="1">
        <v>92.252927826872906</v>
      </c>
      <c r="W323" s="1">
        <v>153783</v>
      </c>
      <c r="X323" s="1">
        <v>39056.65</v>
      </c>
      <c r="Y323" s="215">
        <f t="shared" si="47"/>
        <v>4.6178832176868578E-3</v>
      </c>
      <c r="Z323" s="215">
        <f t="shared" si="42"/>
        <v>3.6199095022624306E-2</v>
      </c>
      <c r="AA323" s="231">
        <v>14186932</v>
      </c>
      <c r="AC323" s="230">
        <v>43559</v>
      </c>
      <c r="AD323" s="1">
        <v>47.9</v>
      </c>
      <c r="AE323" s="1">
        <v>48.080304031724999</v>
      </c>
      <c r="AF323" s="1">
        <v>3026</v>
      </c>
      <c r="AG323" s="1">
        <v>38684.720000000001</v>
      </c>
      <c r="AH323" s="215">
        <f t="shared" si="48"/>
        <v>-4.5676740629655432E-3</v>
      </c>
      <c r="AI323" s="215">
        <f t="shared" si="43"/>
        <v>-2.2448979591836782E-2</v>
      </c>
      <c r="AJ323" s="231">
        <v>145491</v>
      </c>
      <c r="AL323" s="230">
        <v>44825</v>
      </c>
      <c r="AM323" s="1">
        <v>294.7</v>
      </c>
      <c r="AN323" s="1">
        <v>295.72427761274599</v>
      </c>
      <c r="AO323" s="1">
        <v>7406</v>
      </c>
      <c r="AP323" s="1">
        <v>59456.78</v>
      </c>
      <c r="AQ323" s="215">
        <f t="shared" si="49"/>
        <v>5.7013125231308859E-3</v>
      </c>
      <c r="AR323" s="215">
        <f t="shared" si="44"/>
        <v>4.4308111792774607E-3</v>
      </c>
      <c r="AS323" s="231">
        <v>2190134</v>
      </c>
    </row>
    <row r="324" spans="2:45">
      <c r="B324" s="230">
        <v>43558</v>
      </c>
      <c r="C324" s="1">
        <v>338.95</v>
      </c>
      <c r="D324" s="1">
        <v>336.98459167950602</v>
      </c>
      <c r="E324" s="1">
        <v>1298</v>
      </c>
      <c r="F324" s="215">
        <v>38877.120000000003</v>
      </c>
      <c r="G324" s="215">
        <f t="shared" si="45"/>
        <v>4.9735399403174618E-3</v>
      </c>
      <c r="H324" s="215">
        <f t="shared" si="40"/>
        <v>1.3606459330143483E-2</v>
      </c>
      <c r="I324" s="231">
        <v>437406</v>
      </c>
      <c r="K324" s="230">
        <v>43558</v>
      </c>
      <c r="L324" s="1">
        <v>245.1</v>
      </c>
      <c r="M324" s="1">
        <v>250.55671719811801</v>
      </c>
      <c r="N324" s="1">
        <v>9565</v>
      </c>
      <c r="O324" s="1">
        <v>38877.120000000003</v>
      </c>
      <c r="P324" s="215">
        <f t="shared" si="46"/>
        <v>4.9735399403174618E-3</v>
      </c>
      <c r="Q324" s="215">
        <f t="shared" si="41"/>
        <v>-4.0783034257751982E-4</v>
      </c>
      <c r="R324" s="231">
        <v>2396575</v>
      </c>
      <c r="T324" s="230">
        <v>43558</v>
      </c>
      <c r="U324" s="1">
        <v>88.4</v>
      </c>
      <c r="V324" s="1">
        <v>89.872207764524006</v>
      </c>
      <c r="W324" s="1">
        <v>225178</v>
      </c>
      <c r="X324" s="1">
        <v>38877.120000000003</v>
      </c>
      <c r="Y324" s="215">
        <f t="shared" si="47"/>
        <v>4.9735399403174618E-3</v>
      </c>
      <c r="Z324" s="215">
        <f t="shared" si="42"/>
        <v>-2.8200789622109257E-3</v>
      </c>
      <c r="AA324" s="231">
        <v>20237244</v>
      </c>
      <c r="AC324" s="230">
        <v>43560</v>
      </c>
      <c r="AD324" s="1">
        <v>49</v>
      </c>
      <c r="AE324" s="1">
        <v>47.967136150234701</v>
      </c>
      <c r="AF324" s="1">
        <v>1278</v>
      </c>
      <c r="AG324" s="1">
        <v>38862.230000000003</v>
      </c>
      <c r="AH324" s="215">
        <f t="shared" si="48"/>
        <v>4.1782373523051586E-3</v>
      </c>
      <c r="AI324" s="215">
        <f t="shared" si="43"/>
        <v>-2.9702970297029729E-2</v>
      </c>
      <c r="AJ324" s="231">
        <v>61302</v>
      </c>
      <c r="AL324" s="230">
        <v>44826</v>
      </c>
      <c r="AM324" s="1">
        <v>293.39999999999998</v>
      </c>
      <c r="AN324" s="1">
        <v>293.73103776578802</v>
      </c>
      <c r="AO324" s="1">
        <v>6302</v>
      </c>
      <c r="AP324" s="1">
        <v>59119.72</v>
      </c>
      <c r="AQ324" s="215">
        <f t="shared" si="49"/>
        <v>1.7570034004074531E-2</v>
      </c>
      <c r="AR324" s="215">
        <f t="shared" si="44"/>
        <v>3.4094783498117565E-4</v>
      </c>
      <c r="AS324" s="231">
        <v>1851093</v>
      </c>
    </row>
    <row r="325" spans="2:45">
      <c r="B325" s="230">
        <v>43559</v>
      </c>
      <c r="C325" s="1">
        <v>334.4</v>
      </c>
      <c r="D325" s="1">
        <v>334.451388888888</v>
      </c>
      <c r="E325" s="1">
        <v>432</v>
      </c>
      <c r="F325" s="215">
        <v>38684.720000000001</v>
      </c>
      <c r="G325" s="215">
        <f t="shared" si="45"/>
        <v>-4.5676740629655432E-3</v>
      </c>
      <c r="H325" s="215">
        <f t="shared" si="40"/>
        <v>-2.1650087770626159E-2</v>
      </c>
      <c r="I325" s="231">
        <v>144483</v>
      </c>
      <c r="K325" s="230">
        <v>43559</v>
      </c>
      <c r="L325" s="1">
        <v>245.2</v>
      </c>
      <c r="M325" s="1">
        <v>246.51472527472501</v>
      </c>
      <c r="N325" s="1">
        <v>2275</v>
      </c>
      <c r="O325" s="1">
        <v>38684.720000000001</v>
      </c>
      <c r="P325" s="215">
        <f t="shared" si="46"/>
        <v>-4.5676740629655432E-3</v>
      </c>
      <c r="Q325" s="215">
        <f t="shared" si="41"/>
        <v>-9.8929941449626968E-3</v>
      </c>
      <c r="R325" s="231">
        <v>560821</v>
      </c>
      <c r="T325" s="230">
        <v>43559</v>
      </c>
      <c r="U325" s="1">
        <v>88.65</v>
      </c>
      <c r="V325" s="1">
        <v>88.285108208599397</v>
      </c>
      <c r="W325" s="1">
        <v>83912</v>
      </c>
      <c r="X325" s="1">
        <v>38684.720000000001</v>
      </c>
      <c r="Y325" s="215">
        <f t="shared" si="47"/>
        <v>-4.5676740629655432E-3</v>
      </c>
      <c r="Z325" s="215">
        <f t="shared" si="42"/>
        <v>2.2611644997174718E-3</v>
      </c>
      <c r="AA325" s="231">
        <v>7408180</v>
      </c>
      <c r="AC325" s="230">
        <v>43563</v>
      </c>
      <c r="AD325" s="1">
        <v>50.5</v>
      </c>
      <c r="AE325" s="1">
        <v>51.138340988921897</v>
      </c>
      <c r="AF325" s="1">
        <v>3701</v>
      </c>
      <c r="AG325" s="1">
        <v>38700.53</v>
      </c>
      <c r="AH325" s="215">
        <f t="shared" si="48"/>
        <v>2.985070758720676E-3</v>
      </c>
      <c r="AI325" s="215">
        <f t="shared" si="43"/>
        <v>7.9840319361277334E-3</v>
      </c>
      <c r="AJ325" s="231">
        <v>189263</v>
      </c>
      <c r="AL325" s="230">
        <v>44827</v>
      </c>
      <c r="AM325" s="1">
        <v>293.3</v>
      </c>
      <c r="AN325" s="1">
        <v>294.38544905798398</v>
      </c>
      <c r="AO325" s="1">
        <v>21868</v>
      </c>
      <c r="AP325" s="1">
        <v>58098.92</v>
      </c>
      <c r="AQ325" s="215">
        <f t="shared" si="49"/>
        <v>1.6689059907372794E-2</v>
      </c>
      <c r="AR325" s="215">
        <f t="shared" si="44"/>
        <v>-6.8143100511064425E-4</v>
      </c>
      <c r="AS325" s="231">
        <v>6437621</v>
      </c>
    </row>
    <row r="326" spans="2:45">
      <c r="B326" s="230">
        <v>43560</v>
      </c>
      <c r="C326" s="1">
        <v>341.8</v>
      </c>
      <c r="D326" s="1">
        <v>344.5</v>
      </c>
      <c r="E326" s="1">
        <v>2</v>
      </c>
      <c r="F326" s="215">
        <v>38862.230000000003</v>
      </c>
      <c r="G326" s="215">
        <f t="shared" si="45"/>
        <v>4.1782373523051586E-3</v>
      </c>
      <c r="H326" s="215">
        <f t="shared" si="40"/>
        <v>5.1692307692307704E-2</v>
      </c>
      <c r="I326" s="231">
        <v>689</v>
      </c>
      <c r="K326" s="230">
        <v>43560</v>
      </c>
      <c r="L326" s="1">
        <v>247.65</v>
      </c>
      <c r="M326" s="1">
        <v>247.45585831062601</v>
      </c>
      <c r="N326" s="1">
        <v>3670</v>
      </c>
      <c r="O326" s="1">
        <v>38862.230000000003</v>
      </c>
      <c r="P326" s="215">
        <f t="shared" si="46"/>
        <v>4.1782373523051586E-3</v>
      </c>
      <c r="Q326" s="215">
        <f t="shared" si="41"/>
        <v>3.0372373621801563E-2</v>
      </c>
      <c r="R326" s="231">
        <v>908163</v>
      </c>
      <c r="T326" s="230">
        <v>43560</v>
      </c>
      <c r="U326" s="1">
        <v>88.45</v>
      </c>
      <c r="V326" s="1">
        <v>88.639447768929898</v>
      </c>
      <c r="W326" s="1">
        <v>63669</v>
      </c>
      <c r="X326" s="1">
        <v>38862.230000000003</v>
      </c>
      <c r="Y326" s="215">
        <f t="shared" si="47"/>
        <v>4.1782373523051586E-3</v>
      </c>
      <c r="Z326" s="215">
        <f t="shared" si="42"/>
        <v>4.5428733674048871E-3</v>
      </c>
      <c r="AA326" s="231">
        <v>5643585</v>
      </c>
      <c r="AC326" s="230">
        <v>43565</v>
      </c>
      <c r="AD326" s="1">
        <v>50.1</v>
      </c>
      <c r="AE326" s="1">
        <v>50.498883928571402</v>
      </c>
      <c r="AF326" s="1">
        <v>896</v>
      </c>
      <c r="AG326" s="1">
        <v>38585.35</v>
      </c>
      <c r="AH326" s="215">
        <f t="shared" si="48"/>
        <v>-5.6103800838247508E-4</v>
      </c>
      <c r="AI326" s="215">
        <f t="shared" si="43"/>
        <v>2.5588536335721557E-2</v>
      </c>
      <c r="AJ326" s="231">
        <v>45247</v>
      </c>
      <c r="AL326" s="230">
        <v>44830</v>
      </c>
      <c r="AM326" s="1">
        <v>293.5</v>
      </c>
      <c r="AN326" s="1">
        <v>291.61265170519999</v>
      </c>
      <c r="AO326" s="1">
        <v>14749</v>
      </c>
      <c r="AP326" s="1">
        <v>57145.22</v>
      </c>
      <c r="AQ326" s="215">
        <f t="shared" si="49"/>
        <v>6.6015824185683414E-4</v>
      </c>
      <c r="AR326" s="215">
        <f t="shared" si="44"/>
        <v>-8.613409896976898E-3</v>
      </c>
      <c r="AS326" s="231">
        <v>4300995</v>
      </c>
    </row>
    <row r="327" spans="2:45">
      <c r="B327" s="230">
        <v>43563</v>
      </c>
      <c r="C327" s="1">
        <v>325</v>
      </c>
      <c r="D327" s="1">
        <v>323.936234913997</v>
      </c>
      <c r="E327" s="1">
        <v>31569</v>
      </c>
      <c r="F327" s="215">
        <v>38700.53</v>
      </c>
      <c r="G327" s="215">
        <f t="shared" si="45"/>
        <v>-6.1298094825731342E-3</v>
      </c>
      <c r="H327" s="215">
        <f t="shared" si="40"/>
        <v>1.4990630855715281E-2</v>
      </c>
      <c r="I327" s="231">
        <v>10226343</v>
      </c>
      <c r="K327" s="230">
        <v>43563</v>
      </c>
      <c r="L327" s="1">
        <v>240.35</v>
      </c>
      <c r="M327" s="1">
        <v>243.32700135685201</v>
      </c>
      <c r="N327" s="1">
        <v>3685</v>
      </c>
      <c r="O327" s="1">
        <v>38700.53</v>
      </c>
      <c r="P327" s="215">
        <f t="shared" si="46"/>
        <v>-6.1298094825731342E-3</v>
      </c>
      <c r="Q327" s="215">
        <f t="shared" si="41"/>
        <v>-5.7911065149948149E-3</v>
      </c>
      <c r="R327" s="231">
        <v>896660</v>
      </c>
      <c r="T327" s="230">
        <v>43563</v>
      </c>
      <c r="U327" s="1">
        <v>88.05</v>
      </c>
      <c r="V327" s="1">
        <v>88.830569903378205</v>
      </c>
      <c r="W327" s="1">
        <v>127197</v>
      </c>
      <c r="X327" s="1">
        <v>38700.53</v>
      </c>
      <c r="Y327" s="215">
        <f t="shared" si="47"/>
        <v>-6.1298094825731342E-3</v>
      </c>
      <c r="Z327" s="215">
        <f t="shared" si="42"/>
        <v>1.7064846416381396E-3</v>
      </c>
      <c r="AA327" s="231">
        <v>11298982</v>
      </c>
      <c r="AC327" s="230">
        <v>43566</v>
      </c>
      <c r="AD327" s="1">
        <v>48.85</v>
      </c>
      <c r="AE327" s="1">
        <v>48.848871442590699</v>
      </c>
      <c r="AF327" s="1">
        <v>1019</v>
      </c>
      <c r="AG327" s="1">
        <v>38607.01</v>
      </c>
      <c r="AH327" s="215">
        <f t="shared" si="48"/>
        <v>-4.1297894013765379E-3</v>
      </c>
      <c r="AI327" s="215">
        <f t="shared" si="43"/>
        <v>1.0245901639345245E-3</v>
      </c>
      <c r="AJ327" s="231">
        <v>49777</v>
      </c>
      <c r="AL327" s="230">
        <v>44831</v>
      </c>
      <c r="AM327" s="1">
        <v>296.05</v>
      </c>
      <c r="AN327" s="1">
        <v>296.32738797169799</v>
      </c>
      <c r="AO327" s="1">
        <v>6784</v>
      </c>
      <c r="AP327" s="1">
        <v>57107.519999999997</v>
      </c>
      <c r="AQ327" s="215">
        <f t="shared" si="49"/>
        <v>8.9974465655140445E-3</v>
      </c>
      <c r="AR327" s="215">
        <f t="shared" si="44"/>
        <v>1.6480686695278912E-2</v>
      </c>
      <c r="AS327" s="231">
        <v>2010285</v>
      </c>
    </row>
    <row r="328" spans="2:45">
      <c r="B328" s="230">
        <v>43564</v>
      </c>
      <c r="C328" s="1">
        <v>320.2</v>
      </c>
      <c r="D328" s="1">
        <v>323.16824196597298</v>
      </c>
      <c r="E328" s="1">
        <v>529</v>
      </c>
      <c r="F328" s="215">
        <v>38939.22</v>
      </c>
      <c r="G328" s="215">
        <f t="shared" si="45"/>
        <v>9.1710973206153845E-3</v>
      </c>
      <c r="H328" s="215">
        <f t="shared" si="40"/>
        <v>-2.0345724338381665E-2</v>
      </c>
      <c r="I328" s="231">
        <v>170956</v>
      </c>
      <c r="K328" s="230">
        <v>43564</v>
      </c>
      <c r="L328" s="1">
        <v>241.75</v>
      </c>
      <c r="M328" s="1">
        <v>243.57191106107501</v>
      </c>
      <c r="N328" s="1">
        <v>3553</v>
      </c>
      <c r="O328" s="1">
        <v>38939.22</v>
      </c>
      <c r="P328" s="215">
        <f t="shared" si="46"/>
        <v>9.1710973206153845E-3</v>
      </c>
      <c r="Q328" s="215">
        <f t="shared" si="41"/>
        <v>1.6573441060701022E-3</v>
      </c>
      <c r="R328" s="231">
        <v>865411</v>
      </c>
      <c r="T328" s="230">
        <v>43564</v>
      </c>
      <c r="U328" s="1">
        <v>87.9</v>
      </c>
      <c r="V328" s="1">
        <v>87.313072558631404</v>
      </c>
      <c r="W328" s="1">
        <v>69971</v>
      </c>
      <c r="X328" s="1">
        <v>38939.22</v>
      </c>
      <c r="Y328" s="215">
        <f t="shared" si="47"/>
        <v>9.1710973206153845E-3</v>
      </c>
      <c r="Z328" s="215">
        <f t="shared" si="42"/>
        <v>6.2965082999428823E-3</v>
      </c>
      <c r="AA328" s="231">
        <v>6109383</v>
      </c>
      <c r="AC328" s="230">
        <v>43567</v>
      </c>
      <c r="AD328" s="1">
        <v>48.8</v>
      </c>
      <c r="AE328" s="1">
        <v>48.8</v>
      </c>
      <c r="AF328" s="1">
        <v>275</v>
      </c>
      <c r="AG328" s="1">
        <v>38767.11</v>
      </c>
      <c r="AH328" s="215">
        <f t="shared" si="48"/>
        <v>-3.5657885808402234E-3</v>
      </c>
      <c r="AI328" s="215">
        <f t="shared" si="43"/>
        <v>-4.0816326530612734E-3</v>
      </c>
      <c r="AJ328" s="231">
        <v>13420</v>
      </c>
      <c r="AL328" s="230">
        <v>44832</v>
      </c>
      <c r="AM328" s="1">
        <v>291.25</v>
      </c>
      <c r="AN328" s="1">
        <v>291.95717942750701</v>
      </c>
      <c r="AO328" s="1">
        <v>4297</v>
      </c>
      <c r="AP328" s="1">
        <v>56598.28</v>
      </c>
      <c r="AQ328" s="215">
        <f t="shared" si="49"/>
        <v>3.3384175418667006E-3</v>
      </c>
      <c r="AR328" s="215">
        <f t="shared" si="44"/>
        <v>1.3925152306353272E-2</v>
      </c>
      <c r="AS328" s="231">
        <v>1254540</v>
      </c>
    </row>
    <row r="329" spans="2:45">
      <c r="B329" s="230">
        <v>43565</v>
      </c>
      <c r="C329" s="1">
        <v>326.85000000000002</v>
      </c>
      <c r="D329" s="1">
        <v>329.37037037036998</v>
      </c>
      <c r="E329" s="1">
        <v>297</v>
      </c>
      <c r="F329" s="215">
        <v>38585.35</v>
      </c>
      <c r="G329" s="215">
        <f t="shared" si="45"/>
        <v>-5.6103800838247508E-4</v>
      </c>
      <c r="H329" s="215">
        <f t="shared" si="40"/>
        <v>-2.4473959110580479E-2</v>
      </c>
      <c r="I329" s="231">
        <v>97823</v>
      </c>
      <c r="K329" s="230">
        <v>43565</v>
      </c>
      <c r="L329" s="1">
        <v>241.35</v>
      </c>
      <c r="M329" s="1">
        <v>242.78784103650099</v>
      </c>
      <c r="N329" s="1">
        <v>8027</v>
      </c>
      <c r="O329" s="1">
        <v>38585.35</v>
      </c>
      <c r="P329" s="215">
        <f t="shared" si="46"/>
        <v>-5.6103800838247508E-4</v>
      </c>
      <c r="Q329" s="215">
        <f t="shared" si="41"/>
        <v>1.1313639220615901E-2</v>
      </c>
      <c r="R329" s="231">
        <v>1948858</v>
      </c>
      <c r="T329" s="230">
        <v>43565</v>
      </c>
      <c r="U329" s="1">
        <v>87.35</v>
      </c>
      <c r="V329" s="1">
        <v>88.054291087933805</v>
      </c>
      <c r="W329" s="1">
        <v>99427</v>
      </c>
      <c r="X329" s="1">
        <v>38585.35</v>
      </c>
      <c r="Y329" s="215">
        <f t="shared" si="47"/>
        <v>-5.6103800838247508E-4</v>
      </c>
      <c r="Z329" s="215">
        <f t="shared" si="42"/>
        <v>-2.2844089091947906E-3</v>
      </c>
      <c r="AA329" s="231">
        <v>8754974</v>
      </c>
      <c r="AC329" s="230">
        <v>43570</v>
      </c>
      <c r="AD329" s="1">
        <v>49</v>
      </c>
      <c r="AE329" s="1">
        <v>49.070119521912297</v>
      </c>
      <c r="AF329" s="1">
        <v>2510</v>
      </c>
      <c r="AG329" s="1">
        <v>38905.839999999997</v>
      </c>
      <c r="AH329" s="215">
        <f t="shared" si="48"/>
        <v>-9.4155053870542682E-3</v>
      </c>
      <c r="AI329" s="215">
        <f t="shared" si="43"/>
        <v>0</v>
      </c>
      <c r="AJ329" s="231">
        <v>123166</v>
      </c>
      <c r="AL329" s="230">
        <v>44833</v>
      </c>
      <c r="AM329" s="1">
        <v>287.25</v>
      </c>
      <c r="AN329" s="1">
        <v>291.50127822752398</v>
      </c>
      <c r="AO329" s="1">
        <v>4694</v>
      </c>
      <c r="AP329" s="1">
        <v>56409.96</v>
      </c>
      <c r="AQ329" s="215">
        <f t="shared" si="49"/>
        <v>-1.7708767943675152E-2</v>
      </c>
      <c r="AR329" s="215">
        <f t="shared" si="44"/>
        <v>2.4428546501482629E-3</v>
      </c>
      <c r="AS329" s="231">
        <v>1368307</v>
      </c>
    </row>
    <row r="330" spans="2:45">
      <c r="B330" s="230">
        <v>43566</v>
      </c>
      <c r="C330" s="1">
        <v>335.05</v>
      </c>
      <c r="D330" s="1">
        <v>330.96291390728402</v>
      </c>
      <c r="E330" s="1">
        <v>755</v>
      </c>
      <c r="F330" s="215">
        <v>38607.01</v>
      </c>
      <c r="G330" s="215">
        <f t="shared" si="45"/>
        <v>-4.1297894013765379E-3</v>
      </c>
      <c r="H330" s="215">
        <f t="shared" si="40"/>
        <v>3.4441449535789204E-3</v>
      </c>
      <c r="I330" s="231">
        <v>249877</v>
      </c>
      <c r="K330" s="230">
        <v>43566</v>
      </c>
      <c r="L330" s="1">
        <v>238.65</v>
      </c>
      <c r="M330" s="1">
        <v>239.20138784130299</v>
      </c>
      <c r="N330" s="1">
        <v>6629</v>
      </c>
      <c r="O330" s="1">
        <v>38607.01</v>
      </c>
      <c r="P330" s="215">
        <f t="shared" si="46"/>
        <v>-4.1297894013765379E-3</v>
      </c>
      <c r="Q330" s="215">
        <f t="shared" si="41"/>
        <v>1.3160687752069578E-2</v>
      </c>
      <c r="R330" s="231">
        <v>1585666</v>
      </c>
      <c r="T330" s="230">
        <v>43566</v>
      </c>
      <c r="U330" s="1">
        <v>87.55</v>
      </c>
      <c r="V330" s="1">
        <v>87.4446196640164</v>
      </c>
      <c r="W330" s="1">
        <v>45657</v>
      </c>
      <c r="X330" s="1">
        <v>38607.01</v>
      </c>
      <c r="Y330" s="215">
        <f t="shared" si="47"/>
        <v>-4.1297894013765379E-3</v>
      </c>
      <c r="Z330" s="215">
        <f t="shared" si="42"/>
        <v>6.9005175388152651E-3</v>
      </c>
      <c r="AA330" s="231">
        <v>3992459</v>
      </c>
      <c r="AC330" s="230">
        <v>43571</v>
      </c>
      <c r="AD330" s="1">
        <v>49</v>
      </c>
      <c r="AE330" s="1">
        <v>49.053333333333299</v>
      </c>
      <c r="AF330" s="1">
        <v>300</v>
      </c>
      <c r="AG330" s="1">
        <v>39275.64</v>
      </c>
      <c r="AH330" s="215">
        <f t="shared" si="48"/>
        <v>3.45832988420125E-3</v>
      </c>
      <c r="AI330" s="215">
        <f t="shared" si="43"/>
        <v>1.9771071800208206E-2</v>
      </c>
      <c r="AJ330" s="231">
        <v>14716</v>
      </c>
      <c r="AL330" s="230">
        <v>44834</v>
      </c>
      <c r="AM330" s="1">
        <v>286.55</v>
      </c>
      <c r="AN330" s="1">
        <v>289.70400263547998</v>
      </c>
      <c r="AO330" s="1">
        <v>12142</v>
      </c>
      <c r="AP330" s="1">
        <v>57426.92</v>
      </c>
      <c r="AQ330" s="215">
        <f t="shared" si="49"/>
        <v>1.1236544664344983E-2</v>
      </c>
      <c r="AR330" s="215">
        <f t="shared" si="44"/>
        <v>9.6899224806201723E-3</v>
      </c>
      <c r="AS330" s="231">
        <v>3517586</v>
      </c>
    </row>
    <row r="331" spans="2:45">
      <c r="B331" s="230">
        <v>43567</v>
      </c>
      <c r="C331" s="1">
        <v>333.9</v>
      </c>
      <c r="D331" s="1">
        <v>322.71161473087801</v>
      </c>
      <c r="E331" s="1">
        <v>3530</v>
      </c>
      <c r="F331" s="215">
        <v>38767.11</v>
      </c>
      <c r="G331" s="215">
        <f t="shared" si="45"/>
        <v>-3.5657885808402234E-3</v>
      </c>
      <c r="H331" s="215">
        <f t="shared" si="40"/>
        <v>-3.2835820895522616E-3</v>
      </c>
      <c r="I331" s="231">
        <v>1139172</v>
      </c>
      <c r="K331" s="230">
        <v>43567</v>
      </c>
      <c r="L331" s="1">
        <v>235.55</v>
      </c>
      <c r="M331" s="1">
        <v>236.37187583385199</v>
      </c>
      <c r="N331" s="1">
        <v>11243</v>
      </c>
      <c r="O331" s="1">
        <v>38767.11</v>
      </c>
      <c r="P331" s="215">
        <f t="shared" si="46"/>
        <v>-3.5657885808402234E-3</v>
      </c>
      <c r="Q331" s="215">
        <f t="shared" si="41"/>
        <v>-1.2575979878432175E-2</v>
      </c>
      <c r="R331" s="231">
        <v>2657529</v>
      </c>
      <c r="T331" s="230">
        <v>43567</v>
      </c>
      <c r="U331" s="1">
        <v>86.95</v>
      </c>
      <c r="V331" s="1">
        <v>86.129291019007397</v>
      </c>
      <c r="W331" s="1">
        <v>94121</v>
      </c>
      <c r="X331" s="1">
        <v>38767.11</v>
      </c>
      <c r="Y331" s="215">
        <f t="shared" si="47"/>
        <v>-3.5657885808402234E-3</v>
      </c>
      <c r="Z331" s="215">
        <f t="shared" si="42"/>
        <v>-5.3347849755035259E-2</v>
      </c>
      <c r="AA331" s="231">
        <v>8106575</v>
      </c>
      <c r="AC331" s="230">
        <v>43573</v>
      </c>
      <c r="AD331" s="1">
        <v>48.05</v>
      </c>
      <c r="AE331" s="1">
        <v>48.131840796019901</v>
      </c>
      <c r="AF331" s="1">
        <v>402</v>
      </c>
      <c r="AG331" s="1">
        <v>39140.28</v>
      </c>
      <c r="AH331" s="215">
        <f t="shared" si="48"/>
        <v>1.2811429523681861E-2</v>
      </c>
      <c r="AI331" s="215">
        <f t="shared" si="43"/>
        <v>-2.4365482233502544E-2</v>
      </c>
      <c r="AJ331" s="231">
        <v>19349</v>
      </c>
      <c r="AL331" s="230">
        <v>44837</v>
      </c>
      <c r="AM331" s="1">
        <v>283.8</v>
      </c>
      <c r="AN331" s="1">
        <v>286.653843751951</v>
      </c>
      <c r="AO331" s="1">
        <v>16013</v>
      </c>
      <c r="AP331" s="1">
        <v>56788.81</v>
      </c>
      <c r="AQ331" s="215">
        <f t="shared" si="49"/>
        <v>-2.1986561031883567E-2</v>
      </c>
      <c r="AR331" s="215">
        <f t="shared" si="44"/>
        <v>-1.1149825783972056E-2</v>
      </c>
      <c r="AS331" s="231">
        <v>4590188</v>
      </c>
    </row>
    <row r="332" spans="2:45">
      <c r="B332" s="230">
        <v>43570</v>
      </c>
      <c r="C332" s="1">
        <v>335</v>
      </c>
      <c r="D332" s="1">
        <v>333.72406492589897</v>
      </c>
      <c r="E332" s="1">
        <v>1417</v>
      </c>
      <c r="F332" s="215">
        <v>38905.839999999997</v>
      </c>
      <c r="G332" s="215">
        <f t="shared" si="45"/>
        <v>-9.4155053870542682E-3</v>
      </c>
      <c r="H332" s="215">
        <f t="shared" si="40"/>
        <v>-2.9841838257238518E-4</v>
      </c>
      <c r="I332" s="231">
        <v>472887</v>
      </c>
      <c r="K332" s="230">
        <v>43570</v>
      </c>
      <c r="L332" s="1">
        <v>238.55</v>
      </c>
      <c r="M332" s="1">
        <v>240.15249886758201</v>
      </c>
      <c r="N332" s="1">
        <v>6623</v>
      </c>
      <c r="O332" s="1">
        <v>38905.839999999997</v>
      </c>
      <c r="P332" s="215">
        <f t="shared" si="46"/>
        <v>-9.4155053870542682E-3</v>
      </c>
      <c r="Q332" s="215">
        <f t="shared" si="41"/>
        <v>-4.1902367483759306E-4</v>
      </c>
      <c r="R332" s="231">
        <v>1590530</v>
      </c>
      <c r="T332" s="230">
        <v>43570</v>
      </c>
      <c r="U332" s="1">
        <v>91.85</v>
      </c>
      <c r="V332" s="1">
        <v>91.613289809735306</v>
      </c>
      <c r="W332" s="1">
        <v>529368</v>
      </c>
      <c r="X332" s="1">
        <v>38905.839999999997</v>
      </c>
      <c r="Y332" s="215">
        <f t="shared" si="47"/>
        <v>-9.4155053870542682E-3</v>
      </c>
      <c r="Z332" s="215">
        <f t="shared" si="42"/>
        <v>-2.7144408251900121E-3</v>
      </c>
      <c r="AA332" s="231">
        <v>48497144</v>
      </c>
      <c r="AC332" s="230">
        <v>43577</v>
      </c>
      <c r="AD332" s="1">
        <v>49.25</v>
      </c>
      <c r="AE332" s="1">
        <v>49.848419229103499</v>
      </c>
      <c r="AF332" s="1">
        <v>2309</v>
      </c>
      <c r="AG332" s="1">
        <v>38645.18</v>
      </c>
      <c r="AH332" s="215">
        <f t="shared" si="48"/>
        <v>-1.0485299072992005E-2</v>
      </c>
      <c r="AI332" s="215">
        <f t="shared" si="43"/>
        <v>2.6041666666666741E-2</v>
      </c>
      <c r="AJ332" s="231">
        <v>115100</v>
      </c>
      <c r="AL332" s="230">
        <v>44838</v>
      </c>
      <c r="AM332" s="1">
        <v>287</v>
      </c>
      <c r="AN332" s="1">
        <v>287.65630582350798</v>
      </c>
      <c r="AO332" s="1">
        <v>5598</v>
      </c>
      <c r="AP332" s="1">
        <v>58065.47</v>
      </c>
      <c r="AQ332" s="215">
        <f t="shared" si="49"/>
        <v>-2.6902155710631925E-3</v>
      </c>
      <c r="AR332" s="215">
        <f t="shared" si="44"/>
        <v>-8.464328899637219E-3</v>
      </c>
      <c r="AS332" s="231">
        <v>1610300</v>
      </c>
    </row>
    <row r="333" spans="2:45">
      <c r="B333" s="230">
        <v>43571</v>
      </c>
      <c r="C333" s="1">
        <v>335.1</v>
      </c>
      <c r="D333" s="1">
        <v>341.111776447105</v>
      </c>
      <c r="E333" s="1">
        <v>501</v>
      </c>
      <c r="F333" s="215">
        <v>39275.64</v>
      </c>
      <c r="G333" s="215">
        <f t="shared" si="45"/>
        <v>3.45832988420125E-3</v>
      </c>
      <c r="H333" s="215">
        <f t="shared" si="40"/>
        <v>2.9850746268667017E-4</v>
      </c>
      <c r="I333" s="231">
        <v>170897</v>
      </c>
      <c r="K333" s="230">
        <v>43571</v>
      </c>
      <c r="L333" s="1">
        <v>238.65</v>
      </c>
      <c r="M333" s="1">
        <v>240.30222863556099</v>
      </c>
      <c r="N333" s="1">
        <v>6237</v>
      </c>
      <c r="O333" s="1">
        <v>39275.64</v>
      </c>
      <c r="P333" s="215">
        <f t="shared" si="46"/>
        <v>3.45832988420125E-3</v>
      </c>
      <c r="Q333" s="215">
        <f t="shared" si="41"/>
        <v>2.0089762769822661E-2</v>
      </c>
      <c r="R333" s="231">
        <v>1498765</v>
      </c>
      <c r="T333" s="230">
        <v>43571</v>
      </c>
      <c r="U333" s="1">
        <v>92.1</v>
      </c>
      <c r="V333" s="1">
        <v>93.222572504621397</v>
      </c>
      <c r="W333" s="1">
        <v>260742</v>
      </c>
      <c r="X333" s="1">
        <v>39275.64</v>
      </c>
      <c r="Y333" s="215">
        <f t="shared" si="47"/>
        <v>3.45832988420125E-3</v>
      </c>
      <c r="Z333" s="215">
        <f t="shared" si="42"/>
        <v>2.7901785714285809E-2</v>
      </c>
      <c r="AA333" s="231">
        <v>24307040</v>
      </c>
      <c r="AC333" s="230">
        <v>43579</v>
      </c>
      <c r="AD333" s="1">
        <v>48</v>
      </c>
      <c r="AE333" s="1">
        <v>48.616769547325099</v>
      </c>
      <c r="AF333" s="1">
        <v>1944</v>
      </c>
      <c r="AG333" s="1">
        <v>39054.68</v>
      </c>
      <c r="AH333" s="215">
        <f t="shared" si="48"/>
        <v>8.3607748446588026E-3</v>
      </c>
      <c r="AI333" s="215">
        <f t="shared" si="43"/>
        <v>6.2893081761006275E-3</v>
      </c>
      <c r="AJ333" s="231">
        <v>94511</v>
      </c>
      <c r="AL333" s="230">
        <v>44840</v>
      </c>
      <c r="AM333" s="1">
        <v>289.45</v>
      </c>
      <c r="AN333" s="1">
        <v>289.54550561797703</v>
      </c>
      <c r="AO333" s="1">
        <v>8900</v>
      </c>
      <c r="AP333" s="1">
        <v>58222.1</v>
      </c>
      <c r="AQ333" s="215">
        <f t="shared" si="49"/>
        <v>5.2946068045578443E-4</v>
      </c>
      <c r="AR333" s="215">
        <f t="shared" si="44"/>
        <v>6.0827250608272987E-3</v>
      </c>
      <c r="AS333" s="231">
        <v>2576955</v>
      </c>
    </row>
    <row r="334" spans="2:45">
      <c r="B334" s="230">
        <v>43573</v>
      </c>
      <c r="C334" s="1">
        <v>335</v>
      </c>
      <c r="D334" s="1">
        <v>335.09644670050699</v>
      </c>
      <c r="E334" s="1">
        <v>197</v>
      </c>
      <c r="F334" s="215">
        <v>39140.28</v>
      </c>
      <c r="G334" s="215">
        <f t="shared" si="45"/>
        <v>1.2811429523681861E-2</v>
      </c>
      <c r="H334" s="215">
        <f t="shared" ref="H334:H397" si="50">IF(ISERROR(C334/C335-1),"NA",C334/C335-1)</f>
        <v>7.973521889574231E-3</v>
      </c>
      <c r="I334" s="231">
        <v>66014</v>
      </c>
      <c r="K334" s="230">
        <v>43573</v>
      </c>
      <c r="L334" s="1">
        <v>233.95</v>
      </c>
      <c r="M334" s="1">
        <v>235.98153942427999</v>
      </c>
      <c r="N334" s="1">
        <v>3196</v>
      </c>
      <c r="O334" s="1">
        <v>39140.28</v>
      </c>
      <c r="P334" s="215">
        <f t="shared" si="46"/>
        <v>1.2811429523681861E-2</v>
      </c>
      <c r="Q334" s="215">
        <f t="shared" ref="Q334:Q397" si="51">IF(ISERROR(L334/L335-1),"NA",L334/L335-1)</f>
        <v>2.6096491228070118E-2</v>
      </c>
      <c r="R334" s="231">
        <v>754197</v>
      </c>
      <c r="T334" s="230">
        <v>43573</v>
      </c>
      <c r="U334" s="1">
        <v>89.6</v>
      </c>
      <c r="V334" s="1">
        <v>90.241915970729494</v>
      </c>
      <c r="W334" s="1">
        <v>170274</v>
      </c>
      <c r="X334" s="1">
        <v>39140.28</v>
      </c>
      <c r="Y334" s="215">
        <f t="shared" si="47"/>
        <v>1.2811429523681861E-2</v>
      </c>
      <c r="Z334" s="215">
        <f t="shared" ref="Z334:Z397" si="52">IF(ISERROR(U334/U335-1),"NA",U334/U335-1)</f>
        <v>1.3001695873374741E-2</v>
      </c>
      <c r="AA334" s="231">
        <v>15365852</v>
      </c>
      <c r="AC334" s="230">
        <v>43580</v>
      </c>
      <c r="AD334" s="1">
        <v>47.7</v>
      </c>
      <c r="AE334" s="1">
        <v>48.035564853556401</v>
      </c>
      <c r="AF334" s="1">
        <v>956</v>
      </c>
      <c r="AG334" s="1">
        <v>38730.86</v>
      </c>
      <c r="AH334" s="215">
        <f t="shared" si="48"/>
        <v>-8.6125670733065984E-3</v>
      </c>
      <c r="AI334" s="215">
        <f t="shared" ref="AI334:AI397" si="53">IF(ISERROR(AD334/AD335-1),"NA",AD334/AD335-1)</f>
        <v>-1.7507723995880409E-2</v>
      </c>
      <c r="AJ334" s="231">
        <v>45922</v>
      </c>
      <c r="AL334" s="230">
        <v>44841</v>
      </c>
      <c r="AM334" s="1">
        <v>287.7</v>
      </c>
      <c r="AN334" s="1">
        <v>289.27766629784497</v>
      </c>
      <c r="AO334" s="1">
        <v>53323</v>
      </c>
      <c r="AP334" s="1">
        <v>58191.29</v>
      </c>
      <c r="AQ334" s="215">
        <f t="shared" si="49"/>
        <v>3.4519084045814274E-3</v>
      </c>
      <c r="AR334" s="215">
        <f t="shared" ref="AR334:AR397" si="54">IF(ISERROR(AM334/AM335-1),"NA",AM334/AM335-1)</f>
        <v>1.9128586609989284E-2</v>
      </c>
      <c r="AS334" s="231">
        <v>15425153</v>
      </c>
    </row>
    <row r="335" spans="2:45">
      <c r="B335" s="230">
        <v>43577</v>
      </c>
      <c r="C335" s="1">
        <v>332.35</v>
      </c>
      <c r="D335" s="1">
        <v>331.81470588235197</v>
      </c>
      <c r="E335" s="1">
        <v>340</v>
      </c>
      <c r="F335" s="215">
        <v>38645.18</v>
      </c>
      <c r="G335" s="215">
        <f t="shared" ref="G335:G398" si="55">IF(ISERROR(F335/F336-1),"NA",F335/F336-1)</f>
        <v>2.0822053640514593E-3</v>
      </c>
      <c r="H335" s="215">
        <f t="shared" si="50"/>
        <v>8.3434466019416398E-3</v>
      </c>
      <c r="I335" s="231">
        <v>112817</v>
      </c>
      <c r="K335" s="230">
        <v>43577</v>
      </c>
      <c r="L335" s="1">
        <v>228</v>
      </c>
      <c r="M335" s="1">
        <v>229.83291770573501</v>
      </c>
      <c r="N335" s="1">
        <v>4411</v>
      </c>
      <c r="O335" s="1">
        <v>38645.18</v>
      </c>
      <c r="P335" s="215">
        <f t="shared" ref="P335:P398" si="56">IF(ISERROR(O335/O336-1),"NA",O335/O336-1)</f>
        <v>2.0822053640514593E-3</v>
      </c>
      <c r="Q335" s="215">
        <f t="shared" si="51"/>
        <v>2.19780219780219E-3</v>
      </c>
      <c r="R335" s="231">
        <v>1013793</v>
      </c>
      <c r="T335" s="230">
        <v>43577</v>
      </c>
      <c r="U335" s="1">
        <v>88.45</v>
      </c>
      <c r="V335" s="1">
        <v>89.839580989983801</v>
      </c>
      <c r="W335" s="1">
        <v>130689</v>
      </c>
      <c r="X335" s="1">
        <v>38645.18</v>
      </c>
      <c r="Y335" s="215">
        <f t="shared" ref="Y335:Y398" si="57">IF(ISERROR(X335/X336-1),"NA",X335/X336-1)</f>
        <v>2.0822053640514593E-3</v>
      </c>
      <c r="Z335" s="215">
        <f t="shared" si="52"/>
        <v>0.12675159235668798</v>
      </c>
      <c r="AA335" s="231">
        <v>11741045</v>
      </c>
      <c r="AC335" s="230">
        <v>43581</v>
      </c>
      <c r="AD335" s="1">
        <v>48.55</v>
      </c>
      <c r="AE335" s="1">
        <v>48.427999999999997</v>
      </c>
      <c r="AF335" s="1">
        <v>1250</v>
      </c>
      <c r="AG335" s="1">
        <v>39067.33</v>
      </c>
      <c r="AH335" s="215">
        <f t="shared" ref="AH335:AH398" si="58">IF(ISERROR(AG335/AG336-1),"NA",AG335/AG336-1)</f>
        <v>9.1669431523988543E-4</v>
      </c>
      <c r="AI335" s="215">
        <f t="shared" si="53"/>
        <v>5.543478260869561E-2</v>
      </c>
      <c r="AJ335" s="231">
        <v>60535</v>
      </c>
      <c r="AL335" s="230">
        <v>44844</v>
      </c>
      <c r="AM335" s="1">
        <v>282.3</v>
      </c>
      <c r="AN335" s="1">
        <v>284.91374145839097</v>
      </c>
      <c r="AO335" s="1">
        <v>21366</v>
      </c>
      <c r="AP335" s="1">
        <v>57991.11</v>
      </c>
      <c r="AQ335" s="215">
        <f t="shared" ref="AQ335:AQ398" si="59">IF(ISERROR(AP335/AP336-1),"NA",AP335/AP336-1)</f>
        <v>1.4765171840079194E-2</v>
      </c>
      <c r="AR335" s="215">
        <f t="shared" si="54"/>
        <v>8.8636766530747479E-4</v>
      </c>
      <c r="AS335" s="231">
        <v>6087467</v>
      </c>
    </row>
    <row r="336" spans="2:45">
      <c r="B336" s="230">
        <v>43578</v>
      </c>
      <c r="C336" s="1">
        <v>329.6</v>
      </c>
      <c r="D336" s="1">
        <v>321.93125854993099</v>
      </c>
      <c r="E336" s="1">
        <v>23392</v>
      </c>
      <c r="F336" s="215">
        <v>38564.879999999997</v>
      </c>
      <c r="G336" s="215">
        <f t="shared" si="55"/>
        <v>-1.2541390686084286E-2</v>
      </c>
      <c r="H336" s="215">
        <f t="shared" si="50"/>
        <v>-1.5972533213912454E-2</v>
      </c>
      <c r="I336" s="231">
        <v>7530616</v>
      </c>
      <c r="K336" s="230">
        <v>43578</v>
      </c>
      <c r="L336" s="1">
        <v>227.5</v>
      </c>
      <c r="M336" s="1">
        <v>228.84143023707699</v>
      </c>
      <c r="N336" s="1">
        <v>2573</v>
      </c>
      <c r="O336" s="1">
        <v>38564.879999999997</v>
      </c>
      <c r="P336" s="215">
        <f t="shared" si="56"/>
        <v>-1.2541390686084286E-2</v>
      </c>
      <c r="Q336" s="215">
        <f t="shared" si="51"/>
        <v>7.7519379844961378E-3</v>
      </c>
      <c r="R336" s="231">
        <v>588809</v>
      </c>
      <c r="T336" s="230">
        <v>43578</v>
      </c>
      <c r="U336" s="1">
        <v>78.5</v>
      </c>
      <c r="V336" s="1">
        <v>77.520704232525702</v>
      </c>
      <c r="W336" s="1">
        <v>117802</v>
      </c>
      <c r="X336" s="1">
        <v>38564.879999999997</v>
      </c>
      <c r="Y336" s="215">
        <f t="shared" si="57"/>
        <v>-1.2541390686084286E-2</v>
      </c>
      <c r="Z336" s="215">
        <f t="shared" si="52"/>
        <v>1.9480519480519431E-2</v>
      </c>
      <c r="AA336" s="231">
        <v>9132094</v>
      </c>
      <c r="AC336" s="230">
        <v>43585</v>
      </c>
      <c r="AD336" s="1">
        <v>46</v>
      </c>
      <c r="AE336" s="1">
        <v>46.448786264061503</v>
      </c>
      <c r="AF336" s="1">
        <v>6756</v>
      </c>
      <c r="AG336" s="1">
        <v>39031.550000000003</v>
      </c>
      <c r="AH336" s="215">
        <f t="shared" si="58"/>
        <v>1.2857404153721053E-3</v>
      </c>
      <c r="AI336" s="215">
        <f t="shared" si="53"/>
        <v>1.7699115044247815E-2</v>
      </c>
      <c r="AJ336" s="231">
        <v>313808</v>
      </c>
      <c r="AL336" s="230">
        <v>44845</v>
      </c>
      <c r="AM336" s="1">
        <v>282.05</v>
      </c>
      <c r="AN336" s="1">
        <v>283.01643922564199</v>
      </c>
      <c r="AO336" s="1">
        <v>15755</v>
      </c>
      <c r="AP336" s="1">
        <v>57147.32</v>
      </c>
      <c r="AQ336" s="215">
        <f t="shared" si="59"/>
        <v>-8.3051183052901267E-3</v>
      </c>
      <c r="AR336" s="215">
        <f t="shared" si="54"/>
        <v>-7.390462783740892E-3</v>
      </c>
      <c r="AS336" s="231">
        <v>4458924</v>
      </c>
    </row>
    <row r="337" spans="2:45">
      <c r="B337" s="230">
        <v>43579</v>
      </c>
      <c r="C337" s="1">
        <v>334.95</v>
      </c>
      <c r="D337" s="1">
        <v>334.91234347048299</v>
      </c>
      <c r="E337" s="1">
        <v>1118</v>
      </c>
      <c r="F337" s="215">
        <v>39054.68</v>
      </c>
      <c r="G337" s="215">
        <f t="shared" si="55"/>
        <v>8.3607748446588026E-3</v>
      </c>
      <c r="H337" s="215">
        <f t="shared" si="50"/>
        <v>1.3452914798206539E-3</v>
      </c>
      <c r="I337" s="231">
        <v>374432</v>
      </c>
      <c r="K337" s="230">
        <v>43579</v>
      </c>
      <c r="L337" s="1">
        <v>225.75</v>
      </c>
      <c r="M337" s="1">
        <v>225.75640108711201</v>
      </c>
      <c r="N337" s="1">
        <v>6991</v>
      </c>
      <c r="O337" s="1">
        <v>39054.68</v>
      </c>
      <c r="P337" s="215">
        <f t="shared" si="56"/>
        <v>8.3607748446588026E-3</v>
      </c>
      <c r="Q337" s="215">
        <f t="shared" si="51"/>
        <v>3.0351437699680517E-2</v>
      </c>
      <c r="R337" s="231">
        <v>1578263</v>
      </c>
      <c r="T337" s="230">
        <v>43579</v>
      </c>
      <c r="U337" s="1">
        <v>77</v>
      </c>
      <c r="V337" s="1">
        <v>77.560943085740206</v>
      </c>
      <c r="W337" s="1">
        <v>35246</v>
      </c>
      <c r="X337" s="1">
        <v>39054.68</v>
      </c>
      <c r="Y337" s="215">
        <f t="shared" si="57"/>
        <v>8.3607748446588026E-3</v>
      </c>
      <c r="Z337" s="215">
        <f t="shared" si="52"/>
        <v>3.8435603506405958E-2</v>
      </c>
      <c r="AA337" s="231">
        <v>2733713</v>
      </c>
      <c r="AC337" s="230">
        <v>43587</v>
      </c>
      <c r="AD337" s="1">
        <v>45.2</v>
      </c>
      <c r="AE337" s="1">
        <v>45.562111801242203</v>
      </c>
      <c r="AF337" s="1">
        <v>3220</v>
      </c>
      <c r="AG337" s="1">
        <v>38981.43</v>
      </c>
      <c r="AH337" s="215">
        <f t="shared" si="58"/>
        <v>4.6633674902962774E-4</v>
      </c>
      <c r="AI337" s="215">
        <f t="shared" si="53"/>
        <v>-2.2702702702702693E-2</v>
      </c>
      <c r="AJ337" s="231">
        <v>146710</v>
      </c>
      <c r="AL337" s="230">
        <v>44846</v>
      </c>
      <c r="AM337" s="1">
        <v>284.14999999999998</v>
      </c>
      <c r="AN337" s="1">
        <v>282.39465478841799</v>
      </c>
      <c r="AO337" s="1">
        <v>2245</v>
      </c>
      <c r="AP337" s="1">
        <v>57625.91</v>
      </c>
      <c r="AQ337" s="215">
        <f t="shared" si="59"/>
        <v>6.8241067186998183E-3</v>
      </c>
      <c r="AR337" s="215">
        <f t="shared" si="54"/>
        <v>-5.5993000874891008E-3</v>
      </c>
      <c r="AS337" s="231">
        <v>633976</v>
      </c>
    </row>
    <row r="338" spans="2:45">
      <c r="B338" s="230">
        <v>43580</v>
      </c>
      <c r="C338" s="1">
        <v>334.5</v>
      </c>
      <c r="D338" s="1">
        <v>324.303501945525</v>
      </c>
      <c r="E338" s="1">
        <v>1799</v>
      </c>
      <c r="F338" s="215">
        <v>38730.86</v>
      </c>
      <c r="G338" s="215">
        <f t="shared" si="55"/>
        <v>-8.6125670733065984E-3</v>
      </c>
      <c r="H338" s="215">
        <f t="shared" si="50"/>
        <v>3.1452358926919555E-2</v>
      </c>
      <c r="I338" s="231">
        <v>583422</v>
      </c>
      <c r="K338" s="230">
        <v>43580</v>
      </c>
      <c r="L338" s="1">
        <v>219.1</v>
      </c>
      <c r="M338" s="1">
        <v>224.64411119239199</v>
      </c>
      <c r="N338" s="1">
        <v>5468</v>
      </c>
      <c r="O338" s="1">
        <v>38730.86</v>
      </c>
      <c r="P338" s="215">
        <f t="shared" si="56"/>
        <v>-8.6125670733065984E-3</v>
      </c>
      <c r="Q338" s="215">
        <f t="shared" si="51"/>
        <v>-1.1397310234784186E-3</v>
      </c>
      <c r="R338" s="231">
        <v>1228354</v>
      </c>
      <c r="T338" s="230">
        <v>43580</v>
      </c>
      <c r="U338" s="1">
        <v>74.150000000000006</v>
      </c>
      <c r="V338" s="1">
        <v>76.086806577785197</v>
      </c>
      <c r="W338" s="1">
        <v>47554</v>
      </c>
      <c r="X338" s="1">
        <v>38730.86</v>
      </c>
      <c r="Y338" s="215">
        <f t="shared" si="57"/>
        <v>-8.6125670733065984E-3</v>
      </c>
      <c r="Z338" s="215">
        <f t="shared" si="52"/>
        <v>3.2729805013927749E-2</v>
      </c>
      <c r="AA338" s="231">
        <v>3618232</v>
      </c>
      <c r="AC338" s="230">
        <v>43588</v>
      </c>
      <c r="AD338" s="1">
        <v>46.25</v>
      </c>
      <c r="AE338" s="1">
        <v>46.032015065913299</v>
      </c>
      <c r="AF338" s="1">
        <v>531</v>
      </c>
      <c r="AG338" s="1">
        <v>38963.26</v>
      </c>
      <c r="AH338" s="215">
        <f t="shared" si="58"/>
        <v>9.4019897234067784E-3</v>
      </c>
      <c r="AI338" s="215">
        <f t="shared" si="53"/>
        <v>1.6483516483516425E-2</v>
      </c>
      <c r="AJ338" s="231">
        <v>24443</v>
      </c>
      <c r="AL338" s="230">
        <v>44847</v>
      </c>
      <c r="AM338" s="1">
        <v>285.75</v>
      </c>
      <c r="AN338" s="1">
        <v>284.82542845755199</v>
      </c>
      <c r="AO338" s="1">
        <v>7527</v>
      </c>
      <c r="AP338" s="1">
        <v>57235.33</v>
      </c>
      <c r="AQ338" s="215">
        <f t="shared" si="59"/>
        <v>-1.1820448111419912E-2</v>
      </c>
      <c r="AR338" s="215">
        <f t="shared" si="54"/>
        <v>-1.380500431406384E-2</v>
      </c>
      <c r="AS338" s="231">
        <v>2143881</v>
      </c>
    </row>
    <row r="339" spans="2:45">
      <c r="B339" s="230">
        <v>43581</v>
      </c>
      <c r="C339" s="1">
        <v>324.3</v>
      </c>
      <c r="D339" s="1">
        <v>321.789615643964</v>
      </c>
      <c r="E339" s="1">
        <v>13347</v>
      </c>
      <c r="F339" s="215">
        <v>39067.33</v>
      </c>
      <c r="G339" s="215">
        <f t="shared" si="55"/>
        <v>9.1669431523988543E-4</v>
      </c>
      <c r="H339" s="215">
        <f t="shared" si="50"/>
        <v>8.3955223880596286E-3</v>
      </c>
      <c r="I339" s="231">
        <v>4294926</v>
      </c>
      <c r="K339" s="230">
        <v>43581</v>
      </c>
      <c r="L339" s="1">
        <v>219.35</v>
      </c>
      <c r="M339" s="1">
        <v>223.591049870425</v>
      </c>
      <c r="N339" s="1">
        <v>15821</v>
      </c>
      <c r="O339" s="1">
        <v>39067.33</v>
      </c>
      <c r="P339" s="215">
        <f t="shared" si="56"/>
        <v>9.1669431523988543E-4</v>
      </c>
      <c r="Q339" s="215">
        <f t="shared" si="51"/>
        <v>1.8574413745066076E-2</v>
      </c>
      <c r="R339" s="231">
        <v>3537434</v>
      </c>
      <c r="T339" s="230">
        <v>43581</v>
      </c>
      <c r="U339" s="1">
        <v>71.8</v>
      </c>
      <c r="V339" s="1">
        <v>72.536844829073303</v>
      </c>
      <c r="W339" s="1">
        <v>34781</v>
      </c>
      <c r="X339" s="1">
        <v>39067.33</v>
      </c>
      <c r="Y339" s="215">
        <f t="shared" si="57"/>
        <v>9.1669431523988543E-4</v>
      </c>
      <c r="Z339" s="215">
        <f t="shared" si="52"/>
        <v>2.7181688125893944E-2</v>
      </c>
      <c r="AA339" s="231">
        <v>2522904</v>
      </c>
      <c r="AC339" s="230">
        <v>43591</v>
      </c>
      <c r="AD339" s="1">
        <v>45.5</v>
      </c>
      <c r="AE339" s="1">
        <v>45</v>
      </c>
      <c r="AF339" s="1">
        <v>1</v>
      </c>
      <c r="AG339" s="1">
        <v>38600.339999999997</v>
      </c>
      <c r="AH339" s="215">
        <f t="shared" si="58"/>
        <v>8.4571186125841358E-3</v>
      </c>
      <c r="AI339" s="215">
        <f t="shared" si="53"/>
        <v>2.8248587570621542E-2</v>
      </c>
      <c r="AJ339" s="231">
        <v>45</v>
      </c>
      <c r="AL339" s="230">
        <v>44848</v>
      </c>
      <c r="AM339" s="1">
        <v>289.75</v>
      </c>
      <c r="AN339" s="1">
        <v>287.72708319760198</v>
      </c>
      <c r="AO339" s="1">
        <v>15349</v>
      </c>
      <c r="AP339" s="1">
        <v>57919.97</v>
      </c>
      <c r="AQ339" s="215">
        <f t="shared" si="59"/>
        <v>-8.4061250127972498E-3</v>
      </c>
      <c r="AR339" s="215">
        <f t="shared" si="54"/>
        <v>-2.2382920110192162E-3</v>
      </c>
      <c r="AS339" s="231">
        <v>4416323</v>
      </c>
    </row>
    <row r="340" spans="2:45">
      <c r="B340" s="230">
        <v>43585</v>
      </c>
      <c r="C340" s="1">
        <v>321.60000000000002</v>
      </c>
      <c r="D340" s="1">
        <v>324.19680851063799</v>
      </c>
      <c r="E340" s="1">
        <v>1128</v>
      </c>
      <c r="F340" s="215">
        <v>39031.550000000003</v>
      </c>
      <c r="G340" s="215">
        <f t="shared" si="55"/>
        <v>1.2857404153721053E-3</v>
      </c>
      <c r="H340" s="215">
        <f t="shared" si="50"/>
        <v>8.5936180989363731E-2</v>
      </c>
      <c r="I340" s="231">
        <v>365694</v>
      </c>
      <c r="K340" s="230">
        <v>43585</v>
      </c>
      <c r="L340" s="1">
        <v>215.35</v>
      </c>
      <c r="M340" s="1">
        <v>215.71159740100501</v>
      </c>
      <c r="N340" s="1">
        <v>16314</v>
      </c>
      <c r="O340" s="1">
        <v>39031.550000000003</v>
      </c>
      <c r="P340" s="215">
        <f t="shared" si="56"/>
        <v>1.2857404153721053E-3</v>
      </c>
      <c r="Q340" s="215">
        <f t="shared" si="51"/>
        <v>-3.5602328705777064E-2</v>
      </c>
      <c r="R340" s="231">
        <v>3519119</v>
      </c>
      <c r="T340" s="230">
        <v>43585</v>
      </c>
      <c r="U340" s="1">
        <v>69.900000000000006</v>
      </c>
      <c r="V340" s="1">
        <v>69.667606749953293</v>
      </c>
      <c r="W340" s="1">
        <v>42904</v>
      </c>
      <c r="X340" s="1">
        <v>39031.550000000003</v>
      </c>
      <c r="Y340" s="215">
        <f t="shared" si="57"/>
        <v>1.2857404153721053E-3</v>
      </c>
      <c r="Z340" s="215">
        <f t="shared" si="52"/>
        <v>2.8697571743929506E-2</v>
      </c>
      <c r="AA340" s="231">
        <v>2989019</v>
      </c>
      <c r="AC340" s="230">
        <v>43592</v>
      </c>
      <c r="AD340" s="1">
        <v>44.25</v>
      </c>
      <c r="AE340" s="1">
        <v>45.249385145105698</v>
      </c>
      <c r="AF340" s="1">
        <v>2033</v>
      </c>
      <c r="AG340" s="1">
        <v>38276.629999999997</v>
      </c>
      <c r="AH340" s="215">
        <f t="shared" si="58"/>
        <v>1.2900535153892223E-2</v>
      </c>
      <c r="AI340" s="215">
        <f t="shared" si="53"/>
        <v>4.5402951191828578E-3</v>
      </c>
      <c r="AJ340" s="231">
        <v>91992</v>
      </c>
      <c r="AL340" s="230">
        <v>44851</v>
      </c>
      <c r="AM340" s="1">
        <v>290.39999999999998</v>
      </c>
      <c r="AN340" s="1">
        <v>288.49723565998602</v>
      </c>
      <c r="AO340" s="1">
        <v>2894</v>
      </c>
      <c r="AP340" s="1">
        <v>58410.98</v>
      </c>
      <c r="AQ340" s="215">
        <f t="shared" si="59"/>
        <v>-9.3218182989995846E-3</v>
      </c>
      <c r="AR340" s="215">
        <f t="shared" si="54"/>
        <v>-2.6156941649899457E-2</v>
      </c>
      <c r="AS340" s="231">
        <v>834911</v>
      </c>
    </row>
    <row r="341" spans="2:45">
      <c r="B341" s="230">
        <v>43587</v>
      </c>
      <c r="C341" s="1">
        <v>296.14999999999998</v>
      </c>
      <c r="D341" s="1">
        <v>299.54619793377799</v>
      </c>
      <c r="E341" s="1">
        <v>27393</v>
      </c>
      <c r="F341" s="215">
        <v>38981.43</v>
      </c>
      <c r="G341" s="215">
        <f t="shared" si="55"/>
        <v>4.6633674902962774E-4</v>
      </c>
      <c r="H341" s="215">
        <f t="shared" si="50"/>
        <v>3.3682373472949223E-2</v>
      </c>
      <c r="I341" s="231">
        <v>8205469</v>
      </c>
      <c r="K341" s="230">
        <v>43587</v>
      </c>
      <c r="L341" s="1">
        <v>223.3</v>
      </c>
      <c r="M341" s="1">
        <v>222.77329765639399</v>
      </c>
      <c r="N341" s="1">
        <v>10838</v>
      </c>
      <c r="O341" s="1">
        <v>38981.43</v>
      </c>
      <c r="P341" s="215">
        <f t="shared" si="56"/>
        <v>4.6633674902962774E-4</v>
      </c>
      <c r="Q341" s="215">
        <f t="shared" si="51"/>
        <v>-9.9756151629349921E-3</v>
      </c>
      <c r="R341" s="231">
        <v>2414417</v>
      </c>
      <c r="T341" s="230">
        <v>43587</v>
      </c>
      <c r="U341" s="1">
        <v>67.95</v>
      </c>
      <c r="V341" s="1">
        <v>68.126787287389007</v>
      </c>
      <c r="W341" s="1">
        <v>29514</v>
      </c>
      <c r="X341" s="1">
        <v>38981.43</v>
      </c>
      <c r="Y341" s="215">
        <f t="shared" si="57"/>
        <v>4.6633674902962774E-4</v>
      </c>
      <c r="Z341" s="215">
        <f t="shared" si="52"/>
        <v>-3.1361368496079844E-2</v>
      </c>
      <c r="AA341" s="231">
        <v>2010694</v>
      </c>
      <c r="AC341" s="230">
        <v>43593</v>
      </c>
      <c r="AD341" s="1">
        <v>44.05</v>
      </c>
      <c r="AE341" s="1">
        <v>43.976284584980199</v>
      </c>
      <c r="AF341" s="1">
        <v>1012</v>
      </c>
      <c r="AG341" s="1">
        <v>37789.129999999997</v>
      </c>
      <c r="AH341" s="215">
        <f t="shared" si="58"/>
        <v>6.12957085282817E-3</v>
      </c>
      <c r="AI341" s="215">
        <f t="shared" si="53"/>
        <v>-1.8930957683741645E-2</v>
      </c>
      <c r="AJ341" s="231">
        <v>44504</v>
      </c>
      <c r="AL341" s="230">
        <v>44852</v>
      </c>
      <c r="AM341" s="1">
        <v>298.2</v>
      </c>
      <c r="AN341" s="1">
        <v>297.27238686209398</v>
      </c>
      <c r="AO341" s="1">
        <v>18694</v>
      </c>
      <c r="AP341" s="1">
        <v>58960.6</v>
      </c>
      <c r="AQ341" s="215">
        <f t="shared" si="59"/>
        <v>-2.4800705294906189E-3</v>
      </c>
      <c r="AR341" s="215">
        <f t="shared" si="54"/>
        <v>-5.5027513756880087E-3</v>
      </c>
      <c r="AS341" s="231">
        <v>5557210</v>
      </c>
    </row>
    <row r="342" spans="2:45">
      <c r="B342" s="230">
        <v>43588</v>
      </c>
      <c r="C342" s="1">
        <v>286.5</v>
      </c>
      <c r="D342" s="1">
        <v>291.36776031226901</v>
      </c>
      <c r="E342" s="1">
        <v>18958</v>
      </c>
      <c r="F342" s="215">
        <v>38963.26</v>
      </c>
      <c r="G342" s="215">
        <f t="shared" si="55"/>
        <v>9.4019897234067784E-3</v>
      </c>
      <c r="H342" s="215">
        <f t="shared" si="50"/>
        <v>4.2766151046405909E-2</v>
      </c>
      <c r="I342" s="231">
        <v>5523750</v>
      </c>
      <c r="K342" s="230">
        <v>43588</v>
      </c>
      <c r="L342" s="1">
        <v>225.55</v>
      </c>
      <c r="M342" s="1">
        <v>225.858961802154</v>
      </c>
      <c r="N342" s="1">
        <v>5105</v>
      </c>
      <c r="O342" s="1">
        <v>38963.26</v>
      </c>
      <c r="P342" s="215">
        <f t="shared" si="56"/>
        <v>9.4019897234067784E-3</v>
      </c>
      <c r="Q342" s="215">
        <f t="shared" si="51"/>
        <v>3.4158642824392516E-2</v>
      </c>
      <c r="R342" s="231">
        <v>1153010</v>
      </c>
      <c r="T342" s="230">
        <v>43588</v>
      </c>
      <c r="U342" s="1">
        <v>70.150000000000006</v>
      </c>
      <c r="V342" s="1">
        <v>69.444040716402498</v>
      </c>
      <c r="W342" s="1">
        <v>38805</v>
      </c>
      <c r="X342" s="1">
        <v>38963.26</v>
      </c>
      <c r="Y342" s="215">
        <f t="shared" si="57"/>
        <v>9.4019897234067784E-3</v>
      </c>
      <c r="Z342" s="215">
        <f t="shared" si="52"/>
        <v>-4.166666666666663E-2</v>
      </c>
      <c r="AA342" s="231">
        <v>2694776</v>
      </c>
      <c r="AC342" s="230">
        <v>43594</v>
      </c>
      <c r="AD342" s="1">
        <v>44.9</v>
      </c>
      <c r="AE342" s="1">
        <v>44.45</v>
      </c>
      <c r="AF342" s="1">
        <v>200</v>
      </c>
      <c r="AG342" s="1">
        <v>37558.910000000003</v>
      </c>
      <c r="AH342" s="215">
        <f t="shared" si="58"/>
        <v>2.560393604461586E-3</v>
      </c>
      <c r="AI342" s="215">
        <f t="shared" si="53"/>
        <v>-2.2222222222222365E-3</v>
      </c>
      <c r="AJ342" s="231">
        <v>8890</v>
      </c>
      <c r="AL342" s="230">
        <v>44853</v>
      </c>
      <c r="AM342" s="1">
        <v>299.85000000000002</v>
      </c>
      <c r="AN342" s="1">
        <v>299.03706771588298</v>
      </c>
      <c r="AO342" s="1">
        <v>4829</v>
      </c>
      <c r="AP342" s="1">
        <v>59107.19</v>
      </c>
      <c r="AQ342" s="215">
        <f t="shared" si="59"/>
        <v>-1.6166437792742849E-3</v>
      </c>
      <c r="AR342" s="215">
        <f t="shared" si="54"/>
        <v>-1.4461791290057424E-2</v>
      </c>
      <c r="AS342" s="231">
        <v>1444050</v>
      </c>
    </row>
    <row r="343" spans="2:45">
      <c r="B343" s="230">
        <v>43591</v>
      </c>
      <c r="C343" s="1">
        <v>274.75</v>
      </c>
      <c r="D343" s="1">
        <v>278.00885439440299</v>
      </c>
      <c r="E343" s="1">
        <v>18296</v>
      </c>
      <c r="F343" s="215">
        <v>38600.339999999997</v>
      </c>
      <c r="G343" s="215">
        <f t="shared" si="55"/>
        <v>8.4571186125841358E-3</v>
      </c>
      <c r="H343" s="215">
        <f t="shared" si="50"/>
        <v>-5.2422831522676239E-2</v>
      </c>
      <c r="I343" s="231">
        <v>5086450</v>
      </c>
      <c r="K343" s="230">
        <v>43591</v>
      </c>
      <c r="L343" s="1">
        <v>218.1</v>
      </c>
      <c r="M343" s="1">
        <v>220.23942366646199</v>
      </c>
      <c r="N343" s="1">
        <v>6524</v>
      </c>
      <c r="O343" s="1">
        <v>38600.339999999997</v>
      </c>
      <c r="P343" s="215">
        <f t="shared" si="56"/>
        <v>8.4571186125841358E-3</v>
      </c>
      <c r="Q343" s="215">
        <f t="shared" si="51"/>
        <v>5.5325034578146415E-3</v>
      </c>
      <c r="R343" s="231">
        <v>1436842</v>
      </c>
      <c r="T343" s="230">
        <v>43591</v>
      </c>
      <c r="U343" s="1">
        <v>73.2</v>
      </c>
      <c r="V343" s="1">
        <v>72.148510811913496</v>
      </c>
      <c r="W343" s="1">
        <v>56373</v>
      </c>
      <c r="X343" s="1">
        <v>38600.339999999997</v>
      </c>
      <c r="Y343" s="215">
        <f t="shared" si="57"/>
        <v>8.4571186125841358E-3</v>
      </c>
      <c r="Z343" s="215">
        <f t="shared" si="52"/>
        <v>1.9498607242339983E-2</v>
      </c>
      <c r="AA343" s="231">
        <v>4067228</v>
      </c>
      <c r="AC343" s="230">
        <v>43595</v>
      </c>
      <c r="AD343" s="1">
        <v>45</v>
      </c>
      <c r="AE343" s="1">
        <v>47.155346116346998</v>
      </c>
      <c r="AF343" s="1">
        <v>6154</v>
      </c>
      <c r="AG343" s="1">
        <v>37462.99</v>
      </c>
      <c r="AH343" s="215">
        <f t="shared" si="58"/>
        <v>1.0034019199359756E-2</v>
      </c>
      <c r="AI343" s="215">
        <f t="shared" si="53"/>
        <v>1.2373453318335059E-2</v>
      </c>
      <c r="AJ343" s="231">
        <v>290194</v>
      </c>
      <c r="AL343" s="230">
        <v>44854</v>
      </c>
      <c r="AM343" s="1">
        <v>304.25</v>
      </c>
      <c r="AN343" s="1">
        <v>304.302553579571</v>
      </c>
      <c r="AO343" s="1">
        <v>13158</v>
      </c>
      <c r="AP343" s="1">
        <v>59202.9</v>
      </c>
      <c r="AQ343" s="215">
        <f t="shared" si="59"/>
        <v>-1.7577981744191229E-3</v>
      </c>
      <c r="AR343" s="215">
        <f t="shared" si="54"/>
        <v>2.6138279932546471E-2</v>
      </c>
      <c r="AS343" s="231">
        <v>4004013</v>
      </c>
    </row>
    <row r="344" spans="2:45">
      <c r="B344" s="230">
        <v>43592</v>
      </c>
      <c r="C344" s="1">
        <v>289.95</v>
      </c>
      <c r="D344" s="1">
        <v>286.88748787584802</v>
      </c>
      <c r="E344" s="1">
        <v>1031</v>
      </c>
      <c r="F344" s="215">
        <v>38276.629999999997</v>
      </c>
      <c r="G344" s="215">
        <f t="shared" si="55"/>
        <v>1.2900535153892223E-2</v>
      </c>
      <c r="H344" s="215">
        <f t="shared" si="50"/>
        <v>5.0353196884622253E-2</v>
      </c>
      <c r="I344" s="231">
        <v>295781</v>
      </c>
      <c r="K344" s="230">
        <v>43592</v>
      </c>
      <c r="L344" s="1">
        <v>216.9</v>
      </c>
      <c r="M344" s="1">
        <v>219.89046746104401</v>
      </c>
      <c r="N344" s="1">
        <v>10910</v>
      </c>
      <c r="O344" s="1">
        <v>38276.629999999997</v>
      </c>
      <c r="P344" s="215">
        <f t="shared" si="56"/>
        <v>1.2900535153892223E-2</v>
      </c>
      <c r="Q344" s="215">
        <f t="shared" si="51"/>
        <v>4.3290043290043378E-2</v>
      </c>
      <c r="R344" s="231">
        <v>2399005</v>
      </c>
      <c r="T344" s="230">
        <v>43592</v>
      </c>
      <c r="U344" s="1">
        <v>71.8</v>
      </c>
      <c r="V344" s="1">
        <v>71.525093874914205</v>
      </c>
      <c r="W344" s="1">
        <v>24767</v>
      </c>
      <c r="X344" s="1">
        <v>38276.629999999997</v>
      </c>
      <c r="Y344" s="215">
        <f t="shared" si="57"/>
        <v>1.2900535153892223E-2</v>
      </c>
      <c r="Z344" s="215">
        <f t="shared" si="52"/>
        <v>9.8452883263009383E-3</v>
      </c>
      <c r="AA344" s="231">
        <v>1771462</v>
      </c>
      <c r="AC344" s="230">
        <v>43598</v>
      </c>
      <c r="AD344" s="1">
        <v>44.45</v>
      </c>
      <c r="AE344" s="1">
        <v>44.030226700251802</v>
      </c>
      <c r="AF344" s="1">
        <v>397</v>
      </c>
      <c r="AG344" s="1">
        <v>37090.82</v>
      </c>
      <c r="AH344" s="215">
        <f t="shared" si="58"/>
        <v>-6.1017944704681026E-3</v>
      </c>
      <c r="AI344" s="215">
        <f t="shared" si="53"/>
        <v>6.3397129186603118E-2</v>
      </c>
      <c r="AJ344" s="231">
        <v>17480</v>
      </c>
      <c r="AL344" s="230">
        <v>44855</v>
      </c>
      <c r="AM344" s="1">
        <v>296.5</v>
      </c>
      <c r="AN344" s="1">
        <v>300.61718970879201</v>
      </c>
      <c r="AO344" s="1">
        <v>3537</v>
      </c>
      <c r="AP344" s="1">
        <v>59307.15</v>
      </c>
      <c r="AQ344" s="215">
        <f t="shared" si="59"/>
        <v>-8.7664290109952248E-3</v>
      </c>
      <c r="AR344" s="215">
        <f t="shared" si="54"/>
        <v>-7.6974564926372002E-3</v>
      </c>
      <c r="AS344" s="231">
        <v>1063283</v>
      </c>
    </row>
    <row r="345" spans="2:45">
      <c r="B345" s="230">
        <v>43593</v>
      </c>
      <c r="C345" s="1">
        <v>276.05</v>
      </c>
      <c r="D345" s="1">
        <v>277.76848361843997</v>
      </c>
      <c r="E345" s="1">
        <v>6898</v>
      </c>
      <c r="F345" s="215">
        <v>37789.129999999997</v>
      </c>
      <c r="G345" s="215">
        <f t="shared" si="55"/>
        <v>6.12957085282817E-3</v>
      </c>
      <c r="H345" s="215">
        <f t="shared" si="50"/>
        <v>-1.1105140605409125E-2</v>
      </c>
      <c r="I345" s="231">
        <v>1916047</v>
      </c>
      <c r="K345" s="230">
        <v>43593</v>
      </c>
      <c r="L345" s="1">
        <v>207.9</v>
      </c>
      <c r="M345" s="1">
        <v>209.20181365576099</v>
      </c>
      <c r="N345" s="1">
        <v>5624</v>
      </c>
      <c r="O345" s="1">
        <v>37789.129999999997</v>
      </c>
      <c r="P345" s="215">
        <f t="shared" si="56"/>
        <v>6.12957085282817E-3</v>
      </c>
      <c r="Q345" s="215">
        <f t="shared" si="51"/>
        <v>2.3633677991137469E-2</v>
      </c>
      <c r="R345" s="231">
        <v>1176551</v>
      </c>
      <c r="T345" s="230">
        <v>43593</v>
      </c>
      <c r="U345" s="1">
        <v>71.099999999999994</v>
      </c>
      <c r="V345" s="1">
        <v>70.504389566096094</v>
      </c>
      <c r="W345" s="1">
        <v>31666</v>
      </c>
      <c r="X345" s="1">
        <v>37789.129999999997</v>
      </c>
      <c r="Y345" s="215">
        <f t="shared" si="57"/>
        <v>6.12957085282817E-3</v>
      </c>
      <c r="Z345" s="215">
        <f t="shared" si="52"/>
        <v>-2.1052631578948322E-3</v>
      </c>
      <c r="AA345" s="231">
        <v>2232592</v>
      </c>
      <c r="AC345" s="230">
        <v>43599</v>
      </c>
      <c r="AD345" s="1">
        <v>41.8</v>
      </c>
      <c r="AE345" s="1">
        <v>43.012151536811999</v>
      </c>
      <c r="AF345" s="1">
        <v>2798</v>
      </c>
      <c r="AG345" s="1">
        <v>37318.53</v>
      </c>
      <c r="AH345" s="215">
        <f t="shared" si="58"/>
        <v>5.4870176058767761E-3</v>
      </c>
      <c r="AI345" s="215">
        <f t="shared" si="53"/>
        <v>-4.761904761904856E-3</v>
      </c>
      <c r="AJ345" s="231">
        <v>120348</v>
      </c>
      <c r="AL345" s="230">
        <v>44858</v>
      </c>
      <c r="AM345" s="1">
        <v>298.8</v>
      </c>
      <c r="AN345" s="1">
        <v>299.11950146627498</v>
      </c>
      <c r="AO345" s="1">
        <v>1364</v>
      </c>
      <c r="AP345" s="1">
        <v>59831.66</v>
      </c>
      <c r="AQ345" s="215">
        <f t="shared" si="59"/>
        <v>4.831724326027409E-3</v>
      </c>
      <c r="AR345" s="215">
        <f t="shared" si="54"/>
        <v>1.9273409517312157E-2</v>
      </c>
      <c r="AS345" s="231">
        <v>407999</v>
      </c>
    </row>
    <row r="346" spans="2:45">
      <c r="B346" s="230">
        <v>43594</v>
      </c>
      <c r="C346" s="1">
        <v>279.14999999999998</v>
      </c>
      <c r="D346" s="1">
        <v>276.37968026924602</v>
      </c>
      <c r="E346" s="1">
        <v>4754</v>
      </c>
      <c r="F346" s="215">
        <v>37558.910000000003</v>
      </c>
      <c r="G346" s="215">
        <f t="shared" si="55"/>
        <v>2.560393604461586E-3</v>
      </c>
      <c r="H346" s="215">
        <f t="shared" si="50"/>
        <v>-2.3097112860892444E-2</v>
      </c>
      <c r="I346" s="231">
        <v>1313909</v>
      </c>
      <c r="K346" s="230">
        <v>43594</v>
      </c>
      <c r="L346" s="1">
        <v>203.1</v>
      </c>
      <c r="M346" s="1">
        <v>205.83117870722401</v>
      </c>
      <c r="N346" s="1">
        <v>2630</v>
      </c>
      <c r="O346" s="1">
        <v>37558.910000000003</v>
      </c>
      <c r="P346" s="215">
        <f t="shared" si="56"/>
        <v>2.560393604461586E-3</v>
      </c>
      <c r="Q346" s="215">
        <f t="shared" si="51"/>
        <v>-1.2294074256208321E-3</v>
      </c>
      <c r="R346" s="231">
        <v>541336</v>
      </c>
      <c r="T346" s="230">
        <v>43594</v>
      </c>
      <c r="U346" s="1">
        <v>71.25</v>
      </c>
      <c r="V346" s="1">
        <v>70.958494966029093</v>
      </c>
      <c r="W346" s="1">
        <v>44597</v>
      </c>
      <c r="X346" s="1">
        <v>37558.910000000003</v>
      </c>
      <c r="Y346" s="215">
        <f t="shared" si="57"/>
        <v>2.560393604461586E-3</v>
      </c>
      <c r="Z346" s="215">
        <f t="shared" si="52"/>
        <v>7.0224719101119604E-4</v>
      </c>
      <c r="AA346" s="231">
        <v>3164536</v>
      </c>
      <c r="AC346" s="230">
        <v>43600</v>
      </c>
      <c r="AD346" s="1">
        <v>42</v>
      </c>
      <c r="AE346" s="1">
        <v>41.198039541451998</v>
      </c>
      <c r="AF346" s="1">
        <v>6019</v>
      </c>
      <c r="AG346" s="1">
        <v>37114.879999999997</v>
      </c>
      <c r="AH346" s="215">
        <f t="shared" si="58"/>
        <v>-7.4504967176097781E-3</v>
      </c>
      <c r="AI346" s="215">
        <f t="shared" si="53"/>
        <v>5.1314142678347885E-2</v>
      </c>
      <c r="AJ346" s="231">
        <v>247971</v>
      </c>
      <c r="AL346" s="230">
        <v>44859</v>
      </c>
      <c r="AM346" s="1">
        <v>293.14999999999998</v>
      </c>
      <c r="AN346" s="1">
        <v>294.67125180579097</v>
      </c>
      <c r="AO346" s="1">
        <v>15921</v>
      </c>
      <c r="AP346" s="1">
        <v>59543.96</v>
      </c>
      <c r="AQ346" s="215">
        <f t="shared" si="59"/>
        <v>-3.5624373711862223E-3</v>
      </c>
      <c r="AR346" s="215">
        <f t="shared" si="54"/>
        <v>7.7346167067720017E-3</v>
      </c>
      <c r="AS346" s="231">
        <v>4691461</v>
      </c>
    </row>
    <row r="347" spans="2:45">
      <c r="B347" s="230">
        <v>43595</v>
      </c>
      <c r="C347" s="1">
        <v>285.75</v>
      </c>
      <c r="D347" s="1">
        <v>284.76119402985</v>
      </c>
      <c r="E347" s="1">
        <v>335</v>
      </c>
      <c r="F347" s="215">
        <v>37462.99</v>
      </c>
      <c r="G347" s="215">
        <f t="shared" si="55"/>
        <v>1.0034019199359756E-2</v>
      </c>
      <c r="H347" s="215">
        <f t="shared" si="50"/>
        <v>1.7265930936276375E-2</v>
      </c>
      <c r="I347" s="231">
        <v>95395</v>
      </c>
      <c r="K347" s="230">
        <v>43595</v>
      </c>
      <c r="L347" s="1">
        <v>203.35</v>
      </c>
      <c r="M347" s="1">
        <v>204.42356205852599</v>
      </c>
      <c r="N347" s="1">
        <v>3964</v>
      </c>
      <c r="O347" s="1">
        <v>37462.99</v>
      </c>
      <c r="P347" s="215">
        <f t="shared" si="56"/>
        <v>1.0034019199359756E-2</v>
      </c>
      <c r="Q347" s="215">
        <f t="shared" si="51"/>
        <v>5.0361570247933862E-2</v>
      </c>
      <c r="R347" s="231">
        <v>810335</v>
      </c>
      <c r="T347" s="230">
        <v>43595</v>
      </c>
      <c r="U347" s="1">
        <v>71.2</v>
      </c>
      <c r="V347" s="1">
        <v>71.542770882254203</v>
      </c>
      <c r="W347" s="1">
        <v>38753</v>
      </c>
      <c r="X347" s="1">
        <v>37462.99</v>
      </c>
      <c r="Y347" s="215">
        <f t="shared" si="57"/>
        <v>1.0034019199359756E-2</v>
      </c>
      <c r="Z347" s="215">
        <f t="shared" si="52"/>
        <v>4.0175310445580648E-2</v>
      </c>
      <c r="AA347" s="231">
        <v>2772497</v>
      </c>
      <c r="AC347" s="230">
        <v>43601</v>
      </c>
      <c r="AD347" s="1">
        <v>39.950000000000003</v>
      </c>
      <c r="AE347" s="1">
        <v>39.976408326472999</v>
      </c>
      <c r="AF347" s="1">
        <v>42515</v>
      </c>
      <c r="AG347" s="1">
        <v>37393.480000000003</v>
      </c>
      <c r="AH347" s="215">
        <f t="shared" si="58"/>
        <v>-1.4165016950618003E-2</v>
      </c>
      <c r="AI347" s="215">
        <f t="shared" si="53"/>
        <v>-3.033980582524276E-2</v>
      </c>
      <c r="AJ347" s="231">
        <v>1699597</v>
      </c>
      <c r="AL347" s="230">
        <v>44861</v>
      </c>
      <c r="AM347" s="1">
        <v>290.89999999999998</v>
      </c>
      <c r="AN347" s="1">
        <v>292.79495718363398</v>
      </c>
      <c r="AO347" s="1">
        <v>8408</v>
      </c>
      <c r="AP347" s="1">
        <v>59756.84</v>
      </c>
      <c r="AQ347" s="215">
        <f t="shared" si="59"/>
        <v>-3.385765641508498E-3</v>
      </c>
      <c r="AR347" s="215">
        <f t="shared" si="54"/>
        <v>-1.0302197802197766E-3</v>
      </c>
      <c r="AS347" s="231">
        <v>2461820</v>
      </c>
    </row>
    <row r="348" spans="2:45">
      <c r="B348" s="230">
        <v>43598</v>
      </c>
      <c r="C348" s="1">
        <v>280.89999999999998</v>
      </c>
      <c r="D348" s="1">
        <v>281.96684350132603</v>
      </c>
      <c r="E348" s="1">
        <v>754</v>
      </c>
      <c r="F348" s="215">
        <v>37090.82</v>
      </c>
      <c r="G348" s="215">
        <f t="shared" si="55"/>
        <v>-6.1017944704681026E-3</v>
      </c>
      <c r="H348" s="215">
        <f t="shared" si="50"/>
        <v>-2.431399791594302E-2</v>
      </c>
      <c r="I348" s="231">
        <v>212603</v>
      </c>
      <c r="K348" s="230">
        <v>43598</v>
      </c>
      <c r="L348" s="1">
        <v>193.6</v>
      </c>
      <c r="M348" s="1">
        <v>196.53607918263</v>
      </c>
      <c r="N348" s="1">
        <v>3132</v>
      </c>
      <c r="O348" s="1">
        <v>37090.82</v>
      </c>
      <c r="P348" s="215">
        <f t="shared" si="56"/>
        <v>-6.1017944704681026E-3</v>
      </c>
      <c r="Q348" s="215">
        <f t="shared" si="51"/>
        <v>-8.9582800102380178E-3</v>
      </c>
      <c r="R348" s="231">
        <v>615551</v>
      </c>
      <c r="T348" s="230">
        <v>43598</v>
      </c>
      <c r="U348" s="1">
        <v>68.45</v>
      </c>
      <c r="V348" s="1">
        <v>69.311951681876195</v>
      </c>
      <c r="W348" s="1">
        <v>22683</v>
      </c>
      <c r="X348" s="1">
        <v>37090.82</v>
      </c>
      <c r="Y348" s="215">
        <f t="shared" si="57"/>
        <v>-6.1017944704681026E-3</v>
      </c>
      <c r="Z348" s="215">
        <f t="shared" si="52"/>
        <v>-1.4587892049597873E-3</v>
      </c>
      <c r="AA348" s="231">
        <v>1572203</v>
      </c>
      <c r="AC348" s="230">
        <v>43602</v>
      </c>
      <c r="AD348" s="1">
        <v>41.2</v>
      </c>
      <c r="AE348" s="1">
        <v>40.1504712175241</v>
      </c>
      <c r="AF348" s="1">
        <v>15704</v>
      </c>
      <c r="AG348" s="1">
        <v>37930.769999999997</v>
      </c>
      <c r="AH348" s="215">
        <f t="shared" si="58"/>
        <v>-3.6132237024832148E-2</v>
      </c>
      <c r="AI348" s="215">
        <f t="shared" si="53"/>
        <v>-3.0588235294117583E-2</v>
      </c>
      <c r="AJ348" s="231">
        <v>630523</v>
      </c>
      <c r="AL348" s="230">
        <v>44862</v>
      </c>
      <c r="AM348" s="1">
        <v>291.2</v>
      </c>
      <c r="AN348" s="1">
        <v>291.54738477472802</v>
      </c>
      <c r="AO348" s="1">
        <v>3862</v>
      </c>
      <c r="AP348" s="1">
        <v>59959.85</v>
      </c>
      <c r="AQ348" s="215">
        <f t="shared" si="59"/>
        <v>-1.2951179646462418E-2</v>
      </c>
      <c r="AR348" s="215">
        <f t="shared" si="54"/>
        <v>-4.8521483417742317E-2</v>
      </c>
      <c r="AS348" s="231">
        <v>1125956</v>
      </c>
    </row>
    <row r="349" spans="2:45">
      <c r="B349" s="230">
        <v>43599</v>
      </c>
      <c r="C349" s="1">
        <v>287.89999999999998</v>
      </c>
      <c r="D349" s="1">
        <v>286.871641791044</v>
      </c>
      <c r="E349" s="1">
        <v>335</v>
      </c>
      <c r="F349" s="215">
        <v>37318.53</v>
      </c>
      <c r="G349" s="215">
        <f t="shared" si="55"/>
        <v>5.4870176058767761E-3</v>
      </c>
      <c r="H349" s="215">
        <f t="shared" si="50"/>
        <v>1.2840809146877685E-2</v>
      </c>
      <c r="I349" s="231">
        <v>96102</v>
      </c>
      <c r="K349" s="230">
        <v>43599</v>
      </c>
      <c r="L349" s="1">
        <v>195.35</v>
      </c>
      <c r="M349" s="1">
        <v>196.52277614858201</v>
      </c>
      <c r="N349" s="1">
        <v>5115</v>
      </c>
      <c r="O349" s="1">
        <v>37318.53</v>
      </c>
      <c r="P349" s="215">
        <f t="shared" si="56"/>
        <v>5.4870176058767761E-3</v>
      </c>
      <c r="Q349" s="215">
        <f t="shared" si="51"/>
        <v>3.5790031813361711E-2</v>
      </c>
      <c r="R349" s="231">
        <v>1005214</v>
      </c>
      <c r="T349" s="230">
        <v>43599</v>
      </c>
      <c r="U349" s="1">
        <v>68.55</v>
      </c>
      <c r="V349" s="1">
        <v>68.416139716952699</v>
      </c>
      <c r="W349" s="1">
        <v>16605</v>
      </c>
      <c r="X349" s="1">
        <v>37318.53</v>
      </c>
      <c r="Y349" s="215">
        <f t="shared" si="57"/>
        <v>5.4870176058767761E-3</v>
      </c>
      <c r="Z349" s="215">
        <f t="shared" si="52"/>
        <v>2.0089285714285587E-2</v>
      </c>
      <c r="AA349" s="231">
        <v>1136050</v>
      </c>
      <c r="AC349" s="230">
        <v>43605</v>
      </c>
      <c r="AD349" s="1">
        <v>42.5</v>
      </c>
      <c r="AE349" s="1">
        <v>42.503151649981397</v>
      </c>
      <c r="AF349" s="1">
        <v>2697</v>
      </c>
      <c r="AG349" s="1">
        <v>39352.67</v>
      </c>
      <c r="AH349" s="215">
        <f t="shared" si="58"/>
        <v>9.8247873994732338E-3</v>
      </c>
      <c r="AI349" s="215">
        <f t="shared" si="53"/>
        <v>2.3584905660378741E-3</v>
      </c>
      <c r="AJ349" s="231">
        <v>114631</v>
      </c>
      <c r="AL349" s="230">
        <v>44865</v>
      </c>
      <c r="AM349" s="1">
        <v>306.05</v>
      </c>
      <c r="AN349" s="1">
        <v>302.85688375927401</v>
      </c>
      <c r="AO349" s="1">
        <v>18195</v>
      </c>
      <c r="AP349" s="1">
        <v>60746.59</v>
      </c>
      <c r="AQ349" s="215">
        <f t="shared" si="59"/>
        <v>-6.131409073916072E-3</v>
      </c>
      <c r="AR349" s="215">
        <f t="shared" si="54"/>
        <v>2.0677005169251306E-2</v>
      </c>
      <c r="AS349" s="231">
        <v>5510481</v>
      </c>
    </row>
    <row r="350" spans="2:45">
      <c r="B350" s="230">
        <v>43600</v>
      </c>
      <c r="C350" s="1">
        <v>284.25</v>
      </c>
      <c r="D350" s="1">
        <v>285.59487776484201</v>
      </c>
      <c r="E350" s="1">
        <v>859</v>
      </c>
      <c r="F350" s="215">
        <v>37114.879999999997</v>
      </c>
      <c r="G350" s="215">
        <f t="shared" si="55"/>
        <v>-7.4504967176097781E-3</v>
      </c>
      <c r="H350" s="215">
        <f t="shared" si="50"/>
        <v>-2.6315789473684292E-3</v>
      </c>
      <c r="I350" s="231">
        <v>245326</v>
      </c>
      <c r="K350" s="230">
        <v>43600</v>
      </c>
      <c r="L350" s="1">
        <v>188.6</v>
      </c>
      <c r="M350" s="1">
        <v>193.224132043255</v>
      </c>
      <c r="N350" s="1">
        <v>8785</v>
      </c>
      <c r="O350" s="1">
        <v>37114.879999999997</v>
      </c>
      <c r="P350" s="215">
        <f t="shared" si="56"/>
        <v>-7.4504967176097781E-3</v>
      </c>
      <c r="Q350" s="215">
        <f t="shared" si="51"/>
        <v>2.8914348063284079E-2</v>
      </c>
      <c r="R350" s="231">
        <v>1697474</v>
      </c>
      <c r="T350" s="230">
        <v>43600</v>
      </c>
      <c r="U350" s="1">
        <v>67.2</v>
      </c>
      <c r="V350" s="1">
        <v>67.827076444271498</v>
      </c>
      <c r="W350" s="1">
        <v>20564</v>
      </c>
      <c r="X350" s="1">
        <v>37114.879999999997</v>
      </c>
      <c r="Y350" s="215">
        <f t="shared" si="57"/>
        <v>-7.4504967176097781E-3</v>
      </c>
      <c r="Z350" s="215">
        <f t="shared" si="52"/>
        <v>-1.0309278350515538E-2</v>
      </c>
      <c r="AA350" s="231">
        <v>1394796</v>
      </c>
      <c r="AC350" s="230">
        <v>43606</v>
      </c>
      <c r="AD350" s="1">
        <v>42.4</v>
      </c>
      <c r="AE350" s="1">
        <v>40.8536585365853</v>
      </c>
      <c r="AF350" s="1">
        <v>246</v>
      </c>
      <c r="AG350" s="1">
        <v>38969.800000000003</v>
      </c>
      <c r="AH350" s="215">
        <f t="shared" si="58"/>
        <v>-3.5901111244351913E-3</v>
      </c>
      <c r="AI350" s="215">
        <f t="shared" si="53"/>
        <v>-2.3529411764706687E-3</v>
      </c>
      <c r="AJ350" s="231">
        <v>10050</v>
      </c>
      <c r="AL350" s="230">
        <v>44866</v>
      </c>
      <c r="AM350" s="1">
        <v>299.85000000000002</v>
      </c>
      <c r="AN350" s="1">
        <v>301.69568834049602</v>
      </c>
      <c r="AO350" s="1">
        <v>21639</v>
      </c>
      <c r="AP350" s="1">
        <v>61121.35</v>
      </c>
      <c r="AQ350" s="215">
        <f t="shared" si="59"/>
        <v>3.5342935328799285E-3</v>
      </c>
      <c r="AR350" s="215">
        <f t="shared" si="54"/>
        <v>-1.3164390324173159E-2</v>
      </c>
      <c r="AS350" s="231">
        <v>6528393</v>
      </c>
    </row>
    <row r="351" spans="2:45">
      <c r="B351" s="230">
        <v>43601</v>
      </c>
      <c r="C351" s="1">
        <v>285</v>
      </c>
      <c r="D351" s="1">
        <v>288.14900662251603</v>
      </c>
      <c r="E351" s="1">
        <v>302</v>
      </c>
      <c r="F351" s="215">
        <v>37393.480000000003</v>
      </c>
      <c r="G351" s="215">
        <f t="shared" si="55"/>
        <v>-1.4165016950618003E-2</v>
      </c>
      <c r="H351" s="215">
        <f t="shared" si="50"/>
        <v>-1.0760152724748395E-2</v>
      </c>
      <c r="I351" s="231">
        <v>87021</v>
      </c>
      <c r="K351" s="230">
        <v>43601</v>
      </c>
      <c r="L351" s="1">
        <v>183.3</v>
      </c>
      <c r="M351" s="1">
        <v>181.03644399966601</v>
      </c>
      <c r="N351" s="1">
        <v>11991</v>
      </c>
      <c r="O351" s="1">
        <v>37393.480000000003</v>
      </c>
      <c r="P351" s="215">
        <f t="shared" si="56"/>
        <v>-1.4165016950618003E-2</v>
      </c>
      <c r="Q351" s="215">
        <f t="shared" si="51"/>
        <v>-6.0963114754098213E-2</v>
      </c>
      <c r="R351" s="231">
        <v>2170808</v>
      </c>
      <c r="T351" s="230">
        <v>43601</v>
      </c>
      <c r="U351" s="1">
        <v>67.900000000000006</v>
      </c>
      <c r="V351" s="1">
        <v>66.812371134020594</v>
      </c>
      <c r="W351" s="1">
        <v>18430</v>
      </c>
      <c r="X351" s="1">
        <v>37393.480000000003</v>
      </c>
      <c r="Y351" s="215">
        <f t="shared" si="57"/>
        <v>-1.4165016950618003E-2</v>
      </c>
      <c r="Z351" s="215">
        <f t="shared" si="52"/>
        <v>2.6455026455026509E-2</v>
      </c>
      <c r="AA351" s="231">
        <v>1231352</v>
      </c>
      <c r="AC351" s="230">
        <v>43607</v>
      </c>
      <c r="AD351" s="1">
        <v>42.5</v>
      </c>
      <c r="AE351" s="1">
        <v>41</v>
      </c>
      <c r="AF351" s="1">
        <v>350</v>
      </c>
      <c r="AG351" s="1">
        <v>39110.21</v>
      </c>
      <c r="AH351" s="215">
        <f t="shared" si="58"/>
        <v>7.6992862146911811E-3</v>
      </c>
      <c r="AI351" s="215">
        <f t="shared" si="53"/>
        <v>5.9850374064837952E-2</v>
      </c>
      <c r="AJ351" s="231">
        <v>14350</v>
      </c>
      <c r="AL351" s="230">
        <v>44867</v>
      </c>
      <c r="AM351" s="1">
        <v>303.85000000000002</v>
      </c>
      <c r="AN351" s="1">
        <v>303.36018691588703</v>
      </c>
      <c r="AO351" s="1">
        <v>5350</v>
      </c>
      <c r="AP351" s="1">
        <v>60906.09</v>
      </c>
      <c r="AQ351" s="215">
        <f t="shared" si="59"/>
        <v>1.145366730219477E-3</v>
      </c>
      <c r="AR351" s="215">
        <f t="shared" si="54"/>
        <v>7.2932206199238792E-3</v>
      </c>
      <c r="AS351" s="231">
        <v>1622977</v>
      </c>
    </row>
    <row r="352" spans="2:45">
      <c r="B352" s="230">
        <v>43602</v>
      </c>
      <c r="C352" s="1">
        <v>288.10000000000002</v>
      </c>
      <c r="D352" s="1">
        <v>295.04390243902401</v>
      </c>
      <c r="E352" s="1">
        <v>410</v>
      </c>
      <c r="F352" s="215">
        <v>37930.769999999997</v>
      </c>
      <c r="G352" s="215">
        <f t="shared" si="55"/>
        <v>-3.6132237024832148E-2</v>
      </c>
      <c r="H352" s="215">
        <f t="shared" si="50"/>
        <v>-2.1066938498131127E-2</v>
      </c>
      <c r="I352" s="231">
        <v>120968</v>
      </c>
      <c r="K352" s="230">
        <v>43602</v>
      </c>
      <c r="L352" s="1">
        <v>195.2</v>
      </c>
      <c r="M352" s="1">
        <v>193.22850161582701</v>
      </c>
      <c r="N352" s="1">
        <v>25374</v>
      </c>
      <c r="O352" s="1">
        <v>37930.769999999997</v>
      </c>
      <c r="P352" s="215">
        <f t="shared" si="56"/>
        <v>-3.6132237024832148E-2</v>
      </c>
      <c r="Q352" s="215">
        <f t="shared" si="51"/>
        <v>-9.2093023255814033E-2</v>
      </c>
      <c r="R352" s="231">
        <v>4902980</v>
      </c>
      <c r="T352" s="230">
        <v>43602</v>
      </c>
      <c r="U352" s="1">
        <v>66.150000000000006</v>
      </c>
      <c r="V352" s="1">
        <v>66.567811060494193</v>
      </c>
      <c r="W352" s="1">
        <v>39293</v>
      </c>
      <c r="X352" s="1">
        <v>37930.769999999997</v>
      </c>
      <c r="Y352" s="215">
        <f t="shared" si="57"/>
        <v>-3.6132237024832148E-2</v>
      </c>
      <c r="Z352" s="215">
        <f t="shared" si="52"/>
        <v>-6.9620253164556778E-2</v>
      </c>
      <c r="AA352" s="231">
        <v>2615649</v>
      </c>
      <c r="AC352" s="230">
        <v>43608</v>
      </c>
      <c r="AD352" s="1">
        <v>40.1</v>
      </c>
      <c r="AE352" s="1">
        <v>40.804665542439501</v>
      </c>
      <c r="AF352" s="1">
        <v>3558</v>
      </c>
      <c r="AG352" s="1">
        <v>38811.39</v>
      </c>
      <c r="AH352" s="215">
        <f t="shared" si="58"/>
        <v>-1.5806629285056495E-2</v>
      </c>
      <c r="AI352" s="215">
        <f t="shared" si="53"/>
        <v>-2.0757020757020794E-2</v>
      </c>
      <c r="AJ352" s="231">
        <v>145183</v>
      </c>
      <c r="AL352" s="230">
        <v>44868</v>
      </c>
      <c r="AM352" s="1">
        <v>301.64999999999998</v>
      </c>
      <c r="AN352" s="1">
        <v>303.104383854584</v>
      </c>
      <c r="AO352" s="1">
        <v>7482</v>
      </c>
      <c r="AP352" s="1">
        <v>60836.41</v>
      </c>
      <c r="AQ352" s="215">
        <f t="shared" si="59"/>
        <v>-1.86955417490553E-3</v>
      </c>
      <c r="AR352" s="215">
        <f t="shared" si="54"/>
        <v>-2.1887159533073963E-2</v>
      </c>
      <c r="AS352" s="231">
        <v>2267827</v>
      </c>
    </row>
    <row r="353" spans="2:45">
      <c r="B353" s="230">
        <v>43605</v>
      </c>
      <c r="C353" s="1">
        <v>294.3</v>
      </c>
      <c r="D353" s="1">
        <v>297.30743079164603</v>
      </c>
      <c r="E353" s="1">
        <v>2059</v>
      </c>
      <c r="F353" s="215">
        <v>39352.67</v>
      </c>
      <c r="G353" s="215">
        <f t="shared" si="55"/>
        <v>9.8247873994732338E-3</v>
      </c>
      <c r="H353" s="215">
        <f t="shared" si="50"/>
        <v>4.1769911504424773E-2</v>
      </c>
      <c r="I353" s="231">
        <v>612156</v>
      </c>
      <c r="K353" s="230">
        <v>43605</v>
      </c>
      <c r="L353" s="1">
        <v>215</v>
      </c>
      <c r="M353" s="1">
        <v>210.24562540505499</v>
      </c>
      <c r="N353" s="1">
        <v>13887</v>
      </c>
      <c r="O353" s="1">
        <v>39352.67</v>
      </c>
      <c r="P353" s="215">
        <f t="shared" si="56"/>
        <v>9.8247873994732338E-3</v>
      </c>
      <c r="Q353" s="215">
        <f t="shared" si="51"/>
        <v>-8.3025830258303124E-3</v>
      </c>
      <c r="R353" s="231">
        <v>2919681</v>
      </c>
      <c r="T353" s="230">
        <v>43605</v>
      </c>
      <c r="U353" s="1">
        <v>71.099999999999994</v>
      </c>
      <c r="V353" s="1">
        <v>69.855105269563097</v>
      </c>
      <c r="W353" s="1">
        <v>41085</v>
      </c>
      <c r="X353" s="1">
        <v>39352.67</v>
      </c>
      <c r="Y353" s="215">
        <f t="shared" si="57"/>
        <v>9.8247873994732338E-3</v>
      </c>
      <c r="Z353" s="215">
        <f t="shared" si="52"/>
        <v>4.9469964664310417E-3</v>
      </c>
      <c r="AA353" s="231">
        <v>2869997</v>
      </c>
      <c r="AC353" s="230">
        <v>43609</v>
      </c>
      <c r="AD353" s="1">
        <v>40.950000000000003</v>
      </c>
      <c r="AE353" s="1">
        <v>40.4027724883844</v>
      </c>
      <c r="AF353" s="1">
        <v>13129</v>
      </c>
      <c r="AG353" s="1">
        <v>39434.720000000001</v>
      </c>
      <c r="AH353" s="215">
        <f t="shared" si="58"/>
        <v>-6.2638455632081369E-3</v>
      </c>
      <c r="AI353" s="215">
        <f t="shared" si="53"/>
        <v>-5.4272517321016012E-2</v>
      </c>
      <c r="AJ353" s="231">
        <v>530448</v>
      </c>
      <c r="AL353" s="230">
        <v>44869</v>
      </c>
      <c r="AM353" s="1">
        <v>308.39999999999998</v>
      </c>
      <c r="AN353" s="1">
        <v>307.70683777822302</v>
      </c>
      <c r="AO353" s="1">
        <v>4987</v>
      </c>
      <c r="AP353" s="1">
        <v>60950.36</v>
      </c>
      <c r="AQ353" s="215">
        <f t="shared" si="59"/>
        <v>-3.8373690348066924E-3</v>
      </c>
      <c r="AR353" s="215">
        <f t="shared" si="54"/>
        <v>-6.6033177645353769E-3</v>
      </c>
      <c r="AS353" s="231">
        <v>1534534</v>
      </c>
    </row>
    <row r="354" spans="2:45">
      <c r="B354" s="230">
        <v>43606</v>
      </c>
      <c r="C354" s="1">
        <v>282.5</v>
      </c>
      <c r="D354" s="1">
        <v>289.13729729729698</v>
      </c>
      <c r="E354" s="1">
        <v>2775</v>
      </c>
      <c r="F354" s="215">
        <v>38969.800000000003</v>
      </c>
      <c r="G354" s="215">
        <f t="shared" si="55"/>
        <v>-3.5901111244351913E-3</v>
      </c>
      <c r="H354" s="215">
        <f t="shared" si="50"/>
        <v>-5.2816901408451189E-3</v>
      </c>
      <c r="I354" s="231">
        <v>802356</v>
      </c>
      <c r="K354" s="230">
        <v>43606</v>
      </c>
      <c r="L354" s="1">
        <v>216.8</v>
      </c>
      <c r="M354" s="1">
        <v>216.74347826086901</v>
      </c>
      <c r="N354" s="1">
        <v>6440</v>
      </c>
      <c r="O354" s="1">
        <v>38969.800000000003</v>
      </c>
      <c r="P354" s="215">
        <f t="shared" si="56"/>
        <v>-3.5901111244351913E-3</v>
      </c>
      <c r="Q354" s="215">
        <f t="shared" si="51"/>
        <v>3.9360963185923747E-3</v>
      </c>
      <c r="R354" s="231">
        <v>1395828</v>
      </c>
      <c r="T354" s="230">
        <v>43606</v>
      </c>
      <c r="U354" s="1">
        <v>70.75</v>
      </c>
      <c r="V354" s="1">
        <v>71.225598255655399</v>
      </c>
      <c r="W354" s="1">
        <v>91725</v>
      </c>
      <c r="X354" s="1">
        <v>38969.800000000003</v>
      </c>
      <c r="Y354" s="215">
        <f t="shared" si="57"/>
        <v>-3.5901111244351913E-3</v>
      </c>
      <c r="Z354" s="215">
        <f t="shared" si="52"/>
        <v>1.0714285714285676E-2</v>
      </c>
      <c r="AA354" s="231">
        <v>6533168</v>
      </c>
      <c r="AC354" s="230">
        <v>43612</v>
      </c>
      <c r="AD354" s="1">
        <v>43.3</v>
      </c>
      <c r="AE354" s="1">
        <v>41.782112752300598</v>
      </c>
      <c r="AF354" s="1">
        <v>25862</v>
      </c>
      <c r="AG354" s="1">
        <v>39683.29</v>
      </c>
      <c r="AH354" s="215">
        <f t="shared" si="58"/>
        <v>-1.67145789417944E-3</v>
      </c>
      <c r="AI354" s="215">
        <f t="shared" si="53"/>
        <v>-1.8140589569161092E-2</v>
      </c>
      <c r="AJ354" s="231">
        <v>1080569</v>
      </c>
      <c r="AL354" s="230">
        <v>44872</v>
      </c>
      <c r="AM354" s="1">
        <v>310.45</v>
      </c>
      <c r="AN354" s="1">
        <v>308.61623429266302</v>
      </c>
      <c r="AO354" s="1">
        <v>9868</v>
      </c>
      <c r="AP354" s="1">
        <v>61185.15</v>
      </c>
      <c r="AQ354" s="215">
        <f t="shared" si="59"/>
        <v>2.4838797677670943E-3</v>
      </c>
      <c r="AR354" s="215">
        <f t="shared" si="54"/>
        <v>1.321801566579639E-2</v>
      </c>
      <c r="AS354" s="231">
        <v>3045425</v>
      </c>
    </row>
    <row r="355" spans="2:45">
      <c r="B355" s="230">
        <v>43607</v>
      </c>
      <c r="C355" s="1">
        <v>284</v>
      </c>
      <c r="D355" s="1">
        <v>284.42093023255802</v>
      </c>
      <c r="E355" s="1">
        <v>430</v>
      </c>
      <c r="F355" s="215">
        <v>39110.21</v>
      </c>
      <c r="G355" s="215">
        <f t="shared" si="55"/>
        <v>7.6992862146911811E-3</v>
      </c>
      <c r="H355" s="215">
        <f t="shared" si="50"/>
        <v>1.3561741613133504E-2</v>
      </c>
      <c r="I355" s="231">
        <v>122301</v>
      </c>
      <c r="K355" s="230">
        <v>43607</v>
      </c>
      <c r="L355" s="1">
        <v>215.95</v>
      </c>
      <c r="M355" s="1">
        <v>216.04051863857299</v>
      </c>
      <c r="N355" s="1">
        <v>4936</v>
      </c>
      <c r="O355" s="1">
        <v>39110.21</v>
      </c>
      <c r="P355" s="215">
        <f t="shared" si="56"/>
        <v>7.6992862146911811E-3</v>
      </c>
      <c r="Q355" s="215">
        <f t="shared" si="51"/>
        <v>-7.1264367816092911E-3</v>
      </c>
      <c r="R355" s="231">
        <v>1066376</v>
      </c>
      <c r="T355" s="230">
        <v>43607</v>
      </c>
      <c r="U355" s="1">
        <v>70</v>
      </c>
      <c r="V355" s="1">
        <v>70.255520291714404</v>
      </c>
      <c r="W355" s="1">
        <v>44427</v>
      </c>
      <c r="X355" s="1">
        <v>39110.21</v>
      </c>
      <c r="Y355" s="215">
        <f t="shared" si="57"/>
        <v>7.6992862146911811E-3</v>
      </c>
      <c r="Z355" s="215">
        <f t="shared" si="52"/>
        <v>7.1479628305937126E-4</v>
      </c>
      <c r="AA355" s="231">
        <v>3121242</v>
      </c>
      <c r="AC355" s="230">
        <v>43613</v>
      </c>
      <c r="AD355" s="1">
        <v>44.1</v>
      </c>
      <c r="AE355" s="1">
        <v>43.896600259852697</v>
      </c>
      <c r="AF355" s="1">
        <v>9236</v>
      </c>
      <c r="AG355" s="1">
        <v>39749.730000000003</v>
      </c>
      <c r="AH355" s="215">
        <f t="shared" si="58"/>
        <v>6.2700543389520025E-3</v>
      </c>
      <c r="AI355" s="215">
        <f t="shared" si="53"/>
        <v>3.5211267605633756E-2</v>
      </c>
      <c r="AJ355" s="231">
        <v>405429</v>
      </c>
      <c r="AL355" s="230">
        <v>44874</v>
      </c>
      <c r="AM355" s="1">
        <v>306.39999999999998</v>
      </c>
      <c r="AN355" s="1">
        <v>311.23488147072999</v>
      </c>
      <c r="AO355" s="1">
        <v>4134</v>
      </c>
      <c r="AP355" s="1">
        <v>61033.55</v>
      </c>
      <c r="AQ355" s="215">
        <f t="shared" si="59"/>
        <v>6.9266518955286571E-3</v>
      </c>
      <c r="AR355" s="215">
        <f t="shared" si="54"/>
        <v>2.2526280660770892E-2</v>
      </c>
      <c r="AS355" s="231">
        <v>1286645</v>
      </c>
    </row>
    <row r="356" spans="2:45">
      <c r="B356" s="230">
        <v>43608</v>
      </c>
      <c r="C356" s="1">
        <v>280.2</v>
      </c>
      <c r="D356" s="1">
        <v>282.43661971830898</v>
      </c>
      <c r="E356" s="1">
        <v>1420</v>
      </c>
      <c r="F356" s="215">
        <v>38811.39</v>
      </c>
      <c r="G356" s="215">
        <f t="shared" si="55"/>
        <v>-1.5806629285056495E-2</v>
      </c>
      <c r="H356" s="215">
        <f t="shared" si="50"/>
        <v>-5.0169491525423715E-2</v>
      </c>
      <c r="I356" s="231">
        <v>401060</v>
      </c>
      <c r="K356" s="230">
        <v>43608</v>
      </c>
      <c r="L356" s="1">
        <v>217.5</v>
      </c>
      <c r="M356" s="1">
        <v>220.273574757977</v>
      </c>
      <c r="N356" s="1">
        <v>8367</v>
      </c>
      <c r="O356" s="1">
        <v>38811.39</v>
      </c>
      <c r="P356" s="215">
        <f t="shared" si="56"/>
        <v>-1.5806629285056495E-2</v>
      </c>
      <c r="Q356" s="215">
        <f t="shared" si="51"/>
        <v>-7.2296865003198985E-2</v>
      </c>
      <c r="R356" s="231">
        <v>1843029</v>
      </c>
      <c r="T356" s="230">
        <v>43608</v>
      </c>
      <c r="U356" s="1">
        <v>69.95</v>
      </c>
      <c r="V356" s="1">
        <v>70.2258681947052</v>
      </c>
      <c r="W356" s="1">
        <v>83593</v>
      </c>
      <c r="X356" s="1">
        <v>38811.39</v>
      </c>
      <c r="Y356" s="215">
        <f t="shared" si="57"/>
        <v>-1.5806629285056495E-2</v>
      </c>
      <c r="Z356" s="215">
        <f t="shared" si="52"/>
        <v>-3.848797250859104E-2</v>
      </c>
      <c r="AA356" s="231">
        <v>5870391</v>
      </c>
      <c r="AC356" s="230">
        <v>43614</v>
      </c>
      <c r="AD356" s="1">
        <v>42.6</v>
      </c>
      <c r="AE356" s="1">
        <v>42.3176059001512</v>
      </c>
      <c r="AF356" s="1">
        <v>10576</v>
      </c>
      <c r="AG356" s="1">
        <v>39502.050000000003</v>
      </c>
      <c r="AH356" s="215">
        <f t="shared" si="58"/>
        <v>-8.2827939466714184E-3</v>
      </c>
      <c r="AI356" s="215">
        <f t="shared" si="53"/>
        <v>3.5335689045936647E-3</v>
      </c>
      <c r="AJ356" s="231">
        <v>447551</v>
      </c>
      <c r="AL356" s="230">
        <v>44875</v>
      </c>
      <c r="AM356" s="1">
        <v>299.64999999999998</v>
      </c>
      <c r="AN356" s="1">
        <v>295.97899061942701</v>
      </c>
      <c r="AO356" s="1">
        <v>12899</v>
      </c>
      <c r="AP356" s="1">
        <v>60613.7</v>
      </c>
      <c r="AQ356" s="215">
        <f t="shared" si="59"/>
        <v>-1.9117068295449013E-2</v>
      </c>
      <c r="AR356" s="215">
        <f t="shared" si="54"/>
        <v>-8.3361120373459663E-4</v>
      </c>
      <c r="AS356" s="231">
        <v>3817833</v>
      </c>
    </row>
    <row r="357" spans="2:45">
      <c r="B357" s="230">
        <v>43609</v>
      </c>
      <c r="C357" s="1">
        <v>295</v>
      </c>
      <c r="D357" s="1">
        <v>288.97274633123601</v>
      </c>
      <c r="E357" s="1">
        <v>954</v>
      </c>
      <c r="F357" s="215">
        <v>39434.720000000001</v>
      </c>
      <c r="G357" s="215">
        <f t="shared" si="55"/>
        <v>-6.2638455632081369E-3</v>
      </c>
      <c r="H357" s="215">
        <f t="shared" si="50"/>
        <v>-1.8792615998669437E-2</v>
      </c>
      <c r="I357" s="231">
        <v>275680</v>
      </c>
      <c r="K357" s="230">
        <v>43609</v>
      </c>
      <c r="L357" s="1">
        <v>234.45</v>
      </c>
      <c r="M357" s="1">
        <v>232.882190928879</v>
      </c>
      <c r="N357" s="1">
        <v>22511</v>
      </c>
      <c r="O357" s="1">
        <v>39434.720000000001</v>
      </c>
      <c r="P357" s="215">
        <f t="shared" si="56"/>
        <v>-6.2638455632081369E-3</v>
      </c>
      <c r="Q357" s="215">
        <f t="shared" si="51"/>
        <v>-4.9077266274589415E-2</v>
      </c>
      <c r="R357" s="231">
        <v>5242411</v>
      </c>
      <c r="T357" s="230">
        <v>43609</v>
      </c>
      <c r="U357" s="1">
        <v>72.75</v>
      </c>
      <c r="V357" s="1">
        <v>71.621482772392199</v>
      </c>
      <c r="W357" s="1">
        <v>55086</v>
      </c>
      <c r="X357" s="1">
        <v>39434.720000000001</v>
      </c>
      <c r="Y357" s="215">
        <f t="shared" si="57"/>
        <v>-6.2638455632081369E-3</v>
      </c>
      <c r="Z357" s="215">
        <f t="shared" si="52"/>
        <v>-6.8259385665528916E-3</v>
      </c>
      <c r="AA357" s="231">
        <v>3945341</v>
      </c>
      <c r="AC357" s="230">
        <v>43615</v>
      </c>
      <c r="AD357" s="1">
        <v>42.45</v>
      </c>
      <c r="AE357" s="1">
        <v>43.837988826815597</v>
      </c>
      <c r="AF357" s="1">
        <v>4475</v>
      </c>
      <c r="AG357" s="1">
        <v>39831.97</v>
      </c>
      <c r="AH357" s="215">
        <f t="shared" si="58"/>
        <v>2.9654380549024584E-3</v>
      </c>
      <c r="AI357" s="215">
        <f t="shared" si="53"/>
        <v>1.1918951132300348E-2</v>
      </c>
      <c r="AJ357" s="231">
        <v>196175</v>
      </c>
      <c r="AL357" s="230">
        <v>44876</v>
      </c>
      <c r="AM357" s="1">
        <v>299.89999999999998</v>
      </c>
      <c r="AN357" s="1">
        <v>298.49734634480302</v>
      </c>
      <c r="AO357" s="1">
        <v>5841</v>
      </c>
      <c r="AP357" s="1">
        <v>61795.040000000001</v>
      </c>
      <c r="AQ357" s="215">
        <f t="shared" si="59"/>
        <v>2.7731011299954034E-3</v>
      </c>
      <c r="AR357" s="215">
        <f t="shared" si="54"/>
        <v>3.0100334448159849E-3</v>
      </c>
      <c r="AS357" s="231">
        <v>1743523</v>
      </c>
    </row>
    <row r="358" spans="2:45">
      <c r="B358" s="230">
        <v>43612</v>
      </c>
      <c r="C358" s="1">
        <v>300.64999999999998</v>
      </c>
      <c r="D358" s="1">
        <v>299.84830960853998</v>
      </c>
      <c r="E358" s="1">
        <v>2248</v>
      </c>
      <c r="F358" s="215">
        <v>39683.29</v>
      </c>
      <c r="G358" s="215">
        <f t="shared" si="55"/>
        <v>-1.67145789417944E-3</v>
      </c>
      <c r="H358" s="215">
        <f t="shared" si="50"/>
        <v>3.6724137931034351E-2</v>
      </c>
      <c r="I358" s="231">
        <v>674059</v>
      </c>
      <c r="K358" s="230">
        <v>43612</v>
      </c>
      <c r="L358" s="1">
        <v>246.55</v>
      </c>
      <c r="M358" s="1">
        <v>245.507442924206</v>
      </c>
      <c r="N358" s="1">
        <v>24923</v>
      </c>
      <c r="O358" s="1">
        <v>39683.29</v>
      </c>
      <c r="P358" s="215">
        <f t="shared" si="56"/>
        <v>-1.67145789417944E-3</v>
      </c>
      <c r="Q358" s="215">
        <f t="shared" si="51"/>
        <v>-8.2604651162790699E-2</v>
      </c>
      <c r="R358" s="231">
        <v>6118782</v>
      </c>
      <c r="T358" s="230">
        <v>43612</v>
      </c>
      <c r="U358" s="1">
        <v>73.25</v>
      </c>
      <c r="V358" s="1">
        <v>73.722448769569098</v>
      </c>
      <c r="W358" s="1">
        <v>77737</v>
      </c>
      <c r="X358" s="1">
        <v>39683.29</v>
      </c>
      <c r="Y358" s="215">
        <f t="shared" si="57"/>
        <v>-1.67145789417944E-3</v>
      </c>
      <c r="Z358" s="215">
        <f t="shared" si="52"/>
        <v>-8.124576844955933E-3</v>
      </c>
      <c r="AA358" s="231">
        <v>5730962</v>
      </c>
      <c r="AC358" s="230">
        <v>43616</v>
      </c>
      <c r="AD358" s="1">
        <v>41.95</v>
      </c>
      <c r="AE358" s="1">
        <v>41.735029146793799</v>
      </c>
      <c r="AF358" s="1">
        <v>1887</v>
      </c>
      <c r="AG358" s="1">
        <v>39714.199999999997</v>
      </c>
      <c r="AH358" s="215">
        <f t="shared" si="58"/>
        <v>-1.3743548786841808E-2</v>
      </c>
      <c r="AI358" s="215">
        <f t="shared" si="53"/>
        <v>1.0843373493975905E-2</v>
      </c>
      <c r="AJ358" s="231">
        <v>78754</v>
      </c>
      <c r="AL358" s="230">
        <v>44879</v>
      </c>
      <c r="AM358" s="1">
        <v>299</v>
      </c>
      <c r="AN358" s="1">
        <v>300.16923457196998</v>
      </c>
      <c r="AO358" s="1">
        <v>12137</v>
      </c>
      <c r="AP358" s="1">
        <v>61624.15</v>
      </c>
      <c r="AQ358" s="215">
        <f t="shared" si="59"/>
        <v>-4.0217872128047727E-3</v>
      </c>
      <c r="AR358" s="215">
        <f t="shared" si="54"/>
        <v>-1.3364131331463525E-2</v>
      </c>
      <c r="AS358" s="231">
        <v>3643154</v>
      </c>
    </row>
    <row r="359" spans="2:45">
      <c r="B359" s="230">
        <v>43613</v>
      </c>
      <c r="C359" s="1">
        <v>290</v>
      </c>
      <c r="D359" s="1">
        <v>292.63200473559499</v>
      </c>
      <c r="E359" s="1">
        <v>5068</v>
      </c>
      <c r="F359" s="215">
        <v>39749.730000000003</v>
      </c>
      <c r="G359" s="215">
        <f t="shared" si="55"/>
        <v>6.2700543389520025E-3</v>
      </c>
      <c r="H359" s="215">
        <f t="shared" si="50"/>
        <v>-4.9180327868852514E-2</v>
      </c>
      <c r="I359" s="231">
        <v>1483059</v>
      </c>
      <c r="K359" s="230">
        <v>43613</v>
      </c>
      <c r="L359" s="1">
        <v>268.75</v>
      </c>
      <c r="M359" s="1">
        <v>263.15209921790603</v>
      </c>
      <c r="N359" s="1">
        <v>30559</v>
      </c>
      <c r="O359" s="1">
        <v>39749.730000000003</v>
      </c>
      <c r="P359" s="215">
        <f t="shared" si="56"/>
        <v>6.2700543389520025E-3</v>
      </c>
      <c r="Q359" s="215">
        <f t="shared" si="51"/>
        <v>3.8246088468224748E-2</v>
      </c>
      <c r="R359" s="231">
        <v>8041665</v>
      </c>
      <c r="T359" s="230">
        <v>43613</v>
      </c>
      <c r="U359" s="1">
        <v>73.849999999999994</v>
      </c>
      <c r="V359" s="1">
        <v>73.717473291550604</v>
      </c>
      <c r="W359" s="1">
        <v>72917</v>
      </c>
      <c r="X359" s="1">
        <v>39749.730000000003</v>
      </c>
      <c r="Y359" s="215">
        <f t="shared" si="57"/>
        <v>6.2700543389520025E-3</v>
      </c>
      <c r="Z359" s="215">
        <f t="shared" si="52"/>
        <v>2.1438450899031736E-2</v>
      </c>
      <c r="AA359" s="231">
        <v>5375257</v>
      </c>
      <c r="AC359" s="230">
        <v>43619</v>
      </c>
      <c r="AD359" s="1">
        <v>41.5</v>
      </c>
      <c r="AE359" s="1">
        <v>41.614318706697397</v>
      </c>
      <c r="AF359" s="1">
        <v>433</v>
      </c>
      <c r="AG359" s="1">
        <v>40267.620000000003</v>
      </c>
      <c r="AH359" s="215">
        <f t="shared" si="58"/>
        <v>4.5924087543165459E-3</v>
      </c>
      <c r="AI359" s="215">
        <f t="shared" si="53"/>
        <v>-3.2634032634032639E-2</v>
      </c>
      <c r="AJ359" s="231">
        <v>18019</v>
      </c>
      <c r="AL359" s="230">
        <v>44880</v>
      </c>
      <c r="AM359" s="1">
        <v>303.05</v>
      </c>
      <c r="AN359" s="1">
        <v>302.39781440028202</v>
      </c>
      <c r="AO359" s="1">
        <v>11347</v>
      </c>
      <c r="AP359" s="1">
        <v>61872.99</v>
      </c>
      <c r="AQ359" s="215">
        <f t="shared" si="59"/>
        <v>-1.7381211447689005E-3</v>
      </c>
      <c r="AR359" s="215">
        <f t="shared" si="54"/>
        <v>9.8300566477840245E-3</v>
      </c>
      <c r="AS359" s="231">
        <v>3431308</v>
      </c>
    </row>
    <row r="360" spans="2:45">
      <c r="B360" s="230">
        <v>43614</v>
      </c>
      <c r="C360" s="1">
        <v>305</v>
      </c>
      <c r="D360" s="1">
        <v>301.39923076922997</v>
      </c>
      <c r="E360" s="1">
        <v>1300</v>
      </c>
      <c r="F360" s="215">
        <v>39502.050000000003</v>
      </c>
      <c r="G360" s="215">
        <f t="shared" si="55"/>
        <v>-8.2827939466714184E-3</v>
      </c>
      <c r="H360" s="215">
        <f t="shared" si="50"/>
        <v>9.9337748344370258E-3</v>
      </c>
      <c r="I360" s="231">
        <v>391819</v>
      </c>
      <c r="K360" s="230">
        <v>43614</v>
      </c>
      <c r="L360" s="1">
        <v>258.85000000000002</v>
      </c>
      <c r="M360" s="1">
        <v>266.66296999620198</v>
      </c>
      <c r="N360" s="1">
        <v>26330</v>
      </c>
      <c r="O360" s="1">
        <v>39502.050000000003</v>
      </c>
      <c r="P360" s="215">
        <f t="shared" si="56"/>
        <v>-8.2827939466714184E-3</v>
      </c>
      <c r="Q360" s="215">
        <f t="shared" si="51"/>
        <v>1.8493015935471258E-2</v>
      </c>
      <c r="R360" s="231">
        <v>7021236</v>
      </c>
      <c r="T360" s="230">
        <v>43614</v>
      </c>
      <c r="U360" s="1">
        <v>72.3</v>
      </c>
      <c r="V360" s="1">
        <v>72.683294117646994</v>
      </c>
      <c r="W360" s="1">
        <v>25500</v>
      </c>
      <c r="X360" s="1">
        <v>39502.050000000003</v>
      </c>
      <c r="Y360" s="215">
        <f t="shared" si="57"/>
        <v>-8.2827939466714184E-3</v>
      </c>
      <c r="Z360" s="215">
        <f t="shared" si="52"/>
        <v>-8.2304526748971929E-3</v>
      </c>
      <c r="AA360" s="231">
        <v>1853424</v>
      </c>
      <c r="AC360" s="230">
        <v>43620</v>
      </c>
      <c r="AD360" s="1">
        <v>42.9</v>
      </c>
      <c r="AE360" s="1">
        <v>40.396484375</v>
      </c>
      <c r="AF360" s="1">
        <v>3072</v>
      </c>
      <c r="AG360" s="1">
        <v>40083.54</v>
      </c>
      <c r="AH360" s="215">
        <f t="shared" si="58"/>
        <v>1.4010218134608676E-2</v>
      </c>
      <c r="AI360" s="215">
        <f t="shared" si="53"/>
        <v>3.0012004801920789E-2</v>
      </c>
      <c r="AJ360" s="231">
        <v>124098</v>
      </c>
      <c r="AL360" s="230">
        <v>44881</v>
      </c>
      <c r="AM360" s="1">
        <v>300.10000000000002</v>
      </c>
      <c r="AN360" s="1">
        <v>300.43706485892199</v>
      </c>
      <c r="AO360" s="1">
        <v>10916</v>
      </c>
      <c r="AP360" s="1">
        <v>61980.72</v>
      </c>
      <c r="AQ360" s="215">
        <f t="shared" si="59"/>
        <v>3.7266034662011283E-3</v>
      </c>
      <c r="AR360" s="215">
        <f t="shared" si="54"/>
        <v>-1.9953441968738606E-3</v>
      </c>
      <c r="AS360" s="231">
        <v>3279571</v>
      </c>
    </row>
    <row r="361" spans="2:45">
      <c r="B361" s="230">
        <v>43615</v>
      </c>
      <c r="C361" s="1">
        <v>302</v>
      </c>
      <c r="D361" s="1">
        <v>301.04444444444403</v>
      </c>
      <c r="E361" s="1">
        <v>180</v>
      </c>
      <c r="F361" s="215">
        <v>39831.97</v>
      </c>
      <c r="G361" s="215">
        <f t="shared" si="55"/>
        <v>2.9654380549024584E-3</v>
      </c>
      <c r="H361" s="215">
        <f t="shared" si="50"/>
        <v>2.3728813559322104E-2</v>
      </c>
      <c r="I361" s="231">
        <v>54188</v>
      </c>
      <c r="K361" s="230">
        <v>43615</v>
      </c>
      <c r="L361" s="1">
        <v>254.15</v>
      </c>
      <c r="M361" s="1">
        <v>254.56346008561999</v>
      </c>
      <c r="N361" s="1">
        <v>7942</v>
      </c>
      <c r="O361" s="1">
        <v>39831.97</v>
      </c>
      <c r="P361" s="215">
        <f t="shared" si="56"/>
        <v>2.9654380549024584E-3</v>
      </c>
      <c r="Q361" s="215">
        <f t="shared" si="51"/>
        <v>2.6453957996769084E-2</v>
      </c>
      <c r="R361" s="231">
        <v>2021743</v>
      </c>
      <c r="T361" s="230">
        <v>43615</v>
      </c>
      <c r="U361" s="1">
        <v>72.900000000000006</v>
      </c>
      <c r="V361" s="1">
        <v>71.445413229616307</v>
      </c>
      <c r="W361" s="1">
        <v>70191</v>
      </c>
      <c r="X361" s="1">
        <v>39831.97</v>
      </c>
      <c r="Y361" s="215">
        <f t="shared" si="57"/>
        <v>2.9654380549024584E-3</v>
      </c>
      <c r="Z361" s="215">
        <f t="shared" si="52"/>
        <v>1.5320334261838653E-2</v>
      </c>
      <c r="AA361" s="231">
        <v>5014825</v>
      </c>
      <c r="AC361" s="230">
        <v>43622</v>
      </c>
      <c r="AD361" s="1">
        <v>41.65</v>
      </c>
      <c r="AE361" s="1">
        <v>40.679775280898802</v>
      </c>
      <c r="AF361" s="1">
        <v>1602</v>
      </c>
      <c r="AG361" s="1">
        <v>39529.72</v>
      </c>
      <c r="AH361" s="215">
        <f t="shared" si="58"/>
        <v>-2.1753891745486253E-3</v>
      </c>
      <c r="AI361" s="215">
        <f t="shared" si="53"/>
        <v>1.2019230769229061E-3</v>
      </c>
      <c r="AJ361" s="231">
        <v>65169</v>
      </c>
      <c r="AL361" s="230">
        <v>44882</v>
      </c>
      <c r="AM361" s="1">
        <v>300.7</v>
      </c>
      <c r="AN361" s="1">
        <v>300.30487554001201</v>
      </c>
      <c r="AO361" s="1">
        <v>4861</v>
      </c>
      <c r="AP361" s="1">
        <v>61750.6</v>
      </c>
      <c r="AQ361" s="215">
        <f t="shared" si="59"/>
        <v>1.4128297656894606E-3</v>
      </c>
      <c r="AR361" s="215">
        <f t="shared" si="54"/>
        <v>1.2798922196025631E-2</v>
      </c>
      <c r="AS361" s="231">
        <v>1459782</v>
      </c>
    </row>
    <row r="362" spans="2:45">
      <c r="B362" s="230">
        <v>43616</v>
      </c>
      <c r="C362" s="1">
        <v>295</v>
      </c>
      <c r="D362" s="1">
        <v>302.984152139461</v>
      </c>
      <c r="E362" s="1">
        <v>631</v>
      </c>
      <c r="F362" s="215">
        <v>39714.199999999997</v>
      </c>
      <c r="G362" s="215">
        <f t="shared" si="55"/>
        <v>-1.3743548786841808E-2</v>
      </c>
      <c r="H362" s="215">
        <f t="shared" si="50"/>
        <v>-2.3178807947019875E-2</v>
      </c>
      <c r="I362" s="231">
        <v>191183</v>
      </c>
      <c r="K362" s="230">
        <v>43616</v>
      </c>
      <c r="L362" s="1">
        <v>247.6</v>
      </c>
      <c r="M362" s="1">
        <v>249.15423662631699</v>
      </c>
      <c r="N362" s="1">
        <v>7683</v>
      </c>
      <c r="O362" s="1">
        <v>39714.199999999997</v>
      </c>
      <c r="P362" s="215">
        <f t="shared" si="56"/>
        <v>-1.3743548786841808E-2</v>
      </c>
      <c r="Q362" s="215">
        <f t="shared" si="51"/>
        <v>-9.005403241945209E-3</v>
      </c>
      <c r="R362" s="231">
        <v>1914252</v>
      </c>
      <c r="T362" s="230">
        <v>43616</v>
      </c>
      <c r="U362" s="1">
        <v>71.8</v>
      </c>
      <c r="V362" s="1">
        <v>72.581991651758997</v>
      </c>
      <c r="W362" s="1">
        <v>30186</v>
      </c>
      <c r="X362" s="1">
        <v>39714.199999999997</v>
      </c>
      <c r="Y362" s="215">
        <f t="shared" si="57"/>
        <v>-1.3743548786841808E-2</v>
      </c>
      <c r="Z362" s="215">
        <f t="shared" si="52"/>
        <v>7.7192982456140147E-3</v>
      </c>
      <c r="AA362" s="231">
        <v>2190960</v>
      </c>
      <c r="AC362" s="230">
        <v>43623</v>
      </c>
      <c r="AD362" s="1">
        <v>41.6</v>
      </c>
      <c r="AE362" s="1">
        <v>40.891177787729497</v>
      </c>
      <c r="AF362" s="1">
        <v>4466</v>
      </c>
      <c r="AG362" s="1">
        <v>39615.9</v>
      </c>
      <c r="AH362" s="215">
        <f t="shared" si="58"/>
        <v>-4.2383318939124281E-3</v>
      </c>
      <c r="AI362" s="215">
        <f t="shared" si="53"/>
        <v>-9.52380952380949E-3</v>
      </c>
      <c r="AJ362" s="231">
        <v>182620</v>
      </c>
      <c r="AL362" s="230">
        <v>44883</v>
      </c>
      <c r="AM362" s="1">
        <v>296.89999999999998</v>
      </c>
      <c r="AN362" s="1">
        <v>296.876032194</v>
      </c>
      <c r="AO362" s="1">
        <v>9567</v>
      </c>
      <c r="AP362" s="1">
        <v>61663.48</v>
      </c>
      <c r="AQ362" s="215">
        <f t="shared" si="59"/>
        <v>8.4821548310536343E-3</v>
      </c>
      <c r="AR362" s="215">
        <f t="shared" si="54"/>
        <v>-1.4112568487464672E-2</v>
      </c>
      <c r="AS362" s="231">
        <v>2840213</v>
      </c>
    </row>
    <row r="363" spans="2:45">
      <c r="B363" s="230">
        <v>43619</v>
      </c>
      <c r="C363" s="1">
        <v>302</v>
      </c>
      <c r="D363" s="1">
        <v>303.979737783075</v>
      </c>
      <c r="E363" s="1">
        <v>839</v>
      </c>
      <c r="F363" s="215">
        <v>40267.620000000003</v>
      </c>
      <c r="G363" s="215">
        <f t="shared" si="55"/>
        <v>4.5924087543165459E-3</v>
      </c>
      <c r="H363" s="215">
        <f t="shared" si="50"/>
        <v>6.6666666666665986E-3</v>
      </c>
      <c r="I363" s="231">
        <v>255039</v>
      </c>
      <c r="K363" s="230">
        <v>43619</v>
      </c>
      <c r="L363" s="1">
        <v>249.85</v>
      </c>
      <c r="M363" s="1">
        <v>251.05110306223199</v>
      </c>
      <c r="N363" s="1">
        <v>15185</v>
      </c>
      <c r="O363" s="1">
        <v>40267.620000000003</v>
      </c>
      <c r="P363" s="215">
        <f t="shared" si="56"/>
        <v>4.5924087543165459E-3</v>
      </c>
      <c r="Q363" s="215">
        <f t="shared" si="51"/>
        <v>-3.390506581571584E-3</v>
      </c>
      <c r="R363" s="231">
        <v>3812211</v>
      </c>
      <c r="T363" s="230">
        <v>43619</v>
      </c>
      <c r="U363" s="1">
        <v>71.25</v>
      </c>
      <c r="V363" s="1">
        <v>71.368785471055602</v>
      </c>
      <c r="W363" s="1">
        <v>26430</v>
      </c>
      <c r="X363" s="1">
        <v>40267.620000000003</v>
      </c>
      <c r="Y363" s="215">
        <f t="shared" si="57"/>
        <v>4.5924087543165459E-3</v>
      </c>
      <c r="Z363" s="215">
        <f t="shared" si="52"/>
        <v>-3.4965034965035446E-3</v>
      </c>
      <c r="AA363" s="231">
        <v>1886277</v>
      </c>
      <c r="AC363" s="230">
        <v>43626</v>
      </c>
      <c r="AD363" s="1">
        <v>42</v>
      </c>
      <c r="AE363" s="1">
        <v>41.722484807562402</v>
      </c>
      <c r="AF363" s="1">
        <v>4443</v>
      </c>
      <c r="AG363" s="1">
        <v>39784.519999999997</v>
      </c>
      <c r="AH363" s="215">
        <f t="shared" si="58"/>
        <v>-4.1536442884513303E-3</v>
      </c>
      <c r="AI363" s="215">
        <f t="shared" si="53"/>
        <v>3.5758323057953234E-2</v>
      </c>
      <c r="AJ363" s="231">
        <v>185373</v>
      </c>
      <c r="AL363" s="230">
        <v>44886</v>
      </c>
      <c r="AM363" s="1">
        <v>301.14999999999998</v>
      </c>
      <c r="AN363" s="1">
        <v>302.66890903772997</v>
      </c>
      <c r="AO363" s="1">
        <v>17095</v>
      </c>
      <c r="AP363" s="1">
        <v>61144.84</v>
      </c>
      <c r="AQ363" s="215">
        <f t="shared" si="59"/>
        <v>-4.4631169267601578E-3</v>
      </c>
      <c r="AR363" s="215">
        <f t="shared" si="54"/>
        <v>1.465633423180579E-2</v>
      </c>
      <c r="AS363" s="231">
        <v>5174125</v>
      </c>
    </row>
    <row r="364" spans="2:45">
      <c r="B364" s="230">
        <v>43620</v>
      </c>
      <c r="C364" s="1">
        <v>300</v>
      </c>
      <c r="D364" s="1">
        <v>301.38152610441699</v>
      </c>
      <c r="E364" s="1">
        <v>249</v>
      </c>
      <c r="F364" s="215">
        <v>40083.54</v>
      </c>
      <c r="G364" s="215">
        <f t="shared" si="55"/>
        <v>1.4010218134608676E-2</v>
      </c>
      <c r="H364" s="215">
        <f t="shared" si="50"/>
        <v>3.7703216879972246E-2</v>
      </c>
      <c r="I364" s="231">
        <v>75044</v>
      </c>
      <c r="K364" s="230">
        <v>43620</v>
      </c>
      <c r="L364" s="1">
        <v>250.7</v>
      </c>
      <c r="M364" s="1">
        <v>251.18694066953901</v>
      </c>
      <c r="N364" s="1">
        <v>9051</v>
      </c>
      <c r="O364" s="1">
        <v>40083.54</v>
      </c>
      <c r="P364" s="215">
        <f t="shared" si="56"/>
        <v>1.4010218134608676E-2</v>
      </c>
      <c r="Q364" s="215">
        <f t="shared" si="51"/>
        <v>8.2445204102150615E-3</v>
      </c>
      <c r="R364" s="231">
        <v>2273493</v>
      </c>
      <c r="T364" s="230">
        <v>43620</v>
      </c>
      <c r="U364" s="1">
        <v>71.5</v>
      </c>
      <c r="V364" s="1">
        <v>71.869925925925898</v>
      </c>
      <c r="W364" s="1">
        <v>13500</v>
      </c>
      <c r="X364" s="1">
        <v>40083.54</v>
      </c>
      <c r="Y364" s="215">
        <f t="shared" si="57"/>
        <v>1.4010218134608676E-2</v>
      </c>
      <c r="Z364" s="215">
        <f t="shared" si="52"/>
        <v>1.3465627214741316E-2</v>
      </c>
      <c r="AA364" s="231">
        <v>970244</v>
      </c>
      <c r="AC364" s="230">
        <v>43627</v>
      </c>
      <c r="AD364" s="1">
        <v>40.549999999999997</v>
      </c>
      <c r="AE364" s="1">
        <v>40.5492537313432</v>
      </c>
      <c r="AF364" s="1">
        <v>1005</v>
      </c>
      <c r="AG364" s="1">
        <v>39950.46</v>
      </c>
      <c r="AH364" s="215">
        <f t="shared" si="58"/>
        <v>4.8708636331737942E-3</v>
      </c>
      <c r="AI364" s="215">
        <f t="shared" si="53"/>
        <v>-3.1063321385902176E-2</v>
      </c>
      <c r="AJ364" s="231">
        <v>40752</v>
      </c>
      <c r="AL364" s="230">
        <v>44887</v>
      </c>
      <c r="AM364" s="1">
        <v>296.8</v>
      </c>
      <c r="AN364" s="1">
        <v>297.90430451796499</v>
      </c>
      <c r="AO364" s="1">
        <v>2811</v>
      </c>
      <c r="AP364" s="1">
        <v>61418.96</v>
      </c>
      <c r="AQ364" s="215">
        <f t="shared" si="59"/>
        <v>-1.489499855146903E-3</v>
      </c>
      <c r="AR364" s="215">
        <f t="shared" si="54"/>
        <v>5.5903777740133886E-3</v>
      </c>
      <c r="AS364" s="231">
        <v>837409</v>
      </c>
    </row>
    <row r="365" spans="2:45">
      <c r="B365" s="230">
        <v>43622</v>
      </c>
      <c r="C365" s="1">
        <v>289.10000000000002</v>
      </c>
      <c r="D365" s="1">
        <v>292.25766695328099</v>
      </c>
      <c r="E365" s="1">
        <v>3489</v>
      </c>
      <c r="F365" s="215">
        <v>39529.72</v>
      </c>
      <c r="G365" s="215">
        <f t="shared" si="55"/>
        <v>-2.1753891745486253E-3</v>
      </c>
      <c r="H365" s="215">
        <f t="shared" si="50"/>
        <v>-2.9702970297029618E-2</v>
      </c>
      <c r="I365" s="231">
        <v>1019687</v>
      </c>
      <c r="K365" s="230">
        <v>43622</v>
      </c>
      <c r="L365" s="1">
        <v>248.65</v>
      </c>
      <c r="M365" s="1">
        <v>249.555930856348</v>
      </c>
      <c r="N365" s="1">
        <v>10066</v>
      </c>
      <c r="O365" s="1">
        <v>39529.72</v>
      </c>
      <c r="P365" s="215">
        <f t="shared" si="56"/>
        <v>-2.1753891745486253E-3</v>
      </c>
      <c r="Q365" s="215">
        <f t="shared" si="51"/>
        <v>1.0156408693885899E-2</v>
      </c>
      <c r="R365" s="231">
        <v>2512030</v>
      </c>
      <c r="T365" s="230">
        <v>43622</v>
      </c>
      <c r="U365" s="1">
        <v>70.55</v>
      </c>
      <c r="V365" s="1">
        <v>70.907120912881197</v>
      </c>
      <c r="W365" s="1">
        <v>18228</v>
      </c>
      <c r="X365" s="1">
        <v>39529.72</v>
      </c>
      <c r="Y365" s="215">
        <f t="shared" si="57"/>
        <v>-2.1753891745486253E-3</v>
      </c>
      <c r="Z365" s="215">
        <f t="shared" si="52"/>
        <v>4.0560471976401224E-2</v>
      </c>
      <c r="AA365" s="231">
        <v>1292495</v>
      </c>
      <c r="AC365" s="230">
        <v>43628</v>
      </c>
      <c r="AD365" s="1">
        <v>41.85</v>
      </c>
      <c r="AE365" s="1">
        <v>40.571027162035499</v>
      </c>
      <c r="AF365" s="1">
        <v>3203</v>
      </c>
      <c r="AG365" s="1">
        <v>39756.81</v>
      </c>
      <c r="AH365" s="215">
        <f t="shared" si="58"/>
        <v>3.8876374638396882E-4</v>
      </c>
      <c r="AI365" s="215">
        <f t="shared" si="53"/>
        <v>1.7010935601458055E-2</v>
      </c>
      <c r="AJ365" s="231">
        <v>129949</v>
      </c>
      <c r="AL365" s="230">
        <v>44888</v>
      </c>
      <c r="AM365" s="1">
        <v>295.14999999999998</v>
      </c>
      <c r="AN365" s="1">
        <v>295.52776459420897</v>
      </c>
      <c r="AO365" s="1">
        <v>2107</v>
      </c>
      <c r="AP365" s="1">
        <v>61510.58</v>
      </c>
      <c r="AQ365" s="215">
        <f t="shared" si="59"/>
        <v>-1.2238111480026181E-2</v>
      </c>
      <c r="AR365" s="215">
        <f t="shared" si="54"/>
        <v>1.3390557939914061E-2</v>
      </c>
      <c r="AS365" s="231">
        <v>622677</v>
      </c>
    </row>
    <row r="366" spans="2:45">
      <c r="B366" s="230">
        <v>43623</v>
      </c>
      <c r="C366" s="1">
        <v>297.95</v>
      </c>
      <c r="D366" s="1">
        <v>297.944444444444</v>
      </c>
      <c r="E366" s="1">
        <v>36</v>
      </c>
      <c r="F366" s="215">
        <v>39615.9</v>
      </c>
      <c r="G366" s="215">
        <f t="shared" si="55"/>
        <v>-4.2383318939124281E-3</v>
      </c>
      <c r="H366" s="215">
        <f t="shared" si="50"/>
        <v>-3.5117056856187601E-3</v>
      </c>
      <c r="I366" s="231">
        <v>10726</v>
      </c>
      <c r="K366" s="230">
        <v>43623</v>
      </c>
      <c r="L366" s="1">
        <v>246.15</v>
      </c>
      <c r="M366" s="1">
        <v>246.408657562483</v>
      </c>
      <c r="N366" s="1">
        <v>7762</v>
      </c>
      <c r="O366" s="1">
        <v>39615.9</v>
      </c>
      <c r="P366" s="215">
        <f t="shared" si="56"/>
        <v>-4.2383318939124281E-3</v>
      </c>
      <c r="Q366" s="215">
        <f t="shared" si="51"/>
        <v>4.8989589712187254E-3</v>
      </c>
      <c r="R366" s="231">
        <v>1912624</v>
      </c>
      <c r="T366" s="230">
        <v>43623</v>
      </c>
      <c r="U366" s="1">
        <v>67.8</v>
      </c>
      <c r="V366" s="1">
        <v>68.577594254937097</v>
      </c>
      <c r="W366" s="1">
        <v>27850</v>
      </c>
      <c r="X366" s="1">
        <v>39615.9</v>
      </c>
      <c r="Y366" s="215">
        <f t="shared" si="57"/>
        <v>-4.2383318939124281E-3</v>
      </c>
      <c r="Z366" s="215">
        <f t="shared" si="52"/>
        <v>2.4943310657596252E-2</v>
      </c>
      <c r="AA366" s="231">
        <v>1909886</v>
      </c>
      <c r="AC366" s="230">
        <v>43629</v>
      </c>
      <c r="AD366" s="1">
        <v>41.15</v>
      </c>
      <c r="AE366" s="1">
        <v>40.790534618755402</v>
      </c>
      <c r="AF366" s="1">
        <v>3423</v>
      </c>
      <c r="AG366" s="1">
        <v>39741.360000000001</v>
      </c>
      <c r="AH366" s="215">
        <f t="shared" si="58"/>
        <v>7.3326950905236998E-3</v>
      </c>
      <c r="AI366" s="215">
        <f t="shared" si="53"/>
        <v>-2.4881516587677788E-2</v>
      </c>
      <c r="AJ366" s="231">
        <v>139626</v>
      </c>
      <c r="AL366" s="230">
        <v>44889</v>
      </c>
      <c r="AM366" s="1">
        <v>291.25</v>
      </c>
      <c r="AN366" s="1">
        <v>292.194247996228</v>
      </c>
      <c r="AO366" s="1">
        <v>12726</v>
      </c>
      <c r="AP366" s="1">
        <v>62272.68</v>
      </c>
      <c r="AQ366" s="215">
        <f t="shared" si="59"/>
        <v>-3.364709463117288E-4</v>
      </c>
      <c r="AR366" s="215">
        <f t="shared" si="54"/>
        <v>-6.3118389628114002E-3</v>
      </c>
      <c r="AS366" s="231">
        <v>3718464</v>
      </c>
    </row>
    <row r="367" spans="2:45">
      <c r="B367" s="230">
        <v>43626</v>
      </c>
      <c r="C367" s="1">
        <v>299</v>
      </c>
      <c r="D367" s="1">
        <v>293.62732919254597</v>
      </c>
      <c r="E367" s="1">
        <v>161</v>
      </c>
      <c r="F367" s="215">
        <v>39784.519999999997</v>
      </c>
      <c r="G367" s="215">
        <f t="shared" si="55"/>
        <v>-4.1536442884513303E-3</v>
      </c>
      <c r="H367" s="215">
        <f t="shared" si="50"/>
        <v>3.1212277978961867E-2</v>
      </c>
      <c r="I367" s="231">
        <v>47274</v>
      </c>
      <c r="K367" s="230">
        <v>43626</v>
      </c>
      <c r="L367" s="1">
        <v>244.95</v>
      </c>
      <c r="M367" s="1">
        <v>248.16021455223799</v>
      </c>
      <c r="N367" s="1">
        <v>4288</v>
      </c>
      <c r="O367" s="1">
        <v>39784.519999999997</v>
      </c>
      <c r="P367" s="215">
        <f t="shared" si="56"/>
        <v>-4.1536442884513303E-3</v>
      </c>
      <c r="Q367" s="215">
        <f t="shared" si="51"/>
        <v>-3.4580960130188299E-3</v>
      </c>
      <c r="R367" s="231">
        <v>1064111</v>
      </c>
      <c r="T367" s="230">
        <v>43626</v>
      </c>
      <c r="U367" s="1">
        <v>66.150000000000006</v>
      </c>
      <c r="V367" s="1">
        <v>66.371601135762006</v>
      </c>
      <c r="W367" s="1">
        <v>41558</v>
      </c>
      <c r="X367" s="1">
        <v>39784.519999999997</v>
      </c>
      <c r="Y367" s="215">
        <f t="shared" si="57"/>
        <v>-4.1536442884513303E-3</v>
      </c>
      <c r="Z367" s="215">
        <f t="shared" si="52"/>
        <v>7.564296520425895E-4</v>
      </c>
      <c r="AA367" s="231">
        <v>2758271</v>
      </c>
      <c r="AC367" s="230">
        <v>43630</v>
      </c>
      <c r="AD367" s="1">
        <v>42.2</v>
      </c>
      <c r="AE367" s="1">
        <v>40.437132784958798</v>
      </c>
      <c r="AF367" s="1">
        <v>1702</v>
      </c>
      <c r="AG367" s="1">
        <v>39452.07</v>
      </c>
      <c r="AH367" s="215">
        <f t="shared" si="58"/>
        <v>1.2609600575347546E-2</v>
      </c>
      <c r="AI367" s="215">
        <f t="shared" si="53"/>
        <v>2.1791767554479646E-2</v>
      </c>
      <c r="AJ367" s="231">
        <v>68824</v>
      </c>
      <c r="AL367" s="230">
        <v>44890</v>
      </c>
      <c r="AM367" s="1">
        <v>293.10000000000002</v>
      </c>
      <c r="AN367" s="1">
        <v>294.16603375527399</v>
      </c>
      <c r="AO367" s="1">
        <v>4740</v>
      </c>
      <c r="AP367" s="1">
        <v>62293.64</v>
      </c>
      <c r="AQ367" s="215">
        <f t="shared" si="59"/>
        <v>-3.3783005465181093E-3</v>
      </c>
      <c r="AR367" s="215">
        <f t="shared" si="54"/>
        <v>3.4129692832762792E-4</v>
      </c>
      <c r="AS367" s="231">
        <v>1394347</v>
      </c>
    </row>
    <row r="368" spans="2:45">
      <c r="B368" s="230">
        <v>43627</v>
      </c>
      <c r="C368" s="1">
        <v>289.95</v>
      </c>
      <c r="D368" s="1">
        <v>289.79605668515001</v>
      </c>
      <c r="E368" s="1">
        <v>1623</v>
      </c>
      <c r="F368" s="215">
        <v>39950.46</v>
      </c>
      <c r="G368" s="215">
        <f t="shared" si="55"/>
        <v>4.8708636331737942E-3</v>
      </c>
      <c r="H368" s="215">
        <f t="shared" si="50"/>
        <v>1.7368421052631478E-2</v>
      </c>
      <c r="I368" s="231">
        <v>470339</v>
      </c>
      <c r="K368" s="230">
        <v>43627</v>
      </c>
      <c r="L368" s="1">
        <v>245.8</v>
      </c>
      <c r="M368" s="1">
        <v>245.925032594524</v>
      </c>
      <c r="N368" s="1">
        <v>3068</v>
      </c>
      <c r="O368" s="1">
        <v>39950.46</v>
      </c>
      <c r="P368" s="215">
        <f t="shared" si="56"/>
        <v>4.8708636331737942E-3</v>
      </c>
      <c r="Q368" s="215">
        <f t="shared" si="51"/>
        <v>1.9705455299730446E-2</v>
      </c>
      <c r="R368" s="231">
        <v>754498</v>
      </c>
      <c r="T368" s="230">
        <v>43627</v>
      </c>
      <c r="U368" s="1">
        <v>66.099999999999994</v>
      </c>
      <c r="V368" s="1">
        <v>65.435656195184094</v>
      </c>
      <c r="W368" s="1">
        <v>56439</v>
      </c>
      <c r="X368" s="1">
        <v>39950.46</v>
      </c>
      <c r="Y368" s="215">
        <f t="shared" si="57"/>
        <v>4.8708636331737942E-3</v>
      </c>
      <c r="Z368" s="215">
        <f t="shared" si="52"/>
        <v>-5.2671181339354334E-3</v>
      </c>
      <c r="AA368" s="231">
        <v>3693123</v>
      </c>
      <c r="AC368" s="230">
        <v>43633</v>
      </c>
      <c r="AD368" s="1">
        <v>41.3</v>
      </c>
      <c r="AE368" s="1">
        <v>40.833143378162703</v>
      </c>
      <c r="AF368" s="1">
        <v>4387</v>
      </c>
      <c r="AG368" s="1">
        <v>38960.79</v>
      </c>
      <c r="AH368" s="215">
        <f t="shared" si="58"/>
        <v>-2.1909864023105241E-3</v>
      </c>
      <c r="AI368" s="215">
        <f t="shared" si="53"/>
        <v>1.9753086419753041E-2</v>
      </c>
      <c r="AJ368" s="231">
        <v>179135</v>
      </c>
      <c r="AL368" s="230">
        <v>44893</v>
      </c>
      <c r="AM368" s="1">
        <v>293</v>
      </c>
      <c r="AN368" s="1">
        <v>293.38742892269801</v>
      </c>
      <c r="AO368" s="1">
        <v>6507</v>
      </c>
      <c r="AP368" s="1">
        <v>62504.800000000003</v>
      </c>
      <c r="AQ368" s="215">
        <f t="shared" si="59"/>
        <v>-2.8244225121660804E-3</v>
      </c>
      <c r="AR368" s="215">
        <f t="shared" si="54"/>
        <v>-2.553191489361728E-3</v>
      </c>
      <c r="AS368" s="231">
        <v>1909072</v>
      </c>
    </row>
    <row r="369" spans="2:45">
      <c r="B369" s="230">
        <v>43628</v>
      </c>
      <c r="C369" s="1">
        <v>285</v>
      </c>
      <c r="D369" s="1">
        <v>285.681578947368</v>
      </c>
      <c r="E369" s="1">
        <v>760</v>
      </c>
      <c r="F369" s="215">
        <v>39756.81</v>
      </c>
      <c r="G369" s="215">
        <f t="shared" si="55"/>
        <v>3.8876374638396882E-4</v>
      </c>
      <c r="H369" s="215">
        <f t="shared" si="50"/>
        <v>-1.041666666666663E-2</v>
      </c>
      <c r="I369" s="231">
        <v>217118</v>
      </c>
      <c r="K369" s="230">
        <v>43628</v>
      </c>
      <c r="L369" s="1">
        <v>241.05</v>
      </c>
      <c r="M369" s="1">
        <v>240.611385419692</v>
      </c>
      <c r="N369" s="1">
        <v>3443</v>
      </c>
      <c r="O369" s="1">
        <v>39756.81</v>
      </c>
      <c r="P369" s="215">
        <f t="shared" si="56"/>
        <v>3.8876374638396882E-4</v>
      </c>
      <c r="Q369" s="215">
        <f t="shared" si="51"/>
        <v>1.4093395035759348E-2</v>
      </c>
      <c r="R369" s="231">
        <v>828425</v>
      </c>
      <c r="T369" s="230">
        <v>43628</v>
      </c>
      <c r="U369" s="1">
        <v>66.45</v>
      </c>
      <c r="V369" s="1">
        <v>66.710839529804403</v>
      </c>
      <c r="W369" s="1">
        <v>40749</v>
      </c>
      <c r="X369" s="1">
        <v>39756.81</v>
      </c>
      <c r="Y369" s="215">
        <f t="shared" si="57"/>
        <v>3.8876374638396882E-4</v>
      </c>
      <c r="Z369" s="215">
        <f t="shared" si="52"/>
        <v>-8.208955223880543E-3</v>
      </c>
      <c r="AA369" s="231">
        <v>2718400</v>
      </c>
      <c r="AC369" s="230">
        <v>43634</v>
      </c>
      <c r="AD369" s="1">
        <v>40.5</v>
      </c>
      <c r="AE369" s="1">
        <v>40.1313868613138</v>
      </c>
      <c r="AF369" s="1">
        <v>685</v>
      </c>
      <c r="AG369" s="1">
        <v>39046.339999999997</v>
      </c>
      <c r="AH369" s="215">
        <f t="shared" si="58"/>
        <v>-1.6976565691895207E-3</v>
      </c>
      <c r="AI369" s="215">
        <f t="shared" si="53"/>
        <v>1.5037593984962516E-2</v>
      </c>
      <c r="AJ369" s="231">
        <v>27490</v>
      </c>
      <c r="AL369" s="230">
        <v>44894</v>
      </c>
      <c r="AM369" s="1">
        <v>293.75</v>
      </c>
      <c r="AN369" s="1">
        <v>294.43673774784799</v>
      </c>
      <c r="AO369" s="1">
        <v>13365</v>
      </c>
      <c r="AP369" s="1">
        <v>62681.84</v>
      </c>
      <c r="AQ369" s="215">
        <f t="shared" si="59"/>
        <v>-6.6214313391596002E-3</v>
      </c>
      <c r="AR369" s="215">
        <f t="shared" si="54"/>
        <v>-1.52957171991841E-3</v>
      </c>
      <c r="AS369" s="231">
        <v>3935147</v>
      </c>
    </row>
    <row r="370" spans="2:45">
      <c r="B370" s="230">
        <v>43629</v>
      </c>
      <c r="C370" s="1">
        <v>288</v>
      </c>
      <c r="D370" s="1">
        <v>288.11804697156902</v>
      </c>
      <c r="E370" s="1">
        <v>1618</v>
      </c>
      <c r="F370" s="215">
        <v>39741.360000000001</v>
      </c>
      <c r="G370" s="215">
        <f t="shared" si="55"/>
        <v>7.3326950905236998E-3</v>
      </c>
      <c r="H370" s="215">
        <f t="shared" si="50"/>
        <v>2.1276595744680771E-2</v>
      </c>
      <c r="I370" s="231">
        <v>466175</v>
      </c>
      <c r="K370" s="230">
        <v>43629</v>
      </c>
      <c r="L370" s="1">
        <v>237.7</v>
      </c>
      <c r="M370" s="1">
        <v>235.49691617605799</v>
      </c>
      <c r="N370" s="1">
        <v>7134</v>
      </c>
      <c r="O370" s="1">
        <v>39741.360000000001</v>
      </c>
      <c r="P370" s="215">
        <f t="shared" si="56"/>
        <v>7.3326950905236998E-3</v>
      </c>
      <c r="Q370" s="215">
        <f t="shared" si="51"/>
        <v>6.6636751177922449E-2</v>
      </c>
      <c r="R370" s="231">
        <v>1680035</v>
      </c>
      <c r="T370" s="230">
        <v>43629</v>
      </c>
      <c r="U370" s="1">
        <v>67</v>
      </c>
      <c r="V370" s="1">
        <v>66.201576668572798</v>
      </c>
      <c r="W370" s="1">
        <v>24482</v>
      </c>
      <c r="X370" s="1">
        <v>39741.360000000001</v>
      </c>
      <c r="Y370" s="215">
        <f t="shared" si="57"/>
        <v>7.3326950905236998E-3</v>
      </c>
      <c r="Z370" s="215">
        <f t="shared" si="52"/>
        <v>1.5151515151515138E-2</v>
      </c>
      <c r="AA370" s="231">
        <v>1620747</v>
      </c>
      <c r="AC370" s="230">
        <v>43635</v>
      </c>
      <c r="AD370" s="1">
        <v>39.9</v>
      </c>
      <c r="AE370" s="1">
        <v>39.262613730355604</v>
      </c>
      <c r="AF370" s="1">
        <v>2418</v>
      </c>
      <c r="AG370" s="1">
        <v>39112.74</v>
      </c>
      <c r="AH370" s="215">
        <f t="shared" si="58"/>
        <v>-1.2345198922367628E-2</v>
      </c>
      <c r="AI370" s="215">
        <f t="shared" si="53"/>
        <v>2.3076923076922995E-2</v>
      </c>
      <c r="AJ370" s="231">
        <v>94937</v>
      </c>
      <c r="AL370" s="230">
        <v>44895</v>
      </c>
      <c r="AM370" s="1">
        <v>294.2</v>
      </c>
      <c r="AN370" s="1">
        <v>294.720747034873</v>
      </c>
      <c r="AO370" s="1">
        <v>11298</v>
      </c>
      <c r="AP370" s="1">
        <v>63099.65</v>
      </c>
      <c r="AQ370" s="215">
        <f t="shared" si="59"/>
        <v>-2.9160521766968817E-3</v>
      </c>
      <c r="AR370" s="215">
        <f t="shared" si="54"/>
        <v>-1.6966406515099841E-3</v>
      </c>
      <c r="AS370" s="231">
        <v>3329755</v>
      </c>
    </row>
    <row r="371" spans="2:45">
      <c r="B371" s="230">
        <v>43630</v>
      </c>
      <c r="C371" s="1">
        <v>282</v>
      </c>
      <c r="D371" s="1">
        <v>283.08152173912998</v>
      </c>
      <c r="E371" s="1">
        <v>736</v>
      </c>
      <c r="F371" s="215">
        <v>39452.07</v>
      </c>
      <c r="G371" s="215">
        <f t="shared" si="55"/>
        <v>1.2609600575347546E-2</v>
      </c>
      <c r="H371" s="215">
        <f t="shared" si="50"/>
        <v>7.1428571428571175E-3</v>
      </c>
      <c r="I371" s="231">
        <v>208348</v>
      </c>
      <c r="K371" s="230">
        <v>43630</v>
      </c>
      <c r="L371" s="1">
        <v>222.85</v>
      </c>
      <c r="M371" s="1">
        <v>225.102475059982</v>
      </c>
      <c r="N371" s="1">
        <v>15838</v>
      </c>
      <c r="O371" s="1">
        <v>39452.07</v>
      </c>
      <c r="P371" s="215">
        <f t="shared" si="56"/>
        <v>1.2609600575347546E-2</v>
      </c>
      <c r="Q371" s="215">
        <f t="shared" si="51"/>
        <v>2.0141908903639205E-2</v>
      </c>
      <c r="R371" s="231">
        <v>3565173</v>
      </c>
      <c r="T371" s="230">
        <v>43630</v>
      </c>
      <c r="U371" s="1">
        <v>66</v>
      </c>
      <c r="V371" s="1">
        <v>66.293805663964704</v>
      </c>
      <c r="W371" s="1">
        <v>19986</v>
      </c>
      <c r="X371" s="1">
        <v>39452.07</v>
      </c>
      <c r="Y371" s="215">
        <f t="shared" si="57"/>
        <v>1.2609600575347546E-2</v>
      </c>
      <c r="Z371" s="215">
        <f t="shared" si="52"/>
        <v>1.5174506828528056E-3</v>
      </c>
      <c r="AA371" s="231">
        <v>1324948</v>
      </c>
      <c r="AC371" s="230">
        <v>43636</v>
      </c>
      <c r="AD371" s="1">
        <v>39</v>
      </c>
      <c r="AE371" s="1">
        <v>39.004050632911301</v>
      </c>
      <c r="AF371" s="1">
        <v>1975</v>
      </c>
      <c r="AG371" s="1">
        <v>39601.629999999997</v>
      </c>
      <c r="AH371" s="215">
        <f t="shared" si="58"/>
        <v>1.0387684595462243E-2</v>
      </c>
      <c r="AI371" s="215">
        <f t="shared" si="53"/>
        <v>0</v>
      </c>
      <c r="AJ371" s="231">
        <v>77033</v>
      </c>
      <c r="AL371" s="230">
        <v>44896</v>
      </c>
      <c r="AM371" s="1">
        <v>294.7</v>
      </c>
      <c r="AN371" s="1">
        <v>295.79638854296297</v>
      </c>
      <c r="AO371" s="1">
        <v>4818</v>
      </c>
      <c r="AP371" s="1">
        <v>63284.19</v>
      </c>
      <c r="AQ371" s="215">
        <f t="shared" si="59"/>
        <v>6.6120553218225186E-3</v>
      </c>
      <c r="AR371" s="215">
        <f t="shared" si="54"/>
        <v>-2.2007787370916798E-3</v>
      </c>
      <c r="AS371" s="231">
        <v>1425147</v>
      </c>
    </row>
    <row r="372" spans="2:45">
      <c r="B372" s="230">
        <v>43633</v>
      </c>
      <c r="C372" s="1">
        <v>280</v>
      </c>
      <c r="D372" s="1">
        <v>280.82579185520302</v>
      </c>
      <c r="E372" s="1">
        <v>442</v>
      </c>
      <c r="F372" s="215">
        <v>38960.79</v>
      </c>
      <c r="G372" s="215">
        <f t="shared" si="55"/>
        <v>-2.1909864023105241E-3</v>
      </c>
      <c r="H372" s="215">
        <f t="shared" si="50"/>
        <v>-3.4482758620689613E-2</v>
      </c>
      <c r="I372" s="231">
        <v>124125</v>
      </c>
      <c r="K372" s="230">
        <v>43633</v>
      </c>
      <c r="L372" s="1">
        <v>218.45</v>
      </c>
      <c r="M372" s="1">
        <v>219.69434809222599</v>
      </c>
      <c r="N372" s="1">
        <v>4901</v>
      </c>
      <c r="O372" s="1">
        <v>38960.79</v>
      </c>
      <c r="P372" s="215">
        <f t="shared" si="56"/>
        <v>-2.1909864023105241E-3</v>
      </c>
      <c r="Q372" s="215">
        <f t="shared" si="51"/>
        <v>7.6107011070110087E-3</v>
      </c>
      <c r="R372" s="231">
        <v>1076722</v>
      </c>
      <c r="T372" s="230">
        <v>43633</v>
      </c>
      <c r="U372" s="1">
        <v>65.900000000000006</v>
      </c>
      <c r="V372" s="1">
        <v>65.8541671592386</v>
      </c>
      <c r="W372" s="1">
        <v>84590</v>
      </c>
      <c r="X372" s="1">
        <v>38960.79</v>
      </c>
      <c r="Y372" s="215">
        <f t="shared" si="57"/>
        <v>-2.1909864023105241E-3</v>
      </c>
      <c r="Z372" s="215">
        <f t="shared" si="52"/>
        <v>1.0736196319018454E-2</v>
      </c>
      <c r="AA372" s="231">
        <v>5570604</v>
      </c>
      <c r="AC372" s="230">
        <v>43637</v>
      </c>
      <c r="AD372" s="1">
        <v>39</v>
      </c>
      <c r="AE372" s="1">
        <v>38.984466019417397</v>
      </c>
      <c r="AF372" s="1">
        <v>515</v>
      </c>
      <c r="AG372" s="1">
        <v>39194.49</v>
      </c>
      <c r="AH372" s="215">
        <f t="shared" si="58"/>
        <v>1.8283381421038136E-3</v>
      </c>
      <c r="AI372" s="215">
        <f t="shared" si="53"/>
        <v>-5.9107358262967535E-2</v>
      </c>
      <c r="AJ372" s="231">
        <v>20077</v>
      </c>
      <c r="AL372" s="230">
        <v>44897</v>
      </c>
      <c r="AM372" s="1">
        <v>295.35000000000002</v>
      </c>
      <c r="AN372" s="1">
        <v>295.25696163366302</v>
      </c>
      <c r="AO372" s="1">
        <v>12928</v>
      </c>
      <c r="AP372" s="1">
        <v>62868.5</v>
      </c>
      <c r="AQ372" s="215">
        <f t="shared" si="59"/>
        <v>5.3951167032173508E-4</v>
      </c>
      <c r="AR372" s="215">
        <f t="shared" si="54"/>
        <v>6.8177944434975046E-3</v>
      </c>
      <c r="AS372" s="231">
        <v>3817082</v>
      </c>
    </row>
    <row r="373" spans="2:45">
      <c r="B373" s="230">
        <v>43634</v>
      </c>
      <c r="C373" s="1">
        <v>290</v>
      </c>
      <c r="D373" s="1">
        <v>289.28571428571399</v>
      </c>
      <c r="E373" s="1">
        <v>315</v>
      </c>
      <c r="F373" s="215">
        <v>39046.339999999997</v>
      </c>
      <c r="G373" s="215">
        <f t="shared" si="55"/>
        <v>-1.6976565691895207E-3</v>
      </c>
      <c r="H373" s="215">
        <f t="shared" si="50"/>
        <v>5.4545454545454453E-2</v>
      </c>
      <c r="I373" s="231">
        <v>91125</v>
      </c>
      <c r="K373" s="230">
        <v>43634</v>
      </c>
      <c r="L373" s="1">
        <v>216.8</v>
      </c>
      <c r="M373" s="1">
        <v>218.15605381165901</v>
      </c>
      <c r="N373" s="1">
        <v>3345</v>
      </c>
      <c r="O373" s="1">
        <v>39046.339999999997</v>
      </c>
      <c r="P373" s="215">
        <f t="shared" si="56"/>
        <v>-1.6976565691895207E-3</v>
      </c>
      <c r="Q373" s="215">
        <f t="shared" si="51"/>
        <v>3.2626815908549656E-2</v>
      </c>
      <c r="R373" s="231">
        <v>729732</v>
      </c>
      <c r="T373" s="230">
        <v>43634</v>
      </c>
      <c r="U373" s="1">
        <v>65.2</v>
      </c>
      <c r="V373" s="1">
        <v>64.7235168763318</v>
      </c>
      <c r="W373" s="1">
        <v>29094</v>
      </c>
      <c r="X373" s="1">
        <v>39046.339999999997</v>
      </c>
      <c r="Y373" s="215">
        <f t="shared" si="57"/>
        <v>-1.6976565691895207E-3</v>
      </c>
      <c r="Z373" s="215">
        <f t="shared" si="52"/>
        <v>1.3996889580093486E-2</v>
      </c>
      <c r="AA373" s="231">
        <v>1883066</v>
      </c>
      <c r="AC373" s="230">
        <v>43640</v>
      </c>
      <c r="AD373" s="1">
        <v>41.45</v>
      </c>
      <c r="AE373" s="1">
        <v>38.370013755158098</v>
      </c>
      <c r="AF373" s="1">
        <v>727</v>
      </c>
      <c r="AG373" s="1">
        <v>39122.959999999999</v>
      </c>
      <c r="AH373" s="215">
        <f t="shared" si="58"/>
        <v>-7.9112583916699508E-3</v>
      </c>
      <c r="AI373" s="215">
        <f t="shared" si="53"/>
        <v>9.8013245033112595E-2</v>
      </c>
      <c r="AJ373" s="231">
        <v>27895</v>
      </c>
      <c r="AL373" s="230">
        <v>44900</v>
      </c>
      <c r="AM373" s="1">
        <v>293.35000000000002</v>
      </c>
      <c r="AN373" s="1">
        <v>294.98612739351302</v>
      </c>
      <c r="AO373" s="1">
        <v>5118</v>
      </c>
      <c r="AP373" s="1">
        <v>62834.6</v>
      </c>
      <c r="AQ373" s="215">
        <f t="shared" si="59"/>
        <v>3.3251174106239123E-3</v>
      </c>
      <c r="AR373" s="215">
        <f t="shared" si="54"/>
        <v>4.6232876712328785E-3</v>
      </c>
      <c r="AS373" s="231">
        <v>1509739</v>
      </c>
    </row>
    <row r="374" spans="2:45">
      <c r="B374" s="230">
        <v>43635</v>
      </c>
      <c r="C374" s="1">
        <v>275</v>
      </c>
      <c r="D374" s="1">
        <v>276.61092896174802</v>
      </c>
      <c r="E374" s="1">
        <v>915</v>
      </c>
      <c r="F374" s="215">
        <v>39112.74</v>
      </c>
      <c r="G374" s="215">
        <f t="shared" si="55"/>
        <v>-1.2345198922367628E-2</v>
      </c>
      <c r="H374" s="215">
        <f t="shared" si="50"/>
        <v>-3.442652654466305E-3</v>
      </c>
      <c r="I374" s="231">
        <v>253099</v>
      </c>
      <c r="K374" s="230">
        <v>43635</v>
      </c>
      <c r="L374" s="1">
        <v>209.95</v>
      </c>
      <c r="M374" s="1">
        <v>212.98816280201001</v>
      </c>
      <c r="N374" s="1">
        <v>6167</v>
      </c>
      <c r="O374" s="1">
        <v>39112.74</v>
      </c>
      <c r="P374" s="215">
        <f t="shared" si="56"/>
        <v>-1.2345198922367628E-2</v>
      </c>
      <c r="Q374" s="215">
        <f t="shared" si="51"/>
        <v>3.8250059765716493E-3</v>
      </c>
      <c r="R374" s="231">
        <v>1313498</v>
      </c>
      <c r="T374" s="230">
        <v>43635</v>
      </c>
      <c r="U374" s="1">
        <v>64.3</v>
      </c>
      <c r="V374" s="1">
        <v>62.8749142706409</v>
      </c>
      <c r="W374" s="1">
        <v>56865</v>
      </c>
      <c r="X374" s="1">
        <v>39112.74</v>
      </c>
      <c r="Y374" s="215">
        <f t="shared" si="57"/>
        <v>-1.2345198922367628E-2</v>
      </c>
      <c r="Z374" s="215">
        <f t="shared" si="52"/>
        <v>-1.3803680981595123E-2</v>
      </c>
      <c r="AA374" s="231">
        <v>3575382</v>
      </c>
      <c r="AC374" s="230">
        <v>43641</v>
      </c>
      <c r="AD374" s="1">
        <v>37.75</v>
      </c>
      <c r="AE374" s="1">
        <v>37.928273174352697</v>
      </c>
      <c r="AF374" s="1">
        <v>10777</v>
      </c>
      <c r="AG374" s="1">
        <v>39434.94</v>
      </c>
      <c r="AH374" s="215">
        <f t="shared" si="58"/>
        <v>-3.9689756133044485E-3</v>
      </c>
      <c r="AI374" s="215">
        <f t="shared" si="53"/>
        <v>-2.5806451612903181E-2</v>
      </c>
      <c r="AJ374" s="231">
        <v>408753</v>
      </c>
      <c r="AL374" s="230">
        <v>44901</v>
      </c>
      <c r="AM374" s="1">
        <v>292</v>
      </c>
      <c r="AN374" s="1">
        <v>292.89332892998601</v>
      </c>
      <c r="AO374" s="1">
        <v>12112</v>
      </c>
      <c r="AP374" s="1">
        <v>62626.36</v>
      </c>
      <c r="AQ374" s="215">
        <f t="shared" si="59"/>
        <v>3.4558187797344431E-3</v>
      </c>
      <c r="AR374" s="215">
        <f t="shared" si="54"/>
        <v>5.1396265204717295E-4</v>
      </c>
      <c r="AS374" s="231">
        <v>3547524</v>
      </c>
    </row>
    <row r="375" spans="2:45">
      <c r="B375" s="230">
        <v>43636</v>
      </c>
      <c r="C375" s="1">
        <v>275.95</v>
      </c>
      <c r="D375" s="1">
        <v>276.88421052631497</v>
      </c>
      <c r="E375" s="1">
        <v>190</v>
      </c>
      <c r="F375" s="215">
        <v>39601.629999999997</v>
      </c>
      <c r="G375" s="215">
        <f t="shared" si="55"/>
        <v>1.0387684595462243E-2</v>
      </c>
      <c r="H375" s="215">
        <f t="shared" si="50"/>
        <v>1.0435737824972424E-2</v>
      </c>
      <c r="I375" s="231">
        <v>52608</v>
      </c>
      <c r="K375" s="230">
        <v>43636</v>
      </c>
      <c r="L375" s="1">
        <v>209.15</v>
      </c>
      <c r="M375" s="1">
        <v>209.08763977032299</v>
      </c>
      <c r="N375" s="1">
        <v>13236</v>
      </c>
      <c r="O375" s="1">
        <v>39601.629999999997</v>
      </c>
      <c r="P375" s="215">
        <f t="shared" si="56"/>
        <v>1.0387684595462243E-2</v>
      </c>
      <c r="Q375" s="215">
        <f t="shared" si="51"/>
        <v>2.8522252274403748E-2</v>
      </c>
      <c r="R375" s="231">
        <v>2767484</v>
      </c>
      <c r="T375" s="230">
        <v>43636</v>
      </c>
      <c r="U375" s="1">
        <v>65.2</v>
      </c>
      <c r="V375" s="1">
        <v>63.288825638839398</v>
      </c>
      <c r="W375" s="1">
        <v>79754</v>
      </c>
      <c r="X375" s="1">
        <v>39601.629999999997</v>
      </c>
      <c r="Y375" s="215">
        <f t="shared" si="57"/>
        <v>1.0387684595462243E-2</v>
      </c>
      <c r="Z375" s="215">
        <f t="shared" si="52"/>
        <v>-2.6138909634055296E-2</v>
      </c>
      <c r="AA375" s="231">
        <v>5047537</v>
      </c>
      <c r="AC375" s="230">
        <v>43642</v>
      </c>
      <c r="AD375" s="1">
        <v>38.75</v>
      </c>
      <c r="AE375" s="1">
        <v>37.571539056457802</v>
      </c>
      <c r="AF375" s="1">
        <v>1293</v>
      </c>
      <c r="AG375" s="1">
        <v>39592.080000000002</v>
      </c>
      <c r="AH375" s="215">
        <f t="shared" si="58"/>
        <v>1.4323097244739458E-4</v>
      </c>
      <c r="AI375" s="215">
        <f t="shared" si="53"/>
        <v>1.4397905759162333E-2</v>
      </c>
      <c r="AJ375" s="231">
        <v>48580</v>
      </c>
      <c r="AL375" s="230">
        <v>44902</v>
      </c>
      <c r="AM375" s="1">
        <v>291.85000000000002</v>
      </c>
      <c r="AN375" s="1">
        <v>292.205990016638</v>
      </c>
      <c r="AO375" s="1">
        <v>9015</v>
      </c>
      <c r="AP375" s="1">
        <v>62410.68</v>
      </c>
      <c r="AQ375" s="215">
        <f t="shared" si="59"/>
        <v>-2.5571082174590254E-3</v>
      </c>
      <c r="AR375" s="215">
        <f t="shared" si="54"/>
        <v>-1.3686911890503639E-3</v>
      </c>
      <c r="AS375" s="231">
        <v>2634237</v>
      </c>
    </row>
    <row r="376" spans="2:45">
      <c r="B376" s="230">
        <v>43637</v>
      </c>
      <c r="C376" s="1">
        <v>273.10000000000002</v>
      </c>
      <c r="D376" s="1">
        <v>276.282526475037</v>
      </c>
      <c r="E376" s="1">
        <v>2644</v>
      </c>
      <c r="F376" s="215">
        <v>39194.49</v>
      </c>
      <c r="G376" s="215">
        <f t="shared" si="55"/>
        <v>1.8283381421038136E-3</v>
      </c>
      <c r="H376" s="215">
        <f t="shared" si="50"/>
        <v>4.756425009589571E-2</v>
      </c>
      <c r="I376" s="231">
        <v>730491</v>
      </c>
      <c r="K376" s="230">
        <v>43637</v>
      </c>
      <c r="L376" s="1">
        <v>203.35</v>
      </c>
      <c r="M376" s="1">
        <v>204.04208719175901</v>
      </c>
      <c r="N376" s="1">
        <v>19222</v>
      </c>
      <c r="O376" s="1">
        <v>39194.49</v>
      </c>
      <c r="P376" s="215">
        <f t="shared" si="56"/>
        <v>1.8283381421038136E-3</v>
      </c>
      <c r="Q376" s="215">
        <f t="shared" si="51"/>
        <v>5.1447776628748665E-2</v>
      </c>
      <c r="R376" s="231">
        <v>3922097</v>
      </c>
      <c r="T376" s="230">
        <v>43637</v>
      </c>
      <c r="U376" s="1">
        <v>66.95</v>
      </c>
      <c r="V376" s="1">
        <v>65.551814880059098</v>
      </c>
      <c r="W376" s="1">
        <v>45981</v>
      </c>
      <c r="X376" s="1">
        <v>39194.49</v>
      </c>
      <c r="Y376" s="215">
        <f t="shared" si="57"/>
        <v>1.8283381421038136E-3</v>
      </c>
      <c r="Z376" s="215">
        <f t="shared" si="52"/>
        <v>2.4483550114766883E-2</v>
      </c>
      <c r="AA376" s="231">
        <v>3014138</v>
      </c>
      <c r="AC376" s="230">
        <v>43643</v>
      </c>
      <c r="AD376" s="1">
        <v>38.200000000000003</v>
      </c>
      <c r="AE376" s="1">
        <v>38.531393568147003</v>
      </c>
      <c r="AF376" s="1">
        <v>2612</v>
      </c>
      <c r="AG376" s="1">
        <v>39586.410000000003</v>
      </c>
      <c r="AH376" s="215">
        <f t="shared" si="58"/>
        <v>4.8679211182030002E-3</v>
      </c>
      <c r="AI376" s="215">
        <f t="shared" si="53"/>
        <v>-2.6109660574411553E-3</v>
      </c>
      <c r="AJ376" s="231">
        <v>100644</v>
      </c>
      <c r="AL376" s="230">
        <v>44903</v>
      </c>
      <c r="AM376" s="1">
        <v>292.25</v>
      </c>
      <c r="AN376" s="1">
        <v>291.75606469002599</v>
      </c>
      <c r="AO376" s="1">
        <v>4452</v>
      </c>
      <c r="AP376" s="1">
        <v>62570.68</v>
      </c>
      <c r="AQ376" s="215">
        <f t="shared" si="59"/>
        <v>6.2560236802904345E-3</v>
      </c>
      <c r="AR376" s="215">
        <f t="shared" si="54"/>
        <v>1.8854988001371087E-3</v>
      </c>
      <c r="AS376" s="231">
        <v>1298898</v>
      </c>
    </row>
    <row r="377" spans="2:45">
      <c r="B377" s="230">
        <v>43640</v>
      </c>
      <c r="C377" s="1">
        <v>260.7</v>
      </c>
      <c r="D377" s="1">
        <v>265.85967445523698</v>
      </c>
      <c r="E377" s="1">
        <v>7618</v>
      </c>
      <c r="F377" s="215">
        <v>39122.959999999999</v>
      </c>
      <c r="G377" s="215">
        <f t="shared" si="55"/>
        <v>-7.9112583916699508E-3</v>
      </c>
      <c r="H377" s="215">
        <f t="shared" si="50"/>
        <v>-1.1563981042654103E-2</v>
      </c>
      <c r="I377" s="231">
        <v>2025319</v>
      </c>
      <c r="K377" s="230">
        <v>43640</v>
      </c>
      <c r="L377" s="1">
        <v>193.4</v>
      </c>
      <c r="M377" s="1">
        <v>194.016091076766</v>
      </c>
      <c r="N377" s="1">
        <v>15723</v>
      </c>
      <c r="O377" s="1">
        <v>39122.959999999999</v>
      </c>
      <c r="P377" s="215">
        <f t="shared" si="56"/>
        <v>-7.9112583916699508E-3</v>
      </c>
      <c r="Q377" s="215">
        <f t="shared" si="51"/>
        <v>-3.081934352292659E-2</v>
      </c>
      <c r="R377" s="231">
        <v>3050515</v>
      </c>
      <c r="T377" s="230">
        <v>43640</v>
      </c>
      <c r="U377" s="1">
        <v>65.349999999999994</v>
      </c>
      <c r="V377" s="1">
        <v>65.103034861487401</v>
      </c>
      <c r="W377" s="1">
        <v>110351</v>
      </c>
      <c r="X377" s="1">
        <v>39122.959999999999</v>
      </c>
      <c r="Y377" s="215">
        <f t="shared" si="57"/>
        <v>-7.9112583916699508E-3</v>
      </c>
      <c r="Z377" s="215">
        <f t="shared" si="52"/>
        <v>2.1892103205629176E-2</v>
      </c>
      <c r="AA377" s="231">
        <v>7184185</v>
      </c>
      <c r="AC377" s="230">
        <v>43644</v>
      </c>
      <c r="AD377" s="1">
        <v>38.299999999999997</v>
      </c>
      <c r="AE377" s="1">
        <v>38.020373514431199</v>
      </c>
      <c r="AF377" s="1">
        <v>4123</v>
      </c>
      <c r="AG377" s="1">
        <v>39394.639999999999</v>
      </c>
      <c r="AH377" s="215">
        <f t="shared" si="58"/>
        <v>-7.3541380570218973E-3</v>
      </c>
      <c r="AI377" s="215">
        <f t="shared" si="53"/>
        <v>-3.9011703511054874E-3</v>
      </c>
      <c r="AJ377" s="231">
        <v>156758</v>
      </c>
      <c r="AL377" s="230">
        <v>44904</v>
      </c>
      <c r="AM377" s="1">
        <v>291.7</v>
      </c>
      <c r="AN377" s="1">
        <v>291.91412506389503</v>
      </c>
      <c r="AO377" s="1">
        <v>11738</v>
      </c>
      <c r="AP377" s="1">
        <v>62181.67</v>
      </c>
      <c r="AQ377" s="215">
        <f t="shared" si="59"/>
        <v>8.224614710601319E-4</v>
      </c>
      <c r="AR377" s="215">
        <f t="shared" si="54"/>
        <v>-5.2855924978687518E-3</v>
      </c>
      <c r="AS377" s="231">
        <v>3426488</v>
      </c>
    </row>
    <row r="378" spans="2:45">
      <c r="B378" s="230">
        <v>43641</v>
      </c>
      <c r="C378" s="1">
        <v>263.75</v>
      </c>
      <c r="D378" s="1">
        <v>266.64532374100702</v>
      </c>
      <c r="E378" s="1">
        <v>1390</v>
      </c>
      <c r="F378" s="215">
        <v>39434.94</v>
      </c>
      <c r="G378" s="215">
        <f t="shared" si="55"/>
        <v>-3.9689756133044485E-3</v>
      </c>
      <c r="H378" s="215">
        <f t="shared" si="50"/>
        <v>-4.5939591246156541E-2</v>
      </c>
      <c r="I378" s="231">
        <v>370637</v>
      </c>
      <c r="K378" s="230">
        <v>43641</v>
      </c>
      <c r="L378" s="1">
        <v>199.55</v>
      </c>
      <c r="M378" s="1">
        <v>197.52027556850001</v>
      </c>
      <c r="N378" s="1">
        <v>17854</v>
      </c>
      <c r="O378" s="1">
        <v>39434.94</v>
      </c>
      <c r="P378" s="215">
        <f t="shared" si="56"/>
        <v>-3.9689756133044485E-3</v>
      </c>
      <c r="Q378" s="215">
        <f t="shared" si="51"/>
        <v>-0.11507760532150768</v>
      </c>
      <c r="R378" s="231">
        <v>3526527</v>
      </c>
      <c r="T378" s="230">
        <v>43641</v>
      </c>
      <c r="U378" s="1">
        <v>63.95</v>
      </c>
      <c r="V378" s="1">
        <v>64.315611255267797</v>
      </c>
      <c r="W378" s="1">
        <v>54339</v>
      </c>
      <c r="X378" s="1">
        <v>39434.94</v>
      </c>
      <c r="Y378" s="215">
        <f t="shared" si="57"/>
        <v>-3.9689756133044485E-3</v>
      </c>
      <c r="Z378" s="215">
        <f t="shared" si="52"/>
        <v>-7.8124999999995559E-4</v>
      </c>
      <c r="AA378" s="231">
        <v>3494846</v>
      </c>
      <c r="AC378" s="230">
        <v>43647</v>
      </c>
      <c r="AD378" s="1">
        <v>38.450000000000003</v>
      </c>
      <c r="AE378" s="1">
        <v>38.248062015503798</v>
      </c>
      <c r="AF378" s="1">
        <v>129</v>
      </c>
      <c r="AG378" s="1">
        <v>39686.5</v>
      </c>
      <c r="AH378" s="215">
        <f t="shared" si="58"/>
        <v>-3.2644774224140916E-3</v>
      </c>
      <c r="AI378" s="215">
        <f t="shared" si="53"/>
        <v>3.9189189189189344E-2</v>
      </c>
      <c r="AJ378" s="231">
        <v>4934</v>
      </c>
      <c r="AL378" s="230">
        <v>44907</v>
      </c>
      <c r="AM378" s="1">
        <v>293.25</v>
      </c>
      <c r="AN378" s="1">
        <v>292.87034318223499</v>
      </c>
      <c r="AO378" s="1">
        <v>10898</v>
      </c>
      <c r="AP378" s="1">
        <v>62130.57</v>
      </c>
      <c r="AQ378" s="215">
        <f t="shared" si="59"/>
        <v>-6.4402486355270572E-3</v>
      </c>
      <c r="AR378" s="215">
        <f t="shared" si="54"/>
        <v>2.7355103436486061E-3</v>
      </c>
      <c r="AS378" s="231">
        <v>3191701</v>
      </c>
    </row>
    <row r="379" spans="2:45">
      <c r="B379" s="230">
        <v>43642</v>
      </c>
      <c r="C379" s="1">
        <v>276.45</v>
      </c>
      <c r="D379" s="1">
        <v>274.35585156993301</v>
      </c>
      <c r="E379" s="1">
        <v>1051</v>
      </c>
      <c r="F379" s="215">
        <v>39592.080000000002</v>
      </c>
      <c r="G379" s="215">
        <f t="shared" si="55"/>
        <v>1.4323097244739458E-4</v>
      </c>
      <c r="H379" s="215">
        <f t="shared" si="50"/>
        <v>1.630434782608603E-3</v>
      </c>
      <c r="I379" s="231">
        <v>288348</v>
      </c>
      <c r="K379" s="230">
        <v>43642</v>
      </c>
      <c r="L379" s="1">
        <v>225.5</v>
      </c>
      <c r="M379" s="1">
        <v>220.45234095267099</v>
      </c>
      <c r="N379" s="1">
        <v>58929</v>
      </c>
      <c r="O379" s="1">
        <v>39592.080000000002</v>
      </c>
      <c r="P379" s="215">
        <f t="shared" si="56"/>
        <v>1.4323097244739458E-4</v>
      </c>
      <c r="Q379" s="215">
        <f t="shared" si="51"/>
        <v>2.5233007501705096E-2</v>
      </c>
      <c r="R379" s="231">
        <v>12991036</v>
      </c>
      <c r="T379" s="230">
        <v>43642</v>
      </c>
      <c r="U379" s="1">
        <v>64</v>
      </c>
      <c r="V379" s="1">
        <v>64.007874285322998</v>
      </c>
      <c r="W379" s="1">
        <v>29209</v>
      </c>
      <c r="X379" s="1">
        <v>39592.080000000002</v>
      </c>
      <c r="Y379" s="215">
        <f t="shared" si="57"/>
        <v>1.4323097244739458E-4</v>
      </c>
      <c r="Z379" s="215">
        <f t="shared" si="52"/>
        <v>-1.9908116385911168E-2</v>
      </c>
      <c r="AA379" s="231">
        <v>1869606</v>
      </c>
      <c r="AC379" s="230">
        <v>43648</v>
      </c>
      <c r="AD379" s="1">
        <v>37</v>
      </c>
      <c r="AE379" s="1">
        <v>36.845521774856202</v>
      </c>
      <c r="AF379" s="1">
        <v>2434</v>
      </c>
      <c r="AG379" s="1">
        <v>39816.480000000003</v>
      </c>
      <c r="AH379" s="215">
        <f t="shared" si="58"/>
        <v>-5.7154690412086762E-4</v>
      </c>
      <c r="AI379" s="215">
        <f t="shared" si="53"/>
        <v>-3.1413612565445059E-2</v>
      </c>
      <c r="AJ379" s="231">
        <v>89682</v>
      </c>
      <c r="AL379" s="230">
        <v>44908</v>
      </c>
      <c r="AM379" s="1">
        <v>292.45</v>
      </c>
      <c r="AN379" s="1">
        <v>295.03382459531201</v>
      </c>
      <c r="AO379" s="1">
        <v>12417</v>
      </c>
      <c r="AP379" s="1">
        <v>62533.3</v>
      </c>
      <c r="AQ379" s="215">
        <f t="shared" si="59"/>
        <v>-2.3071924382929154E-3</v>
      </c>
      <c r="AR379" s="215">
        <f t="shared" si="54"/>
        <v>-4.7643355453463876E-3</v>
      </c>
      <c r="AS379" s="231">
        <v>3663435</v>
      </c>
    </row>
    <row r="380" spans="2:45">
      <c r="B380" s="230">
        <v>43643</v>
      </c>
      <c r="C380" s="1">
        <v>276</v>
      </c>
      <c r="D380" s="1">
        <v>275.93489583333297</v>
      </c>
      <c r="E380" s="1">
        <v>384</v>
      </c>
      <c r="F380" s="215">
        <v>39586.410000000003</v>
      </c>
      <c r="G380" s="215">
        <f t="shared" si="55"/>
        <v>4.8679211182030002E-3</v>
      </c>
      <c r="H380" s="215">
        <f t="shared" si="50"/>
        <v>1.414661032518838E-2</v>
      </c>
      <c r="I380" s="231">
        <v>105959</v>
      </c>
      <c r="K380" s="230">
        <v>43643</v>
      </c>
      <c r="L380" s="1">
        <v>219.95</v>
      </c>
      <c r="M380" s="1">
        <v>225.15956734483601</v>
      </c>
      <c r="N380" s="1">
        <v>19415</v>
      </c>
      <c r="O380" s="1">
        <v>39586.410000000003</v>
      </c>
      <c r="P380" s="215">
        <f t="shared" si="56"/>
        <v>4.8679211182030002E-3</v>
      </c>
      <c r="Q380" s="215">
        <f t="shared" si="51"/>
        <v>1.6404805914972176E-2</v>
      </c>
      <c r="R380" s="231">
        <v>4371473</v>
      </c>
      <c r="T380" s="230">
        <v>43643</v>
      </c>
      <c r="U380" s="1">
        <v>65.3</v>
      </c>
      <c r="V380" s="1">
        <v>65.076962776594996</v>
      </c>
      <c r="W380" s="1">
        <v>15501</v>
      </c>
      <c r="X380" s="1">
        <v>39586.410000000003</v>
      </c>
      <c r="Y380" s="215">
        <f t="shared" si="57"/>
        <v>4.8679211182030002E-3</v>
      </c>
      <c r="Z380" s="215">
        <f t="shared" si="52"/>
        <v>2.3023791250957881E-3</v>
      </c>
      <c r="AA380" s="231">
        <v>1008758</v>
      </c>
      <c r="AC380" s="230">
        <v>43649</v>
      </c>
      <c r="AD380" s="1">
        <v>38.200000000000003</v>
      </c>
      <c r="AE380" s="1">
        <v>38.177168949771598</v>
      </c>
      <c r="AF380" s="1">
        <v>1095</v>
      </c>
      <c r="AG380" s="1">
        <v>39839.25</v>
      </c>
      <c r="AH380" s="215">
        <f t="shared" si="58"/>
        <v>-1.7242131038190944E-3</v>
      </c>
      <c r="AI380" s="215">
        <f t="shared" si="53"/>
        <v>-3.6569987389659442E-2</v>
      </c>
      <c r="AJ380" s="231">
        <v>41804</v>
      </c>
      <c r="AL380" s="230">
        <v>44909</v>
      </c>
      <c r="AM380" s="1">
        <v>293.85000000000002</v>
      </c>
      <c r="AN380" s="1">
        <v>293.65917009819401</v>
      </c>
      <c r="AO380" s="1">
        <v>3157</v>
      </c>
      <c r="AP380" s="1">
        <v>62677.91</v>
      </c>
      <c r="AQ380" s="215">
        <f t="shared" si="59"/>
        <v>1.422158244231353E-2</v>
      </c>
      <c r="AR380" s="215">
        <f t="shared" si="54"/>
        <v>2.9010238907851704E-3</v>
      </c>
      <c r="AS380" s="231">
        <v>927082</v>
      </c>
    </row>
    <row r="381" spans="2:45">
      <c r="B381" s="230">
        <v>43644</v>
      </c>
      <c r="C381" s="1">
        <v>272.14999999999998</v>
      </c>
      <c r="D381" s="1">
        <v>275.13304721029999</v>
      </c>
      <c r="E381" s="1">
        <v>699</v>
      </c>
      <c r="F381" s="215">
        <v>39394.639999999999</v>
      </c>
      <c r="G381" s="215">
        <f t="shared" si="55"/>
        <v>-7.3541380570218973E-3</v>
      </c>
      <c r="H381" s="215">
        <f t="shared" si="50"/>
        <v>5.5147058823523665E-4</v>
      </c>
      <c r="I381" s="231">
        <v>192318</v>
      </c>
      <c r="K381" s="230">
        <v>43644</v>
      </c>
      <c r="L381" s="1">
        <v>216.4</v>
      </c>
      <c r="M381" s="1">
        <v>215.334554678692</v>
      </c>
      <c r="N381" s="1">
        <v>10644</v>
      </c>
      <c r="O381" s="1">
        <v>39394.639999999999</v>
      </c>
      <c r="P381" s="215">
        <f t="shared" si="56"/>
        <v>-7.3541380570218973E-3</v>
      </c>
      <c r="Q381" s="215">
        <f t="shared" si="51"/>
        <v>1.5962441314554043E-2</v>
      </c>
      <c r="R381" s="231">
        <v>2292021</v>
      </c>
      <c r="T381" s="230">
        <v>43644</v>
      </c>
      <c r="U381" s="1">
        <v>65.150000000000006</v>
      </c>
      <c r="V381" s="1">
        <v>64.915191139143104</v>
      </c>
      <c r="W381" s="1">
        <v>65005</v>
      </c>
      <c r="X381" s="1">
        <v>39394.639999999999</v>
      </c>
      <c r="Y381" s="215">
        <f t="shared" si="57"/>
        <v>-7.3541380570218973E-3</v>
      </c>
      <c r="Z381" s="215">
        <f t="shared" si="52"/>
        <v>3.2488114104595844E-2</v>
      </c>
      <c r="AA381" s="231">
        <v>4219812</v>
      </c>
      <c r="AC381" s="230">
        <v>43650</v>
      </c>
      <c r="AD381" s="1">
        <v>39.65</v>
      </c>
      <c r="AE381" s="1">
        <v>39.263386396526698</v>
      </c>
      <c r="AF381" s="1">
        <v>2073</v>
      </c>
      <c r="AG381" s="1">
        <v>39908.06</v>
      </c>
      <c r="AH381" s="215">
        <f t="shared" si="58"/>
        <v>9.9882596760236808E-3</v>
      </c>
      <c r="AI381" s="215">
        <f t="shared" si="53"/>
        <v>1.1479591836734526E-2</v>
      </c>
      <c r="AJ381" s="231">
        <v>81393</v>
      </c>
      <c r="AL381" s="230">
        <v>44910</v>
      </c>
      <c r="AM381" s="1">
        <v>293</v>
      </c>
      <c r="AN381" s="1">
        <v>293.85927646863502</v>
      </c>
      <c r="AO381" s="1">
        <v>3013</v>
      </c>
      <c r="AP381" s="1">
        <v>61799.03</v>
      </c>
      <c r="AQ381" s="215">
        <f t="shared" si="59"/>
        <v>7.5193424740791492E-3</v>
      </c>
      <c r="AR381" s="215">
        <f t="shared" si="54"/>
        <v>6.1813186813186594E-3</v>
      </c>
      <c r="AS381" s="231">
        <v>885398</v>
      </c>
    </row>
    <row r="382" spans="2:45">
      <c r="B382" s="230">
        <v>43647</v>
      </c>
      <c r="C382" s="1">
        <v>272</v>
      </c>
      <c r="D382" s="1">
        <v>272.69675090252701</v>
      </c>
      <c r="E382" s="1">
        <v>277</v>
      </c>
      <c r="F382" s="215">
        <v>39686.5</v>
      </c>
      <c r="G382" s="215">
        <f t="shared" si="55"/>
        <v>-3.2644774224140916E-3</v>
      </c>
      <c r="H382" s="215">
        <f t="shared" si="50"/>
        <v>1.8726591760299671E-2</v>
      </c>
      <c r="I382" s="231">
        <v>75537</v>
      </c>
      <c r="K382" s="230">
        <v>43647</v>
      </c>
      <c r="L382" s="1">
        <v>213</v>
      </c>
      <c r="M382" s="1">
        <v>216.15778097982701</v>
      </c>
      <c r="N382" s="1">
        <v>6940</v>
      </c>
      <c r="O382" s="1">
        <v>39686.5</v>
      </c>
      <c r="P382" s="215">
        <f t="shared" si="56"/>
        <v>-3.2644774224140916E-3</v>
      </c>
      <c r="Q382" s="215">
        <f t="shared" si="51"/>
        <v>-4.3985637342908501E-2</v>
      </c>
      <c r="R382" s="231">
        <v>1500135</v>
      </c>
      <c r="T382" s="230">
        <v>43647</v>
      </c>
      <c r="U382" s="1">
        <v>63.1</v>
      </c>
      <c r="V382" s="1">
        <v>63.1950807133368</v>
      </c>
      <c r="W382" s="1">
        <v>24841</v>
      </c>
      <c r="X382" s="1">
        <v>39686.5</v>
      </c>
      <c r="Y382" s="215">
        <f t="shared" si="57"/>
        <v>-3.2644774224140916E-3</v>
      </c>
      <c r="Z382" s="215">
        <f t="shared" si="52"/>
        <v>-7.9176563737126671E-4</v>
      </c>
      <c r="AA382" s="231">
        <v>1569829</v>
      </c>
      <c r="AC382" s="230">
        <v>43651</v>
      </c>
      <c r="AD382" s="1">
        <v>39.200000000000003</v>
      </c>
      <c r="AE382" s="1">
        <v>39.244183198628399</v>
      </c>
      <c r="AF382" s="1">
        <v>4083</v>
      </c>
      <c r="AG382" s="1">
        <v>39513.39</v>
      </c>
      <c r="AH382" s="215">
        <f t="shared" si="58"/>
        <v>2.0475421720289821E-2</v>
      </c>
      <c r="AI382" s="215">
        <f t="shared" si="53"/>
        <v>1.4230271668822958E-2</v>
      </c>
      <c r="AJ382" s="231">
        <v>160234</v>
      </c>
      <c r="AL382" s="230">
        <v>44911</v>
      </c>
      <c r="AM382" s="1">
        <v>291.2</v>
      </c>
      <c r="AN382" s="1">
        <v>291.302386014646</v>
      </c>
      <c r="AO382" s="1">
        <v>12699</v>
      </c>
      <c r="AP382" s="1">
        <v>61337.81</v>
      </c>
      <c r="AQ382" s="215">
        <f t="shared" si="59"/>
        <v>-7.5782053545122574E-3</v>
      </c>
      <c r="AR382" s="215">
        <f t="shared" si="54"/>
        <v>-9.8605916354982392E-3</v>
      </c>
      <c r="AS382" s="231">
        <v>3699249</v>
      </c>
    </row>
    <row r="383" spans="2:45">
      <c r="B383" s="230">
        <v>43648</v>
      </c>
      <c r="C383" s="1">
        <v>267</v>
      </c>
      <c r="D383" s="1">
        <v>269.64438502673698</v>
      </c>
      <c r="E383" s="1">
        <v>374</v>
      </c>
      <c r="F383" s="215">
        <v>39816.480000000003</v>
      </c>
      <c r="G383" s="215">
        <f t="shared" si="55"/>
        <v>-5.7154690412086762E-4</v>
      </c>
      <c r="H383" s="215">
        <f t="shared" si="50"/>
        <v>-3.7837837837837784E-2</v>
      </c>
      <c r="I383" s="231">
        <v>100847</v>
      </c>
      <c r="K383" s="230">
        <v>43648</v>
      </c>
      <c r="L383" s="1">
        <v>222.8</v>
      </c>
      <c r="M383" s="1">
        <v>222.773986804901</v>
      </c>
      <c r="N383" s="1">
        <v>15915</v>
      </c>
      <c r="O383" s="1">
        <v>39816.480000000003</v>
      </c>
      <c r="P383" s="215">
        <f t="shared" si="56"/>
        <v>-5.7154690412086762E-4</v>
      </c>
      <c r="Q383" s="215">
        <f t="shared" si="51"/>
        <v>5.8690744920992799E-3</v>
      </c>
      <c r="R383" s="231">
        <v>3545448</v>
      </c>
      <c r="T383" s="230">
        <v>43648</v>
      </c>
      <c r="U383" s="1">
        <v>63.15</v>
      </c>
      <c r="V383" s="1">
        <v>63.950773519675003</v>
      </c>
      <c r="W383" s="1">
        <v>109047</v>
      </c>
      <c r="X383" s="1">
        <v>39816.480000000003</v>
      </c>
      <c r="Y383" s="215">
        <f t="shared" si="57"/>
        <v>-5.7154690412086762E-4</v>
      </c>
      <c r="Z383" s="215">
        <f t="shared" si="52"/>
        <v>4.7732696897373472E-3</v>
      </c>
      <c r="AA383" s="231">
        <v>6973640</v>
      </c>
      <c r="AC383" s="230">
        <v>43654</v>
      </c>
      <c r="AD383" s="1">
        <v>38.65</v>
      </c>
      <c r="AE383" s="1">
        <v>38.210544334132102</v>
      </c>
      <c r="AF383" s="1">
        <v>2921</v>
      </c>
      <c r="AG383" s="1">
        <v>38720.57</v>
      </c>
      <c r="AH383" s="215">
        <f t="shared" si="58"/>
        <v>4.2412488095557865E-3</v>
      </c>
      <c r="AI383" s="215">
        <f t="shared" si="53"/>
        <v>4.037685060565277E-2</v>
      </c>
      <c r="AJ383" s="231">
        <v>111613</v>
      </c>
      <c r="AL383" s="230">
        <v>44914</v>
      </c>
      <c r="AM383" s="1">
        <v>294.10000000000002</v>
      </c>
      <c r="AN383" s="1">
        <v>291.15274609580598</v>
      </c>
      <c r="AO383" s="1">
        <v>11398</v>
      </c>
      <c r="AP383" s="1">
        <v>61806.19</v>
      </c>
      <c r="AQ383" s="215">
        <f t="shared" si="59"/>
        <v>1.683892121346009E-3</v>
      </c>
      <c r="AR383" s="215">
        <f t="shared" si="54"/>
        <v>9.6120837624442679E-3</v>
      </c>
      <c r="AS383" s="231">
        <v>3318559</v>
      </c>
    </row>
    <row r="384" spans="2:45">
      <c r="B384" s="230">
        <v>43649</v>
      </c>
      <c r="C384" s="1">
        <v>277.5</v>
      </c>
      <c r="D384" s="1">
        <v>274.33290897517497</v>
      </c>
      <c r="E384" s="1">
        <v>1571</v>
      </c>
      <c r="F384" s="215">
        <v>39839.25</v>
      </c>
      <c r="G384" s="215">
        <f t="shared" si="55"/>
        <v>-1.7242131038190944E-3</v>
      </c>
      <c r="H384" s="215">
        <f t="shared" si="50"/>
        <v>-1.7985611510791255E-3</v>
      </c>
      <c r="I384" s="231">
        <v>430977</v>
      </c>
      <c r="K384" s="230">
        <v>43649</v>
      </c>
      <c r="L384" s="1">
        <v>221.5</v>
      </c>
      <c r="M384" s="1">
        <v>224.85278088839101</v>
      </c>
      <c r="N384" s="1">
        <v>13395</v>
      </c>
      <c r="O384" s="1">
        <v>39839.25</v>
      </c>
      <c r="P384" s="215">
        <f t="shared" si="56"/>
        <v>-1.7242131038190944E-3</v>
      </c>
      <c r="Q384" s="215">
        <f t="shared" si="51"/>
        <v>-2.2522522522522292E-3</v>
      </c>
      <c r="R384" s="231">
        <v>3011903</v>
      </c>
      <c r="T384" s="230">
        <v>43649</v>
      </c>
      <c r="U384" s="1">
        <v>62.85</v>
      </c>
      <c r="V384" s="1">
        <v>62.976991257892102</v>
      </c>
      <c r="W384" s="1">
        <v>16472</v>
      </c>
      <c r="X384" s="1">
        <v>39839.25</v>
      </c>
      <c r="Y384" s="215">
        <f t="shared" si="57"/>
        <v>-1.7242131038190944E-3</v>
      </c>
      <c r="Z384" s="215">
        <f t="shared" si="52"/>
        <v>2.0292207792207861E-2</v>
      </c>
      <c r="AA384" s="231">
        <v>1037357</v>
      </c>
      <c r="AC384" s="230">
        <v>43656</v>
      </c>
      <c r="AD384" s="1">
        <v>37.15</v>
      </c>
      <c r="AE384" s="1">
        <v>37.902346707040103</v>
      </c>
      <c r="AF384" s="1">
        <v>2642</v>
      </c>
      <c r="AG384" s="1">
        <v>38557.040000000001</v>
      </c>
      <c r="AH384" s="215">
        <f t="shared" si="58"/>
        <v>-6.8533922192219876E-3</v>
      </c>
      <c r="AI384" s="215">
        <f t="shared" si="53"/>
        <v>1.2261580381471182E-2</v>
      </c>
      <c r="AJ384" s="231">
        <v>100138</v>
      </c>
      <c r="AL384" s="230">
        <v>44915</v>
      </c>
      <c r="AM384" s="1">
        <v>291.3</v>
      </c>
      <c r="AN384" s="1">
        <v>291.35833842394601</v>
      </c>
      <c r="AO384" s="1">
        <v>8185</v>
      </c>
      <c r="AP384" s="1">
        <v>61702.29</v>
      </c>
      <c r="AQ384" s="215">
        <f t="shared" si="59"/>
        <v>1.0399192758670628E-2</v>
      </c>
      <c r="AR384" s="215">
        <f t="shared" si="54"/>
        <v>-2.7378964941569217E-2</v>
      </c>
      <c r="AS384" s="231">
        <v>2384768</v>
      </c>
    </row>
    <row r="385" spans="2:45">
      <c r="B385" s="230">
        <v>43650</v>
      </c>
      <c r="C385" s="1">
        <v>278</v>
      </c>
      <c r="D385" s="1">
        <v>277.44044665012399</v>
      </c>
      <c r="E385" s="1">
        <v>806</v>
      </c>
      <c r="F385" s="215">
        <v>39908.06</v>
      </c>
      <c r="G385" s="215">
        <f t="shared" si="55"/>
        <v>9.9882596760236808E-3</v>
      </c>
      <c r="H385" s="215">
        <f t="shared" si="50"/>
        <v>0</v>
      </c>
      <c r="I385" s="231">
        <v>223617</v>
      </c>
      <c r="K385" s="230">
        <v>43650</v>
      </c>
      <c r="L385" s="1">
        <v>222</v>
      </c>
      <c r="M385" s="1">
        <v>222.036724864539</v>
      </c>
      <c r="N385" s="1">
        <v>1661</v>
      </c>
      <c r="O385" s="1">
        <v>39908.06</v>
      </c>
      <c r="P385" s="215">
        <f t="shared" si="56"/>
        <v>9.9882596760236808E-3</v>
      </c>
      <c r="Q385" s="215">
        <f t="shared" si="51"/>
        <v>3.3519553072625552E-2</v>
      </c>
      <c r="R385" s="231">
        <v>368803</v>
      </c>
      <c r="T385" s="230">
        <v>43650</v>
      </c>
      <c r="U385" s="1">
        <v>61.6</v>
      </c>
      <c r="V385" s="1">
        <v>62.4468040951853</v>
      </c>
      <c r="W385" s="1">
        <v>28912</v>
      </c>
      <c r="X385" s="1">
        <v>39908.06</v>
      </c>
      <c r="Y385" s="215">
        <f t="shared" si="57"/>
        <v>9.9882596760236808E-3</v>
      </c>
      <c r="Z385" s="215">
        <f t="shared" si="52"/>
        <v>7.3589533932951756E-3</v>
      </c>
      <c r="AA385" s="231">
        <v>1805462</v>
      </c>
      <c r="AC385" s="230">
        <v>43657</v>
      </c>
      <c r="AD385" s="1">
        <v>36.700000000000003</v>
      </c>
      <c r="AE385" s="1">
        <v>36.701666666666597</v>
      </c>
      <c r="AF385" s="1">
        <v>600</v>
      </c>
      <c r="AG385" s="1">
        <v>38823.11</v>
      </c>
      <c r="AH385" s="215">
        <f t="shared" si="58"/>
        <v>2.2428615278253794E-3</v>
      </c>
      <c r="AI385" s="215">
        <f t="shared" si="53"/>
        <v>-4.1775456919059928E-2</v>
      </c>
      <c r="AJ385" s="231">
        <v>22021</v>
      </c>
      <c r="AL385" s="230">
        <v>44916</v>
      </c>
      <c r="AM385" s="1">
        <v>299.5</v>
      </c>
      <c r="AN385" s="1">
        <v>309.12884092714103</v>
      </c>
      <c r="AO385" s="1">
        <v>137239</v>
      </c>
      <c r="AP385" s="1">
        <v>61067.24</v>
      </c>
      <c r="AQ385" s="215">
        <f t="shared" si="59"/>
        <v>3.9624359363445993E-3</v>
      </c>
      <c r="AR385" s="215">
        <f t="shared" si="54"/>
        <v>1.9574468085106433E-2</v>
      </c>
      <c r="AS385" s="231">
        <v>42424533</v>
      </c>
    </row>
    <row r="386" spans="2:45">
      <c r="B386" s="230">
        <v>43651</v>
      </c>
      <c r="C386" s="1">
        <v>278</v>
      </c>
      <c r="D386" s="1">
        <v>278</v>
      </c>
      <c r="E386" s="1">
        <v>236</v>
      </c>
      <c r="F386" s="215">
        <v>39513.39</v>
      </c>
      <c r="G386" s="215">
        <f t="shared" si="55"/>
        <v>2.0475421720289821E-2</v>
      </c>
      <c r="H386" s="215">
        <f t="shared" si="50"/>
        <v>3.3457249070631967E-2</v>
      </c>
      <c r="I386" s="231">
        <v>65608</v>
      </c>
      <c r="K386" s="230">
        <v>43651</v>
      </c>
      <c r="L386" s="1">
        <v>214.8</v>
      </c>
      <c r="M386" s="1">
        <v>217.50101437770101</v>
      </c>
      <c r="N386" s="1">
        <v>11337</v>
      </c>
      <c r="O386" s="1">
        <v>39513.39</v>
      </c>
      <c r="P386" s="215">
        <f t="shared" si="56"/>
        <v>2.0475421720289821E-2</v>
      </c>
      <c r="Q386" s="215">
        <f t="shared" si="51"/>
        <v>1.9943019943019946E-2</v>
      </c>
      <c r="R386" s="231">
        <v>2465809</v>
      </c>
      <c r="T386" s="230">
        <v>43651</v>
      </c>
      <c r="U386" s="1">
        <v>61.15</v>
      </c>
      <c r="V386" s="1">
        <v>61.432241153341998</v>
      </c>
      <c r="W386" s="1">
        <v>15260</v>
      </c>
      <c r="X386" s="1">
        <v>39513.39</v>
      </c>
      <c r="Y386" s="215">
        <f t="shared" si="57"/>
        <v>2.0475421720289821E-2</v>
      </c>
      <c r="Z386" s="215">
        <f t="shared" si="52"/>
        <v>6.5331010452961635E-2</v>
      </c>
      <c r="AA386" s="231">
        <v>937456</v>
      </c>
      <c r="AC386" s="230">
        <v>43658</v>
      </c>
      <c r="AD386" s="1">
        <v>38.299999999999997</v>
      </c>
      <c r="AE386" s="1">
        <v>36.8257575757575</v>
      </c>
      <c r="AF386" s="1">
        <v>132</v>
      </c>
      <c r="AG386" s="1">
        <v>38736.230000000003</v>
      </c>
      <c r="AH386" s="215">
        <f t="shared" si="58"/>
        <v>-4.1257988143469371E-3</v>
      </c>
      <c r="AI386" s="215">
        <f t="shared" si="53"/>
        <v>2.2696929238985142E-2</v>
      </c>
      <c r="AJ386" s="231">
        <v>4861</v>
      </c>
      <c r="AL386" s="230">
        <v>44917</v>
      </c>
      <c r="AM386" s="1">
        <v>293.75</v>
      </c>
      <c r="AN386" s="1">
        <v>294.76372156634</v>
      </c>
      <c r="AO386" s="1">
        <v>49721</v>
      </c>
      <c r="AP386" s="1">
        <v>60826.22</v>
      </c>
      <c r="AQ386" s="215">
        <f t="shared" si="59"/>
        <v>1.6391097778956309E-2</v>
      </c>
      <c r="AR386" s="215">
        <f t="shared" si="54"/>
        <v>3.5789844851904062E-2</v>
      </c>
      <c r="AS386" s="231">
        <v>14655947</v>
      </c>
    </row>
    <row r="387" spans="2:45">
      <c r="B387" s="230">
        <v>43654</v>
      </c>
      <c r="C387" s="1">
        <v>269</v>
      </c>
      <c r="D387" s="1">
        <v>270.31501831501799</v>
      </c>
      <c r="E387" s="1">
        <v>546</v>
      </c>
      <c r="F387" s="215">
        <v>38720.57</v>
      </c>
      <c r="G387" s="215">
        <f t="shared" si="55"/>
        <v>-2.646471208200829E-4</v>
      </c>
      <c r="H387" s="215">
        <f t="shared" si="50"/>
        <v>-2.5362318840579712E-2</v>
      </c>
      <c r="I387" s="231">
        <v>147592</v>
      </c>
      <c r="K387" s="230">
        <v>43654</v>
      </c>
      <c r="L387" s="1">
        <v>210.6</v>
      </c>
      <c r="M387" s="1">
        <v>213.43488673393199</v>
      </c>
      <c r="N387" s="1">
        <v>25471</v>
      </c>
      <c r="O387" s="1">
        <v>38720.57</v>
      </c>
      <c r="P387" s="215">
        <f t="shared" si="56"/>
        <v>-2.646471208200829E-4</v>
      </c>
      <c r="Q387" s="215">
        <f t="shared" si="51"/>
        <v>7.6555023923443599E-3</v>
      </c>
      <c r="R387" s="231">
        <v>5436400</v>
      </c>
      <c r="T387" s="230">
        <v>43654</v>
      </c>
      <c r="U387" s="1">
        <v>57.4</v>
      </c>
      <c r="V387" s="1">
        <v>58.788410265711398</v>
      </c>
      <c r="W387" s="1">
        <v>55135</v>
      </c>
      <c r="X387" s="1">
        <v>38720.57</v>
      </c>
      <c r="Y387" s="215">
        <f t="shared" si="57"/>
        <v>-2.646471208200829E-4</v>
      </c>
      <c r="Z387" s="215">
        <f t="shared" si="52"/>
        <v>2.2261798753339335E-2</v>
      </c>
      <c r="AA387" s="231">
        <v>3241299</v>
      </c>
      <c r="AC387" s="230">
        <v>43661</v>
      </c>
      <c r="AD387" s="1">
        <v>37.450000000000003</v>
      </c>
      <c r="AE387" s="1">
        <v>36.2714412024756</v>
      </c>
      <c r="AF387" s="1">
        <v>1131</v>
      </c>
      <c r="AG387" s="1">
        <v>38896.71</v>
      </c>
      <c r="AH387" s="215">
        <f t="shared" si="58"/>
        <v>-8.1327245966150707E-3</v>
      </c>
      <c r="AI387" s="215">
        <f t="shared" si="53"/>
        <v>5.9405940594059459E-2</v>
      </c>
      <c r="AJ387" s="231">
        <v>41023</v>
      </c>
      <c r="AL387" s="230">
        <v>44918</v>
      </c>
      <c r="AM387" s="1">
        <v>283.60000000000002</v>
      </c>
      <c r="AN387" s="1">
        <v>286.90136978855202</v>
      </c>
      <c r="AO387" s="1">
        <v>36794</v>
      </c>
      <c r="AP387" s="1">
        <v>59845.29</v>
      </c>
      <c r="AQ387" s="215">
        <f t="shared" si="59"/>
        <v>-1.1906432640397036E-2</v>
      </c>
      <c r="AR387" s="215">
        <f t="shared" si="54"/>
        <v>-4.5920941968040307E-2</v>
      </c>
      <c r="AS387" s="231">
        <v>10556249</v>
      </c>
    </row>
    <row r="388" spans="2:45">
      <c r="B388" s="230">
        <v>43655</v>
      </c>
      <c r="C388" s="1">
        <v>276</v>
      </c>
      <c r="D388" s="1">
        <v>273.06973848069703</v>
      </c>
      <c r="E388" s="1">
        <v>803</v>
      </c>
      <c r="F388" s="215">
        <v>38730.82</v>
      </c>
      <c r="G388" s="215">
        <f t="shared" si="55"/>
        <v>4.5070887184286423E-3</v>
      </c>
      <c r="H388" s="215">
        <f t="shared" si="50"/>
        <v>-4.8111743404035123E-2</v>
      </c>
      <c r="I388" s="231">
        <v>219275</v>
      </c>
      <c r="K388" s="230">
        <v>43655</v>
      </c>
      <c r="L388" s="1">
        <v>209</v>
      </c>
      <c r="M388" s="1">
        <v>208.61513687600601</v>
      </c>
      <c r="N388" s="1">
        <v>3105</v>
      </c>
      <c r="O388" s="1">
        <v>38730.82</v>
      </c>
      <c r="P388" s="215">
        <f t="shared" si="56"/>
        <v>4.5070887184286423E-3</v>
      </c>
      <c r="Q388" s="215">
        <f t="shared" si="51"/>
        <v>-6.4178749702875626E-3</v>
      </c>
      <c r="R388" s="231">
        <v>647750</v>
      </c>
      <c r="T388" s="230">
        <v>43655</v>
      </c>
      <c r="U388" s="1">
        <v>56.15</v>
      </c>
      <c r="V388" s="1">
        <v>55.855216906721502</v>
      </c>
      <c r="W388" s="1">
        <v>46656</v>
      </c>
      <c r="X388" s="1">
        <v>38730.82</v>
      </c>
      <c r="Y388" s="215">
        <f t="shared" si="57"/>
        <v>4.5070887184286423E-3</v>
      </c>
      <c r="Z388" s="215">
        <f t="shared" si="52"/>
        <v>1.9056261343012748E-2</v>
      </c>
      <c r="AA388" s="231">
        <v>2605981</v>
      </c>
      <c r="AC388" s="230">
        <v>43663</v>
      </c>
      <c r="AD388" s="1">
        <v>35.35</v>
      </c>
      <c r="AE388" s="1">
        <v>35.364705882352901</v>
      </c>
      <c r="AF388" s="1">
        <v>170</v>
      </c>
      <c r="AG388" s="1">
        <v>39215.64</v>
      </c>
      <c r="AH388" s="215">
        <f t="shared" si="58"/>
        <v>8.1799685635000063E-3</v>
      </c>
      <c r="AI388" s="215">
        <f t="shared" si="53"/>
        <v>-1.8055555555555491E-2</v>
      </c>
      <c r="AJ388" s="231">
        <v>6012</v>
      </c>
      <c r="AL388" s="230">
        <v>44921</v>
      </c>
      <c r="AM388" s="1">
        <v>297.25</v>
      </c>
      <c r="AN388" s="1">
        <v>293.55295325184198</v>
      </c>
      <c r="AO388" s="1">
        <v>10717</v>
      </c>
      <c r="AP388" s="1">
        <v>60566.42</v>
      </c>
      <c r="AQ388" s="215">
        <f t="shared" si="59"/>
        <v>-5.9252458211350723E-3</v>
      </c>
      <c r="AR388" s="215">
        <f t="shared" si="54"/>
        <v>-3.7714470702492675E-2</v>
      </c>
      <c r="AS388" s="231">
        <v>3146007</v>
      </c>
    </row>
    <row r="389" spans="2:45">
      <c r="B389" s="230">
        <v>43656</v>
      </c>
      <c r="C389" s="1">
        <v>289.95</v>
      </c>
      <c r="D389" s="1">
        <v>286.77958236658901</v>
      </c>
      <c r="E389" s="1">
        <v>2155</v>
      </c>
      <c r="F389" s="215">
        <v>38557.040000000001</v>
      </c>
      <c r="G389" s="215">
        <f t="shared" si="55"/>
        <v>-6.8533922192219876E-3</v>
      </c>
      <c r="H389" s="215">
        <f t="shared" si="50"/>
        <v>3.961993546073872E-2</v>
      </c>
      <c r="I389" s="231">
        <v>618010</v>
      </c>
      <c r="K389" s="230">
        <v>43656</v>
      </c>
      <c r="L389" s="1">
        <v>210.35</v>
      </c>
      <c r="M389" s="1">
        <v>210.134514435695</v>
      </c>
      <c r="N389" s="1">
        <v>4572</v>
      </c>
      <c r="O389" s="1">
        <v>38557.040000000001</v>
      </c>
      <c r="P389" s="215">
        <f t="shared" si="56"/>
        <v>-6.8533922192219876E-3</v>
      </c>
      <c r="Q389" s="215">
        <f t="shared" si="51"/>
        <v>1.2271414821944049E-2</v>
      </c>
      <c r="R389" s="231">
        <v>960735</v>
      </c>
      <c r="T389" s="230">
        <v>43656</v>
      </c>
      <c r="U389" s="1">
        <v>55.1</v>
      </c>
      <c r="V389" s="1">
        <v>55.846506416785402</v>
      </c>
      <c r="W389" s="1">
        <v>9818</v>
      </c>
      <c r="X389" s="1">
        <v>38557.040000000001</v>
      </c>
      <c r="Y389" s="215">
        <f t="shared" si="57"/>
        <v>-6.8533922192219876E-3</v>
      </c>
      <c r="Z389" s="215">
        <f t="shared" si="52"/>
        <v>-4.2571676802780067E-2</v>
      </c>
      <c r="AA389" s="231">
        <v>548301</v>
      </c>
      <c r="AC389" s="230">
        <v>43664</v>
      </c>
      <c r="AD389" s="1">
        <v>36</v>
      </c>
      <c r="AE389" s="1">
        <v>36</v>
      </c>
      <c r="AF389" s="1">
        <v>339</v>
      </c>
      <c r="AG389" s="1">
        <v>38897.46</v>
      </c>
      <c r="AH389" s="215">
        <f t="shared" si="58"/>
        <v>1.4619032626696615E-2</v>
      </c>
      <c r="AI389" s="215">
        <f t="shared" si="53"/>
        <v>1.6949152542372836E-2</v>
      </c>
      <c r="AJ389" s="231">
        <v>12204</v>
      </c>
      <c r="AL389" s="230">
        <v>44922</v>
      </c>
      <c r="AM389" s="1">
        <v>308.89999999999998</v>
      </c>
      <c r="AN389" s="1">
        <v>304.47401026392902</v>
      </c>
      <c r="AO389" s="1">
        <v>27280</v>
      </c>
      <c r="AP389" s="1">
        <v>60927.43</v>
      </c>
      <c r="AQ389" s="215">
        <f t="shared" si="59"/>
        <v>2.8156166742299149E-4</v>
      </c>
      <c r="AR389" s="215">
        <f t="shared" si="54"/>
        <v>-1.5458167330677397E-2</v>
      </c>
      <c r="AS389" s="231">
        <v>8306051</v>
      </c>
    </row>
    <row r="390" spans="2:45">
      <c r="B390" s="230">
        <v>43657</v>
      </c>
      <c r="C390" s="1">
        <v>278.89999999999998</v>
      </c>
      <c r="D390" s="1">
        <v>269.35881753312901</v>
      </c>
      <c r="E390" s="1">
        <v>1962</v>
      </c>
      <c r="F390" s="215">
        <v>38823.11</v>
      </c>
      <c r="G390" s="215">
        <f t="shared" si="55"/>
        <v>2.2428615278253794E-3</v>
      </c>
      <c r="H390" s="215">
        <f t="shared" si="50"/>
        <v>5.3048895601283563E-2</v>
      </c>
      <c r="I390" s="231">
        <v>528482</v>
      </c>
      <c r="K390" s="230">
        <v>43657</v>
      </c>
      <c r="L390" s="1">
        <v>207.8</v>
      </c>
      <c r="M390" s="1">
        <v>209.41243654822301</v>
      </c>
      <c r="N390" s="1">
        <v>2364</v>
      </c>
      <c r="O390" s="1">
        <v>38823.11</v>
      </c>
      <c r="P390" s="215">
        <f t="shared" si="56"/>
        <v>2.2428615278253794E-3</v>
      </c>
      <c r="Q390" s="215">
        <f t="shared" si="51"/>
        <v>3.1521469347232767E-2</v>
      </c>
      <c r="R390" s="231">
        <v>495051</v>
      </c>
      <c r="T390" s="230">
        <v>43657</v>
      </c>
      <c r="U390" s="1">
        <v>57.55</v>
      </c>
      <c r="V390" s="1">
        <v>56.525273701374303</v>
      </c>
      <c r="W390" s="1">
        <v>17172</v>
      </c>
      <c r="X390" s="1">
        <v>38823.11</v>
      </c>
      <c r="Y390" s="215">
        <f t="shared" si="57"/>
        <v>2.2428615278253794E-3</v>
      </c>
      <c r="Z390" s="215">
        <f t="shared" si="52"/>
        <v>1.4991181657848296E-2</v>
      </c>
      <c r="AA390" s="231">
        <v>970652</v>
      </c>
      <c r="AC390" s="230">
        <v>43665</v>
      </c>
      <c r="AD390" s="1">
        <v>35.4</v>
      </c>
      <c r="AE390" s="1">
        <v>35.273600000000002</v>
      </c>
      <c r="AF390" s="1">
        <v>1250</v>
      </c>
      <c r="AG390" s="1">
        <v>38337.01</v>
      </c>
      <c r="AH390" s="215">
        <f t="shared" si="58"/>
        <v>8.0428848682645437E-3</v>
      </c>
      <c r="AI390" s="215">
        <f t="shared" si="53"/>
        <v>4.4247787610619538E-2</v>
      </c>
      <c r="AJ390" s="231">
        <v>44092</v>
      </c>
      <c r="AL390" s="230">
        <v>44923</v>
      </c>
      <c r="AM390" s="1">
        <v>313.75</v>
      </c>
      <c r="AN390" s="1">
        <v>311.17042695987402</v>
      </c>
      <c r="AO390" s="1">
        <v>28012</v>
      </c>
      <c r="AP390" s="1">
        <v>60910.28</v>
      </c>
      <c r="AQ390" s="215">
        <f t="shared" si="59"/>
        <v>-3.657546355637753E-3</v>
      </c>
      <c r="AR390" s="215">
        <f t="shared" si="54"/>
        <v>2.5494361823827472E-2</v>
      </c>
      <c r="AS390" s="231">
        <v>8716506</v>
      </c>
    </row>
    <row r="391" spans="2:45">
      <c r="B391" s="230">
        <v>43658</v>
      </c>
      <c r="C391" s="1">
        <v>264.85000000000002</v>
      </c>
      <c r="D391" s="1">
        <v>260.796043334903</v>
      </c>
      <c r="E391" s="1">
        <v>4246</v>
      </c>
      <c r="F391" s="215">
        <v>38736.230000000003</v>
      </c>
      <c r="G391" s="215">
        <f t="shared" si="55"/>
        <v>-4.1257988143469371E-3</v>
      </c>
      <c r="H391" s="215">
        <f t="shared" si="50"/>
        <v>4.7873392680514382E-2</v>
      </c>
      <c r="I391" s="231">
        <v>1107340</v>
      </c>
      <c r="K391" s="230">
        <v>43658</v>
      </c>
      <c r="L391" s="1">
        <v>201.45</v>
      </c>
      <c r="M391" s="1">
        <v>205.40177739108799</v>
      </c>
      <c r="N391" s="1">
        <v>16091</v>
      </c>
      <c r="O391" s="1">
        <v>38736.230000000003</v>
      </c>
      <c r="P391" s="215">
        <f t="shared" si="56"/>
        <v>-4.1257988143469371E-3</v>
      </c>
      <c r="Q391" s="215">
        <f t="shared" si="51"/>
        <v>2.3628048780487632E-2</v>
      </c>
      <c r="R391" s="231">
        <v>3305120</v>
      </c>
      <c r="T391" s="230">
        <v>43658</v>
      </c>
      <c r="U391" s="1">
        <v>56.7</v>
      </c>
      <c r="V391" s="1">
        <v>56.825722561163403</v>
      </c>
      <c r="W391" s="1">
        <v>16227</v>
      </c>
      <c r="X391" s="1">
        <v>38736.230000000003</v>
      </c>
      <c r="Y391" s="215">
        <f t="shared" si="57"/>
        <v>-4.1257988143469371E-3</v>
      </c>
      <c r="Z391" s="215">
        <f t="shared" si="52"/>
        <v>5.1948051948051965E-2</v>
      </c>
      <c r="AA391" s="231">
        <v>922111</v>
      </c>
      <c r="AC391" s="230">
        <v>43668</v>
      </c>
      <c r="AD391" s="1">
        <v>33.9</v>
      </c>
      <c r="AE391" s="1">
        <v>33.871257485029901</v>
      </c>
      <c r="AF391" s="1">
        <v>4008</v>
      </c>
      <c r="AG391" s="1">
        <v>38031.129999999997</v>
      </c>
      <c r="AH391" s="215">
        <f t="shared" si="58"/>
        <v>1.273999716713492E-3</v>
      </c>
      <c r="AI391" s="215">
        <f t="shared" si="53"/>
        <v>-4.405286343612258E-3</v>
      </c>
      <c r="AJ391" s="231">
        <v>135756</v>
      </c>
      <c r="AL391" s="230">
        <v>44924</v>
      </c>
      <c r="AM391" s="1">
        <v>305.95</v>
      </c>
      <c r="AN391" s="1">
        <v>306.15262074520399</v>
      </c>
      <c r="AO391" s="1">
        <v>33521</v>
      </c>
      <c r="AP391" s="1">
        <v>61133.88</v>
      </c>
      <c r="AQ391" s="215">
        <f t="shared" si="59"/>
        <v>4.8181530993869348E-3</v>
      </c>
      <c r="AR391" s="215">
        <f t="shared" si="54"/>
        <v>-2.4082934609250484E-2</v>
      </c>
      <c r="AS391" s="231">
        <v>10262542</v>
      </c>
    </row>
    <row r="392" spans="2:45">
      <c r="B392" s="230">
        <v>43661</v>
      </c>
      <c r="C392" s="1">
        <v>252.75</v>
      </c>
      <c r="D392" s="1">
        <v>253.505184791278</v>
      </c>
      <c r="E392" s="1">
        <v>3761</v>
      </c>
      <c r="F392" s="215">
        <v>38896.71</v>
      </c>
      <c r="G392" s="215">
        <f t="shared" si="55"/>
        <v>-5.9883407136637201E-3</v>
      </c>
      <c r="H392" s="215">
        <f t="shared" si="50"/>
        <v>-1.5003897116134146E-2</v>
      </c>
      <c r="I392" s="231">
        <v>953433</v>
      </c>
      <c r="K392" s="230">
        <v>43661</v>
      </c>
      <c r="L392" s="1">
        <v>196.8</v>
      </c>
      <c r="M392" s="1">
        <v>199.20138423755299</v>
      </c>
      <c r="N392" s="1">
        <v>4479</v>
      </c>
      <c r="O392" s="1">
        <v>38896.71</v>
      </c>
      <c r="P392" s="215">
        <f t="shared" si="56"/>
        <v>-5.9883407136637201E-3</v>
      </c>
      <c r="Q392" s="215">
        <f t="shared" si="51"/>
        <v>2.4199843871975046E-2</v>
      </c>
      <c r="R392" s="231">
        <v>892223</v>
      </c>
      <c r="T392" s="230">
        <v>43661</v>
      </c>
      <c r="U392" s="1">
        <v>53.9</v>
      </c>
      <c r="V392" s="1">
        <v>54.321430351358003</v>
      </c>
      <c r="W392" s="1">
        <v>40130</v>
      </c>
      <c r="X392" s="1">
        <v>38896.71</v>
      </c>
      <c r="Y392" s="215">
        <f t="shared" si="57"/>
        <v>-5.9883407136637201E-3</v>
      </c>
      <c r="Z392" s="215">
        <f t="shared" si="52"/>
        <v>-3.6968576709797141E-3</v>
      </c>
      <c r="AA392" s="231">
        <v>2179919</v>
      </c>
      <c r="AC392" s="230">
        <v>43669</v>
      </c>
      <c r="AD392" s="1">
        <v>34.049999999999997</v>
      </c>
      <c r="AE392" s="1">
        <v>34.239035087719202</v>
      </c>
      <c r="AF392" s="1">
        <v>1824</v>
      </c>
      <c r="AG392" s="1">
        <v>37982.74</v>
      </c>
      <c r="AH392" s="215">
        <f t="shared" si="58"/>
        <v>3.5693101156875073E-3</v>
      </c>
      <c r="AI392" s="215">
        <f t="shared" si="53"/>
        <v>3.652968036529658E-2</v>
      </c>
      <c r="AJ392" s="231">
        <v>62452</v>
      </c>
      <c r="AL392" s="232">
        <v>44925</v>
      </c>
      <c r="AM392" s="220">
        <v>313.5</v>
      </c>
      <c r="AN392" s="220">
        <v>312.52399537438498</v>
      </c>
      <c r="AO392" s="220">
        <v>6918</v>
      </c>
      <c r="AP392" s="220">
        <v>60840.74</v>
      </c>
      <c r="AQ392" s="233" t="str">
        <f t="shared" si="59"/>
        <v>NA</v>
      </c>
      <c r="AR392" s="233" t="str">
        <f t="shared" si="54"/>
        <v>NA</v>
      </c>
      <c r="AS392" s="234">
        <v>2162041</v>
      </c>
    </row>
    <row r="393" spans="2:45">
      <c r="B393" s="230">
        <v>43662</v>
      </c>
      <c r="C393" s="1">
        <v>256.60000000000002</v>
      </c>
      <c r="D393" s="1">
        <v>260.21024734982302</v>
      </c>
      <c r="E393" s="1">
        <v>566</v>
      </c>
      <c r="F393" s="215">
        <v>39131.040000000001</v>
      </c>
      <c r="G393" s="215">
        <f t="shared" si="55"/>
        <v>-2.1573025456169681E-3</v>
      </c>
      <c r="H393" s="215">
        <f t="shared" si="50"/>
        <v>2.4555799560790792E-2</v>
      </c>
      <c r="I393" s="231">
        <v>147279</v>
      </c>
      <c r="K393" s="230">
        <v>43662</v>
      </c>
      <c r="L393" s="1">
        <v>192.15</v>
      </c>
      <c r="M393" s="1">
        <v>197.92947204790099</v>
      </c>
      <c r="N393" s="1">
        <v>17369</v>
      </c>
      <c r="O393" s="1">
        <v>39131.040000000001</v>
      </c>
      <c r="P393" s="215">
        <f t="shared" si="56"/>
        <v>-2.1573025456169681E-3</v>
      </c>
      <c r="Q393" s="215">
        <f t="shared" si="51"/>
        <v>-6.2063615205585343E-3</v>
      </c>
      <c r="R393" s="231">
        <v>3437837</v>
      </c>
      <c r="T393" s="230">
        <v>43662</v>
      </c>
      <c r="U393" s="1">
        <v>54.1</v>
      </c>
      <c r="V393" s="1">
        <v>54.260727452396303</v>
      </c>
      <c r="W393" s="1">
        <v>26311</v>
      </c>
      <c r="X393" s="1">
        <v>39131.040000000001</v>
      </c>
      <c r="Y393" s="215">
        <f t="shared" si="57"/>
        <v>-2.1573025456169681E-3</v>
      </c>
      <c r="Z393" s="215">
        <f t="shared" si="52"/>
        <v>-3.6832412523019054E-3</v>
      </c>
      <c r="AA393" s="231">
        <v>1427654</v>
      </c>
      <c r="AC393" s="230">
        <v>43670</v>
      </c>
      <c r="AD393" s="1">
        <v>32.85</v>
      </c>
      <c r="AE393" s="1">
        <v>32.730769230769198</v>
      </c>
      <c r="AF393" s="1">
        <v>78</v>
      </c>
      <c r="AG393" s="1">
        <v>37847.65</v>
      </c>
      <c r="AH393" s="215">
        <f t="shared" si="58"/>
        <v>4.4064414931876961E-4</v>
      </c>
      <c r="AI393" s="215">
        <f t="shared" si="53"/>
        <v>-1.0542168674698815E-2</v>
      </c>
      <c r="AJ393" s="231">
        <v>2553</v>
      </c>
      <c r="AL393" s="254"/>
      <c r="AQ393" s="215" t="str">
        <f t="shared" si="59"/>
        <v>NA</v>
      </c>
      <c r="AR393" s="215" t="str">
        <f t="shared" si="54"/>
        <v>NA</v>
      </c>
    </row>
    <row r="394" spans="2:45">
      <c r="B394" s="230">
        <v>43663</v>
      </c>
      <c r="C394" s="1">
        <v>250.45</v>
      </c>
      <c r="D394" s="1">
        <v>256.362759522641</v>
      </c>
      <c r="E394" s="1">
        <v>6117</v>
      </c>
      <c r="F394" s="215">
        <v>39215.64</v>
      </c>
      <c r="G394" s="215">
        <f t="shared" si="55"/>
        <v>8.1799685635000063E-3</v>
      </c>
      <c r="H394" s="215">
        <f t="shared" si="50"/>
        <v>1.3994402239103643E-3</v>
      </c>
      <c r="I394" s="231">
        <v>1568171</v>
      </c>
      <c r="K394" s="230">
        <v>43663</v>
      </c>
      <c r="L394" s="1">
        <v>193.35</v>
      </c>
      <c r="M394" s="1">
        <v>193.66231106777099</v>
      </c>
      <c r="N394" s="1">
        <v>10255</v>
      </c>
      <c r="O394" s="1">
        <v>39215.64</v>
      </c>
      <c r="P394" s="215">
        <f t="shared" si="56"/>
        <v>8.1799685635000063E-3</v>
      </c>
      <c r="Q394" s="215">
        <f t="shared" si="51"/>
        <v>3.5618639528655738E-2</v>
      </c>
      <c r="R394" s="231">
        <v>1986007</v>
      </c>
      <c r="T394" s="230">
        <v>43663</v>
      </c>
      <c r="U394" s="1">
        <v>54.3</v>
      </c>
      <c r="V394" s="1">
        <v>54.144764037202798</v>
      </c>
      <c r="W394" s="1">
        <v>11612</v>
      </c>
      <c r="X394" s="1">
        <v>39215.64</v>
      </c>
      <c r="Y394" s="215">
        <f t="shared" si="57"/>
        <v>8.1799685635000063E-3</v>
      </c>
      <c r="Z394" s="215">
        <f t="shared" si="52"/>
        <v>0.10703363914373099</v>
      </c>
      <c r="AA394" s="231">
        <v>628729</v>
      </c>
      <c r="AC394" s="230">
        <v>43671</v>
      </c>
      <c r="AD394" s="1">
        <v>33.200000000000003</v>
      </c>
      <c r="AE394" s="1">
        <v>33.889051094890497</v>
      </c>
      <c r="AF394" s="1">
        <v>685</v>
      </c>
      <c r="AG394" s="1">
        <v>37830.980000000003</v>
      </c>
      <c r="AH394" s="215">
        <f t="shared" si="58"/>
        <v>-1.3676395006808617E-3</v>
      </c>
      <c r="AI394" s="215">
        <f t="shared" si="53"/>
        <v>-1.3372956909360911E-2</v>
      </c>
      <c r="AJ394" s="231">
        <v>23214</v>
      </c>
      <c r="AL394" s="254"/>
      <c r="AQ394" s="215" t="str">
        <f t="shared" si="59"/>
        <v>NA</v>
      </c>
      <c r="AR394" s="215" t="str">
        <f t="shared" si="54"/>
        <v>NA</v>
      </c>
    </row>
    <row r="395" spans="2:45">
      <c r="B395" s="230">
        <v>43664</v>
      </c>
      <c r="C395" s="1">
        <v>250.1</v>
      </c>
      <c r="D395" s="1">
        <v>251.88124999999999</v>
      </c>
      <c r="E395" s="1">
        <v>960</v>
      </c>
      <c r="F395" s="215">
        <v>38897.46</v>
      </c>
      <c r="G395" s="215">
        <f t="shared" si="55"/>
        <v>1.4619032626696615E-2</v>
      </c>
      <c r="H395" s="215">
        <f t="shared" si="50"/>
        <v>3.9999999999995595E-4</v>
      </c>
      <c r="I395" s="231">
        <v>241806</v>
      </c>
      <c r="K395" s="230">
        <v>43664</v>
      </c>
      <c r="L395" s="1">
        <v>186.7</v>
      </c>
      <c r="M395" s="1">
        <v>191.02051030955801</v>
      </c>
      <c r="N395" s="1">
        <v>18381</v>
      </c>
      <c r="O395" s="1">
        <v>38897.46</v>
      </c>
      <c r="P395" s="215">
        <f t="shared" si="56"/>
        <v>1.4619032626696615E-2</v>
      </c>
      <c r="Q395" s="215">
        <f t="shared" si="51"/>
        <v>1.6054421768707527E-2</v>
      </c>
      <c r="R395" s="231">
        <v>3511148</v>
      </c>
      <c r="T395" s="230">
        <v>43664</v>
      </c>
      <c r="U395" s="1">
        <v>49.05</v>
      </c>
      <c r="V395" s="1">
        <v>51.248004664893003</v>
      </c>
      <c r="W395" s="1">
        <v>54878</v>
      </c>
      <c r="X395" s="1">
        <v>38897.46</v>
      </c>
      <c r="Y395" s="215">
        <f t="shared" si="57"/>
        <v>1.4619032626696615E-2</v>
      </c>
      <c r="Z395" s="215">
        <f t="shared" si="52"/>
        <v>-2.0345879959308144E-3</v>
      </c>
      <c r="AA395" s="231">
        <v>2812388</v>
      </c>
      <c r="AC395" s="230">
        <v>43672</v>
      </c>
      <c r="AD395" s="1">
        <v>33.65</v>
      </c>
      <c r="AE395" s="1">
        <v>33.800970873786397</v>
      </c>
      <c r="AF395" s="1">
        <v>206</v>
      </c>
      <c r="AG395" s="1">
        <v>37882.79</v>
      </c>
      <c r="AH395" s="215">
        <f t="shared" si="58"/>
        <v>5.2119639010070884E-3</v>
      </c>
      <c r="AI395" s="215">
        <f t="shared" si="53"/>
        <v>1.9696969696969546E-2</v>
      </c>
      <c r="AJ395" s="231">
        <v>6963</v>
      </c>
      <c r="AL395" s="254"/>
      <c r="AQ395" s="215" t="str">
        <f t="shared" si="59"/>
        <v>NA</v>
      </c>
      <c r="AR395" s="215" t="str">
        <f t="shared" si="54"/>
        <v>NA</v>
      </c>
    </row>
    <row r="396" spans="2:45">
      <c r="B396" s="230">
        <v>43665</v>
      </c>
      <c r="C396" s="1">
        <v>250</v>
      </c>
      <c r="D396" s="1">
        <v>249.99005772931301</v>
      </c>
      <c r="E396" s="1">
        <v>3118</v>
      </c>
      <c r="F396" s="215">
        <v>38337.01</v>
      </c>
      <c r="G396" s="215">
        <f t="shared" si="55"/>
        <v>8.0428848682645437E-3</v>
      </c>
      <c r="H396" s="215">
        <f t="shared" si="50"/>
        <v>-7.7396308791426449E-3</v>
      </c>
      <c r="I396" s="231">
        <v>779469</v>
      </c>
      <c r="K396" s="230">
        <v>43665</v>
      </c>
      <c r="L396" s="1">
        <v>183.75</v>
      </c>
      <c r="M396" s="1">
        <v>181.66971258981499</v>
      </c>
      <c r="N396" s="1">
        <v>12804</v>
      </c>
      <c r="O396" s="1">
        <v>38337.01</v>
      </c>
      <c r="P396" s="215">
        <f t="shared" si="56"/>
        <v>8.0428848682645437E-3</v>
      </c>
      <c r="Q396" s="215">
        <f t="shared" si="51"/>
        <v>0</v>
      </c>
      <c r="R396" s="231">
        <v>2326099</v>
      </c>
      <c r="T396" s="230">
        <v>43665</v>
      </c>
      <c r="U396" s="1">
        <v>49.15</v>
      </c>
      <c r="V396" s="1">
        <v>48.963400788085202</v>
      </c>
      <c r="W396" s="1">
        <v>29946</v>
      </c>
      <c r="X396" s="1">
        <v>38337.01</v>
      </c>
      <c r="Y396" s="215">
        <f t="shared" si="57"/>
        <v>8.0428848682645437E-3</v>
      </c>
      <c r="Z396" s="215">
        <f t="shared" si="52"/>
        <v>2.9319371727748678E-2</v>
      </c>
      <c r="AA396" s="231">
        <v>1466258</v>
      </c>
      <c r="AC396" s="230">
        <v>43675</v>
      </c>
      <c r="AD396" s="1">
        <v>33</v>
      </c>
      <c r="AE396" s="1">
        <v>33</v>
      </c>
      <c r="AF396" s="1">
        <v>581</v>
      </c>
      <c r="AG396" s="1">
        <v>37686.370000000003</v>
      </c>
      <c r="AH396" s="215">
        <f t="shared" si="58"/>
        <v>7.7313192096530869E-3</v>
      </c>
      <c r="AI396" s="215">
        <f t="shared" si="53"/>
        <v>4.5958795562599075E-2</v>
      </c>
      <c r="AJ396" s="231">
        <v>19173</v>
      </c>
      <c r="AL396" s="254"/>
      <c r="AQ396" s="215" t="str">
        <f t="shared" si="59"/>
        <v>NA</v>
      </c>
      <c r="AR396" s="215" t="str">
        <f t="shared" si="54"/>
        <v>NA</v>
      </c>
    </row>
    <row r="397" spans="2:45">
      <c r="B397" s="230">
        <v>43668</v>
      </c>
      <c r="C397" s="1">
        <v>251.95</v>
      </c>
      <c r="D397" s="1">
        <v>250.20779220779201</v>
      </c>
      <c r="E397" s="1">
        <v>693</v>
      </c>
      <c r="F397" s="215">
        <v>38031.129999999997</v>
      </c>
      <c r="G397" s="215">
        <f t="shared" si="55"/>
        <v>1.273999716713492E-3</v>
      </c>
      <c r="H397" s="215">
        <f t="shared" si="50"/>
        <v>-5.4241741741741678E-2</v>
      </c>
      <c r="I397" s="231">
        <v>173394</v>
      </c>
      <c r="K397" s="230">
        <v>43668</v>
      </c>
      <c r="L397" s="1">
        <v>183.75</v>
      </c>
      <c r="M397" s="1">
        <v>182.465390644336</v>
      </c>
      <c r="N397" s="1">
        <v>24242</v>
      </c>
      <c r="O397" s="1">
        <v>38031.129999999997</v>
      </c>
      <c r="P397" s="215">
        <f t="shared" si="56"/>
        <v>1.273999716713492E-3</v>
      </c>
      <c r="Q397" s="215">
        <f t="shared" si="51"/>
        <v>-1.4481094127111738E-2</v>
      </c>
      <c r="R397" s="231">
        <v>4423326</v>
      </c>
      <c r="T397" s="230">
        <v>43668</v>
      </c>
      <c r="U397" s="1">
        <v>47.75</v>
      </c>
      <c r="V397" s="1">
        <v>47.464418515194197</v>
      </c>
      <c r="W397" s="1">
        <v>38995</v>
      </c>
      <c r="X397" s="1">
        <v>38031.129999999997</v>
      </c>
      <c r="Y397" s="215">
        <f t="shared" si="57"/>
        <v>1.273999716713492E-3</v>
      </c>
      <c r="Z397" s="215">
        <f t="shared" si="52"/>
        <v>-3.2421479229989947E-2</v>
      </c>
      <c r="AA397" s="231">
        <v>1850875</v>
      </c>
      <c r="AC397" s="230">
        <v>43676</v>
      </c>
      <c r="AD397" s="1">
        <v>31.55</v>
      </c>
      <c r="AE397" s="1">
        <v>31.720505617977501</v>
      </c>
      <c r="AF397" s="1">
        <v>2136</v>
      </c>
      <c r="AG397" s="1">
        <v>37397.24</v>
      </c>
      <c r="AH397" s="215">
        <f t="shared" si="58"/>
        <v>-2.2379267215067999E-3</v>
      </c>
      <c r="AI397" s="215">
        <f t="shared" si="53"/>
        <v>4.1254125412541143E-2</v>
      </c>
      <c r="AJ397" s="231">
        <v>67755</v>
      </c>
      <c r="AL397" s="254"/>
      <c r="AQ397" s="215" t="str">
        <f t="shared" si="59"/>
        <v>NA</v>
      </c>
      <c r="AR397" s="215" t="str">
        <f t="shared" si="54"/>
        <v>NA</v>
      </c>
    </row>
    <row r="398" spans="2:45">
      <c r="B398" s="230">
        <v>43669</v>
      </c>
      <c r="C398" s="1">
        <v>266.39999999999998</v>
      </c>
      <c r="D398" s="1">
        <v>261.03448275862002</v>
      </c>
      <c r="E398" s="1">
        <v>29</v>
      </c>
      <c r="F398" s="215">
        <v>37982.74</v>
      </c>
      <c r="G398" s="215">
        <f t="shared" si="55"/>
        <v>3.5693101156875073E-3</v>
      </c>
      <c r="H398" s="215">
        <f t="shared" ref="H398:H461" si="60">IF(ISERROR(C398/C399-1),"NA",C398/C399-1)</f>
        <v>5.6933148184883819E-2</v>
      </c>
      <c r="I398" s="231">
        <v>7570</v>
      </c>
      <c r="K398" s="230">
        <v>43669</v>
      </c>
      <c r="L398" s="1">
        <v>186.45</v>
      </c>
      <c r="M398" s="1">
        <v>186.718719689621</v>
      </c>
      <c r="N398" s="1">
        <v>2062</v>
      </c>
      <c r="O398" s="1">
        <v>37982.74</v>
      </c>
      <c r="P398" s="215">
        <f t="shared" si="56"/>
        <v>3.5693101156875073E-3</v>
      </c>
      <c r="Q398" s="215">
        <f t="shared" ref="Q398:Q461" si="61">IF(ISERROR(L398/L399-1),"NA",L398/L399-1)</f>
        <v>1.0843046896177766E-2</v>
      </c>
      <c r="R398" s="231">
        <v>385014</v>
      </c>
      <c r="T398" s="230">
        <v>43669</v>
      </c>
      <c r="U398" s="1">
        <v>49.35</v>
      </c>
      <c r="V398" s="1">
        <v>48.960907060530403</v>
      </c>
      <c r="W398" s="1">
        <v>61341</v>
      </c>
      <c r="X398" s="1">
        <v>37982.74</v>
      </c>
      <c r="Y398" s="215">
        <f t="shared" si="57"/>
        <v>3.5693101156875073E-3</v>
      </c>
      <c r="Z398" s="215">
        <f t="shared" ref="Z398:Z461" si="62">IF(ISERROR(U398/U399-1),"NA",U398/U399-1)</f>
        <v>1.1270491803278881E-2</v>
      </c>
      <c r="AA398" s="231">
        <v>3003311</v>
      </c>
      <c r="AC398" s="230">
        <v>43677</v>
      </c>
      <c r="AD398" s="1">
        <v>30.3</v>
      </c>
      <c r="AE398" s="1">
        <v>30.354539742381402</v>
      </c>
      <c r="AF398" s="1">
        <v>6366</v>
      </c>
      <c r="AG398" s="1">
        <v>37481.120000000003</v>
      </c>
      <c r="AH398" s="215">
        <f t="shared" si="58"/>
        <v>1.250191796926492E-2</v>
      </c>
      <c r="AI398" s="215">
        <f t="shared" ref="AI398:AI461" si="63">IF(ISERROR(AD398/AD399-1),"NA",AD398/AD399-1)</f>
        <v>1.0000000000000009E-2</v>
      </c>
      <c r="AJ398" s="231">
        <v>193237</v>
      </c>
      <c r="AL398" s="254"/>
      <c r="AQ398" s="215" t="str">
        <f t="shared" si="59"/>
        <v>NA</v>
      </c>
      <c r="AR398" s="215" t="str">
        <f t="shared" ref="AR398:AR461" si="64">IF(ISERROR(AM398/AM399-1),"NA",AM398/AM399-1)</f>
        <v>NA</v>
      </c>
    </row>
    <row r="399" spans="2:45">
      <c r="B399" s="230">
        <v>43670</v>
      </c>
      <c r="C399" s="1">
        <v>252.05</v>
      </c>
      <c r="D399" s="1">
        <v>251.940590111642</v>
      </c>
      <c r="E399" s="1">
        <v>2508</v>
      </c>
      <c r="F399" s="215">
        <v>37847.65</v>
      </c>
      <c r="G399" s="215">
        <f t="shared" ref="G399:G462" si="65">IF(ISERROR(F399/F400-1),"NA",F399/F400-1)</f>
        <v>4.4064414931876961E-4</v>
      </c>
      <c r="H399" s="215">
        <f t="shared" si="60"/>
        <v>-1.2730121425773566E-2</v>
      </c>
      <c r="I399" s="231">
        <v>631867</v>
      </c>
      <c r="K399" s="230">
        <v>43670</v>
      </c>
      <c r="L399" s="1">
        <v>184.45</v>
      </c>
      <c r="M399" s="1">
        <v>185.990752914365</v>
      </c>
      <c r="N399" s="1">
        <v>22818</v>
      </c>
      <c r="O399" s="1">
        <v>37847.65</v>
      </c>
      <c r="P399" s="215">
        <f t="shared" ref="P399:P462" si="66">IF(ISERROR(O399/O400-1),"NA",O399/O400-1)</f>
        <v>4.4064414931876961E-4</v>
      </c>
      <c r="Q399" s="215">
        <f t="shared" si="61"/>
        <v>-2.1639166892074568E-3</v>
      </c>
      <c r="R399" s="231">
        <v>4243937</v>
      </c>
      <c r="T399" s="230">
        <v>43670</v>
      </c>
      <c r="U399" s="1">
        <v>48.8</v>
      </c>
      <c r="V399" s="1">
        <v>48.789013232238503</v>
      </c>
      <c r="W399" s="1">
        <v>27433</v>
      </c>
      <c r="X399" s="1">
        <v>37847.65</v>
      </c>
      <c r="Y399" s="215">
        <f t="shared" ref="Y399:Y462" si="67">IF(ISERROR(X399/X400-1),"NA",X399/X400-1)</f>
        <v>4.4064414931876961E-4</v>
      </c>
      <c r="Z399" s="215">
        <f t="shared" si="62"/>
        <v>-2.4975024975025018E-2</v>
      </c>
      <c r="AA399" s="231">
        <v>1338429</v>
      </c>
      <c r="AC399" s="230">
        <v>43678</v>
      </c>
      <c r="AD399" s="1">
        <v>30</v>
      </c>
      <c r="AE399" s="1">
        <v>30.093363844393501</v>
      </c>
      <c r="AF399" s="1">
        <v>2185</v>
      </c>
      <c r="AG399" s="1">
        <v>37018.32</v>
      </c>
      <c r="AH399" s="215">
        <f t="shared" ref="AH399:AH462" si="68">IF(ISERROR(AG399/AG400-1),"NA",AG399/AG400-1)</f>
        <v>-2.6914006113439859E-3</v>
      </c>
      <c r="AI399" s="215">
        <f t="shared" si="63"/>
        <v>-3.2258064516129004E-2</v>
      </c>
      <c r="AJ399" s="231">
        <v>65754</v>
      </c>
      <c r="AL399" s="254"/>
      <c r="AQ399" s="215" t="str">
        <f t="shared" ref="AQ399:AQ462" si="69">IF(ISERROR(AP399/AP400-1),"NA",AP399/AP400-1)</f>
        <v>NA</v>
      </c>
      <c r="AR399" s="215" t="str">
        <f t="shared" si="64"/>
        <v>NA</v>
      </c>
    </row>
    <row r="400" spans="2:45">
      <c r="B400" s="230">
        <v>43671</v>
      </c>
      <c r="C400" s="1">
        <v>255.3</v>
      </c>
      <c r="D400" s="1">
        <v>262.27046263345102</v>
      </c>
      <c r="E400" s="1">
        <v>281</v>
      </c>
      <c r="F400" s="215">
        <v>37830.980000000003</v>
      </c>
      <c r="G400" s="215">
        <f t="shared" si="65"/>
        <v>-1.3676395006808617E-3</v>
      </c>
      <c r="H400" s="215">
        <f t="shared" si="60"/>
        <v>2.1200000000000108E-2</v>
      </c>
      <c r="I400" s="231">
        <v>73698</v>
      </c>
      <c r="K400" s="230">
        <v>43671</v>
      </c>
      <c r="L400" s="1">
        <v>184.85</v>
      </c>
      <c r="M400" s="1">
        <v>185.77854330708601</v>
      </c>
      <c r="N400" s="1">
        <v>7112</v>
      </c>
      <c r="O400" s="1">
        <v>37830.980000000003</v>
      </c>
      <c r="P400" s="215">
        <f t="shared" si="66"/>
        <v>-1.3676395006808617E-3</v>
      </c>
      <c r="Q400" s="215">
        <f t="shared" si="61"/>
        <v>-1.1497326203208535E-2</v>
      </c>
      <c r="R400" s="231">
        <v>1321257</v>
      </c>
      <c r="T400" s="230">
        <v>43671</v>
      </c>
      <c r="U400" s="1">
        <v>50.05</v>
      </c>
      <c r="V400" s="1">
        <v>49.737100423877301</v>
      </c>
      <c r="W400" s="1">
        <v>31377</v>
      </c>
      <c r="X400" s="1">
        <v>37830.980000000003</v>
      </c>
      <c r="Y400" s="215">
        <f t="shared" si="67"/>
        <v>-1.3676395006808617E-3</v>
      </c>
      <c r="Z400" s="215">
        <f t="shared" si="62"/>
        <v>-1.0869565217391353E-2</v>
      </c>
      <c r="AA400" s="231">
        <v>1560601</v>
      </c>
      <c r="AC400" s="230">
        <v>43679</v>
      </c>
      <c r="AD400" s="1">
        <v>31</v>
      </c>
      <c r="AE400" s="1">
        <v>29.712785901762199</v>
      </c>
      <c r="AF400" s="1">
        <v>2667</v>
      </c>
      <c r="AG400" s="1">
        <v>37118.22</v>
      </c>
      <c r="AH400" s="215">
        <f t="shared" si="68"/>
        <v>1.1400049700489356E-2</v>
      </c>
      <c r="AI400" s="215">
        <f t="shared" si="63"/>
        <v>8.3916083916083961E-2</v>
      </c>
      <c r="AJ400" s="231">
        <v>79244</v>
      </c>
      <c r="AL400" s="254"/>
      <c r="AQ400" s="215" t="str">
        <f t="shared" si="69"/>
        <v>NA</v>
      </c>
      <c r="AR400" s="215" t="str">
        <f t="shared" si="64"/>
        <v>NA</v>
      </c>
    </row>
    <row r="401" spans="2:44">
      <c r="B401" s="230">
        <v>43672</v>
      </c>
      <c r="C401" s="1">
        <v>250</v>
      </c>
      <c r="D401" s="1">
        <v>247.09213615023401</v>
      </c>
      <c r="E401" s="1">
        <v>1704</v>
      </c>
      <c r="F401" s="215">
        <v>37882.79</v>
      </c>
      <c r="G401" s="215">
        <f t="shared" si="65"/>
        <v>5.2119639010070884E-3</v>
      </c>
      <c r="H401" s="215">
        <f t="shared" si="60"/>
        <v>2.0408163265306145E-2</v>
      </c>
      <c r="I401" s="231">
        <v>421045</v>
      </c>
      <c r="K401" s="230">
        <v>43672</v>
      </c>
      <c r="L401" s="1">
        <v>187</v>
      </c>
      <c r="M401" s="1">
        <v>186.60909942250601</v>
      </c>
      <c r="N401" s="1">
        <v>12814</v>
      </c>
      <c r="O401" s="1">
        <v>37882.79</v>
      </c>
      <c r="P401" s="215">
        <f t="shared" si="66"/>
        <v>5.2119639010070884E-3</v>
      </c>
      <c r="Q401" s="215">
        <f t="shared" si="61"/>
        <v>2.5500411296956349E-2</v>
      </c>
      <c r="R401" s="231">
        <v>2391209</v>
      </c>
      <c r="T401" s="230">
        <v>43672</v>
      </c>
      <c r="U401" s="1">
        <v>50.6</v>
      </c>
      <c r="V401" s="1">
        <v>50.435086675098503</v>
      </c>
      <c r="W401" s="1">
        <v>13441</v>
      </c>
      <c r="X401" s="1">
        <v>37882.79</v>
      </c>
      <c r="Y401" s="215">
        <f t="shared" si="67"/>
        <v>5.2119639010070884E-3</v>
      </c>
      <c r="Z401" s="215">
        <f t="shared" si="62"/>
        <v>1.980198019801982E-3</v>
      </c>
      <c r="AA401" s="231">
        <v>677898</v>
      </c>
      <c r="AC401" s="230">
        <v>43682</v>
      </c>
      <c r="AD401" s="1">
        <v>28.6</v>
      </c>
      <c r="AE401" s="1">
        <v>28.241481481481401</v>
      </c>
      <c r="AF401" s="1">
        <v>675</v>
      </c>
      <c r="AG401" s="1">
        <v>36699.839999999997</v>
      </c>
      <c r="AH401" s="215">
        <f t="shared" si="68"/>
        <v>-7.4914439710251912E-3</v>
      </c>
      <c r="AI401" s="215">
        <f t="shared" si="63"/>
        <v>-1.3793103448275779E-2</v>
      </c>
      <c r="AJ401" s="231">
        <v>19063</v>
      </c>
      <c r="AL401" s="254"/>
      <c r="AQ401" s="215" t="str">
        <f t="shared" si="69"/>
        <v>NA</v>
      </c>
      <c r="AR401" s="215" t="str">
        <f t="shared" si="64"/>
        <v>NA</v>
      </c>
    </row>
    <row r="402" spans="2:44">
      <c r="B402" s="230">
        <v>43675</v>
      </c>
      <c r="C402" s="1">
        <v>245</v>
      </c>
      <c r="D402" s="1">
        <v>245.90151515151501</v>
      </c>
      <c r="E402" s="1">
        <v>660</v>
      </c>
      <c r="F402" s="215">
        <v>37686.370000000003</v>
      </c>
      <c r="G402" s="215">
        <f t="shared" si="65"/>
        <v>7.7313192096530869E-3</v>
      </c>
      <c r="H402" s="215">
        <f t="shared" si="60"/>
        <v>3.3319274567692903E-2</v>
      </c>
      <c r="I402" s="231">
        <v>162295</v>
      </c>
      <c r="K402" s="230">
        <v>43675</v>
      </c>
      <c r="L402" s="1">
        <v>182.35</v>
      </c>
      <c r="M402" s="1">
        <v>182.38955317809899</v>
      </c>
      <c r="N402" s="1">
        <v>3178</v>
      </c>
      <c r="O402" s="1">
        <v>37686.370000000003</v>
      </c>
      <c r="P402" s="215">
        <f t="shared" si="66"/>
        <v>7.7313192096530869E-3</v>
      </c>
      <c r="Q402" s="215">
        <f t="shared" si="61"/>
        <v>1.3900472616068971E-2</v>
      </c>
      <c r="R402" s="231">
        <v>579634</v>
      </c>
      <c r="T402" s="230">
        <v>43675</v>
      </c>
      <c r="U402" s="1">
        <v>50.5</v>
      </c>
      <c r="V402" s="1">
        <v>50.180926306182897</v>
      </c>
      <c r="W402" s="1">
        <v>4383</v>
      </c>
      <c r="X402" s="1">
        <v>37686.370000000003</v>
      </c>
      <c r="Y402" s="215">
        <f t="shared" si="67"/>
        <v>7.7313192096530869E-3</v>
      </c>
      <c r="Z402" s="215">
        <f t="shared" si="62"/>
        <v>3.9094650205761194E-2</v>
      </c>
      <c r="AA402" s="231">
        <v>219943</v>
      </c>
      <c r="AC402" s="230">
        <v>43683</v>
      </c>
      <c r="AD402" s="1">
        <v>29</v>
      </c>
      <c r="AE402" s="1">
        <v>28.7822430733823</v>
      </c>
      <c r="AF402" s="1">
        <v>11297</v>
      </c>
      <c r="AG402" s="1">
        <v>36976.85</v>
      </c>
      <c r="AH402" s="215">
        <f t="shared" si="68"/>
        <v>7.8044725473895848E-3</v>
      </c>
      <c r="AI402" s="215">
        <f t="shared" si="63"/>
        <v>2.6548672566371723E-2</v>
      </c>
      <c r="AJ402" s="231">
        <v>325153</v>
      </c>
      <c r="AL402" s="254"/>
      <c r="AQ402" s="215" t="str">
        <f t="shared" si="69"/>
        <v>NA</v>
      </c>
      <c r="AR402" s="215" t="str">
        <f t="shared" si="64"/>
        <v>NA</v>
      </c>
    </row>
    <row r="403" spans="2:44">
      <c r="B403" s="230">
        <v>43676</v>
      </c>
      <c r="C403" s="1">
        <v>237.1</v>
      </c>
      <c r="D403" s="1">
        <v>234.79805825242701</v>
      </c>
      <c r="E403" s="1">
        <v>515</v>
      </c>
      <c r="F403" s="215">
        <v>37397.24</v>
      </c>
      <c r="G403" s="215">
        <f t="shared" si="65"/>
        <v>-2.2379267215067999E-3</v>
      </c>
      <c r="H403" s="215">
        <f t="shared" si="60"/>
        <v>8.936170212765937E-3</v>
      </c>
      <c r="I403" s="231">
        <v>120921</v>
      </c>
      <c r="K403" s="230">
        <v>43676</v>
      </c>
      <c r="L403" s="1">
        <v>179.85</v>
      </c>
      <c r="M403" s="1">
        <v>182.55093724531301</v>
      </c>
      <c r="N403" s="1">
        <v>7362</v>
      </c>
      <c r="O403" s="1">
        <v>37397.24</v>
      </c>
      <c r="P403" s="215">
        <f t="shared" si="66"/>
        <v>-2.2379267215067999E-3</v>
      </c>
      <c r="Q403" s="215">
        <f t="shared" si="61"/>
        <v>-4.1528239202658357E-3</v>
      </c>
      <c r="R403" s="231">
        <v>1343940</v>
      </c>
      <c r="T403" s="230">
        <v>43676</v>
      </c>
      <c r="U403" s="1">
        <v>48.6</v>
      </c>
      <c r="V403" s="1">
        <v>49.691706180850097</v>
      </c>
      <c r="W403" s="1">
        <v>12021</v>
      </c>
      <c r="X403" s="1">
        <v>37397.24</v>
      </c>
      <c r="Y403" s="215">
        <f t="shared" si="67"/>
        <v>-2.2379267215067999E-3</v>
      </c>
      <c r="Z403" s="215">
        <f t="shared" si="62"/>
        <v>1.029866117404854E-3</v>
      </c>
      <c r="AA403" s="231">
        <v>597344</v>
      </c>
      <c r="AC403" s="230">
        <v>43684</v>
      </c>
      <c r="AD403" s="1">
        <v>28.25</v>
      </c>
      <c r="AE403" s="1">
        <v>28.2890806959857</v>
      </c>
      <c r="AF403" s="1">
        <v>7299</v>
      </c>
      <c r="AG403" s="1">
        <v>36690.5</v>
      </c>
      <c r="AH403" s="215">
        <f t="shared" si="68"/>
        <v>-1.7061479836773863E-2</v>
      </c>
      <c r="AI403" s="215">
        <f t="shared" si="63"/>
        <v>-1.7667844522968323E-3</v>
      </c>
      <c r="AJ403" s="231">
        <v>206482</v>
      </c>
      <c r="AL403" s="254"/>
      <c r="AQ403" s="215" t="str">
        <f t="shared" si="69"/>
        <v>NA</v>
      </c>
      <c r="AR403" s="215" t="str">
        <f t="shared" si="64"/>
        <v>NA</v>
      </c>
    </row>
    <row r="404" spans="2:44">
      <c r="B404" s="230">
        <v>43677</v>
      </c>
      <c r="C404" s="1">
        <v>235</v>
      </c>
      <c r="D404" s="1">
        <v>230.332929782082</v>
      </c>
      <c r="E404" s="1">
        <v>826</v>
      </c>
      <c r="F404" s="215">
        <v>37481.120000000003</v>
      </c>
      <c r="G404" s="215">
        <f t="shared" si="65"/>
        <v>1.250191796926492E-2</v>
      </c>
      <c r="H404" s="215">
        <f t="shared" si="60"/>
        <v>3.524229074889873E-2</v>
      </c>
      <c r="I404" s="231">
        <v>190255</v>
      </c>
      <c r="K404" s="230">
        <v>43677</v>
      </c>
      <c r="L404" s="1">
        <v>180.6</v>
      </c>
      <c r="M404" s="1">
        <v>181.39862542955299</v>
      </c>
      <c r="N404" s="1">
        <v>582</v>
      </c>
      <c r="O404" s="1">
        <v>37481.120000000003</v>
      </c>
      <c r="P404" s="215">
        <f t="shared" si="66"/>
        <v>1.250191796926492E-2</v>
      </c>
      <c r="Q404" s="215">
        <f t="shared" si="61"/>
        <v>-3.3112582781457123E-3</v>
      </c>
      <c r="R404" s="231">
        <v>105574</v>
      </c>
      <c r="T404" s="230">
        <v>43677</v>
      </c>
      <c r="U404" s="1">
        <v>48.55</v>
      </c>
      <c r="V404" s="1">
        <v>48.868370995967403</v>
      </c>
      <c r="W404" s="1">
        <v>26286</v>
      </c>
      <c r="X404" s="1">
        <v>37481.120000000003</v>
      </c>
      <c r="Y404" s="215">
        <f t="shared" si="67"/>
        <v>1.250191796926492E-2</v>
      </c>
      <c r="Z404" s="215">
        <f t="shared" si="62"/>
        <v>-1.0193679918450549E-2</v>
      </c>
      <c r="AA404" s="231">
        <v>1284554</v>
      </c>
      <c r="AC404" s="230">
        <v>43685</v>
      </c>
      <c r="AD404" s="1">
        <v>28.3</v>
      </c>
      <c r="AE404" s="1">
        <v>27.450668036998898</v>
      </c>
      <c r="AF404" s="1">
        <v>3892</v>
      </c>
      <c r="AG404" s="1">
        <v>37327.360000000001</v>
      </c>
      <c r="AH404" s="215">
        <f t="shared" si="68"/>
        <v>-6.7732055129715585E-3</v>
      </c>
      <c r="AI404" s="215">
        <f t="shared" si="63"/>
        <v>1.7985611510791477E-2</v>
      </c>
      <c r="AJ404" s="231">
        <v>106838</v>
      </c>
      <c r="AL404" s="254"/>
      <c r="AQ404" s="215" t="str">
        <f t="shared" si="69"/>
        <v>NA</v>
      </c>
      <c r="AR404" s="215" t="str">
        <f t="shared" si="64"/>
        <v>NA</v>
      </c>
    </row>
    <row r="405" spans="2:44">
      <c r="B405" s="230">
        <v>43678</v>
      </c>
      <c r="C405" s="1">
        <v>227</v>
      </c>
      <c r="D405" s="1">
        <v>224.96648044692699</v>
      </c>
      <c r="E405" s="1">
        <v>1253</v>
      </c>
      <c r="F405" s="215">
        <v>37018.32</v>
      </c>
      <c r="G405" s="215">
        <f t="shared" si="65"/>
        <v>-2.6914006113439859E-3</v>
      </c>
      <c r="H405" s="215">
        <f t="shared" si="60"/>
        <v>4.7289504036908792E-2</v>
      </c>
      <c r="I405" s="231">
        <v>281883</v>
      </c>
      <c r="K405" s="230">
        <v>43678</v>
      </c>
      <c r="L405" s="1">
        <v>181.2</v>
      </c>
      <c r="M405" s="1">
        <v>181.01322001888499</v>
      </c>
      <c r="N405" s="1">
        <v>3177</v>
      </c>
      <c r="O405" s="1">
        <v>37018.32</v>
      </c>
      <c r="P405" s="215">
        <f t="shared" si="66"/>
        <v>-2.6914006113439859E-3</v>
      </c>
      <c r="Q405" s="215">
        <f t="shared" si="61"/>
        <v>4.0183696900114807E-2</v>
      </c>
      <c r="R405" s="231">
        <v>575079</v>
      </c>
      <c r="T405" s="230">
        <v>43678</v>
      </c>
      <c r="U405" s="1">
        <v>49.05</v>
      </c>
      <c r="V405" s="1">
        <v>49.114247361944798</v>
      </c>
      <c r="W405" s="1">
        <v>26819</v>
      </c>
      <c r="X405" s="1">
        <v>37018.32</v>
      </c>
      <c r="Y405" s="215">
        <f t="shared" si="67"/>
        <v>-2.6914006113439859E-3</v>
      </c>
      <c r="Z405" s="215">
        <f t="shared" si="62"/>
        <v>-4.0609137055838129E-3</v>
      </c>
      <c r="AA405" s="231">
        <v>1317195</v>
      </c>
      <c r="AC405" s="230">
        <v>43686</v>
      </c>
      <c r="AD405" s="1">
        <v>27.8</v>
      </c>
      <c r="AE405" s="1">
        <v>28.278459727593699</v>
      </c>
      <c r="AF405" s="1">
        <v>5947</v>
      </c>
      <c r="AG405" s="1">
        <v>37581.910000000003</v>
      </c>
      <c r="AH405" s="215">
        <f t="shared" si="68"/>
        <v>1.6877193020431669E-2</v>
      </c>
      <c r="AI405" s="215">
        <f t="shared" si="63"/>
        <v>3.3457249070631967E-2</v>
      </c>
      <c r="AJ405" s="231">
        <v>168172</v>
      </c>
      <c r="AL405" s="254"/>
      <c r="AQ405" s="215" t="str">
        <f t="shared" si="69"/>
        <v>NA</v>
      </c>
      <c r="AR405" s="215" t="str">
        <f t="shared" si="64"/>
        <v>NA</v>
      </c>
    </row>
    <row r="406" spans="2:44">
      <c r="B406" s="230">
        <v>43679</v>
      </c>
      <c r="C406" s="1">
        <v>216.75</v>
      </c>
      <c r="D406" s="1">
        <v>204.99224654678099</v>
      </c>
      <c r="E406" s="1">
        <v>15348</v>
      </c>
      <c r="F406" s="215">
        <v>37118.22</v>
      </c>
      <c r="G406" s="215">
        <f t="shared" si="65"/>
        <v>1.1400049700489356E-2</v>
      </c>
      <c r="H406" s="215">
        <f t="shared" si="60"/>
        <v>3.9069990412272215E-2</v>
      </c>
      <c r="I406" s="231">
        <v>3146221</v>
      </c>
      <c r="K406" s="230">
        <v>43679</v>
      </c>
      <c r="L406" s="1">
        <v>174.2</v>
      </c>
      <c r="M406" s="1">
        <v>176.199972219649</v>
      </c>
      <c r="N406" s="1">
        <v>21598</v>
      </c>
      <c r="O406" s="1">
        <v>37118.22</v>
      </c>
      <c r="P406" s="215">
        <f t="shared" si="66"/>
        <v>1.1400049700489356E-2</v>
      </c>
      <c r="Q406" s="215">
        <f t="shared" si="61"/>
        <v>4.624624624624607E-2</v>
      </c>
      <c r="R406" s="231">
        <v>3805567</v>
      </c>
      <c r="T406" s="230">
        <v>43679</v>
      </c>
      <c r="U406" s="1">
        <v>49.25</v>
      </c>
      <c r="V406" s="1">
        <v>48.505888982812003</v>
      </c>
      <c r="W406" s="1">
        <v>17745</v>
      </c>
      <c r="X406" s="1">
        <v>37118.22</v>
      </c>
      <c r="Y406" s="215">
        <f t="shared" si="67"/>
        <v>1.1400049700489356E-2</v>
      </c>
      <c r="Z406" s="215">
        <f t="shared" si="62"/>
        <v>0.11678004535147379</v>
      </c>
      <c r="AA406" s="231">
        <v>860737</v>
      </c>
      <c r="AC406" s="230">
        <v>43690</v>
      </c>
      <c r="AD406" s="1">
        <v>26.9</v>
      </c>
      <c r="AE406" s="1">
        <v>27.409191583610099</v>
      </c>
      <c r="AF406" s="1">
        <v>5418</v>
      </c>
      <c r="AG406" s="1">
        <v>36958.160000000003</v>
      </c>
      <c r="AH406" s="215">
        <f t="shared" si="68"/>
        <v>-9.4707989728642916E-3</v>
      </c>
      <c r="AI406" s="215">
        <f t="shared" si="63"/>
        <v>-3.2374100719424481E-2</v>
      </c>
      <c r="AJ406" s="231">
        <v>148503</v>
      </c>
      <c r="AL406" s="254"/>
      <c r="AQ406" s="215" t="str">
        <f t="shared" si="69"/>
        <v>NA</v>
      </c>
      <c r="AR406" s="215" t="str">
        <f t="shared" si="64"/>
        <v>NA</v>
      </c>
    </row>
    <row r="407" spans="2:44">
      <c r="B407" s="230">
        <v>43682</v>
      </c>
      <c r="C407" s="1">
        <v>208.6</v>
      </c>
      <c r="D407" s="1">
        <v>208.41767262192101</v>
      </c>
      <c r="E407" s="1">
        <v>2071</v>
      </c>
      <c r="F407" s="215">
        <v>36699.839999999997</v>
      </c>
      <c r="G407" s="215">
        <f t="shared" si="65"/>
        <v>-7.4914439710251912E-3</v>
      </c>
      <c r="H407" s="215">
        <f t="shared" si="60"/>
        <v>-5.1602636962946091E-2</v>
      </c>
      <c r="I407" s="231">
        <v>431633</v>
      </c>
      <c r="K407" s="230">
        <v>43682</v>
      </c>
      <c r="L407" s="1">
        <v>166.5</v>
      </c>
      <c r="M407" s="1">
        <v>166.955256511741</v>
      </c>
      <c r="N407" s="1">
        <v>26529</v>
      </c>
      <c r="O407" s="1">
        <v>36699.839999999997</v>
      </c>
      <c r="P407" s="215">
        <f t="shared" si="66"/>
        <v>-7.4914439710251912E-3</v>
      </c>
      <c r="Q407" s="215">
        <f t="shared" si="61"/>
        <v>1.7104459376908965E-2</v>
      </c>
      <c r="R407" s="231">
        <v>4429156</v>
      </c>
      <c r="T407" s="230">
        <v>43682</v>
      </c>
      <c r="U407" s="1">
        <v>44.1</v>
      </c>
      <c r="V407" s="1">
        <v>43.420082826870299</v>
      </c>
      <c r="W407" s="1">
        <v>92965</v>
      </c>
      <c r="X407" s="1">
        <v>36699.839999999997</v>
      </c>
      <c r="Y407" s="215">
        <f t="shared" si="67"/>
        <v>-7.4914439710251912E-3</v>
      </c>
      <c r="Z407" s="215">
        <f t="shared" si="62"/>
        <v>1.1350737797957144E-3</v>
      </c>
      <c r="AA407" s="231">
        <v>4036548</v>
      </c>
      <c r="AC407" s="230">
        <v>43691</v>
      </c>
      <c r="AD407" s="1">
        <v>27.8</v>
      </c>
      <c r="AE407" s="1">
        <v>26.909090909090899</v>
      </c>
      <c r="AF407" s="1">
        <v>11</v>
      </c>
      <c r="AG407" s="1">
        <v>37311.53</v>
      </c>
      <c r="AH407" s="215">
        <f t="shared" si="68"/>
        <v>-1.0388127762192001E-3</v>
      </c>
      <c r="AI407" s="215">
        <f t="shared" si="63"/>
        <v>5.1039697542533125E-2</v>
      </c>
      <c r="AJ407" s="231">
        <v>296</v>
      </c>
      <c r="AL407" s="254"/>
      <c r="AQ407" s="215" t="str">
        <f t="shared" si="69"/>
        <v>NA</v>
      </c>
      <c r="AR407" s="215" t="str">
        <f t="shared" si="64"/>
        <v>NA</v>
      </c>
    </row>
    <row r="408" spans="2:44">
      <c r="B408" s="230">
        <v>43683</v>
      </c>
      <c r="C408" s="1">
        <v>219.95</v>
      </c>
      <c r="D408" s="1">
        <v>222.42746615087</v>
      </c>
      <c r="E408" s="1">
        <v>517</v>
      </c>
      <c r="F408" s="215">
        <v>36976.85</v>
      </c>
      <c r="G408" s="215">
        <f t="shared" si="65"/>
        <v>7.8044725473895848E-3</v>
      </c>
      <c r="H408" s="215">
        <f t="shared" si="60"/>
        <v>-2.2727272727274261E-4</v>
      </c>
      <c r="I408" s="231">
        <v>114995</v>
      </c>
      <c r="K408" s="230">
        <v>43683</v>
      </c>
      <c r="L408" s="1">
        <v>163.69999999999999</v>
      </c>
      <c r="M408" s="1">
        <v>170.417738037699</v>
      </c>
      <c r="N408" s="1">
        <v>20690</v>
      </c>
      <c r="O408" s="1">
        <v>36976.85</v>
      </c>
      <c r="P408" s="215">
        <f t="shared" si="66"/>
        <v>7.8044725473895848E-3</v>
      </c>
      <c r="Q408" s="215">
        <f t="shared" si="61"/>
        <v>2.8266331658291399E-2</v>
      </c>
      <c r="R408" s="231">
        <v>3525943</v>
      </c>
      <c r="T408" s="230">
        <v>43683</v>
      </c>
      <c r="U408" s="1">
        <v>44.05</v>
      </c>
      <c r="V408" s="1">
        <v>43.766863357630399</v>
      </c>
      <c r="W408" s="1">
        <v>17286</v>
      </c>
      <c r="X408" s="1">
        <v>36976.85</v>
      </c>
      <c r="Y408" s="215">
        <f t="shared" si="67"/>
        <v>7.8044725473895848E-3</v>
      </c>
      <c r="Z408" s="215">
        <f t="shared" si="62"/>
        <v>1.0321100917431103E-2</v>
      </c>
      <c r="AA408" s="231">
        <v>756554</v>
      </c>
      <c r="AC408" s="230">
        <v>43693</v>
      </c>
      <c r="AD408" s="1">
        <v>26.45</v>
      </c>
      <c r="AE408" s="1">
        <v>26.811475409836</v>
      </c>
      <c r="AF408" s="1">
        <v>610</v>
      </c>
      <c r="AG408" s="1">
        <v>37350.33</v>
      </c>
      <c r="AH408" s="215">
        <f t="shared" si="68"/>
        <v>-1.3945595600719507E-3</v>
      </c>
      <c r="AI408" s="215">
        <f t="shared" si="63"/>
        <v>1.7307692307692246E-2</v>
      </c>
      <c r="AJ408" s="231">
        <v>16355</v>
      </c>
      <c r="AL408" s="254"/>
      <c r="AQ408" s="215" t="str">
        <f t="shared" si="69"/>
        <v>NA</v>
      </c>
      <c r="AR408" s="215" t="str">
        <f t="shared" si="64"/>
        <v>NA</v>
      </c>
    </row>
    <row r="409" spans="2:44">
      <c r="B409" s="230">
        <v>43684</v>
      </c>
      <c r="C409" s="1">
        <v>220</v>
      </c>
      <c r="D409" s="1">
        <v>219.83606557376999</v>
      </c>
      <c r="E409" s="1">
        <v>366</v>
      </c>
      <c r="F409" s="215">
        <v>36690.5</v>
      </c>
      <c r="G409" s="215">
        <f t="shared" si="65"/>
        <v>-1.7061479836773863E-2</v>
      </c>
      <c r="H409" s="215">
        <f t="shared" si="60"/>
        <v>3.7246581801037237E-2</v>
      </c>
      <c r="I409" s="231">
        <v>80460</v>
      </c>
      <c r="K409" s="230">
        <v>43684</v>
      </c>
      <c r="L409" s="1">
        <v>159.19999999999999</v>
      </c>
      <c r="M409" s="1">
        <v>165.59884281581401</v>
      </c>
      <c r="N409" s="1">
        <v>10370</v>
      </c>
      <c r="O409" s="1">
        <v>36690.5</v>
      </c>
      <c r="P409" s="215">
        <f t="shared" si="66"/>
        <v>-1.7061479836773863E-2</v>
      </c>
      <c r="Q409" s="215">
        <f t="shared" si="61"/>
        <v>1.4012738853503182E-2</v>
      </c>
      <c r="R409" s="231">
        <v>1717260</v>
      </c>
      <c r="T409" s="230">
        <v>43684</v>
      </c>
      <c r="U409" s="1">
        <v>43.6</v>
      </c>
      <c r="V409" s="1">
        <v>44.8936392494073</v>
      </c>
      <c r="W409" s="1">
        <v>24887</v>
      </c>
      <c r="X409" s="1">
        <v>36690.5</v>
      </c>
      <c r="Y409" s="215">
        <f t="shared" si="67"/>
        <v>-1.7061479836773863E-2</v>
      </c>
      <c r="Z409" s="215">
        <f t="shared" si="62"/>
        <v>2.2274325908558046E-2</v>
      </c>
      <c r="AA409" s="231">
        <v>1117268</v>
      </c>
      <c r="AC409" s="230">
        <v>43696</v>
      </c>
      <c r="AD409" s="1">
        <v>26</v>
      </c>
      <c r="AE409" s="1">
        <v>26.100194282542301</v>
      </c>
      <c r="AF409" s="1">
        <v>21618</v>
      </c>
      <c r="AG409" s="1">
        <v>37402.49</v>
      </c>
      <c r="AH409" s="215">
        <f t="shared" si="68"/>
        <v>1.9952845061923519E-3</v>
      </c>
      <c r="AI409" s="215">
        <f t="shared" si="63"/>
        <v>5.8027079303675233E-3</v>
      </c>
      <c r="AJ409" s="231">
        <v>564234</v>
      </c>
      <c r="AL409" s="254"/>
      <c r="AQ409" s="215" t="str">
        <f t="shared" si="69"/>
        <v>NA</v>
      </c>
      <c r="AR409" s="215" t="str">
        <f t="shared" si="64"/>
        <v>NA</v>
      </c>
    </row>
    <row r="410" spans="2:44">
      <c r="B410" s="230">
        <v>43685</v>
      </c>
      <c r="C410" s="1">
        <v>212.1</v>
      </c>
      <c r="D410" s="1">
        <v>217.19333333333299</v>
      </c>
      <c r="E410" s="1">
        <v>150</v>
      </c>
      <c r="F410" s="215">
        <v>37327.360000000001</v>
      </c>
      <c r="G410" s="215">
        <f t="shared" si="65"/>
        <v>-6.7732055129715585E-3</v>
      </c>
      <c r="H410" s="215">
        <f t="shared" si="60"/>
        <v>-8.5775862068965592E-2</v>
      </c>
      <c r="I410" s="231">
        <v>32579</v>
      </c>
      <c r="K410" s="230">
        <v>43685</v>
      </c>
      <c r="L410" s="1">
        <v>157</v>
      </c>
      <c r="M410" s="1">
        <v>158.332052153859</v>
      </c>
      <c r="N410" s="1">
        <v>33823</v>
      </c>
      <c r="O410" s="1">
        <v>37327.360000000001</v>
      </c>
      <c r="P410" s="215">
        <f t="shared" si="66"/>
        <v>-6.7732055129715585E-3</v>
      </c>
      <c r="Q410" s="215">
        <f t="shared" si="61"/>
        <v>-7.7284748751102028E-2</v>
      </c>
      <c r="R410" s="231">
        <v>5355265</v>
      </c>
      <c r="T410" s="230">
        <v>43685</v>
      </c>
      <c r="U410" s="1">
        <v>42.65</v>
      </c>
      <c r="V410" s="1">
        <v>42.780807433514802</v>
      </c>
      <c r="W410" s="1">
        <v>31210</v>
      </c>
      <c r="X410" s="1">
        <v>37327.360000000001</v>
      </c>
      <c r="Y410" s="215">
        <f t="shared" si="67"/>
        <v>-6.7732055129715585E-3</v>
      </c>
      <c r="Z410" s="215">
        <f t="shared" si="62"/>
        <v>6.3591022443890255E-2</v>
      </c>
      <c r="AA410" s="231">
        <v>1335189</v>
      </c>
      <c r="AC410" s="230">
        <v>43697</v>
      </c>
      <c r="AD410" s="1">
        <v>25.85</v>
      </c>
      <c r="AE410" s="1">
        <v>25.892926356589101</v>
      </c>
      <c r="AF410" s="1">
        <v>2064</v>
      </c>
      <c r="AG410" s="1">
        <v>37328.01</v>
      </c>
      <c r="AH410" s="215">
        <f t="shared" si="68"/>
        <v>7.2217303820765189E-3</v>
      </c>
      <c r="AI410" s="215">
        <f t="shared" si="63"/>
        <v>3.400000000000003E-2</v>
      </c>
      <c r="AJ410" s="231">
        <v>53443</v>
      </c>
      <c r="AL410" s="254"/>
      <c r="AQ410" s="215" t="str">
        <f t="shared" si="69"/>
        <v>NA</v>
      </c>
      <c r="AR410" s="215" t="str">
        <f t="shared" si="64"/>
        <v>NA</v>
      </c>
    </row>
    <row r="411" spans="2:44">
      <c r="B411" s="230">
        <v>43686</v>
      </c>
      <c r="C411" s="1">
        <v>232</v>
      </c>
      <c r="D411" s="1">
        <v>226.07692307692301</v>
      </c>
      <c r="E411" s="1">
        <v>676</v>
      </c>
      <c r="F411" s="215">
        <v>37581.910000000003</v>
      </c>
      <c r="G411" s="215">
        <f t="shared" si="65"/>
        <v>1.6877193020431669E-2</v>
      </c>
      <c r="H411" s="215">
        <f t="shared" si="60"/>
        <v>2.6548672566371723E-2</v>
      </c>
      <c r="I411" s="231">
        <v>152828</v>
      </c>
      <c r="K411" s="230">
        <v>43686</v>
      </c>
      <c r="L411" s="1">
        <v>170.15</v>
      </c>
      <c r="M411" s="1">
        <v>173.741222635274</v>
      </c>
      <c r="N411" s="1">
        <v>53262</v>
      </c>
      <c r="O411" s="1">
        <v>37581.910000000003</v>
      </c>
      <c r="P411" s="215">
        <f t="shared" si="66"/>
        <v>1.6877193020431669E-2</v>
      </c>
      <c r="Q411" s="215">
        <f t="shared" si="61"/>
        <v>-5.8428279287174867E-3</v>
      </c>
      <c r="R411" s="231">
        <v>9253805</v>
      </c>
      <c r="T411" s="230">
        <v>43686</v>
      </c>
      <c r="U411" s="1">
        <v>40.1</v>
      </c>
      <c r="V411" s="1">
        <v>41.269527307956203</v>
      </c>
      <c r="W411" s="1">
        <v>123865</v>
      </c>
      <c r="X411" s="1">
        <v>37581.910000000003</v>
      </c>
      <c r="Y411" s="215">
        <f t="shared" si="67"/>
        <v>1.6877193020431669E-2</v>
      </c>
      <c r="Z411" s="215">
        <f t="shared" si="62"/>
        <v>-6.1957868649318293E-3</v>
      </c>
      <c r="AA411" s="231">
        <v>5111850</v>
      </c>
      <c r="AC411" s="230">
        <v>43698</v>
      </c>
      <c r="AD411" s="1">
        <v>25</v>
      </c>
      <c r="AE411" s="1">
        <v>25.210371339767701</v>
      </c>
      <c r="AF411" s="1">
        <v>12226</v>
      </c>
      <c r="AG411" s="1">
        <v>37060.370000000003</v>
      </c>
      <c r="AH411" s="215">
        <f t="shared" si="68"/>
        <v>1.6106191633082467E-2</v>
      </c>
      <c r="AI411" s="215">
        <f t="shared" si="63"/>
        <v>2.8806584362139898E-2</v>
      </c>
      <c r="AJ411" s="231">
        <v>308222</v>
      </c>
      <c r="AL411" s="254"/>
      <c r="AQ411" s="215" t="str">
        <f t="shared" si="69"/>
        <v>NA</v>
      </c>
      <c r="AR411" s="215" t="str">
        <f t="shared" si="64"/>
        <v>NA</v>
      </c>
    </row>
    <row r="412" spans="2:44">
      <c r="B412" s="230">
        <v>43690</v>
      </c>
      <c r="C412" s="1">
        <v>226</v>
      </c>
      <c r="D412" s="1">
        <v>233.845098039215</v>
      </c>
      <c r="E412" s="1">
        <v>1020</v>
      </c>
      <c r="F412" s="215">
        <v>36958.160000000003</v>
      </c>
      <c r="G412" s="215">
        <f t="shared" si="65"/>
        <v>-9.4707989728642916E-3</v>
      </c>
      <c r="H412" s="215">
        <f t="shared" si="60"/>
        <v>5.7854917668003214E-3</v>
      </c>
      <c r="I412" s="231">
        <v>238522</v>
      </c>
      <c r="K412" s="230">
        <v>43690</v>
      </c>
      <c r="L412" s="1">
        <v>171.15</v>
      </c>
      <c r="M412" s="1">
        <v>174.955426508671</v>
      </c>
      <c r="N412" s="1">
        <v>12743</v>
      </c>
      <c r="O412" s="1">
        <v>36958.160000000003</v>
      </c>
      <c r="P412" s="215">
        <f t="shared" si="66"/>
        <v>-9.4707989728642916E-3</v>
      </c>
      <c r="Q412" s="215">
        <f t="shared" si="61"/>
        <v>-1.4964028776978333E-2</v>
      </c>
      <c r="R412" s="231">
        <v>2229457</v>
      </c>
      <c r="T412" s="230">
        <v>43690</v>
      </c>
      <c r="U412" s="1">
        <v>40.35</v>
      </c>
      <c r="V412" s="1">
        <v>38.295867318136601</v>
      </c>
      <c r="W412" s="1">
        <v>154113</v>
      </c>
      <c r="X412" s="1">
        <v>36958.160000000003</v>
      </c>
      <c r="Y412" s="215">
        <f t="shared" si="67"/>
        <v>-9.4707989728642916E-3</v>
      </c>
      <c r="Z412" s="215">
        <f t="shared" si="62"/>
        <v>1.2547051442910906E-2</v>
      </c>
      <c r="AA412" s="231">
        <v>5901891</v>
      </c>
      <c r="AC412" s="230">
        <v>43699</v>
      </c>
      <c r="AD412" s="1">
        <v>24.3</v>
      </c>
      <c r="AE412" s="1">
        <v>24.239930955120801</v>
      </c>
      <c r="AF412" s="1">
        <v>3476</v>
      </c>
      <c r="AG412" s="1">
        <v>36472.93</v>
      </c>
      <c r="AH412" s="215">
        <f t="shared" si="68"/>
        <v>-6.218604534570682E-3</v>
      </c>
      <c r="AI412" s="215">
        <f t="shared" si="63"/>
        <v>-2.8000000000000025E-2</v>
      </c>
      <c r="AJ412" s="231">
        <v>84258</v>
      </c>
      <c r="AL412" s="254"/>
      <c r="AQ412" s="215" t="str">
        <f t="shared" si="69"/>
        <v>NA</v>
      </c>
      <c r="AR412" s="215" t="str">
        <f t="shared" si="64"/>
        <v>NA</v>
      </c>
    </row>
    <row r="413" spans="2:44">
      <c r="B413" s="230">
        <v>43691</v>
      </c>
      <c r="C413" s="1">
        <v>224.7</v>
      </c>
      <c r="D413" s="1">
        <v>224.89171452009799</v>
      </c>
      <c r="E413" s="1">
        <v>1219</v>
      </c>
      <c r="F413" s="215">
        <v>37311.53</v>
      </c>
      <c r="G413" s="215">
        <f t="shared" si="65"/>
        <v>-1.0388127762192001E-3</v>
      </c>
      <c r="H413" s="215">
        <f t="shared" si="60"/>
        <v>-2.7272727272727337E-2</v>
      </c>
      <c r="I413" s="231">
        <v>274143</v>
      </c>
      <c r="K413" s="230">
        <v>43691</v>
      </c>
      <c r="L413" s="1">
        <v>173.75</v>
      </c>
      <c r="M413" s="1">
        <v>173.46940173068501</v>
      </c>
      <c r="N413" s="1">
        <v>16063</v>
      </c>
      <c r="O413" s="1">
        <v>37311.53</v>
      </c>
      <c r="P413" s="215">
        <f t="shared" si="66"/>
        <v>-1.0388127762192001E-3</v>
      </c>
      <c r="Q413" s="215">
        <f t="shared" si="61"/>
        <v>6.9545059403071097E-3</v>
      </c>
      <c r="R413" s="231">
        <v>2786439</v>
      </c>
      <c r="T413" s="230">
        <v>43691</v>
      </c>
      <c r="U413" s="1">
        <v>39.85</v>
      </c>
      <c r="V413" s="1">
        <v>39.467251272058</v>
      </c>
      <c r="W413" s="1">
        <v>18474</v>
      </c>
      <c r="X413" s="1">
        <v>37311.53</v>
      </c>
      <c r="Y413" s="215">
        <f t="shared" si="67"/>
        <v>-1.0388127762192001E-3</v>
      </c>
      <c r="Z413" s="215">
        <f t="shared" si="62"/>
        <v>2.3106546854942289E-2</v>
      </c>
      <c r="AA413" s="231">
        <v>729118</v>
      </c>
      <c r="AC413" s="230">
        <v>43700</v>
      </c>
      <c r="AD413" s="1">
        <v>25</v>
      </c>
      <c r="AE413" s="1">
        <v>24.308527131782899</v>
      </c>
      <c r="AF413" s="1">
        <v>1935</v>
      </c>
      <c r="AG413" s="1">
        <v>36701.160000000003</v>
      </c>
      <c r="AH413" s="215">
        <f t="shared" si="68"/>
        <v>-2.1148916150052322E-2</v>
      </c>
      <c r="AI413" s="215">
        <f t="shared" si="63"/>
        <v>4.0160642570281624E-3</v>
      </c>
      <c r="AJ413" s="231">
        <v>47037</v>
      </c>
      <c r="AL413" s="254"/>
      <c r="AQ413" s="215" t="str">
        <f t="shared" si="69"/>
        <v>NA</v>
      </c>
      <c r="AR413" s="215" t="str">
        <f t="shared" si="64"/>
        <v>NA</v>
      </c>
    </row>
    <row r="414" spans="2:44">
      <c r="B414" s="230">
        <v>43693</v>
      </c>
      <c r="C414" s="1">
        <v>231</v>
      </c>
      <c r="D414" s="1">
        <v>229.42222222222199</v>
      </c>
      <c r="E414" s="1">
        <v>90</v>
      </c>
      <c r="F414" s="215">
        <v>37350.33</v>
      </c>
      <c r="G414" s="215">
        <f t="shared" si="65"/>
        <v>-1.3945595600719507E-3</v>
      </c>
      <c r="H414" s="215">
        <f t="shared" si="60"/>
        <v>2.6666666666666616E-2</v>
      </c>
      <c r="I414" s="231">
        <v>20648</v>
      </c>
      <c r="K414" s="230">
        <v>43693</v>
      </c>
      <c r="L414" s="1">
        <v>172.55</v>
      </c>
      <c r="M414" s="1">
        <v>171.622646714019</v>
      </c>
      <c r="N414" s="1">
        <v>14501</v>
      </c>
      <c r="O414" s="1">
        <v>37350.33</v>
      </c>
      <c r="P414" s="215">
        <f t="shared" si="66"/>
        <v>-1.3945595600719507E-3</v>
      </c>
      <c r="Q414" s="215">
        <f t="shared" si="61"/>
        <v>2.0100502512562901E-2</v>
      </c>
      <c r="R414" s="231">
        <v>2488700</v>
      </c>
      <c r="T414" s="230">
        <v>43693</v>
      </c>
      <c r="U414" s="1">
        <v>38.950000000000003</v>
      </c>
      <c r="V414" s="1">
        <v>38.990626591950999</v>
      </c>
      <c r="W414" s="1">
        <v>9815</v>
      </c>
      <c r="X414" s="1">
        <v>37350.33</v>
      </c>
      <c r="Y414" s="215">
        <f t="shared" si="67"/>
        <v>-1.3945595600719507E-3</v>
      </c>
      <c r="Z414" s="215">
        <f t="shared" si="62"/>
        <v>-1.6414141414141326E-2</v>
      </c>
      <c r="AA414" s="231">
        <v>382693</v>
      </c>
      <c r="AC414" s="230">
        <v>43703</v>
      </c>
      <c r="AD414" s="1">
        <v>24.9</v>
      </c>
      <c r="AE414" s="1">
        <v>24.935203094777499</v>
      </c>
      <c r="AF414" s="1">
        <v>2068</v>
      </c>
      <c r="AG414" s="1">
        <v>37494.120000000003</v>
      </c>
      <c r="AH414" s="215">
        <f t="shared" si="68"/>
        <v>1.1289164964927156E-3</v>
      </c>
      <c r="AI414" s="215">
        <f t="shared" si="63"/>
        <v>-9.9403578528827197E-3</v>
      </c>
      <c r="AJ414" s="231">
        <v>51566</v>
      </c>
      <c r="AL414" s="254"/>
      <c r="AQ414" s="215" t="str">
        <f t="shared" si="69"/>
        <v>NA</v>
      </c>
      <c r="AR414" s="215" t="str">
        <f t="shared" si="64"/>
        <v>NA</v>
      </c>
    </row>
    <row r="415" spans="2:44">
      <c r="B415" s="230">
        <v>43696</v>
      </c>
      <c r="C415" s="1">
        <v>225</v>
      </c>
      <c r="D415" s="1">
        <v>227.61292834890901</v>
      </c>
      <c r="E415" s="1">
        <v>3852</v>
      </c>
      <c r="F415" s="215">
        <v>37402.49</v>
      </c>
      <c r="G415" s="215">
        <f t="shared" si="65"/>
        <v>1.9952845061923519E-3</v>
      </c>
      <c r="H415" s="215">
        <f t="shared" si="60"/>
        <v>3.1636863823933936E-2</v>
      </c>
      <c r="I415" s="231">
        <v>876765</v>
      </c>
      <c r="K415" s="230">
        <v>43696</v>
      </c>
      <c r="L415" s="1">
        <v>169.15</v>
      </c>
      <c r="M415" s="1">
        <v>172.150055991041</v>
      </c>
      <c r="N415" s="1">
        <v>8930</v>
      </c>
      <c r="O415" s="1">
        <v>37402.49</v>
      </c>
      <c r="P415" s="215">
        <f t="shared" si="66"/>
        <v>1.9952845061923519E-3</v>
      </c>
      <c r="Q415" s="215">
        <f t="shared" si="61"/>
        <v>7.7450104259757513E-3</v>
      </c>
      <c r="R415" s="231">
        <v>1537300</v>
      </c>
      <c r="T415" s="230">
        <v>43696</v>
      </c>
      <c r="U415" s="1">
        <v>39.6</v>
      </c>
      <c r="V415" s="1">
        <v>39.183119266055002</v>
      </c>
      <c r="W415" s="1">
        <v>10900</v>
      </c>
      <c r="X415" s="1">
        <v>37402.49</v>
      </c>
      <c r="Y415" s="215">
        <f t="shared" si="67"/>
        <v>1.9952845061923519E-3</v>
      </c>
      <c r="Z415" s="215">
        <f t="shared" si="62"/>
        <v>8.9171974522292974E-3</v>
      </c>
      <c r="AA415" s="231">
        <v>427096</v>
      </c>
      <c r="AC415" s="230">
        <v>43705</v>
      </c>
      <c r="AD415" s="1">
        <v>25.15</v>
      </c>
      <c r="AE415" s="1">
        <v>25.8350211427951</v>
      </c>
      <c r="AF415" s="1">
        <v>46115</v>
      </c>
      <c r="AG415" s="1">
        <v>37451.839999999997</v>
      </c>
      <c r="AH415" s="215">
        <f t="shared" si="68"/>
        <v>1.0329675013549089E-2</v>
      </c>
      <c r="AI415" s="215">
        <f t="shared" si="63"/>
        <v>1.6161616161616044E-2</v>
      </c>
      <c r="AJ415" s="231">
        <v>1191382</v>
      </c>
      <c r="AL415" s="254"/>
      <c r="AQ415" s="215" t="str">
        <f t="shared" si="69"/>
        <v>NA</v>
      </c>
      <c r="AR415" s="215" t="str">
        <f t="shared" si="64"/>
        <v>NA</v>
      </c>
    </row>
    <row r="416" spans="2:44">
      <c r="B416" s="230">
        <v>43697</v>
      </c>
      <c r="C416" s="1">
        <v>218.1</v>
      </c>
      <c r="D416" s="1">
        <v>220.52808988763999</v>
      </c>
      <c r="E416" s="1">
        <v>534</v>
      </c>
      <c r="F416" s="215">
        <v>37328.01</v>
      </c>
      <c r="G416" s="215">
        <f t="shared" si="65"/>
        <v>7.2217303820765189E-3</v>
      </c>
      <c r="H416" s="215">
        <f t="shared" si="60"/>
        <v>-8.8616223585549214E-3</v>
      </c>
      <c r="I416" s="231">
        <v>117762</v>
      </c>
      <c r="K416" s="230">
        <v>43697</v>
      </c>
      <c r="L416" s="1">
        <v>167.85</v>
      </c>
      <c r="M416" s="1">
        <v>168.201162790697</v>
      </c>
      <c r="N416" s="1">
        <v>860</v>
      </c>
      <c r="O416" s="1">
        <v>37328.01</v>
      </c>
      <c r="P416" s="215">
        <f t="shared" si="66"/>
        <v>7.2217303820765189E-3</v>
      </c>
      <c r="Q416" s="215">
        <f t="shared" si="61"/>
        <v>8.081133290405651E-2</v>
      </c>
      <c r="R416" s="231">
        <v>144653</v>
      </c>
      <c r="T416" s="230">
        <v>43697</v>
      </c>
      <c r="U416" s="1">
        <v>39.25</v>
      </c>
      <c r="V416" s="1">
        <v>39.120237351655199</v>
      </c>
      <c r="W416" s="1">
        <v>16010</v>
      </c>
      <c r="X416" s="1">
        <v>37328.01</v>
      </c>
      <c r="Y416" s="215">
        <f t="shared" si="67"/>
        <v>7.2217303820765189E-3</v>
      </c>
      <c r="Z416" s="215">
        <f t="shared" si="62"/>
        <v>6.4102564102563875E-3</v>
      </c>
      <c r="AA416" s="231">
        <v>626315</v>
      </c>
      <c r="AC416" s="230">
        <v>43706</v>
      </c>
      <c r="AD416" s="1">
        <v>24.75</v>
      </c>
      <c r="AE416" s="1">
        <v>24.96</v>
      </c>
      <c r="AF416" s="1">
        <v>625</v>
      </c>
      <c r="AG416" s="1">
        <v>37068.93</v>
      </c>
      <c r="AH416" s="215">
        <f t="shared" si="68"/>
        <v>-7.0677814328905519E-3</v>
      </c>
      <c r="AI416" s="215">
        <f t="shared" si="63"/>
        <v>-7.1294559099437049E-2</v>
      </c>
      <c r="AJ416" s="231">
        <v>15600</v>
      </c>
      <c r="AL416" s="254"/>
      <c r="AQ416" s="215" t="str">
        <f t="shared" si="69"/>
        <v>NA</v>
      </c>
      <c r="AR416" s="215" t="str">
        <f t="shared" si="64"/>
        <v>NA</v>
      </c>
    </row>
    <row r="417" spans="2:44">
      <c r="B417" s="230">
        <v>43698</v>
      </c>
      <c r="C417" s="1">
        <v>220.05</v>
      </c>
      <c r="D417" s="1">
        <v>222.190697674418</v>
      </c>
      <c r="E417" s="1">
        <v>430</v>
      </c>
      <c r="F417" s="215">
        <v>37060.370000000003</v>
      </c>
      <c r="G417" s="215">
        <f t="shared" si="65"/>
        <v>1.6106191633082467E-2</v>
      </c>
      <c r="H417" s="215">
        <f t="shared" si="60"/>
        <v>-8.7837837837837496E-3</v>
      </c>
      <c r="I417" s="231">
        <v>95542</v>
      </c>
      <c r="K417" s="230">
        <v>43698</v>
      </c>
      <c r="L417" s="1">
        <v>155.30000000000001</v>
      </c>
      <c r="M417" s="1">
        <v>163.46232233842801</v>
      </c>
      <c r="N417" s="1">
        <v>11187</v>
      </c>
      <c r="O417" s="1">
        <v>37060.370000000003</v>
      </c>
      <c r="P417" s="215">
        <f t="shared" si="66"/>
        <v>1.6106191633082467E-2</v>
      </c>
      <c r="Q417" s="215">
        <f t="shared" si="61"/>
        <v>0.15037037037037049</v>
      </c>
      <c r="R417" s="231">
        <v>1828653</v>
      </c>
      <c r="T417" s="230">
        <v>43698</v>
      </c>
      <c r="U417" s="1">
        <v>39</v>
      </c>
      <c r="V417" s="1">
        <v>38.9444354484258</v>
      </c>
      <c r="W417" s="1">
        <v>43229</v>
      </c>
      <c r="X417" s="1">
        <v>37060.370000000003</v>
      </c>
      <c r="Y417" s="215">
        <f t="shared" si="67"/>
        <v>1.6106191633082467E-2</v>
      </c>
      <c r="Z417" s="215">
        <f t="shared" si="62"/>
        <v>2.766798418972316E-2</v>
      </c>
      <c r="AA417" s="231">
        <v>1683529</v>
      </c>
      <c r="AC417" s="230">
        <v>43707</v>
      </c>
      <c r="AD417" s="1">
        <v>26.65</v>
      </c>
      <c r="AE417" s="1">
        <v>25.401929601357001</v>
      </c>
      <c r="AF417" s="1">
        <v>9432</v>
      </c>
      <c r="AG417" s="1">
        <v>37332.79</v>
      </c>
      <c r="AH417" s="215">
        <f t="shared" si="68"/>
        <v>2.1056310889915331E-2</v>
      </c>
      <c r="AI417" s="215">
        <f t="shared" si="63"/>
        <v>-0.1658841940532082</v>
      </c>
      <c r="AJ417" s="231">
        <v>239591</v>
      </c>
      <c r="AL417" s="254"/>
      <c r="AQ417" s="215" t="str">
        <f t="shared" si="69"/>
        <v>NA</v>
      </c>
      <c r="AR417" s="215" t="str">
        <f t="shared" si="64"/>
        <v>NA</v>
      </c>
    </row>
    <row r="418" spans="2:44">
      <c r="B418" s="230">
        <v>43699</v>
      </c>
      <c r="C418" s="1">
        <v>222</v>
      </c>
      <c r="D418" s="1">
        <v>225.63461538461499</v>
      </c>
      <c r="E418" s="1">
        <v>208</v>
      </c>
      <c r="F418" s="215">
        <v>36472.93</v>
      </c>
      <c r="G418" s="215">
        <f t="shared" si="65"/>
        <v>-6.218604534570682E-3</v>
      </c>
      <c r="H418" s="215">
        <f t="shared" si="60"/>
        <v>-8.9285714285713969E-3</v>
      </c>
      <c r="I418" s="231">
        <v>46932</v>
      </c>
      <c r="K418" s="230">
        <v>43699</v>
      </c>
      <c r="L418" s="1">
        <v>135</v>
      </c>
      <c r="M418" s="1">
        <v>138.71386793393299</v>
      </c>
      <c r="N418" s="1">
        <v>30091</v>
      </c>
      <c r="O418" s="1">
        <v>36472.93</v>
      </c>
      <c r="P418" s="215">
        <f t="shared" si="66"/>
        <v>-6.218604534570682E-3</v>
      </c>
      <c r="Q418" s="215">
        <f t="shared" si="61"/>
        <v>1.3513513513513598E-2</v>
      </c>
      <c r="R418" s="231">
        <v>4174039</v>
      </c>
      <c r="T418" s="230">
        <v>43699</v>
      </c>
      <c r="U418" s="1">
        <v>37.950000000000003</v>
      </c>
      <c r="V418" s="1">
        <v>35.116057593537199</v>
      </c>
      <c r="W418" s="1">
        <v>172311</v>
      </c>
      <c r="X418" s="1">
        <v>36472.93</v>
      </c>
      <c r="Y418" s="215">
        <f t="shared" si="67"/>
        <v>-6.218604534570682E-3</v>
      </c>
      <c r="Z418" s="215">
        <f t="shared" si="62"/>
        <v>-9.1383812010442655E-3</v>
      </c>
      <c r="AA418" s="231">
        <v>6050883</v>
      </c>
      <c r="AC418" s="230">
        <v>43711</v>
      </c>
      <c r="AD418" s="1">
        <v>31.95</v>
      </c>
      <c r="AE418" s="1">
        <v>30.608873841767601</v>
      </c>
      <c r="AF418" s="1">
        <v>5612</v>
      </c>
      <c r="AG418" s="1">
        <v>36562.910000000003</v>
      </c>
      <c r="AH418" s="215">
        <f t="shared" si="68"/>
        <v>-4.4065662547916329E-3</v>
      </c>
      <c r="AI418" s="215">
        <f t="shared" si="63"/>
        <v>3.9024390243902474E-2</v>
      </c>
      <c r="AJ418" s="231">
        <v>171777</v>
      </c>
      <c r="AL418" s="254"/>
      <c r="AQ418" s="215" t="str">
        <f t="shared" si="69"/>
        <v>NA</v>
      </c>
      <c r="AR418" s="215" t="str">
        <f t="shared" si="64"/>
        <v>NA</v>
      </c>
    </row>
    <row r="419" spans="2:44">
      <c r="B419" s="230">
        <v>43700</v>
      </c>
      <c r="C419" s="1">
        <v>224</v>
      </c>
      <c r="D419" s="1">
        <v>228.273243801652</v>
      </c>
      <c r="E419" s="1">
        <v>1936</v>
      </c>
      <c r="F419" s="215">
        <v>36701.160000000003</v>
      </c>
      <c r="G419" s="215">
        <f t="shared" si="65"/>
        <v>-2.1148916150052322E-2</v>
      </c>
      <c r="H419" s="215">
        <f t="shared" si="60"/>
        <v>-2.6086956521739091E-2</v>
      </c>
      <c r="I419" s="231">
        <v>441937</v>
      </c>
      <c r="K419" s="230">
        <v>43700</v>
      </c>
      <c r="L419" s="1">
        <v>133.19999999999999</v>
      </c>
      <c r="M419" s="1">
        <v>135.69461985349801</v>
      </c>
      <c r="N419" s="1">
        <v>19795</v>
      </c>
      <c r="O419" s="1">
        <v>36701.160000000003</v>
      </c>
      <c r="P419" s="215">
        <f t="shared" si="66"/>
        <v>-2.1148916150052322E-2</v>
      </c>
      <c r="Q419" s="215">
        <f t="shared" si="61"/>
        <v>4.6347211311861702E-2</v>
      </c>
      <c r="R419" s="231">
        <v>2686075</v>
      </c>
      <c r="T419" s="230">
        <v>43700</v>
      </c>
      <c r="U419" s="1">
        <v>38.299999999999997</v>
      </c>
      <c r="V419" s="1">
        <v>37.056939785976603</v>
      </c>
      <c r="W419" s="1">
        <v>37566</v>
      </c>
      <c r="X419" s="1">
        <v>36701.160000000003</v>
      </c>
      <c r="Y419" s="215">
        <f t="shared" si="67"/>
        <v>-2.1148916150052322E-2</v>
      </c>
      <c r="Z419" s="215">
        <f t="shared" si="62"/>
        <v>6.5703022339027584E-3</v>
      </c>
      <c r="AA419" s="231">
        <v>1392081</v>
      </c>
      <c r="AC419" s="230">
        <v>43712</v>
      </c>
      <c r="AD419" s="1">
        <v>30.75</v>
      </c>
      <c r="AE419" s="1">
        <v>30.9168730102582</v>
      </c>
      <c r="AF419" s="1">
        <v>5654</v>
      </c>
      <c r="AG419" s="1">
        <v>36724.74</v>
      </c>
      <c r="AH419" s="215">
        <f t="shared" si="68"/>
        <v>2.191875325083581E-3</v>
      </c>
      <c r="AI419" s="215">
        <f t="shared" si="63"/>
        <v>4.9019607843137081E-3</v>
      </c>
      <c r="AJ419" s="231">
        <v>174804</v>
      </c>
      <c r="AL419" s="254"/>
      <c r="AQ419" s="215" t="str">
        <f t="shared" si="69"/>
        <v>NA</v>
      </c>
      <c r="AR419" s="215" t="str">
        <f t="shared" si="64"/>
        <v>NA</v>
      </c>
    </row>
    <row r="420" spans="2:44">
      <c r="B420" s="230">
        <v>43703</v>
      </c>
      <c r="C420" s="1">
        <v>230</v>
      </c>
      <c r="D420" s="1">
        <v>232.655199374511</v>
      </c>
      <c r="E420" s="1">
        <v>5116</v>
      </c>
      <c r="F420" s="215">
        <v>37494.120000000003</v>
      </c>
      <c r="G420" s="215">
        <f t="shared" si="65"/>
        <v>-3.909272986803991E-3</v>
      </c>
      <c r="H420" s="215">
        <f t="shared" si="60"/>
        <v>4.5216996137241505E-2</v>
      </c>
      <c r="I420" s="231">
        <v>1190264</v>
      </c>
      <c r="K420" s="230">
        <v>43703</v>
      </c>
      <c r="L420" s="1">
        <v>127.3</v>
      </c>
      <c r="M420" s="1">
        <v>131.00836402913501</v>
      </c>
      <c r="N420" s="1">
        <v>36107</v>
      </c>
      <c r="O420" s="1">
        <v>37494.120000000003</v>
      </c>
      <c r="P420" s="215">
        <f t="shared" si="66"/>
        <v>-3.909272986803991E-3</v>
      </c>
      <c r="Q420" s="215">
        <f t="shared" si="61"/>
        <v>-7.4854651162790664E-2</v>
      </c>
      <c r="R420" s="231">
        <v>4730319</v>
      </c>
      <c r="T420" s="230">
        <v>43703</v>
      </c>
      <c r="U420" s="1">
        <v>38.049999999999997</v>
      </c>
      <c r="V420" s="1">
        <v>37.611919995969501</v>
      </c>
      <c r="W420" s="1">
        <v>39698</v>
      </c>
      <c r="X420" s="1">
        <v>37494.120000000003</v>
      </c>
      <c r="Y420" s="215">
        <f t="shared" si="67"/>
        <v>-3.909272986803991E-3</v>
      </c>
      <c r="Z420" s="215">
        <f t="shared" si="62"/>
        <v>-0.1171693735498841</v>
      </c>
      <c r="AA420" s="231">
        <v>1493118</v>
      </c>
      <c r="AC420" s="230">
        <v>43713</v>
      </c>
      <c r="AD420" s="1">
        <v>30.6</v>
      </c>
      <c r="AE420" s="1">
        <v>30.612903225806399</v>
      </c>
      <c r="AF420" s="1">
        <v>775</v>
      </c>
      <c r="AG420" s="1">
        <v>36644.42</v>
      </c>
      <c r="AH420" s="215">
        <f t="shared" si="68"/>
        <v>-9.1220620321850188E-3</v>
      </c>
      <c r="AI420" s="215">
        <f t="shared" si="63"/>
        <v>0</v>
      </c>
      <c r="AJ420" s="231">
        <v>23725</v>
      </c>
      <c r="AL420" s="254"/>
      <c r="AQ420" s="215" t="str">
        <f t="shared" si="69"/>
        <v>NA</v>
      </c>
      <c r="AR420" s="215" t="str">
        <f t="shared" si="64"/>
        <v>NA</v>
      </c>
    </row>
    <row r="421" spans="2:44">
      <c r="B421" s="230">
        <v>43704</v>
      </c>
      <c r="C421" s="1">
        <v>220.05</v>
      </c>
      <c r="D421" s="1">
        <v>224.15974842767201</v>
      </c>
      <c r="E421" s="1">
        <v>1590</v>
      </c>
      <c r="F421" s="215">
        <v>37641.269999999997</v>
      </c>
      <c r="G421" s="215">
        <f t="shared" si="65"/>
        <v>5.0579624392286249E-3</v>
      </c>
      <c r="H421" s="215">
        <f t="shared" si="60"/>
        <v>2.2727272727274261E-4</v>
      </c>
      <c r="I421" s="231">
        <v>356414</v>
      </c>
      <c r="K421" s="230">
        <v>43704</v>
      </c>
      <c r="L421" s="1">
        <v>137.6</v>
      </c>
      <c r="M421" s="1">
        <v>137.24397448808301</v>
      </c>
      <c r="N421" s="1">
        <v>44685</v>
      </c>
      <c r="O421" s="1">
        <v>37641.269999999997</v>
      </c>
      <c r="P421" s="215">
        <f t="shared" si="66"/>
        <v>5.0579624392286249E-3</v>
      </c>
      <c r="Q421" s="215">
        <f t="shared" si="61"/>
        <v>3.0325720703856085E-2</v>
      </c>
      <c r="R421" s="231">
        <v>6132747</v>
      </c>
      <c r="T421" s="230">
        <v>43704</v>
      </c>
      <c r="U421" s="1">
        <v>43.1</v>
      </c>
      <c r="V421" s="1">
        <v>41.9967848738576</v>
      </c>
      <c r="W421" s="1">
        <v>73092</v>
      </c>
      <c r="X421" s="1">
        <v>37641.269999999997</v>
      </c>
      <c r="Y421" s="215">
        <f t="shared" si="67"/>
        <v>5.0579624392286249E-3</v>
      </c>
      <c r="Z421" s="215">
        <f t="shared" si="62"/>
        <v>4.3583535108958849E-2</v>
      </c>
      <c r="AA421" s="231">
        <v>3069629</v>
      </c>
      <c r="AC421" s="230">
        <v>43714</v>
      </c>
      <c r="AD421" s="1">
        <v>30.6</v>
      </c>
      <c r="AE421" s="1">
        <v>30.6</v>
      </c>
      <c r="AF421" s="1">
        <v>500</v>
      </c>
      <c r="AG421" s="1">
        <v>36981.769999999997</v>
      </c>
      <c r="AH421" s="215">
        <f t="shared" si="68"/>
        <v>-4.4064616258518985E-3</v>
      </c>
      <c r="AI421" s="215">
        <f t="shared" si="63"/>
        <v>3.7288135593220417E-2</v>
      </c>
      <c r="AJ421" s="231">
        <v>15300</v>
      </c>
      <c r="AL421" s="254"/>
      <c r="AQ421" s="215" t="str">
        <f t="shared" si="69"/>
        <v>NA</v>
      </c>
      <c r="AR421" s="215" t="str">
        <f t="shared" si="64"/>
        <v>NA</v>
      </c>
    </row>
    <row r="422" spans="2:44">
      <c r="B422" s="230">
        <v>43705</v>
      </c>
      <c r="C422" s="1">
        <v>220</v>
      </c>
      <c r="D422" s="1">
        <v>220.54198473282401</v>
      </c>
      <c r="E422" s="1">
        <v>393</v>
      </c>
      <c r="F422" s="215">
        <v>37451.839999999997</v>
      </c>
      <c r="G422" s="215">
        <f t="shared" si="65"/>
        <v>1.0329675013549089E-2</v>
      </c>
      <c r="H422" s="215">
        <f t="shared" si="60"/>
        <v>-3.9301310043668103E-2</v>
      </c>
      <c r="I422" s="231">
        <v>86673</v>
      </c>
      <c r="K422" s="230">
        <v>43705</v>
      </c>
      <c r="L422" s="1">
        <v>133.55000000000001</v>
      </c>
      <c r="M422" s="1">
        <v>134.779315748237</v>
      </c>
      <c r="N422" s="1">
        <v>26803</v>
      </c>
      <c r="O422" s="1">
        <v>37451.839999999997</v>
      </c>
      <c r="P422" s="215">
        <f t="shared" si="66"/>
        <v>1.0329675013549089E-2</v>
      </c>
      <c r="Q422" s="215">
        <f t="shared" si="61"/>
        <v>1.0594021944759779E-2</v>
      </c>
      <c r="R422" s="231">
        <v>3612490</v>
      </c>
      <c r="T422" s="230">
        <v>43705</v>
      </c>
      <c r="U422" s="1">
        <v>41.3</v>
      </c>
      <c r="V422" s="1">
        <v>41.440325616000699</v>
      </c>
      <c r="W422" s="1">
        <v>22849</v>
      </c>
      <c r="X422" s="1">
        <v>37451.839999999997</v>
      </c>
      <c r="Y422" s="215">
        <f t="shared" si="67"/>
        <v>1.0329675013549089E-2</v>
      </c>
      <c r="Z422" s="215">
        <f t="shared" si="62"/>
        <v>1.9753086419753041E-2</v>
      </c>
      <c r="AA422" s="231">
        <v>946870</v>
      </c>
      <c r="AC422" s="230">
        <v>43717</v>
      </c>
      <c r="AD422" s="1">
        <v>29.5</v>
      </c>
      <c r="AE422" s="1">
        <v>30.0275229357798</v>
      </c>
      <c r="AF422" s="1">
        <v>109</v>
      </c>
      <c r="AG422" s="1">
        <v>37145.449999999997</v>
      </c>
      <c r="AH422" s="215">
        <f t="shared" si="68"/>
        <v>-3.363757491785857E-3</v>
      </c>
      <c r="AI422" s="215">
        <f t="shared" si="63"/>
        <v>-1.6666666666666718E-2</v>
      </c>
      <c r="AJ422" s="231">
        <v>3273</v>
      </c>
      <c r="AL422" s="254"/>
      <c r="AQ422" s="215" t="str">
        <f t="shared" si="69"/>
        <v>NA</v>
      </c>
      <c r="AR422" s="215" t="str">
        <f t="shared" si="64"/>
        <v>NA</v>
      </c>
    </row>
    <row r="423" spans="2:44">
      <c r="B423" s="230">
        <v>43706</v>
      </c>
      <c r="C423" s="1">
        <v>229</v>
      </c>
      <c r="D423" s="1">
        <v>228.71212121212099</v>
      </c>
      <c r="E423" s="1">
        <v>66</v>
      </c>
      <c r="F423" s="215">
        <v>37068.93</v>
      </c>
      <c r="G423" s="215">
        <f t="shared" si="65"/>
        <v>-7.0677814328905519E-3</v>
      </c>
      <c r="H423" s="215">
        <f t="shared" si="60"/>
        <v>1.4846000443164087E-2</v>
      </c>
      <c r="I423" s="231">
        <v>15095</v>
      </c>
      <c r="K423" s="230">
        <v>43706</v>
      </c>
      <c r="L423" s="1">
        <v>132.15</v>
      </c>
      <c r="M423" s="1">
        <v>132.03250724171201</v>
      </c>
      <c r="N423" s="1">
        <v>6214</v>
      </c>
      <c r="O423" s="1">
        <v>37068.93</v>
      </c>
      <c r="P423" s="215">
        <f t="shared" si="66"/>
        <v>-7.0677814328905519E-3</v>
      </c>
      <c r="Q423" s="215">
        <f t="shared" si="61"/>
        <v>-1.0853293413173537E-2</v>
      </c>
      <c r="R423" s="231">
        <v>820450</v>
      </c>
      <c r="T423" s="230">
        <v>43706</v>
      </c>
      <c r="U423" s="1">
        <v>40.5</v>
      </c>
      <c r="V423" s="1">
        <v>40.5680510911859</v>
      </c>
      <c r="W423" s="1">
        <v>47288</v>
      </c>
      <c r="X423" s="1">
        <v>37068.93</v>
      </c>
      <c r="Y423" s="215">
        <f t="shared" si="67"/>
        <v>-7.0677814328905519E-3</v>
      </c>
      <c r="Z423" s="215">
        <f t="shared" si="62"/>
        <v>-8.98876404494382E-2</v>
      </c>
      <c r="AA423" s="231">
        <v>1918382</v>
      </c>
      <c r="AC423" s="230">
        <v>43719</v>
      </c>
      <c r="AD423" s="1">
        <v>30</v>
      </c>
      <c r="AE423" s="1">
        <v>31.206539074960101</v>
      </c>
      <c r="AF423" s="1">
        <v>1254</v>
      </c>
      <c r="AG423" s="1">
        <v>37270.82</v>
      </c>
      <c r="AH423" s="215">
        <f t="shared" si="68"/>
        <v>4.488430984242342E-3</v>
      </c>
      <c r="AI423" s="215">
        <f t="shared" si="63"/>
        <v>-4.3062200956937802E-2</v>
      </c>
      <c r="AJ423" s="231">
        <v>39133</v>
      </c>
      <c r="AL423" s="254"/>
      <c r="AQ423" s="215" t="str">
        <f t="shared" si="69"/>
        <v>NA</v>
      </c>
      <c r="AR423" s="215" t="str">
        <f t="shared" si="64"/>
        <v>NA</v>
      </c>
    </row>
    <row r="424" spans="2:44">
      <c r="B424" s="230">
        <v>43707</v>
      </c>
      <c r="C424" s="1">
        <v>225.65</v>
      </c>
      <c r="D424" s="1">
        <v>227.288617886178</v>
      </c>
      <c r="E424" s="1">
        <v>246</v>
      </c>
      <c r="F424" s="215">
        <v>37332.79</v>
      </c>
      <c r="G424" s="215">
        <f t="shared" si="65"/>
        <v>2.1056310889915331E-2</v>
      </c>
      <c r="H424" s="215">
        <f t="shared" si="60"/>
        <v>3.675626005053978E-2</v>
      </c>
      <c r="I424" s="231">
        <v>55913</v>
      </c>
      <c r="K424" s="230">
        <v>43707</v>
      </c>
      <c r="L424" s="1">
        <v>133.6</v>
      </c>
      <c r="M424" s="1">
        <v>133.91922550361801</v>
      </c>
      <c r="N424" s="1">
        <v>5113</v>
      </c>
      <c r="O424" s="1">
        <v>37332.79</v>
      </c>
      <c r="P424" s="215">
        <f t="shared" si="66"/>
        <v>2.1056310889915331E-2</v>
      </c>
      <c r="Q424" s="215">
        <f t="shared" si="61"/>
        <v>2.8879476318829367E-2</v>
      </c>
      <c r="R424" s="231">
        <v>684729</v>
      </c>
      <c r="T424" s="230">
        <v>43707</v>
      </c>
      <c r="U424" s="1">
        <v>44.5</v>
      </c>
      <c r="V424" s="1">
        <v>43.8006902702014</v>
      </c>
      <c r="W424" s="1">
        <v>86343</v>
      </c>
      <c r="X424" s="1">
        <v>37332.79</v>
      </c>
      <c r="Y424" s="215">
        <f t="shared" si="67"/>
        <v>2.1056310889915331E-2</v>
      </c>
      <c r="Z424" s="215">
        <f t="shared" si="62"/>
        <v>-4.094827586206895E-2</v>
      </c>
      <c r="AA424" s="231">
        <v>3781883</v>
      </c>
      <c r="AC424" s="230">
        <v>43720</v>
      </c>
      <c r="AD424" s="1">
        <v>31.35</v>
      </c>
      <c r="AE424" s="1">
        <v>31.147239263803598</v>
      </c>
      <c r="AF424" s="1">
        <v>1630</v>
      </c>
      <c r="AG424" s="1">
        <v>37104.28</v>
      </c>
      <c r="AH424" s="215">
        <f t="shared" si="68"/>
        <v>-7.5086284629205524E-3</v>
      </c>
      <c r="AI424" s="215">
        <f t="shared" si="63"/>
        <v>-3.6866359447004449E-2</v>
      </c>
      <c r="AJ424" s="231">
        <v>50770</v>
      </c>
      <c r="AL424" s="254"/>
      <c r="AQ424" s="215" t="str">
        <f t="shared" si="69"/>
        <v>NA</v>
      </c>
      <c r="AR424" s="215" t="str">
        <f t="shared" si="64"/>
        <v>NA</v>
      </c>
    </row>
    <row r="425" spans="2:44">
      <c r="B425" s="230">
        <v>43711</v>
      </c>
      <c r="C425" s="1">
        <v>217.65</v>
      </c>
      <c r="D425" s="1">
        <v>220.70034843205499</v>
      </c>
      <c r="E425" s="1">
        <v>287</v>
      </c>
      <c r="F425" s="215">
        <v>36562.910000000003</v>
      </c>
      <c r="G425" s="215">
        <f t="shared" si="65"/>
        <v>-4.4065662547916329E-3</v>
      </c>
      <c r="H425" s="215">
        <f t="shared" si="60"/>
        <v>-4.9563318777292587E-2</v>
      </c>
      <c r="I425" s="231">
        <v>63341</v>
      </c>
      <c r="K425" s="230">
        <v>43711</v>
      </c>
      <c r="L425" s="1">
        <v>129.85</v>
      </c>
      <c r="M425" s="1">
        <v>130.97491856677499</v>
      </c>
      <c r="N425" s="1">
        <v>3070</v>
      </c>
      <c r="O425" s="1">
        <v>36562.910000000003</v>
      </c>
      <c r="P425" s="215">
        <f t="shared" si="66"/>
        <v>-4.4065662547916329E-3</v>
      </c>
      <c r="Q425" s="215">
        <f t="shared" si="61"/>
        <v>2.7027027027026751E-3</v>
      </c>
      <c r="R425" s="231">
        <v>402093</v>
      </c>
      <c r="T425" s="230">
        <v>43711</v>
      </c>
      <c r="U425" s="1">
        <v>46.4</v>
      </c>
      <c r="V425" s="1">
        <v>45.267583551494504</v>
      </c>
      <c r="W425" s="1">
        <v>137131</v>
      </c>
      <c r="X425" s="1">
        <v>36562.910000000003</v>
      </c>
      <c r="Y425" s="215">
        <f t="shared" si="67"/>
        <v>-4.4065662547916329E-3</v>
      </c>
      <c r="Z425" s="215">
        <f t="shared" si="62"/>
        <v>9.7932535364526618E-3</v>
      </c>
      <c r="AA425" s="231">
        <v>6207589</v>
      </c>
      <c r="AC425" s="230">
        <v>43721</v>
      </c>
      <c r="AD425" s="1">
        <v>32.549999999999997</v>
      </c>
      <c r="AE425" s="1">
        <v>32.1381578947368</v>
      </c>
      <c r="AF425" s="1">
        <v>152</v>
      </c>
      <c r="AG425" s="1">
        <v>37384.99</v>
      </c>
      <c r="AH425" s="215">
        <f t="shared" si="68"/>
        <v>7.0489404096778507E-3</v>
      </c>
      <c r="AI425" s="215">
        <f t="shared" si="63"/>
        <v>6.0260586319218268E-2</v>
      </c>
      <c r="AJ425" s="231">
        <v>4885</v>
      </c>
      <c r="AL425" s="254"/>
      <c r="AQ425" s="215" t="str">
        <f t="shared" si="69"/>
        <v>NA</v>
      </c>
      <c r="AR425" s="215" t="str">
        <f t="shared" si="64"/>
        <v>NA</v>
      </c>
    </row>
    <row r="426" spans="2:44">
      <c r="B426" s="230">
        <v>43712</v>
      </c>
      <c r="C426" s="1">
        <v>229</v>
      </c>
      <c r="D426" s="1">
        <v>231.976470588235</v>
      </c>
      <c r="E426" s="1">
        <v>170</v>
      </c>
      <c r="F426" s="215">
        <v>36724.74</v>
      </c>
      <c r="G426" s="215">
        <f t="shared" si="65"/>
        <v>2.191875325083581E-3</v>
      </c>
      <c r="H426" s="215">
        <f t="shared" si="60"/>
        <v>1.9817412602983753E-2</v>
      </c>
      <c r="I426" s="231">
        <v>39436</v>
      </c>
      <c r="K426" s="230">
        <v>43712</v>
      </c>
      <c r="L426" s="1">
        <v>129.5</v>
      </c>
      <c r="M426" s="1">
        <v>131.98451708036299</v>
      </c>
      <c r="N426" s="1">
        <v>20345</v>
      </c>
      <c r="O426" s="1">
        <v>36724.74</v>
      </c>
      <c r="P426" s="215">
        <f t="shared" si="66"/>
        <v>2.191875325083581E-3</v>
      </c>
      <c r="Q426" s="215">
        <f t="shared" si="61"/>
        <v>-1.5957446808510634E-2</v>
      </c>
      <c r="R426" s="231">
        <v>2685225</v>
      </c>
      <c r="T426" s="230">
        <v>43712</v>
      </c>
      <c r="U426" s="1">
        <v>45.95</v>
      </c>
      <c r="V426" s="1">
        <v>45.391762827272402</v>
      </c>
      <c r="W426" s="1">
        <v>33191</v>
      </c>
      <c r="X426" s="1">
        <v>36724.74</v>
      </c>
      <c r="Y426" s="215">
        <f t="shared" si="67"/>
        <v>2.191875325083581E-3</v>
      </c>
      <c r="Z426" s="215">
        <f t="shared" si="62"/>
        <v>-4.8654244306418071E-2</v>
      </c>
      <c r="AA426" s="231">
        <v>1506598</v>
      </c>
      <c r="AC426" s="230">
        <v>43724</v>
      </c>
      <c r="AD426" s="1">
        <v>30.7</v>
      </c>
      <c r="AE426" s="1">
        <v>31.845326716294402</v>
      </c>
      <c r="AF426" s="1">
        <v>2418</v>
      </c>
      <c r="AG426" s="1">
        <v>37123.31</v>
      </c>
      <c r="AH426" s="215">
        <f t="shared" si="68"/>
        <v>1.7604188909925655E-2</v>
      </c>
      <c r="AI426" s="215">
        <f t="shared" si="63"/>
        <v>1.8242122719734688E-2</v>
      </c>
      <c r="AJ426" s="231">
        <v>77002</v>
      </c>
      <c r="AL426" s="254"/>
      <c r="AQ426" s="215" t="str">
        <f t="shared" si="69"/>
        <v>NA</v>
      </c>
      <c r="AR426" s="215" t="str">
        <f t="shared" si="64"/>
        <v>NA</v>
      </c>
    </row>
    <row r="427" spans="2:44">
      <c r="B427" s="230">
        <v>43713</v>
      </c>
      <c r="C427" s="1">
        <v>224.55</v>
      </c>
      <c r="D427" s="1">
        <v>227.69259259259201</v>
      </c>
      <c r="E427" s="1">
        <v>270</v>
      </c>
      <c r="F427" s="215">
        <v>36644.42</v>
      </c>
      <c r="G427" s="215">
        <f t="shared" si="65"/>
        <v>-9.1220620321850188E-3</v>
      </c>
      <c r="H427" s="215">
        <f t="shared" si="60"/>
        <v>-1.0575016523463265E-2</v>
      </c>
      <c r="I427" s="231">
        <v>61477</v>
      </c>
      <c r="K427" s="230">
        <v>43713</v>
      </c>
      <c r="L427" s="1">
        <v>131.6</v>
      </c>
      <c r="M427" s="1">
        <v>133.347322011757</v>
      </c>
      <c r="N427" s="1">
        <v>12248</v>
      </c>
      <c r="O427" s="1">
        <v>36644.42</v>
      </c>
      <c r="P427" s="215">
        <f t="shared" si="66"/>
        <v>-9.1220620321850188E-3</v>
      </c>
      <c r="Q427" s="215">
        <f t="shared" si="61"/>
        <v>-1.3123359580052507E-2</v>
      </c>
      <c r="R427" s="231">
        <v>1633238</v>
      </c>
      <c r="T427" s="230">
        <v>43713</v>
      </c>
      <c r="U427" s="1">
        <v>48.3</v>
      </c>
      <c r="V427" s="1">
        <v>47.686325164845897</v>
      </c>
      <c r="W427" s="1">
        <v>40644</v>
      </c>
      <c r="X427" s="1">
        <v>36644.42</v>
      </c>
      <c r="Y427" s="215">
        <f t="shared" si="67"/>
        <v>-9.1220620321850188E-3</v>
      </c>
      <c r="Z427" s="215">
        <f t="shared" si="62"/>
        <v>-0.10885608856088569</v>
      </c>
      <c r="AA427" s="231">
        <v>1938163</v>
      </c>
      <c r="AC427" s="230">
        <v>43725</v>
      </c>
      <c r="AD427" s="1">
        <v>30.15</v>
      </c>
      <c r="AE427" s="1">
        <v>29.2586206896551</v>
      </c>
      <c r="AF427" s="1">
        <v>116</v>
      </c>
      <c r="AG427" s="1">
        <v>36481.089999999997</v>
      </c>
      <c r="AH427" s="215">
        <f t="shared" si="68"/>
        <v>-2.2642564191764913E-3</v>
      </c>
      <c r="AI427" s="215">
        <f t="shared" si="63"/>
        <v>-9.7305389221556848E-2</v>
      </c>
      <c r="AJ427" s="231">
        <v>3394</v>
      </c>
      <c r="AL427" s="254"/>
      <c r="AQ427" s="215" t="str">
        <f t="shared" si="69"/>
        <v>NA</v>
      </c>
      <c r="AR427" s="215" t="str">
        <f t="shared" si="64"/>
        <v>NA</v>
      </c>
    </row>
    <row r="428" spans="2:44">
      <c r="B428" s="230">
        <v>43714</v>
      </c>
      <c r="C428" s="1">
        <v>226.95</v>
      </c>
      <c r="D428" s="1">
        <v>220.73353293413101</v>
      </c>
      <c r="E428" s="1">
        <v>334</v>
      </c>
      <c r="F428" s="215">
        <v>36981.769999999997</v>
      </c>
      <c r="G428" s="215">
        <f t="shared" si="65"/>
        <v>-4.4064616258518985E-3</v>
      </c>
      <c r="H428" s="215">
        <f t="shared" si="60"/>
        <v>2.1607022282241761E-2</v>
      </c>
      <c r="I428" s="231">
        <v>73725</v>
      </c>
      <c r="K428" s="230">
        <v>43714</v>
      </c>
      <c r="L428" s="1">
        <v>133.35</v>
      </c>
      <c r="M428" s="1">
        <v>133.50405953991799</v>
      </c>
      <c r="N428" s="1">
        <v>8868</v>
      </c>
      <c r="O428" s="1">
        <v>36981.769999999997</v>
      </c>
      <c r="P428" s="215">
        <f t="shared" si="66"/>
        <v>-4.4064616258518985E-3</v>
      </c>
      <c r="Q428" s="215">
        <f t="shared" si="61"/>
        <v>-9.4397283531409193E-2</v>
      </c>
      <c r="R428" s="231">
        <v>1183914</v>
      </c>
      <c r="T428" s="230">
        <v>43714</v>
      </c>
      <c r="U428" s="1">
        <v>54.2</v>
      </c>
      <c r="V428" s="1">
        <v>53.212090795346299</v>
      </c>
      <c r="W428" s="1">
        <v>214196</v>
      </c>
      <c r="X428" s="1">
        <v>36981.769999999997</v>
      </c>
      <c r="Y428" s="215">
        <f t="shared" si="67"/>
        <v>-4.4064616258518985E-3</v>
      </c>
      <c r="Z428" s="215">
        <f t="shared" si="62"/>
        <v>-5.5045871559632475E-3</v>
      </c>
      <c r="AA428" s="231">
        <v>11397817</v>
      </c>
      <c r="AC428" s="230">
        <v>43726</v>
      </c>
      <c r="AD428" s="1">
        <v>33.4</v>
      </c>
      <c r="AE428" s="1">
        <v>31.459677419354801</v>
      </c>
      <c r="AF428" s="1">
        <v>124</v>
      </c>
      <c r="AG428" s="1">
        <v>36563.879999999997</v>
      </c>
      <c r="AH428" s="215">
        <f t="shared" si="68"/>
        <v>1.3033105434306913E-2</v>
      </c>
      <c r="AI428" s="215">
        <f t="shared" si="63"/>
        <v>8.4415584415584277E-2</v>
      </c>
      <c r="AJ428" s="231">
        <v>3901</v>
      </c>
      <c r="AL428" s="254"/>
      <c r="AQ428" s="215" t="str">
        <f t="shared" si="69"/>
        <v>NA</v>
      </c>
      <c r="AR428" s="215" t="str">
        <f t="shared" si="64"/>
        <v>NA</v>
      </c>
    </row>
    <row r="429" spans="2:44">
      <c r="B429" s="230">
        <v>43717</v>
      </c>
      <c r="C429" s="1">
        <v>222.15</v>
      </c>
      <c r="D429" s="1">
        <v>223.16800000000001</v>
      </c>
      <c r="E429" s="1">
        <v>500</v>
      </c>
      <c r="F429" s="215">
        <v>37145.449999999997</v>
      </c>
      <c r="G429" s="215">
        <f t="shared" si="65"/>
        <v>-3.363757491785857E-3</v>
      </c>
      <c r="H429" s="215">
        <f t="shared" si="60"/>
        <v>-6.659663865546217E-2</v>
      </c>
      <c r="I429" s="231">
        <v>111584</v>
      </c>
      <c r="K429" s="230">
        <v>43717</v>
      </c>
      <c r="L429" s="1">
        <v>147.25</v>
      </c>
      <c r="M429" s="1">
        <v>144.317005817243</v>
      </c>
      <c r="N429" s="1">
        <v>44179</v>
      </c>
      <c r="O429" s="1">
        <v>37145.449999999997</v>
      </c>
      <c r="P429" s="215">
        <f t="shared" si="66"/>
        <v>-3.363757491785857E-3</v>
      </c>
      <c r="Q429" s="215">
        <f t="shared" si="61"/>
        <v>-2.9014177382129969E-2</v>
      </c>
      <c r="R429" s="231">
        <v>6375781</v>
      </c>
      <c r="T429" s="230">
        <v>43717</v>
      </c>
      <c r="U429" s="1">
        <v>54.5</v>
      </c>
      <c r="V429" s="1">
        <v>53.797574954716197</v>
      </c>
      <c r="W429" s="1">
        <v>73978</v>
      </c>
      <c r="X429" s="1">
        <v>37145.449999999997</v>
      </c>
      <c r="Y429" s="215">
        <f t="shared" si="67"/>
        <v>-3.363757491785857E-3</v>
      </c>
      <c r="Z429" s="215">
        <f t="shared" si="62"/>
        <v>-4.9694856146469069E-2</v>
      </c>
      <c r="AA429" s="231">
        <v>3979837</v>
      </c>
      <c r="AC429" s="230">
        <v>43727</v>
      </c>
      <c r="AD429" s="1">
        <v>30.8</v>
      </c>
      <c r="AE429" s="1">
        <v>30.7389060887512</v>
      </c>
      <c r="AF429" s="1">
        <v>969</v>
      </c>
      <c r="AG429" s="1">
        <v>36093.47</v>
      </c>
      <c r="AH429" s="215">
        <f t="shared" si="68"/>
        <v>-5.0537135449466586E-2</v>
      </c>
      <c r="AI429" s="215">
        <f t="shared" si="63"/>
        <v>-1.7543859649122862E-2</v>
      </c>
      <c r="AJ429" s="231">
        <v>29786</v>
      </c>
      <c r="AL429" s="254"/>
      <c r="AQ429" s="215" t="str">
        <f t="shared" si="69"/>
        <v>NA</v>
      </c>
      <c r="AR429" s="215" t="str">
        <f t="shared" si="64"/>
        <v>NA</v>
      </c>
    </row>
    <row r="430" spans="2:44">
      <c r="B430" s="230">
        <v>43719</v>
      </c>
      <c r="C430" s="1">
        <v>238</v>
      </c>
      <c r="D430" s="1">
        <v>232.637554585152</v>
      </c>
      <c r="E430" s="1">
        <v>916</v>
      </c>
      <c r="F430" s="215">
        <v>37270.82</v>
      </c>
      <c r="G430" s="215">
        <f t="shared" si="65"/>
        <v>4.488430984242342E-3</v>
      </c>
      <c r="H430" s="215">
        <f t="shared" si="60"/>
        <v>-5.367793240556662E-2</v>
      </c>
      <c r="I430" s="231">
        <v>213096</v>
      </c>
      <c r="K430" s="230">
        <v>43719</v>
      </c>
      <c r="L430" s="1">
        <v>151.65</v>
      </c>
      <c r="M430" s="1">
        <v>151.20365639869701</v>
      </c>
      <c r="N430" s="1">
        <v>19965</v>
      </c>
      <c r="O430" s="1">
        <v>37270.82</v>
      </c>
      <c r="P430" s="215">
        <f t="shared" si="66"/>
        <v>4.488430984242342E-3</v>
      </c>
      <c r="Q430" s="215">
        <f t="shared" si="61"/>
        <v>-6.9631901840490729E-2</v>
      </c>
      <c r="R430" s="231">
        <v>3018781</v>
      </c>
      <c r="T430" s="230">
        <v>43719</v>
      </c>
      <c r="U430" s="1">
        <v>57.35</v>
      </c>
      <c r="V430" s="1">
        <v>57.480834377334901</v>
      </c>
      <c r="W430" s="1">
        <v>178001</v>
      </c>
      <c r="X430" s="1">
        <v>37270.82</v>
      </c>
      <c r="Y430" s="215">
        <f t="shared" si="67"/>
        <v>4.488430984242342E-3</v>
      </c>
      <c r="Z430" s="215">
        <f t="shared" si="62"/>
        <v>1.1463844797178213E-2</v>
      </c>
      <c r="AA430" s="231">
        <v>10231646</v>
      </c>
      <c r="AC430" s="230">
        <v>43728</v>
      </c>
      <c r="AD430" s="1">
        <v>31.35</v>
      </c>
      <c r="AE430" s="1">
        <v>31.347826086956498</v>
      </c>
      <c r="AF430" s="1">
        <v>46</v>
      </c>
      <c r="AG430" s="1">
        <v>38014.620000000003</v>
      </c>
      <c r="AH430" s="215">
        <f t="shared" si="68"/>
        <v>-2.7511107052105022E-2</v>
      </c>
      <c r="AI430" s="215">
        <f t="shared" si="63"/>
        <v>9.6618357487923134E-3</v>
      </c>
      <c r="AJ430" s="231">
        <v>1442</v>
      </c>
      <c r="AL430" s="254"/>
      <c r="AQ430" s="215" t="str">
        <f t="shared" si="69"/>
        <v>NA</v>
      </c>
      <c r="AR430" s="215" t="str">
        <f t="shared" si="64"/>
        <v>NA</v>
      </c>
    </row>
    <row r="431" spans="2:44">
      <c r="B431" s="230">
        <v>43720</v>
      </c>
      <c r="C431" s="1">
        <v>251.5</v>
      </c>
      <c r="D431" s="1">
        <v>250.082011780697</v>
      </c>
      <c r="E431" s="1">
        <v>2207</v>
      </c>
      <c r="F431" s="215">
        <v>37104.28</v>
      </c>
      <c r="G431" s="215">
        <f t="shared" si="65"/>
        <v>-7.5086284629205524E-3</v>
      </c>
      <c r="H431" s="215">
        <f t="shared" si="60"/>
        <v>4.3929712460064607E-3</v>
      </c>
      <c r="I431" s="231">
        <v>551931</v>
      </c>
      <c r="K431" s="230">
        <v>43720</v>
      </c>
      <c r="L431" s="1">
        <v>163</v>
      </c>
      <c r="M431" s="1">
        <v>163.78995823665801</v>
      </c>
      <c r="N431" s="1">
        <v>53875</v>
      </c>
      <c r="O431" s="1">
        <v>37104.28</v>
      </c>
      <c r="P431" s="215">
        <f t="shared" si="66"/>
        <v>-7.5086284629205524E-3</v>
      </c>
      <c r="Q431" s="215">
        <f t="shared" si="61"/>
        <v>-1.599758527014794E-2</v>
      </c>
      <c r="R431" s="231">
        <v>8824184</v>
      </c>
      <c r="T431" s="230">
        <v>43720</v>
      </c>
      <c r="U431" s="1">
        <v>56.7</v>
      </c>
      <c r="V431" s="1">
        <v>56.981988223068903</v>
      </c>
      <c r="W431" s="1">
        <v>49079</v>
      </c>
      <c r="X431" s="1">
        <v>37104.28</v>
      </c>
      <c r="Y431" s="215">
        <f t="shared" si="67"/>
        <v>-7.5086284629205524E-3</v>
      </c>
      <c r="Z431" s="215">
        <f t="shared" si="62"/>
        <v>-2.6385224274405594E-3</v>
      </c>
      <c r="AA431" s="231">
        <v>2796619</v>
      </c>
      <c r="AC431" s="230">
        <v>43731</v>
      </c>
      <c r="AD431" s="1">
        <v>31.05</v>
      </c>
      <c r="AE431" s="1">
        <v>31.070958921945099</v>
      </c>
      <c r="AF431" s="1">
        <v>30722</v>
      </c>
      <c r="AG431" s="1">
        <v>39090.03</v>
      </c>
      <c r="AH431" s="215">
        <f t="shared" si="68"/>
        <v>-1.8185473413145914E-4</v>
      </c>
      <c r="AI431" s="215">
        <f t="shared" si="63"/>
        <v>1.9704433497536922E-2</v>
      </c>
      <c r="AJ431" s="231">
        <v>954562</v>
      </c>
      <c r="AL431" s="254"/>
      <c r="AQ431" s="215" t="str">
        <f t="shared" si="69"/>
        <v>NA</v>
      </c>
      <c r="AR431" s="215" t="str">
        <f t="shared" si="64"/>
        <v>NA</v>
      </c>
    </row>
    <row r="432" spans="2:44">
      <c r="B432" s="230">
        <v>43721</v>
      </c>
      <c r="C432" s="1">
        <v>250.4</v>
      </c>
      <c r="D432" s="1">
        <v>250.04347826086899</v>
      </c>
      <c r="E432" s="1">
        <v>529</v>
      </c>
      <c r="F432" s="215">
        <v>37384.99</v>
      </c>
      <c r="G432" s="215">
        <f t="shared" si="65"/>
        <v>7.0489404096778507E-3</v>
      </c>
      <c r="H432" s="215">
        <f t="shared" si="60"/>
        <v>-4.0613026819923403E-2</v>
      </c>
      <c r="I432" s="231">
        <v>132273</v>
      </c>
      <c r="K432" s="230">
        <v>43721</v>
      </c>
      <c r="L432" s="1">
        <v>165.65</v>
      </c>
      <c r="M432" s="1">
        <v>165.721776375112</v>
      </c>
      <c r="N432" s="1">
        <v>22180</v>
      </c>
      <c r="O432" s="1">
        <v>37384.99</v>
      </c>
      <c r="P432" s="215">
        <f t="shared" si="66"/>
        <v>7.0489404096778507E-3</v>
      </c>
      <c r="Q432" s="215">
        <f t="shared" si="61"/>
        <v>-2.3865645256334611E-2</v>
      </c>
      <c r="R432" s="231">
        <v>3675709</v>
      </c>
      <c r="T432" s="230">
        <v>43721</v>
      </c>
      <c r="U432" s="1">
        <v>56.85</v>
      </c>
      <c r="V432" s="1">
        <v>56.2751847727042</v>
      </c>
      <c r="W432" s="1">
        <v>19754</v>
      </c>
      <c r="X432" s="1">
        <v>37384.99</v>
      </c>
      <c r="Y432" s="215">
        <f t="shared" si="67"/>
        <v>7.0489404096778507E-3</v>
      </c>
      <c r="Z432" s="215">
        <f t="shared" si="62"/>
        <v>-6.1881188118811825E-2</v>
      </c>
      <c r="AA432" s="231">
        <v>1111660</v>
      </c>
      <c r="AC432" s="230">
        <v>43732</v>
      </c>
      <c r="AD432" s="1">
        <v>30.45</v>
      </c>
      <c r="AE432" s="1">
        <v>30.737199259716199</v>
      </c>
      <c r="AF432" s="1">
        <v>1621</v>
      </c>
      <c r="AG432" s="1">
        <v>39097.14</v>
      </c>
      <c r="AH432" s="215">
        <f t="shared" si="68"/>
        <v>1.3049340925626929E-2</v>
      </c>
      <c r="AI432" s="215">
        <f t="shared" si="63"/>
        <v>5.0000000000000044E-2</v>
      </c>
      <c r="AJ432" s="231">
        <v>49825</v>
      </c>
      <c r="AL432" s="254"/>
      <c r="AQ432" s="215" t="str">
        <f t="shared" si="69"/>
        <v>NA</v>
      </c>
      <c r="AR432" s="215" t="str">
        <f t="shared" si="64"/>
        <v>NA</v>
      </c>
    </row>
    <row r="433" spans="2:44">
      <c r="B433" s="230">
        <v>43724</v>
      </c>
      <c r="C433" s="1">
        <v>261</v>
      </c>
      <c r="D433" s="1">
        <v>256.17866323907401</v>
      </c>
      <c r="E433" s="1">
        <v>778</v>
      </c>
      <c r="F433" s="215">
        <v>37123.31</v>
      </c>
      <c r="G433" s="215">
        <f t="shared" si="65"/>
        <v>1.7604188909925655E-2</v>
      </c>
      <c r="H433" s="215">
        <f t="shared" si="60"/>
        <v>1.2216404886561838E-2</v>
      </c>
      <c r="I433" s="231">
        <v>199307</v>
      </c>
      <c r="K433" s="230">
        <v>43724</v>
      </c>
      <c r="L433" s="1">
        <v>169.7</v>
      </c>
      <c r="M433" s="1">
        <v>168.16751269035501</v>
      </c>
      <c r="N433" s="1">
        <v>13199</v>
      </c>
      <c r="O433" s="1">
        <v>37123.31</v>
      </c>
      <c r="P433" s="215">
        <f t="shared" si="66"/>
        <v>1.7604188909925655E-2</v>
      </c>
      <c r="Q433" s="215">
        <f t="shared" si="61"/>
        <v>8.5385353373840678E-2</v>
      </c>
      <c r="R433" s="231">
        <v>2219643</v>
      </c>
      <c r="T433" s="230">
        <v>43724</v>
      </c>
      <c r="U433" s="1">
        <v>60.6</v>
      </c>
      <c r="V433" s="1">
        <v>60.2443485433527</v>
      </c>
      <c r="W433" s="1">
        <v>83651</v>
      </c>
      <c r="X433" s="1">
        <v>37123.31</v>
      </c>
      <c r="Y433" s="215">
        <f t="shared" si="67"/>
        <v>1.7604188909925655E-2</v>
      </c>
      <c r="Z433" s="215">
        <f t="shared" si="62"/>
        <v>3.9451114922813169E-2</v>
      </c>
      <c r="AA433" s="231">
        <v>5039500</v>
      </c>
      <c r="AC433" s="230">
        <v>43733</v>
      </c>
      <c r="AD433" s="1">
        <v>29</v>
      </c>
      <c r="AE433" s="1">
        <v>29.0879310344827</v>
      </c>
      <c r="AF433" s="1">
        <v>580</v>
      </c>
      <c r="AG433" s="1">
        <v>38593.519999999997</v>
      </c>
      <c r="AH433" s="215">
        <f t="shared" si="68"/>
        <v>-1.0162160609432203E-2</v>
      </c>
      <c r="AI433" s="215">
        <f t="shared" si="63"/>
        <v>-5.3833605220228287E-2</v>
      </c>
      <c r="AJ433" s="231">
        <v>16871</v>
      </c>
      <c r="AL433" s="254"/>
      <c r="AQ433" s="215" t="str">
        <f t="shared" si="69"/>
        <v>NA</v>
      </c>
      <c r="AR433" s="215" t="str">
        <f t="shared" si="64"/>
        <v>NA</v>
      </c>
    </row>
    <row r="434" spans="2:44">
      <c r="B434" s="230">
        <v>43725</v>
      </c>
      <c r="C434" s="1">
        <v>257.85000000000002</v>
      </c>
      <c r="D434" s="1">
        <v>261.21215805471098</v>
      </c>
      <c r="E434" s="1">
        <v>1645</v>
      </c>
      <c r="F434" s="215">
        <v>36481.089999999997</v>
      </c>
      <c r="G434" s="215">
        <f t="shared" si="65"/>
        <v>-2.2642564191764913E-3</v>
      </c>
      <c r="H434" s="215">
        <f t="shared" si="60"/>
        <v>-4.6765249537892739E-2</v>
      </c>
      <c r="I434" s="231">
        <v>429694</v>
      </c>
      <c r="K434" s="230">
        <v>43725</v>
      </c>
      <c r="L434" s="1">
        <v>156.35</v>
      </c>
      <c r="M434" s="1">
        <v>162.444214766523</v>
      </c>
      <c r="N434" s="1">
        <v>18867</v>
      </c>
      <c r="O434" s="1">
        <v>36481.089999999997</v>
      </c>
      <c r="P434" s="215">
        <f t="shared" si="66"/>
        <v>-2.2642564191764913E-3</v>
      </c>
      <c r="Q434" s="215">
        <f t="shared" si="61"/>
        <v>3.8523274478330372E-3</v>
      </c>
      <c r="R434" s="231">
        <v>3064835</v>
      </c>
      <c r="T434" s="230">
        <v>43725</v>
      </c>
      <c r="U434" s="1">
        <v>58.3</v>
      </c>
      <c r="V434" s="1">
        <v>59.823228099519099</v>
      </c>
      <c r="W434" s="1">
        <v>86094</v>
      </c>
      <c r="X434" s="1">
        <v>36481.089999999997</v>
      </c>
      <c r="Y434" s="215">
        <f t="shared" si="67"/>
        <v>-2.2642564191764913E-3</v>
      </c>
      <c r="Z434" s="215">
        <f t="shared" si="62"/>
        <v>-1.71232876712335E-3</v>
      </c>
      <c r="AA434" s="231">
        <v>5150421</v>
      </c>
      <c r="AC434" s="230">
        <v>43734</v>
      </c>
      <c r="AD434" s="1">
        <v>30.65</v>
      </c>
      <c r="AE434" s="1">
        <v>29.63052905464</v>
      </c>
      <c r="AF434" s="1">
        <v>1153</v>
      </c>
      <c r="AG434" s="1">
        <v>38989.74</v>
      </c>
      <c r="AH434" s="215">
        <f t="shared" si="68"/>
        <v>4.3060003497965571E-3</v>
      </c>
      <c r="AI434" s="215">
        <f t="shared" si="63"/>
        <v>6.0553633217993008E-2</v>
      </c>
      <c r="AJ434" s="231">
        <v>34164</v>
      </c>
      <c r="AL434" s="254"/>
      <c r="AQ434" s="215" t="str">
        <f t="shared" si="69"/>
        <v>NA</v>
      </c>
      <c r="AR434" s="215" t="str">
        <f t="shared" si="64"/>
        <v>NA</v>
      </c>
    </row>
    <row r="435" spans="2:44">
      <c r="B435" s="230">
        <v>43726</v>
      </c>
      <c r="C435" s="1">
        <v>270.5</v>
      </c>
      <c r="D435" s="1">
        <v>269.532786885245</v>
      </c>
      <c r="E435" s="1">
        <v>732</v>
      </c>
      <c r="F435" s="215">
        <v>36563.879999999997</v>
      </c>
      <c r="G435" s="215">
        <f t="shared" si="65"/>
        <v>1.3033105434306913E-2</v>
      </c>
      <c r="H435" s="215">
        <f t="shared" si="60"/>
        <v>6.9804231757959245E-2</v>
      </c>
      <c r="I435" s="231">
        <v>197298</v>
      </c>
      <c r="K435" s="230">
        <v>43726</v>
      </c>
      <c r="L435" s="1">
        <v>155.75</v>
      </c>
      <c r="M435" s="1">
        <v>154.98656881750199</v>
      </c>
      <c r="N435" s="1">
        <v>7222</v>
      </c>
      <c r="O435" s="1">
        <v>36563.879999999997</v>
      </c>
      <c r="P435" s="215">
        <f t="shared" si="66"/>
        <v>1.3033105434306913E-2</v>
      </c>
      <c r="Q435" s="215">
        <f t="shared" si="61"/>
        <v>6.532147742818073E-2</v>
      </c>
      <c r="R435" s="231">
        <v>1119313</v>
      </c>
      <c r="T435" s="230">
        <v>43726</v>
      </c>
      <c r="U435" s="1">
        <v>58.4</v>
      </c>
      <c r="V435" s="1">
        <v>58.809197772736603</v>
      </c>
      <c r="W435" s="1">
        <v>24245</v>
      </c>
      <c r="X435" s="1">
        <v>36563.879999999997</v>
      </c>
      <c r="Y435" s="215">
        <f t="shared" si="67"/>
        <v>1.3033105434306913E-2</v>
      </c>
      <c r="Z435" s="215">
        <f t="shared" si="62"/>
        <v>5.8930190389845816E-2</v>
      </c>
      <c r="AA435" s="231">
        <v>1425829</v>
      </c>
      <c r="AC435" s="230">
        <v>43735</v>
      </c>
      <c r="AD435" s="1">
        <v>28.9</v>
      </c>
      <c r="AE435" s="1">
        <v>28.9860557768924</v>
      </c>
      <c r="AF435" s="1">
        <v>502</v>
      </c>
      <c r="AG435" s="1">
        <v>38822.57</v>
      </c>
      <c r="AH435" s="215">
        <f t="shared" si="68"/>
        <v>1.3500965007292587E-2</v>
      </c>
      <c r="AI435" s="215">
        <f t="shared" si="63"/>
        <v>3.4722222222220989E-3</v>
      </c>
      <c r="AJ435" s="231">
        <v>14551</v>
      </c>
      <c r="AL435" s="254"/>
      <c r="AQ435" s="215" t="str">
        <f t="shared" si="69"/>
        <v>NA</v>
      </c>
      <c r="AR435" s="215" t="str">
        <f t="shared" si="64"/>
        <v>NA</v>
      </c>
    </row>
    <row r="436" spans="2:44">
      <c r="B436" s="230">
        <v>43727</v>
      </c>
      <c r="C436" s="1">
        <v>252.85</v>
      </c>
      <c r="D436" s="1">
        <v>254.74945770065</v>
      </c>
      <c r="E436" s="1">
        <v>1844</v>
      </c>
      <c r="F436" s="215">
        <v>36093.47</v>
      </c>
      <c r="G436" s="215">
        <f t="shared" si="65"/>
        <v>-5.0537135449466586E-2</v>
      </c>
      <c r="H436" s="215">
        <f t="shared" si="60"/>
        <v>-6.4557898631150579E-2</v>
      </c>
      <c r="I436" s="231">
        <v>469758</v>
      </c>
      <c r="K436" s="230">
        <v>43727</v>
      </c>
      <c r="L436" s="1">
        <v>146.19999999999999</v>
      </c>
      <c r="M436" s="1">
        <v>148.47236756049699</v>
      </c>
      <c r="N436" s="1">
        <v>6116</v>
      </c>
      <c r="O436" s="1">
        <v>36093.47</v>
      </c>
      <c r="P436" s="215">
        <f t="shared" si="66"/>
        <v>-5.0537135449466586E-2</v>
      </c>
      <c r="Q436" s="215">
        <f t="shared" si="61"/>
        <v>-4.3193717277487109E-2</v>
      </c>
      <c r="R436" s="231">
        <v>908057</v>
      </c>
      <c r="T436" s="230">
        <v>43727</v>
      </c>
      <c r="U436" s="1">
        <v>55.15</v>
      </c>
      <c r="V436" s="1">
        <v>55.6064708224418</v>
      </c>
      <c r="W436" s="1">
        <v>57767</v>
      </c>
      <c r="X436" s="1">
        <v>36093.47</v>
      </c>
      <c r="Y436" s="215">
        <f t="shared" si="67"/>
        <v>-5.0537135449466586E-2</v>
      </c>
      <c r="Z436" s="215">
        <f t="shared" si="62"/>
        <v>4.5537340619308253E-3</v>
      </c>
      <c r="AA436" s="231">
        <v>3212219</v>
      </c>
      <c r="AC436" s="230">
        <v>43739</v>
      </c>
      <c r="AD436" s="1">
        <v>28.8</v>
      </c>
      <c r="AE436" s="1">
        <v>28.8</v>
      </c>
      <c r="AF436" s="1">
        <v>5</v>
      </c>
      <c r="AG436" s="1">
        <v>38305.410000000003</v>
      </c>
      <c r="AH436" s="215">
        <f t="shared" si="68"/>
        <v>5.2100841659259434E-3</v>
      </c>
      <c r="AI436" s="215">
        <f t="shared" si="63"/>
        <v>-1.0309278350515538E-2</v>
      </c>
      <c r="AJ436" s="231">
        <v>144</v>
      </c>
      <c r="AL436" s="254"/>
      <c r="AQ436" s="215" t="str">
        <f t="shared" si="69"/>
        <v>NA</v>
      </c>
      <c r="AR436" s="215" t="str">
        <f t="shared" si="64"/>
        <v>NA</v>
      </c>
    </row>
    <row r="437" spans="2:44">
      <c r="B437" s="230">
        <v>43728</v>
      </c>
      <c r="C437" s="1">
        <v>270.3</v>
      </c>
      <c r="D437" s="1">
        <v>259.24519899805102</v>
      </c>
      <c r="E437" s="1">
        <v>7186</v>
      </c>
      <c r="F437" s="215">
        <v>38014.620000000003</v>
      </c>
      <c r="G437" s="215">
        <f t="shared" si="65"/>
        <v>-2.7511107052105022E-2</v>
      </c>
      <c r="H437" s="215">
        <f t="shared" si="60"/>
        <v>-6.4058171745152381E-2</v>
      </c>
      <c r="I437" s="231">
        <v>1862936</v>
      </c>
      <c r="K437" s="230">
        <v>43728</v>
      </c>
      <c r="L437" s="1">
        <v>152.80000000000001</v>
      </c>
      <c r="M437" s="1">
        <v>153.315258072939</v>
      </c>
      <c r="N437" s="1">
        <v>11489</v>
      </c>
      <c r="O437" s="1">
        <v>38014.620000000003</v>
      </c>
      <c r="P437" s="215">
        <f t="shared" si="66"/>
        <v>-2.7511107052105022E-2</v>
      </c>
      <c r="Q437" s="215">
        <f t="shared" si="61"/>
        <v>-6.2001227747084053E-2</v>
      </c>
      <c r="R437" s="231">
        <v>1761439</v>
      </c>
      <c r="T437" s="230">
        <v>43728</v>
      </c>
      <c r="U437" s="1">
        <v>54.9</v>
      </c>
      <c r="V437" s="1">
        <v>56.261790702381703</v>
      </c>
      <c r="W437" s="1">
        <v>88926</v>
      </c>
      <c r="X437" s="1">
        <v>38014.620000000003</v>
      </c>
      <c r="Y437" s="215">
        <f t="shared" si="67"/>
        <v>-2.7511107052105022E-2</v>
      </c>
      <c r="Z437" s="215">
        <f t="shared" si="62"/>
        <v>2.739726027397138E-3</v>
      </c>
      <c r="AA437" s="231">
        <v>5003136</v>
      </c>
      <c r="AC437" s="230">
        <v>43741</v>
      </c>
      <c r="AD437" s="1">
        <v>29.1</v>
      </c>
      <c r="AE437" s="1">
        <v>29.016393442622899</v>
      </c>
      <c r="AF437" s="1">
        <v>61</v>
      </c>
      <c r="AG437" s="1">
        <v>38106.870000000003</v>
      </c>
      <c r="AH437" s="215">
        <f t="shared" si="68"/>
        <v>1.150841271977443E-2</v>
      </c>
      <c r="AI437" s="215">
        <f t="shared" si="63"/>
        <v>2.1052631578947434E-2</v>
      </c>
      <c r="AJ437" s="231">
        <v>1770</v>
      </c>
      <c r="AL437" s="254"/>
      <c r="AQ437" s="215" t="str">
        <f t="shared" si="69"/>
        <v>NA</v>
      </c>
      <c r="AR437" s="215" t="str">
        <f t="shared" si="64"/>
        <v>NA</v>
      </c>
    </row>
    <row r="438" spans="2:44">
      <c r="B438" s="230">
        <v>43731</v>
      </c>
      <c r="C438" s="1">
        <v>288.8</v>
      </c>
      <c r="D438" s="1">
        <v>291.13058340929803</v>
      </c>
      <c r="E438" s="1">
        <v>4388</v>
      </c>
      <c r="F438" s="215">
        <v>39090.03</v>
      </c>
      <c r="G438" s="215">
        <f t="shared" si="65"/>
        <v>-1.8185473413145914E-4</v>
      </c>
      <c r="H438" s="215">
        <f t="shared" si="60"/>
        <v>-4.1379310344826781E-3</v>
      </c>
      <c r="I438" s="231">
        <v>1277481</v>
      </c>
      <c r="K438" s="230">
        <v>43731</v>
      </c>
      <c r="L438" s="1">
        <v>162.9</v>
      </c>
      <c r="M438" s="1">
        <v>160.641253096779</v>
      </c>
      <c r="N438" s="1">
        <v>12513</v>
      </c>
      <c r="O438" s="1">
        <v>39090.03</v>
      </c>
      <c r="P438" s="215">
        <f t="shared" si="66"/>
        <v>-1.8185473413145914E-4</v>
      </c>
      <c r="Q438" s="215">
        <f t="shared" si="61"/>
        <v>2.7760252365930604E-2</v>
      </c>
      <c r="R438" s="231">
        <v>2010104</v>
      </c>
      <c r="T438" s="230">
        <v>43731</v>
      </c>
      <c r="U438" s="1">
        <v>54.75</v>
      </c>
      <c r="V438" s="1">
        <v>55.595895077499499</v>
      </c>
      <c r="W438" s="1">
        <v>23484</v>
      </c>
      <c r="X438" s="1">
        <v>39090.03</v>
      </c>
      <c r="Y438" s="215">
        <f t="shared" si="67"/>
        <v>-1.8185473413145914E-4</v>
      </c>
      <c r="Z438" s="215">
        <f t="shared" si="62"/>
        <v>6.6212268743914393E-2</v>
      </c>
      <c r="AA438" s="231">
        <v>1305614</v>
      </c>
      <c r="AC438" s="230">
        <v>43742</v>
      </c>
      <c r="AD438" s="1">
        <v>28.5</v>
      </c>
      <c r="AE438" s="1">
        <v>27.735056542810899</v>
      </c>
      <c r="AF438" s="1">
        <v>619</v>
      </c>
      <c r="AG438" s="1">
        <v>37673.31</v>
      </c>
      <c r="AH438" s="215">
        <f t="shared" si="68"/>
        <v>3.7655887059513393E-3</v>
      </c>
      <c r="AI438" s="215">
        <f t="shared" si="63"/>
        <v>5.3604436229205188E-2</v>
      </c>
      <c r="AJ438" s="231">
        <v>17168</v>
      </c>
      <c r="AL438" s="254"/>
      <c r="AQ438" s="215" t="str">
        <f t="shared" si="69"/>
        <v>NA</v>
      </c>
      <c r="AR438" s="215" t="str">
        <f t="shared" si="64"/>
        <v>NA</v>
      </c>
    </row>
    <row r="439" spans="2:44">
      <c r="B439" s="230">
        <v>43732</v>
      </c>
      <c r="C439" s="1">
        <v>290</v>
      </c>
      <c r="D439" s="1">
        <v>286.73495518565898</v>
      </c>
      <c r="E439" s="1">
        <v>781</v>
      </c>
      <c r="F439" s="215">
        <v>39097.14</v>
      </c>
      <c r="G439" s="215">
        <f t="shared" si="65"/>
        <v>1.3049340925626929E-2</v>
      </c>
      <c r="H439" s="215">
        <f t="shared" si="60"/>
        <v>3.5714285714285809E-2</v>
      </c>
      <c r="I439" s="231">
        <v>223940</v>
      </c>
      <c r="K439" s="230">
        <v>43732</v>
      </c>
      <c r="L439" s="1">
        <v>158.5</v>
      </c>
      <c r="M439" s="1">
        <v>157.75676735974801</v>
      </c>
      <c r="N439" s="1">
        <v>10196</v>
      </c>
      <c r="O439" s="1">
        <v>39097.14</v>
      </c>
      <c r="P439" s="215">
        <f t="shared" si="66"/>
        <v>1.3049340925626929E-2</v>
      </c>
      <c r="Q439" s="215">
        <f t="shared" si="61"/>
        <v>2.7552674230145957E-2</v>
      </c>
      <c r="R439" s="231">
        <v>1608488</v>
      </c>
      <c r="T439" s="230">
        <v>43732</v>
      </c>
      <c r="U439" s="1">
        <v>51.35</v>
      </c>
      <c r="V439" s="1">
        <v>52.858530661809297</v>
      </c>
      <c r="W439" s="1">
        <v>67527</v>
      </c>
      <c r="X439" s="1">
        <v>39097.14</v>
      </c>
      <c r="Y439" s="215">
        <f t="shared" si="67"/>
        <v>1.3049340925626929E-2</v>
      </c>
      <c r="Z439" s="215">
        <f t="shared" si="62"/>
        <v>9.4882729211087424E-2</v>
      </c>
      <c r="AA439" s="231">
        <v>3569378</v>
      </c>
      <c r="AC439" s="230">
        <v>43745</v>
      </c>
      <c r="AD439" s="1">
        <v>27.05</v>
      </c>
      <c r="AE439" s="1">
        <v>28.116071428571399</v>
      </c>
      <c r="AF439" s="1">
        <v>112</v>
      </c>
      <c r="AG439" s="1">
        <v>37531.980000000003</v>
      </c>
      <c r="AH439" s="215">
        <f t="shared" si="68"/>
        <v>-1.6919976059479147E-2</v>
      </c>
      <c r="AI439" s="215">
        <f t="shared" si="63"/>
        <v>-3.7366548042704673E-2</v>
      </c>
      <c r="AJ439" s="231">
        <v>3149</v>
      </c>
      <c r="AL439" s="254"/>
      <c r="AQ439" s="215" t="str">
        <f t="shared" si="69"/>
        <v>NA</v>
      </c>
      <c r="AR439" s="215" t="str">
        <f t="shared" si="64"/>
        <v>NA</v>
      </c>
    </row>
    <row r="440" spans="2:44">
      <c r="B440" s="230">
        <v>43733</v>
      </c>
      <c r="C440" s="1">
        <v>280</v>
      </c>
      <c r="D440" s="1">
        <v>280.07272727272698</v>
      </c>
      <c r="E440" s="1">
        <v>275</v>
      </c>
      <c r="F440" s="215">
        <v>38593.519999999997</v>
      </c>
      <c r="G440" s="215">
        <f t="shared" si="65"/>
        <v>-1.0162160609432203E-2</v>
      </c>
      <c r="H440" s="215">
        <f t="shared" si="60"/>
        <v>-1.0600706713780883E-2</v>
      </c>
      <c r="I440" s="231">
        <v>77020</v>
      </c>
      <c r="K440" s="230">
        <v>43733</v>
      </c>
      <c r="L440" s="1">
        <v>154.25</v>
      </c>
      <c r="M440" s="1">
        <v>155.76167698367999</v>
      </c>
      <c r="N440" s="1">
        <v>3554</v>
      </c>
      <c r="O440" s="1">
        <v>38593.519999999997</v>
      </c>
      <c r="P440" s="215">
        <f t="shared" si="66"/>
        <v>-1.0162160609432203E-2</v>
      </c>
      <c r="Q440" s="215">
        <f t="shared" si="61"/>
        <v>-2.2187004754358197E-2</v>
      </c>
      <c r="R440" s="231">
        <v>553577</v>
      </c>
      <c r="T440" s="230">
        <v>43733</v>
      </c>
      <c r="U440" s="1">
        <v>46.9</v>
      </c>
      <c r="V440" s="1">
        <v>48.000842504344099</v>
      </c>
      <c r="W440" s="1">
        <v>132937</v>
      </c>
      <c r="X440" s="1">
        <v>38593.519999999997</v>
      </c>
      <c r="Y440" s="215">
        <f t="shared" si="67"/>
        <v>-1.0162160609432203E-2</v>
      </c>
      <c r="Z440" s="215">
        <f t="shared" si="62"/>
        <v>-3.7948717948718014E-2</v>
      </c>
      <c r="AA440" s="231">
        <v>6381088</v>
      </c>
      <c r="AC440" s="230">
        <v>43747</v>
      </c>
      <c r="AD440" s="1">
        <v>28.1</v>
      </c>
      <c r="AE440" s="1">
        <v>26.568965517241299</v>
      </c>
      <c r="AF440" s="1">
        <v>522</v>
      </c>
      <c r="AG440" s="1">
        <v>38177.949999999997</v>
      </c>
      <c r="AH440" s="215">
        <f t="shared" si="68"/>
        <v>7.854985691808869E-3</v>
      </c>
      <c r="AI440" s="215">
        <f t="shared" si="63"/>
        <v>3.4990791896869267E-2</v>
      </c>
      <c r="AJ440" s="231">
        <v>13869</v>
      </c>
      <c r="AL440" s="254"/>
      <c r="AQ440" s="215" t="str">
        <f t="shared" si="69"/>
        <v>NA</v>
      </c>
      <c r="AR440" s="215" t="str">
        <f t="shared" si="64"/>
        <v>NA</v>
      </c>
    </row>
    <row r="441" spans="2:44">
      <c r="B441" s="230">
        <v>43734</v>
      </c>
      <c r="C441" s="1">
        <v>283</v>
      </c>
      <c r="D441" s="1">
        <v>281.47804265997399</v>
      </c>
      <c r="E441" s="1">
        <v>797</v>
      </c>
      <c r="F441" s="215">
        <v>38989.74</v>
      </c>
      <c r="G441" s="215">
        <f t="shared" si="65"/>
        <v>4.3060003497965571E-3</v>
      </c>
      <c r="H441" s="215">
        <f t="shared" si="60"/>
        <v>-2.4137931034482807E-2</v>
      </c>
      <c r="I441" s="231">
        <v>224338</v>
      </c>
      <c r="K441" s="230">
        <v>43734</v>
      </c>
      <c r="L441" s="1">
        <v>157.75</v>
      </c>
      <c r="M441" s="1">
        <v>157.91406619385299</v>
      </c>
      <c r="N441" s="1">
        <v>8460</v>
      </c>
      <c r="O441" s="1">
        <v>38989.74</v>
      </c>
      <c r="P441" s="215">
        <f t="shared" si="66"/>
        <v>4.3060003497965571E-3</v>
      </c>
      <c r="Q441" s="215">
        <f t="shared" si="61"/>
        <v>4.0910590564170235E-2</v>
      </c>
      <c r="R441" s="231">
        <v>1335953</v>
      </c>
      <c r="T441" s="230">
        <v>43734</v>
      </c>
      <c r="U441" s="1">
        <v>48.75</v>
      </c>
      <c r="V441" s="1">
        <v>48.733848971321599</v>
      </c>
      <c r="W441" s="1">
        <v>51328</v>
      </c>
      <c r="X441" s="1">
        <v>38989.74</v>
      </c>
      <c r="Y441" s="215">
        <f t="shared" si="67"/>
        <v>4.3060003497965571E-3</v>
      </c>
      <c r="Z441" s="215">
        <f t="shared" si="62"/>
        <v>6.1919504643961343E-3</v>
      </c>
      <c r="AA441" s="231">
        <v>2501411</v>
      </c>
      <c r="AC441" s="230">
        <v>43748</v>
      </c>
      <c r="AD441" s="1">
        <v>27.15</v>
      </c>
      <c r="AE441" s="1">
        <v>26.710176991150401</v>
      </c>
      <c r="AF441" s="1">
        <v>452</v>
      </c>
      <c r="AG441" s="1">
        <v>37880.400000000001</v>
      </c>
      <c r="AH441" s="215">
        <f t="shared" si="68"/>
        <v>-6.4699420988966194E-3</v>
      </c>
      <c r="AI441" s="215">
        <f t="shared" si="63"/>
        <v>7.4211502782930427E-3</v>
      </c>
      <c r="AJ441" s="231">
        <v>12073</v>
      </c>
      <c r="AL441" s="254"/>
      <c r="AQ441" s="215" t="str">
        <f t="shared" si="69"/>
        <v>NA</v>
      </c>
      <c r="AR441" s="215" t="str">
        <f t="shared" si="64"/>
        <v>NA</v>
      </c>
    </row>
    <row r="442" spans="2:44">
      <c r="B442" s="230">
        <v>43735</v>
      </c>
      <c r="C442" s="1">
        <v>290</v>
      </c>
      <c r="D442" s="1">
        <v>286.14051973050999</v>
      </c>
      <c r="E442" s="1">
        <v>1039</v>
      </c>
      <c r="F442" s="215">
        <v>38822.57</v>
      </c>
      <c r="G442" s="215">
        <f t="shared" si="65"/>
        <v>4.0147587123289252E-3</v>
      </c>
      <c r="H442" s="215">
        <f t="shared" si="60"/>
        <v>8.6281276962907327E-4</v>
      </c>
      <c r="I442" s="231">
        <v>297300</v>
      </c>
      <c r="K442" s="230">
        <v>43735</v>
      </c>
      <c r="L442" s="1">
        <v>151.55000000000001</v>
      </c>
      <c r="M442" s="1">
        <v>154.37808758902801</v>
      </c>
      <c r="N442" s="1">
        <v>6599</v>
      </c>
      <c r="O442" s="1">
        <v>38822.57</v>
      </c>
      <c r="P442" s="215">
        <f t="shared" si="66"/>
        <v>4.0147587123289252E-3</v>
      </c>
      <c r="Q442" s="215">
        <f t="shared" si="61"/>
        <v>2.8154681139755722E-2</v>
      </c>
      <c r="R442" s="231">
        <v>1018741</v>
      </c>
      <c r="T442" s="230">
        <v>43735</v>
      </c>
      <c r="U442" s="1">
        <v>48.45</v>
      </c>
      <c r="V442" s="1">
        <v>48.366424360782602</v>
      </c>
      <c r="W442" s="1">
        <v>27651</v>
      </c>
      <c r="X442" s="1">
        <v>38822.57</v>
      </c>
      <c r="Y442" s="215">
        <f t="shared" si="67"/>
        <v>4.0147587123289252E-3</v>
      </c>
      <c r="Z442" s="215">
        <f t="shared" si="62"/>
        <v>2.0000000000000018E-2</v>
      </c>
      <c r="AA442" s="231">
        <v>1337380</v>
      </c>
      <c r="AC442" s="230">
        <v>43749</v>
      </c>
      <c r="AD442" s="1">
        <v>26.95</v>
      </c>
      <c r="AE442" s="1">
        <v>26.6939837398373</v>
      </c>
      <c r="AF442" s="1">
        <v>3075</v>
      </c>
      <c r="AG442" s="1">
        <v>38127.08</v>
      </c>
      <c r="AH442" s="215">
        <f t="shared" si="68"/>
        <v>-2.2868300934174579E-3</v>
      </c>
      <c r="AI442" s="215">
        <f t="shared" si="63"/>
        <v>-5.6042031523642732E-2</v>
      </c>
      <c r="AJ442" s="231">
        <v>82084</v>
      </c>
      <c r="AL442" s="254"/>
      <c r="AQ442" s="215" t="str">
        <f t="shared" si="69"/>
        <v>NA</v>
      </c>
      <c r="AR442" s="215" t="str">
        <f t="shared" si="64"/>
        <v>NA</v>
      </c>
    </row>
    <row r="443" spans="2:44">
      <c r="B443" s="230">
        <v>43738</v>
      </c>
      <c r="C443" s="1">
        <v>289.75</v>
      </c>
      <c r="D443" s="1">
        <v>288.31578947368399</v>
      </c>
      <c r="E443" s="1">
        <v>1634</v>
      </c>
      <c r="F443" s="215">
        <v>38667.33</v>
      </c>
      <c r="G443" s="215">
        <f t="shared" si="65"/>
        <v>9.4482737555869889E-3</v>
      </c>
      <c r="H443" s="215">
        <f t="shared" si="60"/>
        <v>5.3636363636363704E-2</v>
      </c>
      <c r="I443" s="231">
        <v>471108</v>
      </c>
      <c r="K443" s="230">
        <v>43738</v>
      </c>
      <c r="L443" s="1">
        <v>147.4</v>
      </c>
      <c r="M443" s="1">
        <v>147.85944505028399</v>
      </c>
      <c r="N443" s="1">
        <v>8253</v>
      </c>
      <c r="O443" s="1">
        <v>38667.33</v>
      </c>
      <c r="P443" s="215">
        <f t="shared" si="66"/>
        <v>9.4482737555869889E-3</v>
      </c>
      <c r="Q443" s="215">
        <f t="shared" si="61"/>
        <v>4.0225829216655073E-2</v>
      </c>
      <c r="R443" s="231">
        <v>1220284</v>
      </c>
      <c r="T443" s="230">
        <v>43738</v>
      </c>
      <c r="U443" s="1">
        <v>47.5</v>
      </c>
      <c r="V443" s="1">
        <v>47.630508741003503</v>
      </c>
      <c r="W443" s="1">
        <v>89063</v>
      </c>
      <c r="X443" s="1">
        <v>38667.33</v>
      </c>
      <c r="Y443" s="215">
        <f t="shared" si="67"/>
        <v>9.4482737555869889E-3</v>
      </c>
      <c r="Z443" s="215">
        <f t="shared" si="62"/>
        <v>6.263982102908261E-2</v>
      </c>
      <c r="AA443" s="231">
        <v>4242116</v>
      </c>
      <c r="AC443" s="230">
        <v>43752</v>
      </c>
      <c r="AD443" s="1">
        <v>28.55</v>
      </c>
      <c r="AE443" s="1">
        <v>27.893564356435601</v>
      </c>
      <c r="AF443" s="1">
        <v>404</v>
      </c>
      <c r="AG443" s="1">
        <v>38214.47</v>
      </c>
      <c r="AH443" s="215">
        <f t="shared" si="68"/>
        <v>-7.5733474886698904E-3</v>
      </c>
      <c r="AI443" s="215">
        <f t="shared" si="63"/>
        <v>4.3875685557586808E-2</v>
      </c>
      <c r="AJ443" s="231">
        <v>11269</v>
      </c>
      <c r="AL443" s="254"/>
      <c r="AQ443" s="215" t="str">
        <f t="shared" si="69"/>
        <v>NA</v>
      </c>
      <c r="AR443" s="215" t="str">
        <f t="shared" si="64"/>
        <v>NA</v>
      </c>
    </row>
    <row r="444" spans="2:44">
      <c r="B444" s="230">
        <v>43739</v>
      </c>
      <c r="C444" s="1">
        <v>275</v>
      </c>
      <c r="D444" s="1">
        <v>281.07093663911797</v>
      </c>
      <c r="E444" s="1">
        <v>1452</v>
      </c>
      <c r="F444" s="215">
        <v>38305.410000000003</v>
      </c>
      <c r="G444" s="215">
        <f t="shared" si="65"/>
        <v>5.2100841659259434E-3</v>
      </c>
      <c r="H444" s="215">
        <f t="shared" si="60"/>
        <v>6.6304769290422838E-2</v>
      </c>
      <c r="I444" s="231">
        <v>408115</v>
      </c>
      <c r="K444" s="230">
        <v>43739</v>
      </c>
      <c r="L444" s="1">
        <v>141.69999999999999</v>
      </c>
      <c r="M444" s="1">
        <v>142.81215161649899</v>
      </c>
      <c r="N444" s="1">
        <v>3588</v>
      </c>
      <c r="O444" s="1">
        <v>38305.410000000003</v>
      </c>
      <c r="P444" s="215">
        <f t="shared" si="66"/>
        <v>5.2100841659259434E-3</v>
      </c>
      <c r="Q444" s="215">
        <f t="shared" si="61"/>
        <v>3.0920334667151606E-2</v>
      </c>
      <c r="R444" s="231">
        <v>512410</v>
      </c>
      <c r="T444" s="230">
        <v>43739</v>
      </c>
      <c r="U444" s="1">
        <v>44.7</v>
      </c>
      <c r="V444" s="1">
        <v>45.127554872335899</v>
      </c>
      <c r="W444" s="1">
        <v>109937</v>
      </c>
      <c r="X444" s="1">
        <v>38305.410000000003</v>
      </c>
      <c r="Y444" s="215">
        <f t="shared" si="67"/>
        <v>5.2100841659259434E-3</v>
      </c>
      <c r="Z444" s="215">
        <f t="shared" si="62"/>
        <v>7.8407720144752613E-2</v>
      </c>
      <c r="AA444" s="231">
        <v>4961188</v>
      </c>
      <c r="AC444" s="230">
        <v>43753</v>
      </c>
      <c r="AD444" s="1">
        <v>27.35</v>
      </c>
      <c r="AE444" s="1">
        <v>27.355801104972301</v>
      </c>
      <c r="AF444" s="1">
        <v>905</v>
      </c>
      <c r="AG444" s="1">
        <v>38506.089999999997</v>
      </c>
      <c r="AH444" s="215">
        <f t="shared" si="68"/>
        <v>-2.406798727117021E-3</v>
      </c>
      <c r="AI444" s="215">
        <f t="shared" si="63"/>
        <v>3.402646502835549E-2</v>
      </c>
      <c r="AJ444" s="231">
        <v>24757</v>
      </c>
      <c r="AL444" s="254"/>
      <c r="AQ444" s="215" t="str">
        <f t="shared" si="69"/>
        <v>NA</v>
      </c>
      <c r="AR444" s="215" t="str">
        <f t="shared" si="64"/>
        <v>NA</v>
      </c>
    </row>
    <row r="445" spans="2:44">
      <c r="B445" s="230">
        <v>43741</v>
      </c>
      <c r="C445" s="1">
        <v>257.89999999999998</v>
      </c>
      <c r="D445" s="1">
        <v>254.64783023366701</v>
      </c>
      <c r="E445" s="1">
        <v>4194</v>
      </c>
      <c r="F445" s="215">
        <v>38106.870000000003</v>
      </c>
      <c r="G445" s="215">
        <f t="shared" si="65"/>
        <v>1.150841271977443E-2</v>
      </c>
      <c r="H445" s="215">
        <f t="shared" si="60"/>
        <v>-4.0550595238095344E-2</v>
      </c>
      <c r="I445" s="231">
        <v>1067993</v>
      </c>
      <c r="K445" s="230">
        <v>43741</v>
      </c>
      <c r="L445" s="1">
        <v>137.44999999999999</v>
      </c>
      <c r="M445" s="1">
        <v>138.43328445747801</v>
      </c>
      <c r="N445" s="1">
        <v>6820</v>
      </c>
      <c r="O445" s="1">
        <v>38106.870000000003</v>
      </c>
      <c r="P445" s="215">
        <f t="shared" si="66"/>
        <v>1.150841271977443E-2</v>
      </c>
      <c r="Q445" s="215">
        <f t="shared" si="61"/>
        <v>5.8121632024634273E-2</v>
      </c>
      <c r="R445" s="231">
        <v>944115</v>
      </c>
      <c r="T445" s="230">
        <v>43741</v>
      </c>
      <c r="U445" s="1">
        <v>41.45</v>
      </c>
      <c r="V445" s="1">
        <v>41.553695552829602</v>
      </c>
      <c r="W445" s="1">
        <v>83154</v>
      </c>
      <c r="X445" s="1">
        <v>38106.870000000003</v>
      </c>
      <c r="Y445" s="215">
        <f t="shared" si="67"/>
        <v>1.150841271977443E-2</v>
      </c>
      <c r="Z445" s="215">
        <f t="shared" si="62"/>
        <v>-9.5579450418159517E-3</v>
      </c>
      <c r="AA445" s="231">
        <v>3455356</v>
      </c>
      <c r="AC445" s="230">
        <v>43754</v>
      </c>
      <c r="AD445" s="1">
        <v>26.45</v>
      </c>
      <c r="AE445" s="1">
        <v>26.452830188679201</v>
      </c>
      <c r="AF445" s="1">
        <v>106</v>
      </c>
      <c r="AG445" s="1">
        <v>38598.99</v>
      </c>
      <c r="AH445" s="215">
        <f t="shared" si="68"/>
        <v>-1.1601692714801715E-2</v>
      </c>
      <c r="AI445" s="215">
        <f t="shared" si="63"/>
        <v>-3.2906764168190161E-2</v>
      </c>
      <c r="AJ445" s="231">
        <v>2804</v>
      </c>
      <c r="AL445" s="254"/>
      <c r="AQ445" s="215" t="str">
        <f t="shared" si="69"/>
        <v>NA</v>
      </c>
      <c r="AR445" s="215" t="str">
        <f t="shared" si="64"/>
        <v>NA</v>
      </c>
    </row>
    <row r="446" spans="2:44">
      <c r="B446" s="230">
        <v>43742</v>
      </c>
      <c r="C446" s="1">
        <v>268.8</v>
      </c>
      <c r="D446" s="1">
        <v>254.509355509355</v>
      </c>
      <c r="E446" s="1">
        <v>481</v>
      </c>
      <c r="F446" s="215">
        <v>37673.31</v>
      </c>
      <c r="G446" s="215">
        <f t="shared" si="65"/>
        <v>3.7655887059513393E-3</v>
      </c>
      <c r="H446" s="215">
        <f t="shared" si="60"/>
        <v>-1.1764705882352899E-2</v>
      </c>
      <c r="I446" s="231">
        <v>122419</v>
      </c>
      <c r="K446" s="230">
        <v>43742</v>
      </c>
      <c r="L446" s="1">
        <v>129.9</v>
      </c>
      <c r="M446" s="1">
        <v>133.338694516971</v>
      </c>
      <c r="N446" s="1">
        <v>9575</v>
      </c>
      <c r="O446" s="1">
        <v>37673.31</v>
      </c>
      <c r="P446" s="215">
        <f t="shared" si="66"/>
        <v>3.7655887059513393E-3</v>
      </c>
      <c r="Q446" s="215">
        <f t="shared" si="61"/>
        <v>8.5403726708073169E-3</v>
      </c>
      <c r="R446" s="231">
        <v>1276718</v>
      </c>
      <c r="T446" s="230">
        <v>43742</v>
      </c>
      <c r="U446" s="1">
        <v>41.85</v>
      </c>
      <c r="V446" s="1">
        <v>41.570890442508599</v>
      </c>
      <c r="W446" s="1">
        <v>195386</v>
      </c>
      <c r="X446" s="1">
        <v>37673.31</v>
      </c>
      <c r="Y446" s="215">
        <f t="shared" si="67"/>
        <v>3.7655887059513393E-3</v>
      </c>
      <c r="Z446" s="215">
        <f t="shared" si="62"/>
        <v>2.3952095808383866E-3</v>
      </c>
      <c r="AA446" s="231">
        <v>8122370</v>
      </c>
      <c r="AC446" s="230">
        <v>43755</v>
      </c>
      <c r="AD446" s="1">
        <v>27.35</v>
      </c>
      <c r="AE446" s="1">
        <v>26.739130434782599</v>
      </c>
      <c r="AF446" s="1">
        <v>138</v>
      </c>
      <c r="AG446" s="1">
        <v>39052.06</v>
      </c>
      <c r="AH446" s="215">
        <f t="shared" si="68"/>
        <v>-6.2679428515882707E-3</v>
      </c>
      <c r="AI446" s="215">
        <f t="shared" si="63"/>
        <v>5.5147058823530326E-3</v>
      </c>
      <c r="AJ446" s="231">
        <v>3690</v>
      </c>
      <c r="AL446" s="254"/>
      <c r="AQ446" s="215" t="str">
        <f t="shared" si="69"/>
        <v>NA</v>
      </c>
      <c r="AR446" s="215" t="str">
        <f t="shared" si="64"/>
        <v>NA</v>
      </c>
    </row>
    <row r="447" spans="2:44">
      <c r="B447" s="230">
        <v>43745</v>
      </c>
      <c r="C447" s="1">
        <v>272</v>
      </c>
      <c r="D447" s="1">
        <v>272.09389671361498</v>
      </c>
      <c r="E447" s="1">
        <v>426</v>
      </c>
      <c r="F447" s="215">
        <v>37531.980000000003</v>
      </c>
      <c r="G447" s="215">
        <f t="shared" si="65"/>
        <v>-1.6919976059479147E-2</v>
      </c>
      <c r="H447" s="215">
        <f t="shared" si="60"/>
        <v>2.6415094339622636E-2</v>
      </c>
      <c r="I447" s="231">
        <v>115912</v>
      </c>
      <c r="K447" s="230">
        <v>43745</v>
      </c>
      <c r="L447" s="1">
        <v>128.80000000000001</v>
      </c>
      <c r="M447" s="1">
        <v>129.11452513966401</v>
      </c>
      <c r="N447" s="1">
        <v>10382</v>
      </c>
      <c r="O447" s="1">
        <v>37531.980000000003</v>
      </c>
      <c r="P447" s="215">
        <f t="shared" si="66"/>
        <v>-1.6919976059479147E-2</v>
      </c>
      <c r="Q447" s="215">
        <f t="shared" si="61"/>
        <v>-6.9390902081725159E-3</v>
      </c>
      <c r="R447" s="231">
        <v>1340467</v>
      </c>
      <c r="T447" s="230">
        <v>43745</v>
      </c>
      <c r="U447" s="1">
        <v>41.75</v>
      </c>
      <c r="V447" s="1">
        <v>42.259828048096601</v>
      </c>
      <c r="W447" s="1">
        <v>32102</v>
      </c>
      <c r="X447" s="1">
        <v>37531.980000000003</v>
      </c>
      <c r="Y447" s="215">
        <f t="shared" si="67"/>
        <v>-1.6919976059479147E-2</v>
      </c>
      <c r="Z447" s="215">
        <f t="shared" si="62"/>
        <v>-7.1343638525563913E-3</v>
      </c>
      <c r="AA447" s="231">
        <v>1356625</v>
      </c>
      <c r="AC447" s="230">
        <v>43756</v>
      </c>
      <c r="AD447" s="1">
        <v>27.2</v>
      </c>
      <c r="AE447" s="1">
        <v>27.048507462686501</v>
      </c>
      <c r="AF447" s="1">
        <v>1072</v>
      </c>
      <c r="AG447" s="1">
        <v>39298.379999999997</v>
      </c>
      <c r="AH447" s="215">
        <f t="shared" si="68"/>
        <v>8.5859093970204192E-3</v>
      </c>
      <c r="AI447" s="215">
        <f t="shared" si="63"/>
        <v>4.6153846153846212E-2</v>
      </c>
      <c r="AJ447" s="231">
        <v>28996</v>
      </c>
      <c r="AL447" s="254"/>
      <c r="AQ447" s="215" t="str">
        <f t="shared" si="69"/>
        <v>NA</v>
      </c>
      <c r="AR447" s="215" t="str">
        <f t="shared" si="64"/>
        <v>NA</v>
      </c>
    </row>
    <row r="448" spans="2:44">
      <c r="B448" s="230">
        <v>43747</v>
      </c>
      <c r="C448" s="1">
        <v>265</v>
      </c>
      <c r="D448" s="1">
        <v>265.091534755677</v>
      </c>
      <c r="E448" s="1">
        <v>1453</v>
      </c>
      <c r="F448" s="215">
        <v>38177.949999999997</v>
      </c>
      <c r="G448" s="215">
        <f t="shared" si="65"/>
        <v>7.854985691808869E-3</v>
      </c>
      <c r="H448" s="215">
        <f t="shared" si="60"/>
        <v>-2.0711730370929216E-3</v>
      </c>
      <c r="I448" s="231">
        <v>385178</v>
      </c>
      <c r="K448" s="230">
        <v>43747</v>
      </c>
      <c r="L448" s="1">
        <v>129.69999999999999</v>
      </c>
      <c r="M448" s="1">
        <v>128.740707964601</v>
      </c>
      <c r="N448" s="1">
        <v>9040</v>
      </c>
      <c r="O448" s="1">
        <v>38177.949999999997</v>
      </c>
      <c r="P448" s="215">
        <f t="shared" si="66"/>
        <v>7.854985691808869E-3</v>
      </c>
      <c r="Q448" s="215">
        <f t="shared" si="61"/>
        <v>1.1306042884990264E-2</v>
      </c>
      <c r="R448" s="231">
        <v>1163816</v>
      </c>
      <c r="T448" s="230">
        <v>43747</v>
      </c>
      <c r="U448" s="1">
        <v>42.05</v>
      </c>
      <c r="V448" s="1">
        <v>41.8832183073011</v>
      </c>
      <c r="W448" s="1">
        <v>16518</v>
      </c>
      <c r="X448" s="1">
        <v>38177.949999999997</v>
      </c>
      <c r="Y448" s="215">
        <f t="shared" si="67"/>
        <v>7.854985691808869E-3</v>
      </c>
      <c r="Z448" s="215">
        <f t="shared" si="62"/>
        <v>3.1901840490797584E-2</v>
      </c>
      <c r="AA448" s="231">
        <v>691827</v>
      </c>
      <c r="AC448" s="230">
        <v>43760</v>
      </c>
      <c r="AD448" s="1">
        <v>26</v>
      </c>
      <c r="AE448" s="1">
        <v>26.145631067961101</v>
      </c>
      <c r="AF448" s="1">
        <v>4120</v>
      </c>
      <c r="AG448" s="1">
        <v>38963.839999999997</v>
      </c>
      <c r="AH448" s="215">
        <f t="shared" si="68"/>
        <v>-2.4319724886794347E-3</v>
      </c>
      <c r="AI448" s="215">
        <f t="shared" si="63"/>
        <v>-1.3282732447817858E-2</v>
      </c>
      <c r="AJ448" s="231">
        <v>107720</v>
      </c>
      <c r="AL448" s="254"/>
      <c r="AQ448" s="215" t="str">
        <f t="shared" si="69"/>
        <v>NA</v>
      </c>
      <c r="AR448" s="215" t="str">
        <f t="shared" si="64"/>
        <v>NA</v>
      </c>
    </row>
    <row r="449" spans="2:44">
      <c r="B449" s="230">
        <v>43748</v>
      </c>
      <c r="C449" s="1">
        <v>265.55</v>
      </c>
      <c r="D449" s="1">
        <v>265.52173913043401</v>
      </c>
      <c r="E449" s="1">
        <v>23</v>
      </c>
      <c r="F449" s="215">
        <v>37880.400000000001</v>
      </c>
      <c r="G449" s="215">
        <f t="shared" si="65"/>
        <v>-6.4699420988966194E-3</v>
      </c>
      <c r="H449" s="215">
        <f t="shared" si="60"/>
        <v>-1.1723111276516485E-2</v>
      </c>
      <c r="I449" s="231">
        <v>6107</v>
      </c>
      <c r="K449" s="230">
        <v>43748</v>
      </c>
      <c r="L449" s="1">
        <v>128.25</v>
      </c>
      <c r="M449" s="1">
        <v>129.30715678083999</v>
      </c>
      <c r="N449" s="1">
        <v>7182</v>
      </c>
      <c r="O449" s="1">
        <v>37880.400000000001</v>
      </c>
      <c r="P449" s="215">
        <f t="shared" si="66"/>
        <v>-6.4699420988966194E-3</v>
      </c>
      <c r="Q449" s="215">
        <f t="shared" si="61"/>
        <v>-4.1837878221890112E-2</v>
      </c>
      <c r="R449" s="231">
        <v>928684</v>
      </c>
      <c r="T449" s="230">
        <v>43748</v>
      </c>
      <c r="U449" s="1">
        <v>40.75</v>
      </c>
      <c r="V449" s="1">
        <v>40.9682811536617</v>
      </c>
      <c r="W449" s="1">
        <v>14597</v>
      </c>
      <c r="X449" s="1">
        <v>37880.400000000001</v>
      </c>
      <c r="Y449" s="215">
        <f t="shared" si="67"/>
        <v>-6.4699420988966194E-3</v>
      </c>
      <c r="Z449" s="215">
        <f t="shared" si="62"/>
        <v>-2.2781774580335812E-2</v>
      </c>
      <c r="AA449" s="231">
        <v>598014</v>
      </c>
      <c r="AC449" s="230">
        <v>43761</v>
      </c>
      <c r="AD449" s="1">
        <v>26.35</v>
      </c>
      <c r="AE449" s="1">
        <v>26.032938754503299</v>
      </c>
      <c r="AF449" s="1">
        <v>1943</v>
      </c>
      <c r="AG449" s="1">
        <v>39058.83</v>
      </c>
      <c r="AH449" s="215">
        <f t="shared" si="68"/>
        <v>9.8512598157030062E-4</v>
      </c>
      <c r="AI449" s="215">
        <f t="shared" si="63"/>
        <v>2.7290448343080032E-2</v>
      </c>
      <c r="AJ449" s="231">
        <v>50582</v>
      </c>
      <c r="AL449" s="254"/>
      <c r="AQ449" s="215" t="str">
        <f t="shared" si="69"/>
        <v>NA</v>
      </c>
      <c r="AR449" s="215" t="str">
        <f t="shared" si="64"/>
        <v>NA</v>
      </c>
    </row>
    <row r="450" spans="2:44">
      <c r="B450" s="230">
        <v>43749</v>
      </c>
      <c r="C450" s="1">
        <v>268.7</v>
      </c>
      <c r="D450" s="1">
        <v>265.44392523364399</v>
      </c>
      <c r="E450" s="1">
        <v>214</v>
      </c>
      <c r="F450" s="215">
        <v>38127.08</v>
      </c>
      <c r="G450" s="215">
        <f t="shared" si="65"/>
        <v>-2.2868300934174579E-3</v>
      </c>
      <c r="H450" s="215">
        <f t="shared" si="60"/>
        <v>-9.2954080684137796E-4</v>
      </c>
      <c r="I450" s="231">
        <v>56805</v>
      </c>
      <c r="K450" s="230">
        <v>43749</v>
      </c>
      <c r="L450" s="1">
        <v>133.85</v>
      </c>
      <c r="M450" s="1">
        <v>133.76405391912101</v>
      </c>
      <c r="N450" s="1">
        <v>10015</v>
      </c>
      <c r="O450" s="1">
        <v>38127.08</v>
      </c>
      <c r="P450" s="215">
        <f t="shared" si="66"/>
        <v>-2.2868300934174579E-3</v>
      </c>
      <c r="Q450" s="215">
        <f t="shared" si="61"/>
        <v>-4.2560801144492233E-2</v>
      </c>
      <c r="R450" s="231">
        <v>1339647</v>
      </c>
      <c r="T450" s="230">
        <v>43749</v>
      </c>
      <c r="U450" s="1">
        <v>41.7</v>
      </c>
      <c r="V450" s="1">
        <v>41.723027280727401</v>
      </c>
      <c r="W450" s="1">
        <v>17045</v>
      </c>
      <c r="X450" s="1">
        <v>38127.08</v>
      </c>
      <c r="Y450" s="215">
        <f t="shared" si="67"/>
        <v>-2.2868300934174579E-3</v>
      </c>
      <c r="Z450" s="215">
        <f t="shared" si="62"/>
        <v>-9.5011876484559776E-3</v>
      </c>
      <c r="AA450" s="231">
        <v>711169</v>
      </c>
      <c r="AC450" s="230">
        <v>43762</v>
      </c>
      <c r="AD450" s="1">
        <v>25.65</v>
      </c>
      <c r="AE450" s="1">
        <v>25.907407407407401</v>
      </c>
      <c r="AF450" s="1">
        <v>810</v>
      </c>
      <c r="AG450" s="1">
        <v>39020.39</v>
      </c>
      <c r="AH450" s="215">
        <f t="shared" si="68"/>
        <v>-9.6446162456609308E-4</v>
      </c>
      <c r="AI450" s="215">
        <f t="shared" si="63"/>
        <v>1.953124999999778E-3</v>
      </c>
      <c r="AJ450" s="231">
        <v>20985</v>
      </c>
      <c r="AL450" s="254"/>
      <c r="AQ450" s="215" t="str">
        <f t="shared" si="69"/>
        <v>NA</v>
      </c>
      <c r="AR450" s="215" t="str">
        <f t="shared" si="64"/>
        <v>NA</v>
      </c>
    </row>
    <row r="451" spans="2:44">
      <c r="B451" s="230">
        <v>43752</v>
      </c>
      <c r="C451" s="1">
        <v>268.95</v>
      </c>
      <c r="D451" s="1">
        <v>268.98881431767302</v>
      </c>
      <c r="E451" s="1">
        <v>2682</v>
      </c>
      <c r="F451" s="215">
        <v>38214.47</v>
      </c>
      <c r="G451" s="215">
        <f t="shared" si="65"/>
        <v>-7.5733474886698904E-3</v>
      </c>
      <c r="H451" s="215">
        <f t="shared" si="60"/>
        <v>1.3949104618284691E-2</v>
      </c>
      <c r="I451" s="231">
        <v>721428</v>
      </c>
      <c r="K451" s="230">
        <v>43752</v>
      </c>
      <c r="L451" s="1">
        <v>139.80000000000001</v>
      </c>
      <c r="M451" s="1">
        <v>137.80822547795799</v>
      </c>
      <c r="N451" s="1">
        <v>15221</v>
      </c>
      <c r="O451" s="1">
        <v>38214.47</v>
      </c>
      <c r="P451" s="215">
        <f t="shared" si="66"/>
        <v>-7.5733474886698904E-3</v>
      </c>
      <c r="Q451" s="215">
        <f t="shared" si="61"/>
        <v>-1.6185784658690916E-2</v>
      </c>
      <c r="R451" s="231">
        <v>2097579</v>
      </c>
      <c r="T451" s="230">
        <v>43752</v>
      </c>
      <c r="U451" s="1">
        <v>42.1</v>
      </c>
      <c r="V451" s="1">
        <v>42.149589772943997</v>
      </c>
      <c r="W451" s="1">
        <v>15723</v>
      </c>
      <c r="X451" s="1">
        <v>38214.47</v>
      </c>
      <c r="Y451" s="215">
        <f t="shared" si="67"/>
        <v>-7.5733474886698904E-3</v>
      </c>
      <c r="Z451" s="215">
        <f t="shared" si="62"/>
        <v>-1.2895662368112459E-2</v>
      </c>
      <c r="AA451" s="231">
        <v>662718</v>
      </c>
      <c r="AC451" s="230">
        <v>43763</v>
      </c>
      <c r="AD451" s="1">
        <v>25.6</v>
      </c>
      <c r="AE451" s="1">
        <v>25.860215053763401</v>
      </c>
      <c r="AF451" s="1">
        <v>279</v>
      </c>
      <c r="AG451" s="1">
        <v>39058.06</v>
      </c>
      <c r="AH451" s="215">
        <f t="shared" si="68"/>
        <v>-4.8952616801952731E-3</v>
      </c>
      <c r="AI451" s="215">
        <f t="shared" si="63"/>
        <v>-1.9493177387913674E-3</v>
      </c>
      <c r="AJ451" s="231">
        <v>7215</v>
      </c>
      <c r="AL451" s="254"/>
      <c r="AQ451" s="215" t="str">
        <f t="shared" si="69"/>
        <v>NA</v>
      </c>
      <c r="AR451" s="215" t="str">
        <f t="shared" si="64"/>
        <v>NA</v>
      </c>
    </row>
    <row r="452" spans="2:44">
      <c r="B452" s="230">
        <v>43753</v>
      </c>
      <c r="C452" s="1">
        <v>265.25</v>
      </c>
      <c r="D452" s="1">
        <v>264.94321766561501</v>
      </c>
      <c r="E452" s="1">
        <v>1585</v>
      </c>
      <c r="F452" s="215">
        <v>38506.089999999997</v>
      </c>
      <c r="G452" s="215">
        <f t="shared" si="65"/>
        <v>-2.406798727117021E-3</v>
      </c>
      <c r="H452" s="215">
        <f t="shared" si="60"/>
        <v>-3.5454545454545405E-2</v>
      </c>
      <c r="I452" s="231">
        <v>419935</v>
      </c>
      <c r="K452" s="230">
        <v>43753</v>
      </c>
      <c r="L452" s="1">
        <v>142.1</v>
      </c>
      <c r="M452" s="1">
        <v>141.36816543944801</v>
      </c>
      <c r="N452" s="1">
        <v>6383</v>
      </c>
      <c r="O452" s="1">
        <v>38506.089999999997</v>
      </c>
      <c r="P452" s="215">
        <f t="shared" si="66"/>
        <v>-2.406798727117021E-3</v>
      </c>
      <c r="Q452" s="215">
        <f t="shared" si="61"/>
        <v>-4.5534150612960289E-3</v>
      </c>
      <c r="R452" s="231">
        <v>902353</v>
      </c>
      <c r="T452" s="230">
        <v>43753</v>
      </c>
      <c r="U452" s="1">
        <v>42.65</v>
      </c>
      <c r="V452" s="1">
        <v>42.4524661772735</v>
      </c>
      <c r="W452" s="1">
        <v>32966</v>
      </c>
      <c r="X452" s="1">
        <v>38506.089999999997</v>
      </c>
      <c r="Y452" s="215">
        <f t="shared" si="67"/>
        <v>-2.406798727117021E-3</v>
      </c>
      <c r="Z452" s="215">
        <f t="shared" si="62"/>
        <v>2.3501762632198719E-3</v>
      </c>
      <c r="AA452" s="231">
        <v>1399488</v>
      </c>
      <c r="AC452" s="230">
        <v>43765</v>
      </c>
      <c r="AD452" s="1">
        <v>25.65</v>
      </c>
      <c r="AE452" s="1">
        <v>25.649230769230702</v>
      </c>
      <c r="AF452" s="1">
        <v>325</v>
      </c>
      <c r="AG452" s="1">
        <v>39250.199999999997</v>
      </c>
      <c r="AH452" s="215">
        <f t="shared" si="68"/>
        <v>-1.4602388441006031E-2</v>
      </c>
      <c r="AI452" s="215">
        <f t="shared" si="63"/>
        <v>0</v>
      </c>
      <c r="AJ452" s="231">
        <v>8336</v>
      </c>
      <c r="AL452" s="254"/>
      <c r="AQ452" s="215" t="str">
        <f t="shared" si="69"/>
        <v>NA</v>
      </c>
      <c r="AR452" s="215" t="str">
        <f t="shared" si="64"/>
        <v>NA</v>
      </c>
    </row>
    <row r="453" spans="2:44">
      <c r="B453" s="230">
        <v>43754</v>
      </c>
      <c r="C453" s="1">
        <v>275</v>
      </c>
      <c r="D453" s="1">
        <v>273.81847519160902</v>
      </c>
      <c r="E453" s="1">
        <v>2479</v>
      </c>
      <c r="F453" s="215">
        <v>38598.99</v>
      </c>
      <c r="G453" s="215">
        <f t="shared" si="65"/>
        <v>-1.1601692714801715E-2</v>
      </c>
      <c r="H453" s="215">
        <f t="shared" si="60"/>
        <v>2.9962546816479474E-2</v>
      </c>
      <c r="I453" s="231">
        <v>678796</v>
      </c>
      <c r="K453" s="230">
        <v>43754</v>
      </c>
      <c r="L453" s="1">
        <v>142.75</v>
      </c>
      <c r="M453" s="1">
        <v>142.5800330033</v>
      </c>
      <c r="N453" s="1">
        <v>3636</v>
      </c>
      <c r="O453" s="1">
        <v>38598.99</v>
      </c>
      <c r="P453" s="215">
        <f t="shared" si="66"/>
        <v>-1.1601692714801715E-2</v>
      </c>
      <c r="Q453" s="215">
        <f t="shared" si="61"/>
        <v>-1.0496850944716751E-3</v>
      </c>
      <c r="R453" s="231">
        <v>518421</v>
      </c>
      <c r="T453" s="230">
        <v>43754</v>
      </c>
      <c r="U453" s="1">
        <v>42.55</v>
      </c>
      <c r="V453" s="1">
        <v>42.490153568202302</v>
      </c>
      <c r="W453" s="1">
        <v>27675</v>
      </c>
      <c r="X453" s="1">
        <v>38598.99</v>
      </c>
      <c r="Y453" s="215">
        <f t="shared" si="67"/>
        <v>-1.1601692714801715E-2</v>
      </c>
      <c r="Z453" s="215">
        <f t="shared" si="62"/>
        <v>5.9101654846336338E-3</v>
      </c>
      <c r="AA453" s="231">
        <v>1175915</v>
      </c>
      <c r="AC453" s="230">
        <v>43767</v>
      </c>
      <c r="AD453" s="1">
        <v>25.65</v>
      </c>
      <c r="AE453" s="1">
        <v>25.655000000000001</v>
      </c>
      <c r="AF453" s="1">
        <v>1000</v>
      </c>
      <c r="AG453" s="1">
        <v>39831.839999999997</v>
      </c>
      <c r="AH453" s="215">
        <f t="shared" si="68"/>
        <v>-5.4936261403026876E-3</v>
      </c>
      <c r="AI453" s="215">
        <f t="shared" si="63"/>
        <v>-3.7523452157598447E-2</v>
      </c>
      <c r="AJ453" s="231">
        <v>25655</v>
      </c>
      <c r="AL453" s="254"/>
      <c r="AQ453" s="215" t="str">
        <f t="shared" si="69"/>
        <v>NA</v>
      </c>
      <c r="AR453" s="215" t="str">
        <f t="shared" si="64"/>
        <v>NA</v>
      </c>
    </row>
    <row r="454" spans="2:44">
      <c r="B454" s="230">
        <v>43755</v>
      </c>
      <c r="C454" s="1">
        <v>267</v>
      </c>
      <c r="D454" s="1">
        <v>268.46666666666601</v>
      </c>
      <c r="E454" s="1">
        <v>30</v>
      </c>
      <c r="F454" s="215">
        <v>39052.06</v>
      </c>
      <c r="G454" s="215">
        <f t="shared" si="65"/>
        <v>-6.2679428515882707E-3</v>
      </c>
      <c r="H454" s="215">
        <f t="shared" si="60"/>
        <v>3.1684698608964501E-2</v>
      </c>
      <c r="I454" s="231">
        <v>8054</v>
      </c>
      <c r="K454" s="230">
        <v>43755</v>
      </c>
      <c r="L454" s="1">
        <v>142.9</v>
      </c>
      <c r="M454" s="1">
        <v>142.55297397769499</v>
      </c>
      <c r="N454" s="1">
        <v>3228</v>
      </c>
      <c r="O454" s="1">
        <v>39052.06</v>
      </c>
      <c r="P454" s="215">
        <f t="shared" si="66"/>
        <v>-6.2679428515882707E-3</v>
      </c>
      <c r="Q454" s="215">
        <f t="shared" si="61"/>
        <v>4.5694200351493741E-3</v>
      </c>
      <c r="R454" s="231">
        <v>460161</v>
      </c>
      <c r="T454" s="230">
        <v>43755</v>
      </c>
      <c r="U454" s="1">
        <v>42.3</v>
      </c>
      <c r="V454" s="1">
        <v>42.4615128105374</v>
      </c>
      <c r="W454" s="1">
        <v>17993</v>
      </c>
      <c r="X454" s="1">
        <v>39052.06</v>
      </c>
      <c r="Y454" s="215">
        <f t="shared" si="67"/>
        <v>-6.2679428515882707E-3</v>
      </c>
      <c r="Z454" s="215">
        <f t="shared" si="62"/>
        <v>-6.7254685777287881E-2</v>
      </c>
      <c r="AA454" s="231">
        <v>764010</v>
      </c>
      <c r="AC454" s="230">
        <v>43768</v>
      </c>
      <c r="AD454" s="1">
        <v>26.65</v>
      </c>
      <c r="AE454" s="1">
        <v>26.32</v>
      </c>
      <c r="AF454" s="1">
        <v>1625</v>
      </c>
      <c r="AG454" s="1">
        <v>40051.870000000003</v>
      </c>
      <c r="AH454" s="215">
        <f t="shared" si="68"/>
        <v>-1.9232949696043056E-3</v>
      </c>
      <c r="AI454" s="215">
        <f t="shared" si="63"/>
        <v>2.8957528957529011E-2</v>
      </c>
      <c r="AJ454" s="231">
        <v>42770</v>
      </c>
      <c r="AL454" s="254"/>
      <c r="AQ454" s="215" t="str">
        <f t="shared" si="69"/>
        <v>NA</v>
      </c>
      <c r="AR454" s="215" t="str">
        <f t="shared" si="64"/>
        <v>NA</v>
      </c>
    </row>
    <row r="455" spans="2:44">
      <c r="B455" s="230">
        <v>43756</v>
      </c>
      <c r="C455" s="1">
        <v>258.8</v>
      </c>
      <c r="D455" s="1">
        <v>260.63333333333298</v>
      </c>
      <c r="E455" s="1">
        <v>390</v>
      </c>
      <c r="F455" s="215">
        <v>39298.379999999997</v>
      </c>
      <c r="G455" s="215">
        <f t="shared" si="65"/>
        <v>8.5859093970204192E-3</v>
      </c>
      <c r="H455" s="215">
        <f t="shared" si="60"/>
        <v>5.048543689320395E-3</v>
      </c>
      <c r="I455" s="231">
        <v>101647</v>
      </c>
      <c r="K455" s="230">
        <v>43756</v>
      </c>
      <c r="L455" s="1">
        <v>142.25</v>
      </c>
      <c r="M455" s="1">
        <v>144.36957573802201</v>
      </c>
      <c r="N455" s="1">
        <v>6199</v>
      </c>
      <c r="O455" s="1">
        <v>39298.379999999997</v>
      </c>
      <c r="P455" s="215">
        <f t="shared" si="66"/>
        <v>8.5859093970204192E-3</v>
      </c>
      <c r="Q455" s="215">
        <f t="shared" si="61"/>
        <v>1.0298295454545414E-2</v>
      </c>
      <c r="R455" s="231">
        <v>894947</v>
      </c>
      <c r="T455" s="230">
        <v>43756</v>
      </c>
      <c r="U455" s="1">
        <v>45.35</v>
      </c>
      <c r="V455" s="1">
        <v>44.827109476690502</v>
      </c>
      <c r="W455" s="1">
        <v>79131</v>
      </c>
      <c r="X455" s="1">
        <v>39298.379999999997</v>
      </c>
      <c r="Y455" s="215">
        <f t="shared" si="67"/>
        <v>8.5859093970204192E-3</v>
      </c>
      <c r="Z455" s="215">
        <f t="shared" si="62"/>
        <v>-5.2246603970741878E-2</v>
      </c>
      <c r="AA455" s="231">
        <v>3547214</v>
      </c>
      <c r="AC455" s="230">
        <v>43769</v>
      </c>
      <c r="AD455" s="1">
        <v>25.9</v>
      </c>
      <c r="AE455" s="1">
        <v>25.806921675774099</v>
      </c>
      <c r="AF455" s="1">
        <v>1098</v>
      </c>
      <c r="AG455" s="1">
        <v>40129.050000000003</v>
      </c>
      <c r="AH455" s="215">
        <f t="shared" si="68"/>
        <v>-8.9580413608547627E-4</v>
      </c>
      <c r="AI455" s="215">
        <f t="shared" si="63"/>
        <v>-5.7581573896353655E-3</v>
      </c>
      <c r="AJ455" s="231">
        <v>28336</v>
      </c>
      <c r="AL455" s="254"/>
      <c r="AQ455" s="215" t="str">
        <f t="shared" si="69"/>
        <v>NA</v>
      </c>
      <c r="AR455" s="215" t="str">
        <f t="shared" si="64"/>
        <v>NA</v>
      </c>
    </row>
    <row r="456" spans="2:44">
      <c r="B456" s="230">
        <v>43760</v>
      </c>
      <c r="C456" s="1">
        <v>257.5</v>
      </c>
      <c r="D456" s="1">
        <v>257.025138632162</v>
      </c>
      <c r="E456" s="1">
        <v>2705</v>
      </c>
      <c r="F456" s="215">
        <v>38963.839999999997</v>
      </c>
      <c r="G456" s="215">
        <f t="shared" si="65"/>
        <v>-2.4319724886794347E-3</v>
      </c>
      <c r="H456" s="215">
        <f t="shared" si="60"/>
        <v>-3.2136816387897005E-2</v>
      </c>
      <c r="I456" s="231">
        <v>695253</v>
      </c>
      <c r="K456" s="230">
        <v>43760</v>
      </c>
      <c r="L456" s="1">
        <v>140.80000000000001</v>
      </c>
      <c r="M456" s="1">
        <v>143.73051176851601</v>
      </c>
      <c r="N456" s="1">
        <v>4631</v>
      </c>
      <c r="O456" s="1">
        <v>38963.839999999997</v>
      </c>
      <c r="P456" s="215">
        <f t="shared" si="66"/>
        <v>-2.4319724886794347E-3</v>
      </c>
      <c r="Q456" s="215">
        <f t="shared" si="61"/>
        <v>6.0735977134691588E-3</v>
      </c>
      <c r="R456" s="231">
        <v>665616</v>
      </c>
      <c r="T456" s="230">
        <v>43760</v>
      </c>
      <c r="U456" s="1">
        <v>47.85</v>
      </c>
      <c r="V456" s="1">
        <v>47.878605149363203</v>
      </c>
      <c r="W456" s="1">
        <v>50414</v>
      </c>
      <c r="X456" s="1">
        <v>38963.839999999997</v>
      </c>
      <c r="Y456" s="215">
        <f t="shared" si="67"/>
        <v>-2.4319724886794347E-3</v>
      </c>
      <c r="Z456" s="215">
        <f t="shared" si="62"/>
        <v>3.2362459546925626E-2</v>
      </c>
      <c r="AA456" s="231">
        <v>2413752</v>
      </c>
      <c r="AC456" s="230">
        <v>43770</v>
      </c>
      <c r="AD456" s="1">
        <v>26.05</v>
      </c>
      <c r="AE456" s="1">
        <v>25.906122448979499</v>
      </c>
      <c r="AF456" s="1">
        <v>735</v>
      </c>
      <c r="AG456" s="1">
        <v>40165.03</v>
      </c>
      <c r="AH456" s="215">
        <f t="shared" si="68"/>
        <v>-3.3976015062294751E-3</v>
      </c>
      <c r="AI456" s="215">
        <f t="shared" si="63"/>
        <v>-2.6168224299065401E-2</v>
      </c>
      <c r="AJ456" s="231">
        <v>19041</v>
      </c>
      <c r="AL456" s="254"/>
      <c r="AQ456" s="215" t="str">
        <f t="shared" si="69"/>
        <v>NA</v>
      </c>
      <c r="AR456" s="215" t="str">
        <f t="shared" si="64"/>
        <v>NA</v>
      </c>
    </row>
    <row r="457" spans="2:44">
      <c r="B457" s="230">
        <v>43761</v>
      </c>
      <c r="C457" s="1">
        <v>266.05</v>
      </c>
      <c r="D457" s="1">
        <v>269.41574167507503</v>
      </c>
      <c r="E457" s="1">
        <v>991</v>
      </c>
      <c r="F457" s="215">
        <v>39058.83</v>
      </c>
      <c r="G457" s="215">
        <f t="shared" si="65"/>
        <v>9.8512598157030062E-4</v>
      </c>
      <c r="H457" s="215">
        <f t="shared" si="60"/>
        <v>5.8601134215501283E-3</v>
      </c>
      <c r="I457" s="231">
        <v>266991</v>
      </c>
      <c r="K457" s="230">
        <v>43761</v>
      </c>
      <c r="L457" s="1">
        <v>139.94999999999999</v>
      </c>
      <c r="M457" s="1">
        <v>140.508204633204</v>
      </c>
      <c r="N457" s="1">
        <v>4144</v>
      </c>
      <c r="O457" s="1">
        <v>39058.83</v>
      </c>
      <c r="P457" s="215">
        <f t="shared" si="66"/>
        <v>9.8512598157030062E-4</v>
      </c>
      <c r="Q457" s="215">
        <f t="shared" si="61"/>
        <v>3.1699225949133769E-2</v>
      </c>
      <c r="R457" s="231">
        <v>582266</v>
      </c>
      <c r="T457" s="230">
        <v>43761</v>
      </c>
      <c r="U457" s="1">
        <v>46.35</v>
      </c>
      <c r="V457" s="1">
        <v>47.106554115728699</v>
      </c>
      <c r="W457" s="1">
        <v>128179</v>
      </c>
      <c r="X457" s="1">
        <v>39058.83</v>
      </c>
      <c r="Y457" s="215">
        <f t="shared" si="67"/>
        <v>9.8512598157030062E-4</v>
      </c>
      <c r="Z457" s="215">
        <f t="shared" si="62"/>
        <v>2.0925110132158586E-2</v>
      </c>
      <c r="AA457" s="231">
        <v>6038071</v>
      </c>
      <c r="AC457" s="230">
        <v>43773</v>
      </c>
      <c r="AD457" s="1">
        <v>26.75</v>
      </c>
      <c r="AE457" s="1">
        <v>26.782638728989099</v>
      </c>
      <c r="AF457" s="1">
        <v>4343</v>
      </c>
      <c r="AG457" s="1">
        <v>40301.96</v>
      </c>
      <c r="AH457" s="215">
        <f t="shared" si="68"/>
        <v>1.3349655376149183E-3</v>
      </c>
      <c r="AI457" s="215">
        <f t="shared" si="63"/>
        <v>-1.291512915129156E-2</v>
      </c>
      <c r="AJ457" s="231">
        <v>116317</v>
      </c>
      <c r="AL457" s="254"/>
      <c r="AQ457" s="215" t="str">
        <f t="shared" si="69"/>
        <v>NA</v>
      </c>
      <c r="AR457" s="215" t="str">
        <f t="shared" si="64"/>
        <v>NA</v>
      </c>
    </row>
    <row r="458" spans="2:44">
      <c r="B458" s="230">
        <v>43762</v>
      </c>
      <c r="C458" s="1">
        <v>264.5</v>
      </c>
      <c r="D458" s="1">
        <v>266.78947368421001</v>
      </c>
      <c r="E458" s="1">
        <v>361</v>
      </c>
      <c r="F458" s="215">
        <v>39020.39</v>
      </c>
      <c r="G458" s="215">
        <f t="shared" si="65"/>
        <v>-9.6446162456609308E-4</v>
      </c>
      <c r="H458" s="215">
        <f t="shared" si="60"/>
        <v>-1.3059701492537323E-2</v>
      </c>
      <c r="I458" s="231">
        <v>96311</v>
      </c>
      <c r="K458" s="230">
        <v>43762</v>
      </c>
      <c r="L458" s="1">
        <v>135.65</v>
      </c>
      <c r="M458" s="1">
        <v>137.82337038149501</v>
      </c>
      <c r="N458" s="1">
        <v>3329</v>
      </c>
      <c r="O458" s="1">
        <v>39020.39</v>
      </c>
      <c r="P458" s="215">
        <f t="shared" si="66"/>
        <v>-9.6446162456609308E-4</v>
      </c>
      <c r="Q458" s="215">
        <f t="shared" si="61"/>
        <v>2.9210925644916452E-2</v>
      </c>
      <c r="R458" s="231">
        <v>458814</v>
      </c>
      <c r="T458" s="230">
        <v>43762</v>
      </c>
      <c r="U458" s="1">
        <v>45.4</v>
      </c>
      <c r="V458" s="1">
        <v>45.512405740695598</v>
      </c>
      <c r="W458" s="1">
        <v>8222</v>
      </c>
      <c r="X458" s="1">
        <v>39020.39</v>
      </c>
      <c r="Y458" s="215">
        <f t="shared" si="67"/>
        <v>-9.6446162456609308E-4</v>
      </c>
      <c r="Z458" s="215">
        <f t="shared" si="62"/>
        <v>3.3149171270718814E-3</v>
      </c>
      <c r="AA458" s="231">
        <v>374203</v>
      </c>
      <c r="AC458" s="230">
        <v>43774</v>
      </c>
      <c r="AD458" s="1">
        <v>27.1</v>
      </c>
      <c r="AE458" s="1">
        <v>26.485245901639299</v>
      </c>
      <c r="AF458" s="1">
        <v>915</v>
      </c>
      <c r="AG458" s="1">
        <v>40248.230000000003</v>
      </c>
      <c r="AH458" s="215">
        <f t="shared" si="68"/>
        <v>-5.4744552601965202E-3</v>
      </c>
      <c r="AI458" s="215">
        <f t="shared" si="63"/>
        <v>2.457466918714557E-2</v>
      </c>
      <c r="AJ458" s="231">
        <v>24234</v>
      </c>
      <c r="AL458" s="254"/>
      <c r="AQ458" s="215" t="str">
        <f t="shared" si="69"/>
        <v>NA</v>
      </c>
      <c r="AR458" s="215" t="str">
        <f t="shared" si="64"/>
        <v>NA</v>
      </c>
    </row>
    <row r="459" spans="2:44">
      <c r="B459" s="230">
        <v>43763</v>
      </c>
      <c r="C459" s="1">
        <v>268</v>
      </c>
      <c r="D459" s="1">
        <v>261.33333333333297</v>
      </c>
      <c r="E459" s="1">
        <v>27</v>
      </c>
      <c r="F459" s="215">
        <v>39058.06</v>
      </c>
      <c r="G459" s="215">
        <f t="shared" si="65"/>
        <v>-4.8952616801952731E-3</v>
      </c>
      <c r="H459" s="215">
        <f t="shared" si="60"/>
        <v>-1.9213174748398898E-2</v>
      </c>
      <c r="I459" s="231">
        <v>7056</v>
      </c>
      <c r="K459" s="230">
        <v>43763</v>
      </c>
      <c r="L459" s="1">
        <v>131.80000000000001</v>
      </c>
      <c r="M459" s="1">
        <v>133.95915643352899</v>
      </c>
      <c r="N459" s="1">
        <v>3746</v>
      </c>
      <c r="O459" s="1">
        <v>39058.06</v>
      </c>
      <c r="P459" s="215">
        <f t="shared" si="66"/>
        <v>-4.8952616801952731E-3</v>
      </c>
      <c r="Q459" s="215">
        <f t="shared" si="61"/>
        <v>-4.5619116582186647E-2</v>
      </c>
      <c r="R459" s="231">
        <v>501811</v>
      </c>
      <c r="T459" s="230">
        <v>43763</v>
      </c>
      <c r="U459" s="1">
        <v>45.25</v>
      </c>
      <c r="V459" s="1">
        <v>45.472398282559801</v>
      </c>
      <c r="W459" s="1">
        <v>29346</v>
      </c>
      <c r="X459" s="1">
        <v>39058.06</v>
      </c>
      <c r="Y459" s="215">
        <f t="shared" si="67"/>
        <v>-4.8952616801952731E-3</v>
      </c>
      <c r="Z459" s="215">
        <f t="shared" si="62"/>
        <v>-2.1621621621621623E-2</v>
      </c>
      <c r="AA459" s="231">
        <v>1334433</v>
      </c>
      <c r="AC459" s="230">
        <v>43775</v>
      </c>
      <c r="AD459" s="1">
        <v>26.45</v>
      </c>
      <c r="AE459" s="1">
        <v>26.556818181818102</v>
      </c>
      <c r="AF459" s="1">
        <v>1936</v>
      </c>
      <c r="AG459" s="1">
        <v>40469.78</v>
      </c>
      <c r="AH459" s="215">
        <f t="shared" si="68"/>
        <v>-4.5250449282157046E-3</v>
      </c>
      <c r="AI459" s="215">
        <f t="shared" si="63"/>
        <v>-2.0370370370370372E-2</v>
      </c>
      <c r="AJ459" s="231">
        <v>51414</v>
      </c>
      <c r="AL459" s="254"/>
      <c r="AQ459" s="215" t="str">
        <f t="shared" si="69"/>
        <v>NA</v>
      </c>
      <c r="AR459" s="215" t="str">
        <f t="shared" si="64"/>
        <v>NA</v>
      </c>
    </row>
    <row r="460" spans="2:44">
      <c r="B460" s="230">
        <v>43765</v>
      </c>
      <c r="C460" s="1">
        <v>273.25</v>
      </c>
      <c r="D460" s="1">
        <v>269.81168831168799</v>
      </c>
      <c r="E460" s="1">
        <v>308</v>
      </c>
      <c r="F460" s="215">
        <v>39250.199999999997</v>
      </c>
      <c r="G460" s="215">
        <f t="shared" si="65"/>
        <v>-1.4602388441006031E-2</v>
      </c>
      <c r="H460" s="215">
        <f t="shared" si="60"/>
        <v>6.2603572086170622E-3</v>
      </c>
      <c r="I460" s="231">
        <v>83102</v>
      </c>
      <c r="K460" s="230">
        <v>43765</v>
      </c>
      <c r="L460" s="1">
        <v>138.1</v>
      </c>
      <c r="M460" s="1">
        <v>137.635111876075</v>
      </c>
      <c r="N460" s="1">
        <v>2324</v>
      </c>
      <c r="O460" s="1">
        <v>39250.199999999997</v>
      </c>
      <c r="P460" s="215">
        <f t="shared" si="66"/>
        <v>-1.4602388441006031E-2</v>
      </c>
      <c r="Q460" s="215">
        <f t="shared" si="61"/>
        <v>-8.0865224625623955E-2</v>
      </c>
      <c r="R460" s="231">
        <v>319864</v>
      </c>
      <c r="T460" s="230">
        <v>43765</v>
      </c>
      <c r="U460" s="1">
        <v>46.25</v>
      </c>
      <c r="V460" s="1">
        <v>46.240595611285201</v>
      </c>
      <c r="W460" s="1">
        <v>5104</v>
      </c>
      <c r="X460" s="1">
        <v>39250.199999999997</v>
      </c>
      <c r="Y460" s="215">
        <f t="shared" si="67"/>
        <v>-1.4602388441006031E-2</v>
      </c>
      <c r="Z460" s="215">
        <f t="shared" si="62"/>
        <v>-2.5289778714436273E-2</v>
      </c>
      <c r="AA460" s="231">
        <v>236012</v>
      </c>
      <c r="AC460" s="230">
        <v>43776</v>
      </c>
      <c r="AD460" s="1">
        <v>27</v>
      </c>
      <c r="AE460" s="1">
        <v>26.633333333333301</v>
      </c>
      <c r="AF460" s="1">
        <v>30</v>
      </c>
      <c r="AG460" s="1">
        <v>40653.74</v>
      </c>
      <c r="AH460" s="215">
        <f t="shared" si="68"/>
        <v>8.1870150018810151E-3</v>
      </c>
      <c r="AI460" s="215">
        <f t="shared" si="63"/>
        <v>3.0534351145038219E-2</v>
      </c>
      <c r="AJ460" s="231">
        <v>799</v>
      </c>
      <c r="AL460" s="254"/>
      <c r="AQ460" s="215" t="str">
        <f t="shared" si="69"/>
        <v>NA</v>
      </c>
      <c r="AR460" s="215" t="str">
        <f t="shared" si="64"/>
        <v>NA</v>
      </c>
    </row>
    <row r="461" spans="2:44">
      <c r="B461" s="230">
        <v>43767</v>
      </c>
      <c r="C461" s="1">
        <v>271.55</v>
      </c>
      <c r="D461" s="1">
        <v>270.54154727793599</v>
      </c>
      <c r="E461" s="1">
        <v>1047</v>
      </c>
      <c r="F461" s="215">
        <v>39831.839999999997</v>
      </c>
      <c r="G461" s="215">
        <f t="shared" si="65"/>
        <v>-5.4936261403026876E-3</v>
      </c>
      <c r="H461" s="215">
        <f t="shared" si="60"/>
        <v>7.9507056251242325E-2</v>
      </c>
      <c r="I461" s="231">
        <v>283257</v>
      </c>
      <c r="K461" s="230">
        <v>43767</v>
      </c>
      <c r="L461" s="1">
        <v>150.25</v>
      </c>
      <c r="M461" s="1">
        <v>147.03068657803601</v>
      </c>
      <c r="N461" s="1">
        <v>10982</v>
      </c>
      <c r="O461" s="1">
        <v>39831.839999999997</v>
      </c>
      <c r="P461" s="215">
        <f t="shared" si="66"/>
        <v>-5.4936261403026876E-3</v>
      </c>
      <c r="Q461" s="215">
        <f t="shared" si="61"/>
        <v>5.8098591549295753E-2</v>
      </c>
      <c r="R461" s="231">
        <v>1614691</v>
      </c>
      <c r="T461" s="230">
        <v>43767</v>
      </c>
      <c r="U461" s="1">
        <v>47.45</v>
      </c>
      <c r="V461" s="1">
        <v>47.341533742331201</v>
      </c>
      <c r="W461" s="1">
        <v>16300</v>
      </c>
      <c r="X461" s="1">
        <v>39831.839999999997</v>
      </c>
      <c r="Y461" s="215">
        <f t="shared" si="67"/>
        <v>-5.4936261403026876E-3</v>
      </c>
      <c r="Z461" s="215">
        <f t="shared" si="62"/>
        <v>1.6059957173447437E-2</v>
      </c>
      <c r="AA461" s="231">
        <v>771667</v>
      </c>
      <c r="AC461" s="230">
        <v>43777</v>
      </c>
      <c r="AD461" s="1">
        <v>26.2</v>
      </c>
      <c r="AE461" s="1">
        <v>25.955555555555499</v>
      </c>
      <c r="AF461" s="1">
        <v>675</v>
      </c>
      <c r="AG461" s="1">
        <v>40323.61</v>
      </c>
      <c r="AH461" s="215">
        <f t="shared" si="68"/>
        <v>-5.321590637570317E-4</v>
      </c>
      <c r="AI461" s="215">
        <f t="shared" si="63"/>
        <v>-3.8532110091743177E-2</v>
      </c>
      <c r="AJ461" s="231">
        <v>17520</v>
      </c>
      <c r="AL461" s="254"/>
      <c r="AQ461" s="215" t="str">
        <f t="shared" si="69"/>
        <v>NA</v>
      </c>
      <c r="AR461" s="215" t="str">
        <f t="shared" si="64"/>
        <v>NA</v>
      </c>
    </row>
    <row r="462" spans="2:44">
      <c r="B462" s="230">
        <v>43768</v>
      </c>
      <c r="C462" s="1">
        <v>251.55</v>
      </c>
      <c r="D462" s="1">
        <v>259.928640934155</v>
      </c>
      <c r="E462" s="1">
        <v>3083</v>
      </c>
      <c r="F462" s="215">
        <v>40051.870000000003</v>
      </c>
      <c r="G462" s="215">
        <f t="shared" si="65"/>
        <v>-1.9232949696043056E-3</v>
      </c>
      <c r="H462" s="215">
        <f t="shared" ref="H462:H525" si="70">IF(ISERROR(C462/C463-1),"NA",C462/C463-1)</f>
        <v>-3.6391495882014957E-2</v>
      </c>
      <c r="I462" s="231">
        <v>801360</v>
      </c>
      <c r="K462" s="230">
        <v>43768</v>
      </c>
      <c r="L462" s="1">
        <v>142</v>
      </c>
      <c r="M462" s="1">
        <v>146.45732337736899</v>
      </c>
      <c r="N462" s="1">
        <v>8705</v>
      </c>
      <c r="O462" s="1">
        <v>40051.870000000003</v>
      </c>
      <c r="P462" s="215">
        <f t="shared" si="66"/>
        <v>-1.9232949696043056E-3</v>
      </c>
      <c r="Q462" s="215">
        <f t="shared" ref="Q462:Q525" si="71">IF(ISERROR(L462/L463-1),"NA",L462/L463-1)</f>
        <v>-1.4231169732731752E-2</v>
      </c>
      <c r="R462" s="231">
        <v>1274911</v>
      </c>
      <c r="T462" s="230">
        <v>43768</v>
      </c>
      <c r="U462" s="1">
        <v>46.7</v>
      </c>
      <c r="V462" s="1">
        <v>47.259900127743499</v>
      </c>
      <c r="W462" s="1">
        <v>17222</v>
      </c>
      <c r="X462" s="1">
        <v>40051.870000000003</v>
      </c>
      <c r="Y462" s="215">
        <f t="shared" si="67"/>
        <v>-1.9232949696043056E-3</v>
      </c>
      <c r="Z462" s="215">
        <f t="shared" ref="Z462:Z525" si="72">IF(ISERROR(U462/U463-1),"NA",U462/U463-1)</f>
        <v>-8.2514734774066678E-2</v>
      </c>
      <c r="AA462" s="231">
        <v>813910</v>
      </c>
      <c r="AC462" s="230">
        <v>43780</v>
      </c>
      <c r="AD462" s="1">
        <v>27.25</v>
      </c>
      <c r="AE462" s="1">
        <v>27.1305715215269</v>
      </c>
      <c r="AF462" s="1">
        <v>9221</v>
      </c>
      <c r="AG462" s="1">
        <v>40345.08</v>
      </c>
      <c r="AH462" s="215">
        <f t="shared" si="68"/>
        <v>5.7089355235784289E-3</v>
      </c>
      <c r="AI462" s="215">
        <f t="shared" ref="AI462:AI525" si="73">IF(ISERROR(AD462/AD463-1),"NA",AD462/AD463-1)</f>
        <v>1.8382352941177516E-3</v>
      </c>
      <c r="AJ462" s="231">
        <v>250171</v>
      </c>
      <c r="AL462" s="254"/>
      <c r="AQ462" s="215" t="str">
        <f t="shared" si="69"/>
        <v>NA</v>
      </c>
      <c r="AR462" s="215" t="str">
        <f t="shared" ref="AR462:AR525" si="74">IF(ISERROR(AM462/AM463-1),"NA",AM462/AM463-1)</f>
        <v>NA</v>
      </c>
    </row>
    <row r="463" spans="2:44">
      <c r="B463" s="230">
        <v>43769</v>
      </c>
      <c r="C463" s="1">
        <v>261.05</v>
      </c>
      <c r="D463" s="1">
        <v>258.70607114201601</v>
      </c>
      <c r="E463" s="1">
        <v>3739</v>
      </c>
      <c r="F463" s="215">
        <v>40129.050000000003</v>
      </c>
      <c r="G463" s="215">
        <f t="shared" ref="G463:G526" si="75">IF(ISERROR(F463/F464-1),"NA",F463/F464-1)</f>
        <v>-8.9580413608547627E-4</v>
      </c>
      <c r="H463" s="215">
        <f t="shared" si="70"/>
        <v>9.0838809431774692E-3</v>
      </c>
      <c r="I463" s="231">
        <v>967302</v>
      </c>
      <c r="K463" s="230">
        <v>43769</v>
      </c>
      <c r="L463" s="1">
        <v>144.05000000000001</v>
      </c>
      <c r="M463" s="1">
        <v>145.77094695091699</v>
      </c>
      <c r="N463" s="1">
        <v>4034</v>
      </c>
      <c r="O463" s="1">
        <v>40129.050000000003</v>
      </c>
      <c r="P463" s="215">
        <f t="shared" ref="P463:P526" si="76">IF(ISERROR(O463/O464-1),"NA",O463/O464-1)</f>
        <v>-8.9580413608547627E-4</v>
      </c>
      <c r="Q463" s="215">
        <f t="shared" si="71"/>
        <v>-2.6031102096010783E-2</v>
      </c>
      <c r="R463" s="231">
        <v>588040</v>
      </c>
      <c r="T463" s="230">
        <v>43769</v>
      </c>
      <c r="U463" s="1">
        <v>50.9</v>
      </c>
      <c r="V463" s="1">
        <v>51.342310434989301</v>
      </c>
      <c r="W463" s="1">
        <v>126210</v>
      </c>
      <c r="X463" s="1">
        <v>40129.050000000003</v>
      </c>
      <c r="Y463" s="215">
        <f t="shared" ref="Y463:Y526" si="77">IF(ISERROR(X463/X464-1),"NA",X463/X464-1)</f>
        <v>-8.9580413608547627E-4</v>
      </c>
      <c r="Z463" s="215">
        <f t="shared" si="72"/>
        <v>-5.390334572490707E-2</v>
      </c>
      <c r="AA463" s="231">
        <v>6479913</v>
      </c>
      <c r="AC463" s="230">
        <v>43782</v>
      </c>
      <c r="AD463" s="1">
        <v>27.2</v>
      </c>
      <c r="AE463" s="1">
        <v>26.371698113207501</v>
      </c>
      <c r="AF463" s="1">
        <v>530</v>
      </c>
      <c r="AG463" s="1">
        <v>40116.06</v>
      </c>
      <c r="AH463" s="215">
        <f t="shared" ref="AH463:AH526" si="78">IF(ISERROR(AG463/AG464-1),"NA",AG463/AG464-1)</f>
        <v>-4.2302032840795256E-3</v>
      </c>
      <c r="AI463" s="215">
        <f t="shared" si="73"/>
        <v>2.8355387523629538E-2</v>
      </c>
      <c r="AJ463" s="231">
        <v>13977</v>
      </c>
      <c r="AL463" s="254"/>
      <c r="AQ463" s="215" t="str">
        <f t="shared" ref="AQ463:AQ526" si="79">IF(ISERROR(AP463/AP464-1),"NA",AP463/AP464-1)</f>
        <v>NA</v>
      </c>
      <c r="AR463" s="215" t="str">
        <f t="shared" si="74"/>
        <v>NA</v>
      </c>
    </row>
    <row r="464" spans="2:44">
      <c r="B464" s="230">
        <v>43770</v>
      </c>
      <c r="C464" s="1">
        <v>258.7</v>
      </c>
      <c r="D464" s="1">
        <v>258.10296586457702</v>
      </c>
      <c r="E464" s="1">
        <v>1787</v>
      </c>
      <c r="F464" s="215">
        <v>40165.03</v>
      </c>
      <c r="G464" s="215">
        <f t="shared" si="75"/>
        <v>-3.3976015062294751E-3</v>
      </c>
      <c r="H464" s="215">
        <f t="shared" si="70"/>
        <v>1.9364833462431896E-3</v>
      </c>
      <c r="I464" s="231">
        <v>461230</v>
      </c>
      <c r="K464" s="230">
        <v>43770</v>
      </c>
      <c r="L464" s="1">
        <v>147.9</v>
      </c>
      <c r="M464" s="1">
        <v>148.87444100447101</v>
      </c>
      <c r="N464" s="1">
        <v>8721</v>
      </c>
      <c r="O464" s="1">
        <v>40165.03</v>
      </c>
      <c r="P464" s="215">
        <f t="shared" si="76"/>
        <v>-3.3976015062294751E-3</v>
      </c>
      <c r="Q464" s="215">
        <f t="shared" si="71"/>
        <v>-3.1116934163118226E-2</v>
      </c>
      <c r="R464" s="231">
        <v>1298334</v>
      </c>
      <c r="T464" s="230">
        <v>43770</v>
      </c>
      <c r="U464" s="1">
        <v>53.8</v>
      </c>
      <c r="V464" s="1">
        <v>55.040017377872097</v>
      </c>
      <c r="W464" s="1">
        <v>165728</v>
      </c>
      <c r="X464" s="1">
        <v>40165.03</v>
      </c>
      <c r="Y464" s="215">
        <f t="shared" si="77"/>
        <v>-3.3976015062294751E-3</v>
      </c>
      <c r="Z464" s="215">
        <f t="shared" si="72"/>
        <v>-1.6453382084095192E-2</v>
      </c>
      <c r="AA464" s="231">
        <v>9121672</v>
      </c>
      <c r="AC464" s="230">
        <v>43783</v>
      </c>
      <c r="AD464" s="1">
        <v>26.45</v>
      </c>
      <c r="AE464" s="1">
        <v>26.058823529411701</v>
      </c>
      <c r="AF464" s="1">
        <v>51</v>
      </c>
      <c r="AG464" s="1">
        <v>40286.480000000003</v>
      </c>
      <c r="AH464" s="215">
        <f t="shared" si="78"/>
        <v>-1.7397363361564278E-3</v>
      </c>
      <c r="AI464" s="215">
        <f t="shared" si="73"/>
        <v>2.5193798449612448E-2</v>
      </c>
      <c r="AJ464" s="231">
        <v>1329</v>
      </c>
      <c r="AL464" s="254"/>
      <c r="AQ464" s="215" t="str">
        <f t="shared" si="79"/>
        <v>NA</v>
      </c>
      <c r="AR464" s="215" t="str">
        <f t="shared" si="74"/>
        <v>NA</v>
      </c>
    </row>
    <row r="465" spans="2:44">
      <c r="B465" s="230">
        <v>43773</v>
      </c>
      <c r="C465" s="1">
        <v>258.2</v>
      </c>
      <c r="D465" s="1">
        <v>263.68855291576602</v>
      </c>
      <c r="E465" s="1">
        <v>2315</v>
      </c>
      <c r="F465" s="215">
        <v>40301.96</v>
      </c>
      <c r="G465" s="215">
        <f t="shared" si="75"/>
        <v>1.3349655376149183E-3</v>
      </c>
      <c r="H465" s="215">
        <f t="shared" si="70"/>
        <v>8.5937499999999556E-3</v>
      </c>
      <c r="I465" s="231">
        <v>610439</v>
      </c>
      <c r="K465" s="230">
        <v>43773</v>
      </c>
      <c r="L465" s="1">
        <v>152.65</v>
      </c>
      <c r="M465" s="1">
        <v>154.68942577030799</v>
      </c>
      <c r="N465" s="1">
        <v>11424</v>
      </c>
      <c r="O465" s="1">
        <v>40301.96</v>
      </c>
      <c r="P465" s="215">
        <f t="shared" si="76"/>
        <v>1.3349655376149183E-3</v>
      </c>
      <c r="Q465" s="215">
        <f t="shared" si="71"/>
        <v>-1.3251454427924858E-2</v>
      </c>
      <c r="R465" s="231">
        <v>1767172</v>
      </c>
      <c r="T465" s="230">
        <v>43773</v>
      </c>
      <c r="U465" s="1">
        <v>54.7</v>
      </c>
      <c r="V465" s="1">
        <v>55.180378466787403</v>
      </c>
      <c r="W465" s="1">
        <v>113722</v>
      </c>
      <c r="X465" s="1">
        <v>40301.96</v>
      </c>
      <c r="Y465" s="215">
        <f t="shared" si="77"/>
        <v>1.3349655376149183E-3</v>
      </c>
      <c r="Z465" s="215">
        <f t="shared" si="72"/>
        <v>4.8897411313518768E-2</v>
      </c>
      <c r="AA465" s="231">
        <v>6275223</v>
      </c>
      <c r="AC465" s="230">
        <v>43784</v>
      </c>
      <c r="AD465" s="1">
        <v>25.8</v>
      </c>
      <c r="AE465" s="1">
        <v>25.740186915887801</v>
      </c>
      <c r="AF465" s="1">
        <v>535</v>
      </c>
      <c r="AG465" s="1">
        <v>40356.69</v>
      </c>
      <c r="AH465" s="215">
        <f t="shared" si="78"/>
        <v>1.7997134856131414E-3</v>
      </c>
      <c r="AI465" s="215">
        <f t="shared" si="73"/>
        <v>-2.0872865275142316E-2</v>
      </c>
      <c r="AJ465" s="231">
        <v>13771</v>
      </c>
      <c r="AL465" s="254"/>
      <c r="AQ465" s="215" t="str">
        <f t="shared" si="79"/>
        <v>NA</v>
      </c>
      <c r="AR465" s="215" t="str">
        <f t="shared" si="74"/>
        <v>NA</v>
      </c>
    </row>
    <row r="466" spans="2:44">
      <c r="B466" s="230">
        <v>43774</v>
      </c>
      <c r="C466" s="1">
        <v>256</v>
      </c>
      <c r="D466" s="1">
        <v>256.28846153846098</v>
      </c>
      <c r="E466" s="1">
        <v>208</v>
      </c>
      <c r="F466" s="215">
        <v>40248.230000000003</v>
      </c>
      <c r="G466" s="215">
        <f t="shared" si="75"/>
        <v>-5.4744552601965202E-3</v>
      </c>
      <c r="H466" s="215">
        <f t="shared" si="70"/>
        <v>-1.538461538461533E-2</v>
      </c>
      <c r="I466" s="231">
        <v>53308</v>
      </c>
      <c r="K466" s="230">
        <v>43774</v>
      </c>
      <c r="L466" s="1">
        <v>154.69999999999999</v>
      </c>
      <c r="M466" s="1">
        <v>156.706883014917</v>
      </c>
      <c r="N466" s="1">
        <v>15284</v>
      </c>
      <c r="O466" s="1">
        <v>40248.230000000003</v>
      </c>
      <c r="P466" s="215">
        <f t="shared" si="76"/>
        <v>-5.4744552601965202E-3</v>
      </c>
      <c r="Q466" s="215">
        <f t="shared" si="71"/>
        <v>-7.3788899582932777E-3</v>
      </c>
      <c r="R466" s="231">
        <v>2395108</v>
      </c>
      <c r="T466" s="230">
        <v>43774</v>
      </c>
      <c r="U466" s="1">
        <v>52.15</v>
      </c>
      <c r="V466" s="1">
        <v>52.915352434244298</v>
      </c>
      <c r="W466" s="1">
        <v>75773</v>
      </c>
      <c r="X466" s="1">
        <v>40248.230000000003</v>
      </c>
      <c r="Y466" s="215">
        <f t="shared" si="77"/>
        <v>-5.4744552601965202E-3</v>
      </c>
      <c r="Z466" s="215">
        <f t="shared" si="72"/>
        <v>1.7560975609756113E-2</v>
      </c>
      <c r="AA466" s="231">
        <v>4009555</v>
      </c>
      <c r="AC466" s="230">
        <v>43787</v>
      </c>
      <c r="AD466" s="1">
        <v>26.35</v>
      </c>
      <c r="AE466" s="1">
        <v>25.5840909090909</v>
      </c>
      <c r="AF466" s="1">
        <v>440</v>
      </c>
      <c r="AG466" s="1">
        <v>40284.19</v>
      </c>
      <c r="AH466" s="215">
        <f t="shared" si="78"/>
        <v>-4.5839232808742025E-3</v>
      </c>
      <c r="AI466" s="215">
        <f t="shared" si="73"/>
        <v>0</v>
      </c>
      <c r="AJ466" s="231">
        <v>11257</v>
      </c>
      <c r="AL466" s="254"/>
      <c r="AQ466" s="215" t="str">
        <f t="shared" si="79"/>
        <v>NA</v>
      </c>
      <c r="AR466" s="215" t="str">
        <f t="shared" si="74"/>
        <v>NA</v>
      </c>
    </row>
    <row r="467" spans="2:44">
      <c r="B467" s="230">
        <v>43775</v>
      </c>
      <c r="C467" s="1">
        <v>260</v>
      </c>
      <c r="D467" s="1">
        <v>265.58333333333297</v>
      </c>
      <c r="E467" s="1">
        <v>60</v>
      </c>
      <c r="F467" s="215">
        <v>40469.78</v>
      </c>
      <c r="G467" s="215">
        <f t="shared" si="75"/>
        <v>-4.5250449282157046E-3</v>
      </c>
      <c r="H467" s="215">
        <f t="shared" si="70"/>
        <v>0</v>
      </c>
      <c r="I467" s="231">
        <v>15935</v>
      </c>
      <c r="K467" s="230">
        <v>43775</v>
      </c>
      <c r="L467" s="1">
        <v>155.85</v>
      </c>
      <c r="M467" s="1">
        <v>156.508688245315</v>
      </c>
      <c r="N467" s="1">
        <v>11740</v>
      </c>
      <c r="O467" s="1">
        <v>40469.78</v>
      </c>
      <c r="P467" s="215">
        <f t="shared" si="76"/>
        <v>-4.5250449282157046E-3</v>
      </c>
      <c r="Q467" s="215">
        <f t="shared" si="71"/>
        <v>1.8627450980392091E-2</v>
      </c>
      <c r="R467" s="231">
        <v>1837412</v>
      </c>
      <c r="T467" s="230">
        <v>43775</v>
      </c>
      <c r="U467" s="1">
        <v>51.25</v>
      </c>
      <c r="V467" s="1">
        <v>51.688948058657502</v>
      </c>
      <c r="W467" s="1">
        <v>100652</v>
      </c>
      <c r="X467" s="1">
        <v>40469.78</v>
      </c>
      <c r="Y467" s="215">
        <f t="shared" si="77"/>
        <v>-4.5250449282157046E-3</v>
      </c>
      <c r="Z467" s="215">
        <f t="shared" si="72"/>
        <v>-7.4909747292418727E-2</v>
      </c>
      <c r="AA467" s="231">
        <v>5202596</v>
      </c>
      <c r="AC467" s="230">
        <v>43788</v>
      </c>
      <c r="AD467" s="1">
        <v>26.35</v>
      </c>
      <c r="AE467" s="1">
        <v>26.1836386876864</v>
      </c>
      <c r="AF467" s="1">
        <v>2347</v>
      </c>
      <c r="AG467" s="1">
        <v>40469.699999999997</v>
      </c>
      <c r="AH467" s="215">
        <f t="shared" si="78"/>
        <v>-4.4755881927519559E-3</v>
      </c>
      <c r="AI467" s="215">
        <f t="shared" si="73"/>
        <v>-5.7245080500894385E-2</v>
      </c>
      <c r="AJ467" s="231">
        <v>61453</v>
      </c>
      <c r="AL467" s="254"/>
      <c r="AQ467" s="215" t="str">
        <f t="shared" si="79"/>
        <v>NA</v>
      </c>
      <c r="AR467" s="215" t="str">
        <f t="shared" si="74"/>
        <v>NA</v>
      </c>
    </row>
    <row r="468" spans="2:44">
      <c r="B468" s="230">
        <v>43776</v>
      </c>
      <c r="C468" s="1">
        <v>260</v>
      </c>
      <c r="D468" s="1">
        <v>260.55395683453202</v>
      </c>
      <c r="E468" s="1">
        <v>278</v>
      </c>
      <c r="F468" s="215">
        <v>40653.74</v>
      </c>
      <c r="G468" s="215">
        <f t="shared" si="75"/>
        <v>8.1870150018810151E-3</v>
      </c>
      <c r="H468" s="215">
        <f t="shared" si="70"/>
        <v>1.1083025471514851E-2</v>
      </c>
      <c r="I468" s="231">
        <v>72434</v>
      </c>
      <c r="K468" s="230">
        <v>43776</v>
      </c>
      <c r="L468" s="1">
        <v>153</v>
      </c>
      <c r="M468" s="1">
        <v>154.22593957258599</v>
      </c>
      <c r="N468" s="1">
        <v>6785</v>
      </c>
      <c r="O468" s="1">
        <v>40653.74</v>
      </c>
      <c r="P468" s="215">
        <f t="shared" si="76"/>
        <v>8.1870150018810151E-3</v>
      </c>
      <c r="Q468" s="215">
        <f t="shared" si="71"/>
        <v>4.0462427745664664E-2</v>
      </c>
      <c r="R468" s="231">
        <v>1046423</v>
      </c>
      <c r="T468" s="230">
        <v>43776</v>
      </c>
      <c r="U468" s="1">
        <v>55.4</v>
      </c>
      <c r="V468" s="1">
        <v>55.673584054086398</v>
      </c>
      <c r="W468" s="1">
        <v>217134</v>
      </c>
      <c r="X468" s="1">
        <v>40653.74</v>
      </c>
      <c r="Y468" s="215">
        <f t="shared" si="77"/>
        <v>8.1870150018810151E-3</v>
      </c>
      <c r="Z468" s="215">
        <f t="shared" si="72"/>
        <v>6.9498069498069581E-2</v>
      </c>
      <c r="AA468" s="231">
        <v>12088628</v>
      </c>
      <c r="AC468" s="230">
        <v>43789</v>
      </c>
      <c r="AD468" s="1">
        <v>27.95</v>
      </c>
      <c r="AE468" s="1">
        <v>27.226253298153001</v>
      </c>
      <c r="AF468" s="1">
        <v>1516</v>
      </c>
      <c r="AG468" s="1">
        <v>40651.64</v>
      </c>
      <c r="AH468" s="215">
        <f t="shared" si="78"/>
        <v>1.8846501444109709E-3</v>
      </c>
      <c r="AI468" s="215">
        <f t="shared" si="73"/>
        <v>7.2936660268714038E-2</v>
      </c>
      <c r="AJ468" s="231">
        <v>41275</v>
      </c>
      <c r="AL468" s="254"/>
      <c r="AQ468" s="215" t="str">
        <f t="shared" si="79"/>
        <v>NA</v>
      </c>
      <c r="AR468" s="215" t="str">
        <f t="shared" si="74"/>
        <v>NA</v>
      </c>
    </row>
    <row r="469" spans="2:44">
      <c r="B469" s="230">
        <v>43777</v>
      </c>
      <c r="C469" s="1">
        <v>257.14999999999998</v>
      </c>
      <c r="D469" s="1">
        <v>259.431077694235</v>
      </c>
      <c r="E469" s="1">
        <v>399</v>
      </c>
      <c r="F469" s="215">
        <v>40323.61</v>
      </c>
      <c r="G469" s="215">
        <f t="shared" si="75"/>
        <v>-5.321590637570317E-4</v>
      </c>
      <c r="H469" s="215">
        <f t="shared" si="70"/>
        <v>-5.4148133823246347E-3</v>
      </c>
      <c r="I469" s="231">
        <v>103513</v>
      </c>
      <c r="K469" s="230">
        <v>43777</v>
      </c>
      <c r="L469" s="1">
        <v>147.05000000000001</v>
      </c>
      <c r="M469" s="1">
        <v>150.40533383771501</v>
      </c>
      <c r="N469" s="1">
        <v>5287</v>
      </c>
      <c r="O469" s="1">
        <v>40323.61</v>
      </c>
      <c r="P469" s="215">
        <f t="shared" si="76"/>
        <v>-5.321590637570317E-4</v>
      </c>
      <c r="Q469" s="215">
        <f t="shared" si="71"/>
        <v>-6.7957866123002919E-4</v>
      </c>
      <c r="R469" s="231">
        <v>795193</v>
      </c>
      <c r="T469" s="230">
        <v>43777</v>
      </c>
      <c r="U469" s="1">
        <v>51.8</v>
      </c>
      <c r="V469" s="1">
        <v>52.827661387100001</v>
      </c>
      <c r="W469" s="1">
        <v>218326</v>
      </c>
      <c r="X469" s="1">
        <v>40323.61</v>
      </c>
      <c r="Y469" s="215">
        <f t="shared" si="77"/>
        <v>-5.321590637570317E-4</v>
      </c>
      <c r="Z469" s="215">
        <f t="shared" si="72"/>
        <v>1.6683022571148065E-2</v>
      </c>
      <c r="AA469" s="231">
        <v>11533652</v>
      </c>
      <c r="AC469" s="230">
        <v>43790</v>
      </c>
      <c r="AD469" s="1">
        <v>26.05</v>
      </c>
      <c r="AE469" s="1">
        <v>26.070953436806999</v>
      </c>
      <c r="AF469" s="1">
        <v>451</v>
      </c>
      <c r="AG469" s="1">
        <v>40575.17</v>
      </c>
      <c r="AH469" s="215">
        <f t="shared" si="78"/>
        <v>5.3459651664877761E-3</v>
      </c>
      <c r="AI469" s="215">
        <f t="shared" si="73"/>
        <v>-1.512287334593565E-2</v>
      </c>
      <c r="AJ469" s="231">
        <v>11758</v>
      </c>
      <c r="AL469" s="254"/>
      <c r="AQ469" s="215" t="str">
        <f t="shared" si="79"/>
        <v>NA</v>
      </c>
      <c r="AR469" s="215" t="str">
        <f t="shared" si="74"/>
        <v>NA</v>
      </c>
    </row>
    <row r="470" spans="2:44">
      <c r="B470" s="230">
        <v>43780</v>
      </c>
      <c r="C470" s="1">
        <v>258.55</v>
      </c>
      <c r="D470" s="1">
        <v>259.63414634146301</v>
      </c>
      <c r="E470" s="1">
        <v>123</v>
      </c>
      <c r="F470" s="215">
        <v>40345.08</v>
      </c>
      <c r="G470" s="215">
        <f t="shared" si="75"/>
        <v>5.7089355235784289E-3</v>
      </c>
      <c r="H470" s="215">
        <f t="shared" si="70"/>
        <v>7.7957513155331171E-3</v>
      </c>
      <c r="I470" s="231">
        <v>31935</v>
      </c>
      <c r="K470" s="230">
        <v>43780</v>
      </c>
      <c r="L470" s="1">
        <v>147.15</v>
      </c>
      <c r="M470" s="1">
        <v>147.74074074073999</v>
      </c>
      <c r="N470" s="1">
        <v>6264</v>
      </c>
      <c r="O470" s="1">
        <v>40345.08</v>
      </c>
      <c r="P470" s="215">
        <f t="shared" si="76"/>
        <v>5.7089355235784289E-3</v>
      </c>
      <c r="Q470" s="215">
        <f t="shared" si="71"/>
        <v>3.8828097423226238E-2</v>
      </c>
      <c r="R470" s="231">
        <v>925448</v>
      </c>
      <c r="T470" s="230">
        <v>43780</v>
      </c>
      <c r="U470" s="1">
        <v>50.95</v>
      </c>
      <c r="V470" s="1">
        <v>50.930081030695597</v>
      </c>
      <c r="W470" s="1">
        <v>108354</v>
      </c>
      <c r="X470" s="1">
        <v>40345.08</v>
      </c>
      <c r="Y470" s="215">
        <f t="shared" si="77"/>
        <v>5.7089355235784289E-3</v>
      </c>
      <c r="Z470" s="215">
        <f t="shared" si="72"/>
        <v>2.7217741935483986E-2</v>
      </c>
      <c r="AA470" s="231">
        <v>5518478</v>
      </c>
      <c r="AC470" s="230">
        <v>43791</v>
      </c>
      <c r="AD470" s="1">
        <v>26.45</v>
      </c>
      <c r="AE470" s="1">
        <v>26.458715596330201</v>
      </c>
      <c r="AF470" s="1">
        <v>109</v>
      </c>
      <c r="AG470" s="1">
        <v>40359.410000000003</v>
      </c>
      <c r="AH470" s="215">
        <f t="shared" si="78"/>
        <v>-1.2957446251739113E-2</v>
      </c>
      <c r="AI470" s="215">
        <f t="shared" si="73"/>
        <v>1.8939393939394478E-3</v>
      </c>
      <c r="AJ470" s="231">
        <v>2884</v>
      </c>
      <c r="AL470" s="254"/>
      <c r="AQ470" s="215" t="str">
        <f t="shared" si="79"/>
        <v>NA</v>
      </c>
      <c r="AR470" s="215" t="str">
        <f t="shared" si="74"/>
        <v>NA</v>
      </c>
    </row>
    <row r="471" spans="2:44">
      <c r="B471" s="230">
        <v>43782</v>
      </c>
      <c r="C471" s="1">
        <v>256.55</v>
      </c>
      <c r="D471" s="1">
        <v>257.88175807078898</v>
      </c>
      <c r="E471" s="1">
        <v>2571</v>
      </c>
      <c r="F471" s="215">
        <v>40116.06</v>
      </c>
      <c r="G471" s="215">
        <f t="shared" si="75"/>
        <v>-4.2302032840795256E-3</v>
      </c>
      <c r="H471" s="215">
        <f t="shared" si="70"/>
        <v>5.5544126722896436E-2</v>
      </c>
      <c r="I471" s="231">
        <v>663014</v>
      </c>
      <c r="K471" s="230">
        <v>43782</v>
      </c>
      <c r="L471" s="1">
        <v>141.65</v>
      </c>
      <c r="M471" s="1">
        <v>146.176565266376</v>
      </c>
      <c r="N471" s="1">
        <v>6213</v>
      </c>
      <c r="O471" s="1">
        <v>40116.06</v>
      </c>
      <c r="P471" s="215">
        <f t="shared" si="76"/>
        <v>-4.2302032840795256E-3</v>
      </c>
      <c r="Q471" s="215">
        <f t="shared" si="71"/>
        <v>2.2374594009382909E-2</v>
      </c>
      <c r="R471" s="231">
        <v>908195</v>
      </c>
      <c r="T471" s="230">
        <v>43782</v>
      </c>
      <c r="U471" s="1">
        <v>49.6</v>
      </c>
      <c r="V471" s="1">
        <v>50.185100840473801</v>
      </c>
      <c r="W471" s="1">
        <v>61037</v>
      </c>
      <c r="X471" s="1">
        <v>40116.06</v>
      </c>
      <c r="Y471" s="215">
        <f t="shared" si="77"/>
        <v>-4.2302032840795256E-3</v>
      </c>
      <c r="Z471" s="215">
        <f t="shared" si="72"/>
        <v>1.327885597548506E-2</v>
      </c>
      <c r="AA471" s="231">
        <v>3063148</v>
      </c>
      <c r="AC471" s="230">
        <v>43794</v>
      </c>
      <c r="AD471" s="1">
        <v>26.4</v>
      </c>
      <c r="AE471" s="1">
        <v>26.488565488565399</v>
      </c>
      <c r="AF471" s="1">
        <v>962</v>
      </c>
      <c r="AG471" s="1">
        <v>40889.230000000003</v>
      </c>
      <c r="AH471" s="215">
        <f t="shared" si="78"/>
        <v>1.6640822315800996E-3</v>
      </c>
      <c r="AI471" s="215">
        <f t="shared" si="73"/>
        <v>-2.2222222222222254E-2</v>
      </c>
      <c r="AJ471" s="231">
        <v>25482</v>
      </c>
      <c r="AL471" s="254"/>
      <c r="AQ471" s="215" t="str">
        <f t="shared" si="79"/>
        <v>NA</v>
      </c>
      <c r="AR471" s="215" t="str">
        <f t="shared" si="74"/>
        <v>NA</v>
      </c>
    </row>
    <row r="472" spans="2:44">
      <c r="B472" s="230">
        <v>43783</v>
      </c>
      <c r="C472" s="1">
        <v>243.05</v>
      </c>
      <c r="D472" s="1">
        <v>247.463492063492</v>
      </c>
      <c r="E472" s="1">
        <v>2835</v>
      </c>
      <c r="F472" s="215">
        <v>40286.480000000003</v>
      </c>
      <c r="G472" s="215">
        <f t="shared" si="75"/>
        <v>-1.7397363361564278E-3</v>
      </c>
      <c r="H472" s="215">
        <f t="shared" si="70"/>
        <v>-2.3895582329317211E-2</v>
      </c>
      <c r="I472" s="231">
        <v>701559</v>
      </c>
      <c r="K472" s="230">
        <v>43783</v>
      </c>
      <c r="L472" s="1">
        <v>138.55000000000001</v>
      </c>
      <c r="M472" s="1">
        <v>140.112227805695</v>
      </c>
      <c r="N472" s="1">
        <v>3582</v>
      </c>
      <c r="O472" s="1">
        <v>40286.480000000003</v>
      </c>
      <c r="P472" s="215">
        <f t="shared" si="76"/>
        <v>-1.7397363361564278E-3</v>
      </c>
      <c r="Q472" s="215">
        <f t="shared" si="71"/>
        <v>-6.4539261384006785E-3</v>
      </c>
      <c r="R472" s="231">
        <v>501882</v>
      </c>
      <c r="T472" s="230">
        <v>43783</v>
      </c>
      <c r="U472" s="1">
        <v>48.95</v>
      </c>
      <c r="V472" s="1">
        <v>49.061640738817999</v>
      </c>
      <c r="W472" s="1">
        <v>59717</v>
      </c>
      <c r="X472" s="1">
        <v>40286.480000000003</v>
      </c>
      <c r="Y472" s="215">
        <f t="shared" si="77"/>
        <v>-1.7397363361564278E-3</v>
      </c>
      <c r="Z472" s="215">
        <f t="shared" si="72"/>
        <v>-4.0691759918615178E-3</v>
      </c>
      <c r="AA472" s="231">
        <v>2929814</v>
      </c>
      <c r="AC472" s="230">
        <v>43795</v>
      </c>
      <c r="AD472" s="1">
        <v>27</v>
      </c>
      <c r="AE472" s="1">
        <v>27</v>
      </c>
      <c r="AF472" s="1">
        <v>250</v>
      </c>
      <c r="AG472" s="1">
        <v>40821.300000000003</v>
      </c>
      <c r="AH472" s="215">
        <f t="shared" si="78"/>
        <v>-4.8587770879077175E-3</v>
      </c>
      <c r="AI472" s="215">
        <f t="shared" si="73"/>
        <v>9.3457943925232545E-3</v>
      </c>
      <c r="AJ472" s="231">
        <v>6750</v>
      </c>
      <c r="AL472" s="254"/>
      <c r="AQ472" s="215" t="str">
        <f t="shared" si="79"/>
        <v>NA</v>
      </c>
      <c r="AR472" s="215" t="str">
        <f t="shared" si="74"/>
        <v>NA</v>
      </c>
    </row>
    <row r="473" spans="2:44">
      <c r="B473" s="230">
        <v>43784</v>
      </c>
      <c r="C473" s="1">
        <v>249</v>
      </c>
      <c r="D473" s="1">
        <v>250.34920634920601</v>
      </c>
      <c r="E473" s="1">
        <v>252</v>
      </c>
      <c r="F473" s="215">
        <v>40356.69</v>
      </c>
      <c r="G473" s="215">
        <f t="shared" si="75"/>
        <v>1.7997134856131414E-3</v>
      </c>
      <c r="H473" s="215">
        <f t="shared" si="70"/>
        <v>3.105590062111796E-2</v>
      </c>
      <c r="I473" s="231">
        <v>63088</v>
      </c>
      <c r="K473" s="230">
        <v>43784</v>
      </c>
      <c r="L473" s="1">
        <v>139.44999999999999</v>
      </c>
      <c r="M473" s="1">
        <v>137.569189321577</v>
      </c>
      <c r="N473" s="1">
        <v>4083</v>
      </c>
      <c r="O473" s="1">
        <v>40356.69</v>
      </c>
      <c r="P473" s="215">
        <f t="shared" si="76"/>
        <v>1.7997134856131414E-3</v>
      </c>
      <c r="Q473" s="215">
        <f t="shared" si="71"/>
        <v>-5.0068119891008345E-2</v>
      </c>
      <c r="R473" s="231">
        <v>561695</v>
      </c>
      <c r="T473" s="230">
        <v>43784</v>
      </c>
      <c r="U473" s="1">
        <v>49.15</v>
      </c>
      <c r="V473" s="1">
        <v>49.218669026101203</v>
      </c>
      <c r="W473" s="1">
        <v>15823</v>
      </c>
      <c r="X473" s="1">
        <v>40356.69</v>
      </c>
      <c r="Y473" s="215">
        <f t="shared" si="77"/>
        <v>1.7997134856131414E-3</v>
      </c>
      <c r="Z473" s="215">
        <f t="shared" si="72"/>
        <v>2.3958333333333304E-2</v>
      </c>
      <c r="AA473" s="231">
        <v>778787</v>
      </c>
      <c r="AC473" s="230">
        <v>43796</v>
      </c>
      <c r="AD473" s="1">
        <v>26.75</v>
      </c>
      <c r="AE473" s="1">
        <v>26.5833333333333</v>
      </c>
      <c r="AF473" s="1">
        <v>120</v>
      </c>
      <c r="AG473" s="1">
        <v>41020.61</v>
      </c>
      <c r="AH473" s="215">
        <f t="shared" si="78"/>
        <v>-2.66373807839837E-3</v>
      </c>
      <c r="AI473" s="215">
        <f t="shared" si="73"/>
        <v>-4.4642857142857095E-2</v>
      </c>
      <c r="AJ473" s="231">
        <v>3190</v>
      </c>
      <c r="AL473" s="254"/>
      <c r="AQ473" s="215" t="str">
        <f t="shared" si="79"/>
        <v>NA</v>
      </c>
      <c r="AR473" s="215" t="str">
        <f t="shared" si="74"/>
        <v>NA</v>
      </c>
    </row>
    <row r="474" spans="2:44">
      <c r="B474" s="230">
        <v>43787</v>
      </c>
      <c r="C474" s="1">
        <v>241.5</v>
      </c>
      <c r="D474" s="1">
        <v>240.60772104607699</v>
      </c>
      <c r="E474" s="1">
        <v>803</v>
      </c>
      <c r="F474" s="215">
        <v>40284.19</v>
      </c>
      <c r="G474" s="215">
        <f t="shared" si="75"/>
        <v>-4.5839232808742025E-3</v>
      </c>
      <c r="H474" s="215">
        <f t="shared" si="70"/>
        <v>2.2655092102477292E-2</v>
      </c>
      <c r="I474" s="231">
        <v>193208</v>
      </c>
      <c r="K474" s="230">
        <v>43787</v>
      </c>
      <c r="L474" s="1">
        <v>146.80000000000001</v>
      </c>
      <c r="M474" s="1">
        <v>142.89961783439401</v>
      </c>
      <c r="N474" s="1">
        <v>7850</v>
      </c>
      <c r="O474" s="1">
        <v>40284.19</v>
      </c>
      <c r="P474" s="215">
        <f t="shared" si="76"/>
        <v>-4.5839232808742025E-3</v>
      </c>
      <c r="Q474" s="215">
        <f t="shared" si="71"/>
        <v>2.8011204481792618E-2</v>
      </c>
      <c r="R474" s="231">
        <v>1121762</v>
      </c>
      <c r="T474" s="230">
        <v>43787</v>
      </c>
      <c r="U474" s="1">
        <v>48</v>
      </c>
      <c r="V474" s="1">
        <v>48.398132570659399</v>
      </c>
      <c r="W474" s="1">
        <v>35664</v>
      </c>
      <c r="X474" s="1">
        <v>40284.19</v>
      </c>
      <c r="Y474" s="215">
        <f t="shared" si="77"/>
        <v>-4.5839232808742025E-3</v>
      </c>
      <c r="Z474" s="215">
        <f t="shared" si="72"/>
        <v>4.008667388949072E-2</v>
      </c>
      <c r="AA474" s="231">
        <v>1726071</v>
      </c>
      <c r="AC474" s="230">
        <v>43797</v>
      </c>
      <c r="AD474" s="1">
        <v>28</v>
      </c>
      <c r="AE474" s="1">
        <v>27.308805790108501</v>
      </c>
      <c r="AF474" s="1">
        <v>829</v>
      </c>
      <c r="AG474" s="1">
        <v>41130.17</v>
      </c>
      <c r="AH474" s="215">
        <f t="shared" si="78"/>
        <v>8.2453685988144176E-3</v>
      </c>
      <c r="AI474" s="215">
        <f t="shared" si="73"/>
        <v>-8.8495575221239076E-3</v>
      </c>
      <c r="AJ474" s="231">
        <v>22639</v>
      </c>
      <c r="AL474" s="254"/>
      <c r="AQ474" s="215" t="str">
        <f t="shared" si="79"/>
        <v>NA</v>
      </c>
      <c r="AR474" s="215" t="str">
        <f t="shared" si="74"/>
        <v>NA</v>
      </c>
    </row>
    <row r="475" spans="2:44">
      <c r="B475" s="230">
        <v>43788</v>
      </c>
      <c r="C475" s="1">
        <v>236.15</v>
      </c>
      <c r="D475" s="1">
        <v>235.96228868660501</v>
      </c>
      <c r="E475" s="1">
        <v>1538</v>
      </c>
      <c r="F475" s="215">
        <v>40469.699999999997</v>
      </c>
      <c r="G475" s="215">
        <f t="shared" si="75"/>
        <v>-4.4755881927519559E-3</v>
      </c>
      <c r="H475" s="215">
        <f t="shared" si="70"/>
        <v>-2.5783828382838325E-2</v>
      </c>
      <c r="I475" s="231">
        <v>362910</v>
      </c>
      <c r="K475" s="230">
        <v>43788</v>
      </c>
      <c r="L475" s="1">
        <v>142.80000000000001</v>
      </c>
      <c r="M475" s="1">
        <v>144.72999797447801</v>
      </c>
      <c r="N475" s="1">
        <v>4937</v>
      </c>
      <c r="O475" s="1">
        <v>40469.699999999997</v>
      </c>
      <c r="P475" s="215">
        <f t="shared" si="76"/>
        <v>-4.4755881927519559E-3</v>
      </c>
      <c r="Q475" s="215">
        <f t="shared" si="71"/>
        <v>-1.0051993067590859E-2</v>
      </c>
      <c r="R475" s="231">
        <v>714532</v>
      </c>
      <c r="T475" s="230">
        <v>43788</v>
      </c>
      <c r="U475" s="1">
        <v>46.15</v>
      </c>
      <c r="V475" s="1">
        <v>46.945552469915</v>
      </c>
      <c r="W475" s="1">
        <v>35649</v>
      </c>
      <c r="X475" s="1">
        <v>40469.699999999997</v>
      </c>
      <c r="Y475" s="215">
        <f t="shared" si="77"/>
        <v>-4.4755881927519559E-3</v>
      </c>
      <c r="Z475" s="215">
        <f t="shared" si="72"/>
        <v>6.5430752453652374E-3</v>
      </c>
      <c r="AA475" s="231">
        <v>1673562</v>
      </c>
      <c r="AC475" s="230">
        <v>43798</v>
      </c>
      <c r="AD475" s="1">
        <v>28.25</v>
      </c>
      <c r="AE475" s="1">
        <v>28.0587878787878</v>
      </c>
      <c r="AF475" s="1">
        <v>1650</v>
      </c>
      <c r="AG475" s="1">
        <v>40793.81</v>
      </c>
      <c r="AH475" s="215">
        <f t="shared" si="78"/>
        <v>-2.0489106339194318E-4</v>
      </c>
      <c r="AI475" s="215">
        <f t="shared" si="73"/>
        <v>5.3380782918148739E-3</v>
      </c>
      <c r="AJ475" s="231">
        <v>46297</v>
      </c>
      <c r="AL475" s="254"/>
      <c r="AQ475" s="215" t="str">
        <f t="shared" si="79"/>
        <v>NA</v>
      </c>
      <c r="AR475" s="215" t="str">
        <f t="shared" si="74"/>
        <v>NA</v>
      </c>
    </row>
    <row r="476" spans="2:44">
      <c r="B476" s="230">
        <v>43789</v>
      </c>
      <c r="C476" s="1">
        <v>242.4</v>
      </c>
      <c r="D476" s="1">
        <v>244.44696969696901</v>
      </c>
      <c r="E476" s="1">
        <v>528</v>
      </c>
      <c r="F476" s="215">
        <v>40651.64</v>
      </c>
      <c r="G476" s="215">
        <f t="shared" si="75"/>
        <v>1.8846501444109709E-3</v>
      </c>
      <c r="H476" s="215">
        <f t="shared" si="70"/>
        <v>-6.5573770491803574E-3</v>
      </c>
      <c r="I476" s="231">
        <v>129068</v>
      </c>
      <c r="K476" s="230">
        <v>43789</v>
      </c>
      <c r="L476" s="1">
        <v>144.25</v>
      </c>
      <c r="M476" s="1">
        <v>146.280629061116</v>
      </c>
      <c r="N476" s="1">
        <v>10619</v>
      </c>
      <c r="O476" s="1">
        <v>40651.64</v>
      </c>
      <c r="P476" s="215">
        <f t="shared" si="76"/>
        <v>1.8846501444109709E-3</v>
      </c>
      <c r="Q476" s="215">
        <f t="shared" si="71"/>
        <v>-1.0387811634349209E-3</v>
      </c>
      <c r="R476" s="231">
        <v>1553354</v>
      </c>
      <c r="T476" s="230">
        <v>43789</v>
      </c>
      <c r="U476" s="1">
        <v>45.85</v>
      </c>
      <c r="V476" s="1">
        <v>46.145814243439297</v>
      </c>
      <c r="W476" s="1">
        <v>66571</v>
      </c>
      <c r="X476" s="1">
        <v>40651.64</v>
      </c>
      <c r="Y476" s="215">
        <f t="shared" si="77"/>
        <v>1.8846501444109709E-3</v>
      </c>
      <c r="Z476" s="215">
        <f t="shared" si="72"/>
        <v>1.1025358324145529E-2</v>
      </c>
      <c r="AA476" s="231">
        <v>3071973</v>
      </c>
      <c r="AC476" s="230">
        <v>43801</v>
      </c>
      <c r="AD476" s="1">
        <v>28.1</v>
      </c>
      <c r="AE476" s="1">
        <v>28.091886608015599</v>
      </c>
      <c r="AF476" s="1">
        <v>1023</v>
      </c>
      <c r="AG476" s="1">
        <v>40802.17</v>
      </c>
      <c r="AH476" s="215">
        <f t="shared" si="78"/>
        <v>3.1153927000193704E-3</v>
      </c>
      <c r="AI476" s="215">
        <f t="shared" si="73"/>
        <v>-7.0671378091872183E-3</v>
      </c>
      <c r="AJ476" s="231">
        <v>28738</v>
      </c>
      <c r="AL476" s="254"/>
      <c r="AQ476" s="215" t="str">
        <f t="shared" si="79"/>
        <v>NA</v>
      </c>
      <c r="AR476" s="215" t="str">
        <f t="shared" si="74"/>
        <v>NA</v>
      </c>
    </row>
    <row r="477" spans="2:44">
      <c r="B477" s="230">
        <v>43790</v>
      </c>
      <c r="C477" s="1">
        <v>244</v>
      </c>
      <c r="D477" s="1">
        <v>239.99329677026199</v>
      </c>
      <c r="E477" s="1">
        <v>1641</v>
      </c>
      <c r="F477" s="215">
        <v>40575.17</v>
      </c>
      <c r="G477" s="215">
        <f t="shared" si="75"/>
        <v>5.3459651664877761E-3</v>
      </c>
      <c r="H477" s="215">
        <f t="shared" si="70"/>
        <v>3.984658001278496E-2</v>
      </c>
      <c r="I477" s="231">
        <v>393829</v>
      </c>
      <c r="K477" s="230">
        <v>43790</v>
      </c>
      <c r="L477" s="1">
        <v>144.4</v>
      </c>
      <c r="M477" s="1">
        <v>144.144601193705</v>
      </c>
      <c r="N477" s="1">
        <v>3686</v>
      </c>
      <c r="O477" s="1">
        <v>40575.17</v>
      </c>
      <c r="P477" s="215">
        <f t="shared" si="76"/>
        <v>5.3459651664877761E-3</v>
      </c>
      <c r="Q477" s="215">
        <f t="shared" si="71"/>
        <v>1.6543470608940458E-2</v>
      </c>
      <c r="R477" s="231">
        <v>531317</v>
      </c>
      <c r="T477" s="230">
        <v>43790</v>
      </c>
      <c r="U477" s="1">
        <v>45.35</v>
      </c>
      <c r="V477" s="1">
        <v>45.977487161597502</v>
      </c>
      <c r="W477" s="1">
        <v>123263</v>
      </c>
      <c r="X477" s="1">
        <v>40575.17</v>
      </c>
      <c r="Y477" s="215">
        <f t="shared" si="77"/>
        <v>5.3459651664877761E-3</v>
      </c>
      <c r="Z477" s="215">
        <f t="shared" si="72"/>
        <v>-1.413043478260867E-2</v>
      </c>
      <c r="AA477" s="231">
        <v>5667323</v>
      </c>
      <c r="AC477" s="230">
        <v>43802</v>
      </c>
      <c r="AD477" s="1">
        <v>28.3</v>
      </c>
      <c r="AE477" s="1">
        <v>27.730434782608601</v>
      </c>
      <c r="AF477" s="1">
        <v>115</v>
      </c>
      <c r="AG477" s="1">
        <v>40675.449999999997</v>
      </c>
      <c r="AH477" s="215">
        <f t="shared" si="78"/>
        <v>-4.280018575143596E-3</v>
      </c>
      <c r="AI477" s="215">
        <f t="shared" si="73"/>
        <v>3.284671532846728E-2</v>
      </c>
      <c r="AJ477" s="231">
        <v>3189</v>
      </c>
      <c r="AL477" s="254"/>
      <c r="AQ477" s="215" t="str">
        <f t="shared" si="79"/>
        <v>NA</v>
      </c>
      <c r="AR477" s="215" t="str">
        <f t="shared" si="74"/>
        <v>NA</v>
      </c>
    </row>
    <row r="478" spans="2:44">
      <c r="B478" s="230">
        <v>43791</v>
      </c>
      <c r="C478" s="1">
        <v>234.65</v>
      </c>
      <c r="D478" s="1">
        <v>234.994137931034</v>
      </c>
      <c r="E478" s="1">
        <v>2900</v>
      </c>
      <c r="F478" s="215">
        <v>40359.410000000003</v>
      </c>
      <c r="G478" s="215">
        <f t="shared" si="75"/>
        <v>-1.2957446251739113E-2</v>
      </c>
      <c r="H478" s="215">
        <f t="shared" si="70"/>
        <v>-5.9309468332980897E-3</v>
      </c>
      <c r="I478" s="231">
        <v>681483</v>
      </c>
      <c r="K478" s="230">
        <v>43791</v>
      </c>
      <c r="L478" s="1">
        <v>142.05000000000001</v>
      </c>
      <c r="M478" s="1">
        <v>143.05102880658399</v>
      </c>
      <c r="N478" s="1">
        <v>1215</v>
      </c>
      <c r="O478" s="1">
        <v>40359.410000000003</v>
      </c>
      <c r="P478" s="215">
        <f t="shared" si="76"/>
        <v>-1.2957446251739113E-2</v>
      </c>
      <c r="Q478" s="215">
        <f t="shared" si="71"/>
        <v>-0.11824953445065167</v>
      </c>
      <c r="R478" s="231">
        <v>173807</v>
      </c>
      <c r="T478" s="230">
        <v>43791</v>
      </c>
      <c r="U478" s="1">
        <v>46</v>
      </c>
      <c r="V478" s="1">
        <v>45.352604190651597</v>
      </c>
      <c r="W478" s="1">
        <v>108575</v>
      </c>
      <c r="X478" s="1">
        <v>40359.410000000003</v>
      </c>
      <c r="Y478" s="215">
        <f t="shared" si="77"/>
        <v>-1.2957446251739113E-2</v>
      </c>
      <c r="Z478" s="215">
        <f t="shared" si="72"/>
        <v>-1.4989293361884481E-2</v>
      </c>
      <c r="AA478" s="231">
        <v>4924159</v>
      </c>
      <c r="AC478" s="230">
        <v>43803</v>
      </c>
      <c r="AD478" s="1">
        <v>27.4</v>
      </c>
      <c r="AE478" s="1">
        <v>27.754237288135499</v>
      </c>
      <c r="AF478" s="1">
        <v>118</v>
      </c>
      <c r="AG478" s="1">
        <v>40850.29</v>
      </c>
      <c r="AH478" s="215">
        <f t="shared" si="78"/>
        <v>1.7337104173926754E-3</v>
      </c>
      <c r="AI478" s="215">
        <f t="shared" si="73"/>
        <v>1.1070110701106861E-2</v>
      </c>
      <c r="AJ478" s="231">
        <v>3275</v>
      </c>
      <c r="AL478" s="254"/>
      <c r="AQ478" s="215" t="str">
        <f t="shared" si="79"/>
        <v>NA</v>
      </c>
      <c r="AR478" s="215" t="str">
        <f t="shared" si="74"/>
        <v>NA</v>
      </c>
    </row>
    <row r="479" spans="2:44">
      <c r="B479" s="230">
        <v>43794</v>
      </c>
      <c r="C479" s="1">
        <v>236.05</v>
      </c>
      <c r="D479" s="1">
        <v>235.96709323583099</v>
      </c>
      <c r="E479" s="1">
        <v>547</v>
      </c>
      <c r="F479" s="215">
        <v>40889.230000000003</v>
      </c>
      <c r="G479" s="215">
        <f t="shared" si="75"/>
        <v>1.6640822315800996E-3</v>
      </c>
      <c r="H479" s="215">
        <f t="shared" si="70"/>
        <v>4.4680851063829685E-3</v>
      </c>
      <c r="I479" s="231">
        <v>129074</v>
      </c>
      <c r="K479" s="230">
        <v>43794</v>
      </c>
      <c r="L479" s="1">
        <v>161.1</v>
      </c>
      <c r="M479" s="1">
        <v>160.38961299881899</v>
      </c>
      <c r="N479" s="1">
        <v>39819</v>
      </c>
      <c r="O479" s="1">
        <v>40889.230000000003</v>
      </c>
      <c r="P479" s="215">
        <f t="shared" si="76"/>
        <v>1.6640822315800996E-3</v>
      </c>
      <c r="Q479" s="215">
        <f t="shared" si="71"/>
        <v>-2.393214177521974E-2</v>
      </c>
      <c r="R479" s="231">
        <v>6386554</v>
      </c>
      <c r="T479" s="230">
        <v>43794</v>
      </c>
      <c r="U479" s="1">
        <v>46.7</v>
      </c>
      <c r="V479" s="1">
        <v>47.245117159074297</v>
      </c>
      <c r="W479" s="1">
        <v>34355</v>
      </c>
      <c r="X479" s="1">
        <v>40889.230000000003</v>
      </c>
      <c r="Y479" s="215">
        <f t="shared" si="77"/>
        <v>1.6640822315800996E-3</v>
      </c>
      <c r="Z479" s="215">
        <f t="shared" si="72"/>
        <v>3.777777777777791E-2</v>
      </c>
      <c r="AA479" s="231">
        <v>1623106</v>
      </c>
      <c r="AC479" s="230">
        <v>43804</v>
      </c>
      <c r="AD479" s="1">
        <v>27.1</v>
      </c>
      <c r="AE479" s="1">
        <v>27.1076923076923</v>
      </c>
      <c r="AF479" s="1">
        <v>520</v>
      </c>
      <c r="AG479" s="1">
        <v>40779.589999999997</v>
      </c>
      <c r="AH479" s="215">
        <f t="shared" si="78"/>
        <v>8.2689766263692732E-3</v>
      </c>
      <c r="AI479" s="215">
        <f t="shared" si="73"/>
        <v>-1.4545454545454528E-2</v>
      </c>
      <c r="AJ479" s="231">
        <v>14096</v>
      </c>
      <c r="AL479" s="254"/>
      <c r="AQ479" s="215" t="str">
        <f t="shared" si="79"/>
        <v>NA</v>
      </c>
      <c r="AR479" s="215" t="str">
        <f t="shared" si="74"/>
        <v>NA</v>
      </c>
    </row>
    <row r="480" spans="2:44">
      <c r="B480" s="230">
        <v>43795</v>
      </c>
      <c r="C480" s="1">
        <v>235</v>
      </c>
      <c r="D480" s="1">
        <v>234.87169042769801</v>
      </c>
      <c r="E480" s="1">
        <v>491</v>
      </c>
      <c r="F480" s="215">
        <v>40821.300000000003</v>
      </c>
      <c r="G480" s="215">
        <f t="shared" si="75"/>
        <v>-4.8587770879077175E-3</v>
      </c>
      <c r="H480" s="215">
        <f t="shared" si="70"/>
        <v>-2.0016680567139344E-2</v>
      </c>
      <c r="I480" s="231">
        <v>115322</v>
      </c>
      <c r="K480" s="230">
        <v>43795</v>
      </c>
      <c r="L480" s="1">
        <v>165.05</v>
      </c>
      <c r="M480" s="1">
        <v>169.09178951239599</v>
      </c>
      <c r="N480" s="1">
        <v>32629</v>
      </c>
      <c r="O480" s="1">
        <v>40821.300000000003</v>
      </c>
      <c r="P480" s="215">
        <f t="shared" si="76"/>
        <v>-4.8587770879077175E-3</v>
      </c>
      <c r="Q480" s="215">
        <f t="shared" si="71"/>
        <v>1.5169902912621769E-3</v>
      </c>
      <c r="R480" s="231">
        <v>5517296</v>
      </c>
      <c r="T480" s="230">
        <v>43795</v>
      </c>
      <c r="U480" s="1">
        <v>45</v>
      </c>
      <c r="V480" s="1">
        <v>45.494494210181301</v>
      </c>
      <c r="W480" s="1">
        <v>91540</v>
      </c>
      <c r="X480" s="1">
        <v>40821.300000000003</v>
      </c>
      <c r="Y480" s="215">
        <f t="shared" si="77"/>
        <v>-4.8587770879077175E-3</v>
      </c>
      <c r="Z480" s="215">
        <f t="shared" si="72"/>
        <v>-1.6393442622950838E-2</v>
      </c>
      <c r="AA480" s="231">
        <v>4164566</v>
      </c>
      <c r="AC480" s="230">
        <v>43805</v>
      </c>
      <c r="AD480" s="1">
        <v>27.5</v>
      </c>
      <c r="AE480" s="1">
        <v>27.363636363636299</v>
      </c>
      <c r="AF480" s="1">
        <v>2200</v>
      </c>
      <c r="AG480" s="1">
        <v>40445.15</v>
      </c>
      <c r="AH480" s="215">
        <f t="shared" si="78"/>
        <v>-1.0442747292184196E-3</v>
      </c>
      <c r="AI480" s="215">
        <f t="shared" si="73"/>
        <v>-2.6548672566371723E-2</v>
      </c>
      <c r="AJ480" s="231">
        <v>60200</v>
      </c>
      <c r="AL480" s="254"/>
      <c r="AQ480" s="215" t="str">
        <f t="shared" si="79"/>
        <v>NA</v>
      </c>
      <c r="AR480" s="215" t="str">
        <f t="shared" si="74"/>
        <v>NA</v>
      </c>
    </row>
    <row r="481" spans="2:44">
      <c r="B481" s="230">
        <v>43796</v>
      </c>
      <c r="C481" s="1">
        <v>239.8</v>
      </c>
      <c r="D481" s="1">
        <v>234.99035369774899</v>
      </c>
      <c r="E481" s="1">
        <v>311</v>
      </c>
      <c r="F481" s="215">
        <v>41020.61</v>
      </c>
      <c r="G481" s="215">
        <f t="shared" si="75"/>
        <v>-2.66373807839837E-3</v>
      </c>
      <c r="H481" s="215">
        <f t="shared" si="70"/>
        <v>2.0425531914893602E-2</v>
      </c>
      <c r="I481" s="231">
        <v>73082</v>
      </c>
      <c r="K481" s="230">
        <v>43796</v>
      </c>
      <c r="L481" s="1">
        <v>164.8</v>
      </c>
      <c r="M481" s="1">
        <v>166.48094036392601</v>
      </c>
      <c r="N481" s="1">
        <v>15058</v>
      </c>
      <c r="O481" s="1">
        <v>41020.61</v>
      </c>
      <c r="P481" s="215">
        <f t="shared" si="76"/>
        <v>-2.66373807839837E-3</v>
      </c>
      <c r="Q481" s="215">
        <f t="shared" si="71"/>
        <v>-8.1251880830573997E-3</v>
      </c>
      <c r="R481" s="231">
        <v>2506870</v>
      </c>
      <c r="T481" s="230">
        <v>43796</v>
      </c>
      <c r="U481" s="1">
        <v>45.75</v>
      </c>
      <c r="V481" s="1">
        <v>45.928582883664703</v>
      </c>
      <c r="W481" s="1">
        <v>212008</v>
      </c>
      <c r="X481" s="1">
        <v>41020.61</v>
      </c>
      <c r="Y481" s="215">
        <f t="shared" si="77"/>
        <v>-2.66373807839837E-3</v>
      </c>
      <c r="Z481" s="215">
        <f t="shared" si="72"/>
        <v>1.1049723756906049E-2</v>
      </c>
      <c r="AA481" s="231">
        <v>9737227</v>
      </c>
      <c r="AC481" s="230">
        <v>43808</v>
      </c>
      <c r="AD481" s="1">
        <v>28.25</v>
      </c>
      <c r="AE481" s="1">
        <v>27.6162740899357</v>
      </c>
      <c r="AF481" s="1">
        <v>2335</v>
      </c>
      <c r="AG481" s="1">
        <v>40487.43</v>
      </c>
      <c r="AH481" s="215">
        <f t="shared" si="78"/>
        <v>6.1518573117018693E-3</v>
      </c>
      <c r="AI481" s="215">
        <f t="shared" si="73"/>
        <v>2.7272727272727337E-2</v>
      </c>
      <c r="AJ481" s="231">
        <v>64484</v>
      </c>
      <c r="AL481" s="254"/>
      <c r="AQ481" s="215" t="str">
        <f t="shared" si="79"/>
        <v>NA</v>
      </c>
      <c r="AR481" s="215" t="str">
        <f t="shared" si="74"/>
        <v>NA</v>
      </c>
    </row>
    <row r="482" spans="2:44">
      <c r="B482" s="230">
        <v>43797</v>
      </c>
      <c r="C482" s="1">
        <v>235</v>
      </c>
      <c r="D482" s="1">
        <v>239.03461538461499</v>
      </c>
      <c r="E482" s="1">
        <v>780</v>
      </c>
      <c r="F482" s="215">
        <v>41130.17</v>
      </c>
      <c r="G482" s="215">
        <f t="shared" si="75"/>
        <v>8.2453685988144176E-3</v>
      </c>
      <c r="H482" s="215">
        <f t="shared" si="70"/>
        <v>-4.2535091450446316E-4</v>
      </c>
      <c r="I482" s="231">
        <v>186447</v>
      </c>
      <c r="K482" s="230">
        <v>43797</v>
      </c>
      <c r="L482" s="1">
        <v>166.15</v>
      </c>
      <c r="M482" s="1">
        <v>165.14483155773101</v>
      </c>
      <c r="N482" s="1">
        <v>3473</v>
      </c>
      <c r="O482" s="1">
        <v>41130.17</v>
      </c>
      <c r="P482" s="215">
        <f t="shared" si="76"/>
        <v>8.2453685988144176E-3</v>
      </c>
      <c r="Q482" s="215">
        <f t="shared" si="71"/>
        <v>5.1421657592256587E-3</v>
      </c>
      <c r="R482" s="231">
        <v>573548</v>
      </c>
      <c r="T482" s="230">
        <v>43797</v>
      </c>
      <c r="U482" s="1">
        <v>45.25</v>
      </c>
      <c r="V482" s="1">
        <v>45.626195614525798</v>
      </c>
      <c r="W482" s="1">
        <v>75066</v>
      </c>
      <c r="X482" s="1">
        <v>41130.17</v>
      </c>
      <c r="Y482" s="215">
        <f t="shared" si="77"/>
        <v>8.2453685988144176E-3</v>
      </c>
      <c r="Z482" s="215">
        <f t="shared" si="72"/>
        <v>-7.6754385964912242E-3</v>
      </c>
      <c r="AA482" s="231">
        <v>3424976</v>
      </c>
      <c r="AC482" s="230">
        <v>43809</v>
      </c>
      <c r="AD482" s="1">
        <v>27.5</v>
      </c>
      <c r="AE482" s="1">
        <v>27.499105545617098</v>
      </c>
      <c r="AF482" s="1">
        <v>559</v>
      </c>
      <c r="AG482" s="1">
        <v>40239.879999999997</v>
      </c>
      <c r="AH482" s="215">
        <f t="shared" si="78"/>
        <v>-4.2731754006242184E-3</v>
      </c>
      <c r="AI482" s="215">
        <f t="shared" si="73"/>
        <v>-1.610017889087656E-2</v>
      </c>
      <c r="AJ482" s="231">
        <v>15372</v>
      </c>
      <c r="AL482" s="254"/>
      <c r="AQ482" s="215" t="str">
        <f t="shared" si="79"/>
        <v>NA</v>
      </c>
      <c r="AR482" s="215" t="str">
        <f t="shared" si="74"/>
        <v>NA</v>
      </c>
    </row>
    <row r="483" spans="2:44">
      <c r="B483" s="230">
        <v>43798</v>
      </c>
      <c r="C483" s="1">
        <v>235.1</v>
      </c>
      <c r="D483" s="1">
        <v>240.76323529411701</v>
      </c>
      <c r="E483" s="1">
        <v>680</v>
      </c>
      <c r="F483" s="215">
        <v>40793.81</v>
      </c>
      <c r="G483" s="215">
        <f t="shared" si="75"/>
        <v>-2.0489106339194318E-4</v>
      </c>
      <c r="H483" s="215">
        <f t="shared" si="70"/>
        <v>-2.0824656393169549E-2</v>
      </c>
      <c r="I483" s="231">
        <v>163719</v>
      </c>
      <c r="K483" s="230">
        <v>43798</v>
      </c>
      <c r="L483" s="1">
        <v>165.3</v>
      </c>
      <c r="M483" s="1">
        <v>164.664622930717</v>
      </c>
      <c r="N483" s="1">
        <v>8155</v>
      </c>
      <c r="O483" s="1">
        <v>40793.81</v>
      </c>
      <c r="P483" s="215">
        <f t="shared" si="76"/>
        <v>-2.0489106339194318E-4</v>
      </c>
      <c r="Q483" s="215">
        <f t="shared" si="71"/>
        <v>1.5980331899201117E-2</v>
      </c>
      <c r="R483" s="231">
        <v>1342840</v>
      </c>
      <c r="T483" s="230">
        <v>43798</v>
      </c>
      <c r="U483" s="1">
        <v>45.6</v>
      </c>
      <c r="V483" s="1">
        <v>45.6605440998093</v>
      </c>
      <c r="W483" s="1">
        <v>103878</v>
      </c>
      <c r="X483" s="1">
        <v>40793.81</v>
      </c>
      <c r="Y483" s="215">
        <f t="shared" si="77"/>
        <v>-2.0489106339194318E-4</v>
      </c>
      <c r="Z483" s="215">
        <f t="shared" si="72"/>
        <v>0</v>
      </c>
      <c r="AA483" s="231">
        <v>4743126</v>
      </c>
      <c r="AC483" s="230">
        <v>43810</v>
      </c>
      <c r="AD483" s="1">
        <v>27.95</v>
      </c>
      <c r="AE483" s="1">
        <v>27.6803887935963</v>
      </c>
      <c r="AF483" s="1">
        <v>1749</v>
      </c>
      <c r="AG483" s="1">
        <v>40412.57</v>
      </c>
      <c r="AH483" s="215">
        <f t="shared" si="78"/>
        <v>-1.2852136070693021E-2</v>
      </c>
      <c r="AI483" s="215">
        <f t="shared" si="73"/>
        <v>-3.2871972318339049E-2</v>
      </c>
      <c r="AJ483" s="231">
        <v>48413</v>
      </c>
      <c r="AL483" s="254"/>
      <c r="AQ483" s="215" t="str">
        <f t="shared" si="79"/>
        <v>NA</v>
      </c>
      <c r="AR483" s="215" t="str">
        <f t="shared" si="74"/>
        <v>NA</v>
      </c>
    </row>
    <row r="484" spans="2:44">
      <c r="B484" s="230">
        <v>43801</v>
      </c>
      <c r="C484" s="1">
        <v>240.1</v>
      </c>
      <c r="D484" s="1">
        <v>239.365853658536</v>
      </c>
      <c r="E484" s="1">
        <v>287</v>
      </c>
      <c r="F484" s="215">
        <v>40802.17</v>
      </c>
      <c r="G484" s="215">
        <f t="shared" si="75"/>
        <v>3.1153927000193704E-3</v>
      </c>
      <c r="H484" s="215">
        <f t="shared" si="70"/>
        <v>-7.8512396694214726E-3</v>
      </c>
      <c r="I484" s="231">
        <v>68698</v>
      </c>
      <c r="K484" s="230">
        <v>43801</v>
      </c>
      <c r="L484" s="1">
        <v>162.69999999999999</v>
      </c>
      <c r="M484" s="1">
        <v>163.41351034752</v>
      </c>
      <c r="N484" s="1">
        <v>5122</v>
      </c>
      <c r="O484" s="1">
        <v>40802.17</v>
      </c>
      <c r="P484" s="215">
        <f t="shared" si="76"/>
        <v>3.1153927000193704E-3</v>
      </c>
      <c r="Q484" s="215">
        <f t="shared" si="71"/>
        <v>7.6058201058201158E-2</v>
      </c>
      <c r="R484" s="231">
        <v>837004</v>
      </c>
      <c r="T484" s="230">
        <v>43801</v>
      </c>
      <c r="U484" s="1">
        <v>45.6</v>
      </c>
      <c r="V484" s="1">
        <v>45.076477246116603</v>
      </c>
      <c r="W484" s="1">
        <v>51244</v>
      </c>
      <c r="X484" s="1">
        <v>40802.17</v>
      </c>
      <c r="Y484" s="215">
        <f t="shared" si="77"/>
        <v>3.1153927000193704E-3</v>
      </c>
      <c r="Z484" s="215">
        <f t="shared" si="72"/>
        <v>1.3333333333333419E-2</v>
      </c>
      <c r="AA484" s="231">
        <v>2309899</v>
      </c>
      <c r="AC484" s="230">
        <v>43815</v>
      </c>
      <c r="AD484" s="1">
        <v>28.9</v>
      </c>
      <c r="AE484" s="1">
        <v>29.504247787610598</v>
      </c>
      <c r="AF484" s="1">
        <v>5650</v>
      </c>
      <c r="AG484" s="1">
        <v>40938.720000000001</v>
      </c>
      <c r="AH484" s="215">
        <f t="shared" si="78"/>
        <v>-9.998266112757781E-3</v>
      </c>
      <c r="AI484" s="215">
        <f t="shared" si="73"/>
        <v>-2.8571428571428581E-2</v>
      </c>
      <c r="AJ484" s="231">
        <v>166699</v>
      </c>
      <c r="AL484" s="254"/>
      <c r="AQ484" s="215" t="str">
        <f t="shared" si="79"/>
        <v>NA</v>
      </c>
      <c r="AR484" s="215" t="str">
        <f t="shared" si="74"/>
        <v>NA</v>
      </c>
    </row>
    <row r="485" spans="2:44">
      <c r="B485" s="230">
        <v>43802</v>
      </c>
      <c r="C485" s="1">
        <v>242</v>
      </c>
      <c r="D485" s="1">
        <v>240.864667747163</v>
      </c>
      <c r="E485" s="1">
        <v>1234</v>
      </c>
      <c r="F485" s="215">
        <v>40675.449999999997</v>
      </c>
      <c r="G485" s="215">
        <f t="shared" si="75"/>
        <v>-4.280018575143596E-3</v>
      </c>
      <c r="H485" s="215">
        <f t="shared" si="70"/>
        <v>3.9410910599460003E-3</v>
      </c>
      <c r="I485" s="231">
        <v>297227</v>
      </c>
      <c r="K485" s="230">
        <v>43802</v>
      </c>
      <c r="L485" s="1">
        <v>151.19999999999999</v>
      </c>
      <c r="M485" s="1">
        <v>154.56165158370999</v>
      </c>
      <c r="N485" s="1">
        <v>5304</v>
      </c>
      <c r="O485" s="1">
        <v>40675.449999999997</v>
      </c>
      <c r="P485" s="215">
        <f t="shared" si="76"/>
        <v>-4.280018575143596E-3</v>
      </c>
      <c r="Q485" s="215">
        <f t="shared" si="71"/>
        <v>-3.4790935205873064E-2</v>
      </c>
      <c r="R485" s="231">
        <v>819795</v>
      </c>
      <c r="T485" s="230">
        <v>43802</v>
      </c>
      <c r="U485" s="1">
        <v>45</v>
      </c>
      <c r="V485" s="1">
        <v>45.554469830111302</v>
      </c>
      <c r="W485" s="1">
        <v>42675</v>
      </c>
      <c r="X485" s="1">
        <v>40675.449999999997</v>
      </c>
      <c r="Y485" s="215">
        <f t="shared" si="77"/>
        <v>-4.280018575143596E-3</v>
      </c>
      <c r="Z485" s="215">
        <f t="shared" si="72"/>
        <v>-4.4247787610620648E-3</v>
      </c>
      <c r="AA485" s="231">
        <v>1944037</v>
      </c>
      <c r="AC485" s="230">
        <v>43816</v>
      </c>
      <c r="AD485" s="1">
        <v>29.75</v>
      </c>
      <c r="AE485" s="1">
        <v>29.5382165605095</v>
      </c>
      <c r="AF485" s="1">
        <v>314</v>
      </c>
      <c r="AG485" s="1">
        <v>41352.17</v>
      </c>
      <c r="AH485" s="215">
        <f t="shared" si="78"/>
        <v>-7.7206559882055936E-3</v>
      </c>
      <c r="AI485" s="215">
        <f t="shared" si="73"/>
        <v>1.5358361774743923E-2</v>
      </c>
      <c r="AJ485" s="231">
        <v>9275</v>
      </c>
      <c r="AL485" s="254"/>
      <c r="AQ485" s="215" t="str">
        <f t="shared" si="79"/>
        <v>NA</v>
      </c>
      <c r="AR485" s="215" t="str">
        <f t="shared" si="74"/>
        <v>NA</v>
      </c>
    </row>
    <row r="486" spans="2:44">
      <c r="B486" s="230">
        <v>43803</v>
      </c>
      <c r="C486" s="1">
        <v>241.05</v>
      </c>
      <c r="D486" s="1">
        <v>240.12931034482699</v>
      </c>
      <c r="E486" s="1">
        <v>348</v>
      </c>
      <c r="F486" s="215">
        <v>40850.29</v>
      </c>
      <c r="G486" s="215">
        <f t="shared" si="75"/>
        <v>1.7337104173926754E-3</v>
      </c>
      <c r="H486" s="215">
        <f t="shared" si="70"/>
        <v>-1.5720702327480574E-2</v>
      </c>
      <c r="I486" s="231">
        <v>83565</v>
      </c>
      <c r="K486" s="230">
        <v>43803</v>
      </c>
      <c r="L486" s="1">
        <v>156.65</v>
      </c>
      <c r="M486" s="1">
        <v>156.240234375</v>
      </c>
      <c r="N486" s="1">
        <v>3584</v>
      </c>
      <c r="O486" s="1">
        <v>40850.29</v>
      </c>
      <c r="P486" s="215">
        <f t="shared" si="76"/>
        <v>1.7337104173926754E-3</v>
      </c>
      <c r="Q486" s="215">
        <f t="shared" si="71"/>
        <v>-1.9712140175219051E-2</v>
      </c>
      <c r="R486" s="231">
        <v>559965</v>
      </c>
      <c r="T486" s="230">
        <v>43803</v>
      </c>
      <c r="U486" s="1">
        <v>45.2</v>
      </c>
      <c r="V486" s="1">
        <v>45.282896654467699</v>
      </c>
      <c r="W486" s="1">
        <v>30877</v>
      </c>
      <c r="X486" s="1">
        <v>40850.29</v>
      </c>
      <c r="Y486" s="215">
        <f t="shared" si="77"/>
        <v>1.7337104173926754E-3</v>
      </c>
      <c r="Z486" s="215">
        <f t="shared" si="72"/>
        <v>-4.7418335089567942E-2</v>
      </c>
      <c r="AA486" s="231">
        <v>1398200</v>
      </c>
      <c r="AC486" s="230">
        <v>43818</v>
      </c>
      <c r="AD486" s="1">
        <v>29.3</v>
      </c>
      <c r="AE486" s="1">
        <v>28.26</v>
      </c>
      <c r="AF486" s="1">
        <v>150</v>
      </c>
      <c r="AG486" s="1">
        <v>41673.919999999998</v>
      </c>
      <c r="AH486" s="215">
        <f t="shared" si="78"/>
        <v>-1.8281474244963292E-4</v>
      </c>
      <c r="AI486" s="215">
        <f t="shared" si="73"/>
        <v>4.0852575488454779E-2</v>
      </c>
      <c r="AJ486" s="231">
        <v>4239</v>
      </c>
      <c r="AL486" s="254"/>
      <c r="AQ486" s="215" t="str">
        <f t="shared" si="79"/>
        <v>NA</v>
      </c>
      <c r="AR486" s="215" t="str">
        <f t="shared" si="74"/>
        <v>NA</v>
      </c>
    </row>
    <row r="487" spans="2:44">
      <c r="B487" s="230">
        <v>43804</v>
      </c>
      <c r="C487" s="1">
        <v>244.9</v>
      </c>
      <c r="D487" s="1">
        <v>244.58673469387699</v>
      </c>
      <c r="E487" s="1">
        <v>392</v>
      </c>
      <c r="F487" s="215">
        <v>40779.589999999997</v>
      </c>
      <c r="G487" s="215">
        <f t="shared" si="75"/>
        <v>8.2689766263692732E-3</v>
      </c>
      <c r="H487" s="215">
        <f t="shared" si="70"/>
        <v>1.2192601777226697E-2</v>
      </c>
      <c r="I487" s="231">
        <v>95878</v>
      </c>
      <c r="K487" s="230">
        <v>43804</v>
      </c>
      <c r="L487" s="1">
        <v>159.80000000000001</v>
      </c>
      <c r="M487" s="1">
        <v>160.95250729636501</v>
      </c>
      <c r="N487" s="1">
        <v>7538</v>
      </c>
      <c r="O487" s="1">
        <v>40779.589999999997</v>
      </c>
      <c r="P487" s="215">
        <f t="shared" si="76"/>
        <v>8.2689766263692732E-3</v>
      </c>
      <c r="Q487" s="215">
        <f t="shared" si="71"/>
        <v>4.1042345276873116E-2</v>
      </c>
      <c r="R487" s="231">
        <v>1213260</v>
      </c>
      <c r="T487" s="230">
        <v>43804</v>
      </c>
      <c r="U487" s="1">
        <v>47.45</v>
      </c>
      <c r="V487" s="1">
        <v>46.727995216622197</v>
      </c>
      <c r="W487" s="1">
        <v>120417</v>
      </c>
      <c r="X487" s="1">
        <v>40779.589999999997</v>
      </c>
      <c r="Y487" s="215">
        <f t="shared" si="77"/>
        <v>8.2689766263692732E-3</v>
      </c>
      <c r="Z487" s="215">
        <f t="shared" si="72"/>
        <v>8.4571428571428742E-2</v>
      </c>
      <c r="AA487" s="231">
        <v>5626845</v>
      </c>
      <c r="AC487" s="230">
        <v>43819</v>
      </c>
      <c r="AD487" s="1">
        <v>28.15</v>
      </c>
      <c r="AE487" s="1">
        <v>28.413461538461501</v>
      </c>
      <c r="AF487" s="1">
        <v>2184</v>
      </c>
      <c r="AG487" s="1">
        <v>41681.54</v>
      </c>
      <c r="AH487" s="215">
        <f t="shared" si="78"/>
        <v>9.3365793635658001E-4</v>
      </c>
      <c r="AI487" s="215">
        <f t="shared" si="73"/>
        <v>5.3571428571428381E-3</v>
      </c>
      <c r="AJ487" s="231">
        <v>62055</v>
      </c>
      <c r="AL487" s="254"/>
      <c r="AQ487" s="215" t="str">
        <f t="shared" si="79"/>
        <v>NA</v>
      </c>
      <c r="AR487" s="215" t="str">
        <f t="shared" si="74"/>
        <v>NA</v>
      </c>
    </row>
    <row r="488" spans="2:44">
      <c r="B488" s="230">
        <v>43805</v>
      </c>
      <c r="C488" s="1">
        <v>241.95</v>
      </c>
      <c r="D488" s="1">
        <v>241.75476493011399</v>
      </c>
      <c r="E488" s="1">
        <v>787</v>
      </c>
      <c r="F488" s="215">
        <v>40445.15</v>
      </c>
      <c r="G488" s="215">
        <f t="shared" si="75"/>
        <v>-1.0442747292184196E-3</v>
      </c>
      <c r="H488" s="215">
        <f t="shared" si="70"/>
        <v>-4.7305635540929591E-3</v>
      </c>
      <c r="I488" s="231">
        <v>190261</v>
      </c>
      <c r="K488" s="230">
        <v>43805</v>
      </c>
      <c r="L488" s="1">
        <v>153.5</v>
      </c>
      <c r="M488" s="1">
        <v>156.942211055276</v>
      </c>
      <c r="N488" s="1">
        <v>3980</v>
      </c>
      <c r="O488" s="1">
        <v>40445.15</v>
      </c>
      <c r="P488" s="215">
        <f t="shared" si="76"/>
        <v>-1.0442747292184196E-3</v>
      </c>
      <c r="Q488" s="215">
        <f t="shared" si="71"/>
        <v>-9.3578573733461567E-3</v>
      </c>
      <c r="R488" s="231">
        <v>624630</v>
      </c>
      <c r="T488" s="230">
        <v>43805</v>
      </c>
      <c r="U488" s="1">
        <v>43.75</v>
      </c>
      <c r="V488" s="1">
        <v>43.2561987047267</v>
      </c>
      <c r="W488" s="1">
        <v>138658</v>
      </c>
      <c r="X488" s="1">
        <v>40445.15</v>
      </c>
      <c r="Y488" s="215">
        <f t="shared" si="77"/>
        <v>-1.0442747292184196E-3</v>
      </c>
      <c r="Z488" s="215">
        <f t="shared" si="72"/>
        <v>-2.015677491601342E-2</v>
      </c>
      <c r="AA488" s="231">
        <v>5997818</v>
      </c>
      <c r="AC488" s="230">
        <v>43822</v>
      </c>
      <c r="AD488" s="1">
        <v>28</v>
      </c>
      <c r="AE488" s="1">
        <v>28.0532544378698</v>
      </c>
      <c r="AF488" s="1">
        <v>507</v>
      </c>
      <c r="AG488" s="1">
        <v>41642.660000000003</v>
      </c>
      <c r="AH488" s="215">
        <f t="shared" si="78"/>
        <v>4.3751685308164312E-3</v>
      </c>
      <c r="AI488" s="215">
        <f t="shared" si="73"/>
        <v>0</v>
      </c>
      <c r="AJ488" s="231">
        <v>14223</v>
      </c>
      <c r="AL488" s="254"/>
      <c r="AQ488" s="215" t="str">
        <f t="shared" si="79"/>
        <v>NA</v>
      </c>
      <c r="AR488" s="215" t="str">
        <f t="shared" si="74"/>
        <v>NA</v>
      </c>
    </row>
    <row r="489" spans="2:44">
      <c r="B489" s="230">
        <v>43808</v>
      </c>
      <c r="C489" s="1">
        <v>243.1</v>
      </c>
      <c r="D489" s="1">
        <v>240.408088235294</v>
      </c>
      <c r="E489" s="1">
        <v>544</v>
      </c>
      <c r="F489" s="215">
        <v>40487.43</v>
      </c>
      <c r="G489" s="215">
        <f t="shared" si="75"/>
        <v>6.1518573117018693E-3</v>
      </c>
      <c r="H489" s="215">
        <f t="shared" si="70"/>
        <v>1.2916666666666687E-2</v>
      </c>
      <c r="I489" s="231">
        <v>130782</v>
      </c>
      <c r="K489" s="230">
        <v>43808</v>
      </c>
      <c r="L489" s="1">
        <v>154.94999999999999</v>
      </c>
      <c r="M489" s="1">
        <v>155.23166023165999</v>
      </c>
      <c r="N489" s="1">
        <v>1554</v>
      </c>
      <c r="O489" s="1">
        <v>40487.43</v>
      </c>
      <c r="P489" s="215">
        <f t="shared" si="76"/>
        <v>6.1518573117018693E-3</v>
      </c>
      <c r="Q489" s="215">
        <f t="shared" si="71"/>
        <v>3.1624500665778932E-2</v>
      </c>
      <c r="R489" s="231">
        <v>241230</v>
      </c>
      <c r="T489" s="230">
        <v>43808</v>
      </c>
      <c r="U489" s="1">
        <v>44.65</v>
      </c>
      <c r="V489" s="1">
        <v>44.397694821728997</v>
      </c>
      <c r="W489" s="1">
        <v>155129</v>
      </c>
      <c r="X489" s="1">
        <v>40487.43</v>
      </c>
      <c r="Y489" s="215">
        <f t="shared" si="77"/>
        <v>6.1518573117018693E-3</v>
      </c>
      <c r="Z489" s="215">
        <f t="shared" si="72"/>
        <v>3.9580908032595952E-2</v>
      </c>
      <c r="AA489" s="231">
        <v>6887370</v>
      </c>
      <c r="AC489" s="230">
        <v>43823</v>
      </c>
      <c r="AD489" s="1">
        <v>28</v>
      </c>
      <c r="AE489" s="1">
        <v>28</v>
      </c>
      <c r="AF489" s="1">
        <v>50</v>
      </c>
      <c r="AG489" s="1">
        <v>41461.26</v>
      </c>
      <c r="AH489" s="215">
        <f t="shared" si="78"/>
        <v>7.2272309429459725E-3</v>
      </c>
      <c r="AI489" s="215">
        <f t="shared" si="73"/>
        <v>-1.4084507042253502E-2</v>
      </c>
      <c r="AJ489" s="231">
        <v>1400</v>
      </c>
      <c r="AL489" s="254"/>
      <c r="AQ489" s="215" t="str">
        <f t="shared" si="79"/>
        <v>NA</v>
      </c>
      <c r="AR489" s="215" t="str">
        <f t="shared" si="74"/>
        <v>NA</v>
      </c>
    </row>
    <row r="490" spans="2:44">
      <c r="B490" s="230">
        <v>43809</v>
      </c>
      <c r="C490" s="1">
        <v>240</v>
      </c>
      <c r="D490" s="1">
        <v>240.53687585890901</v>
      </c>
      <c r="E490" s="1">
        <v>2183</v>
      </c>
      <c r="F490" s="215">
        <v>40239.879999999997</v>
      </c>
      <c r="G490" s="215">
        <f t="shared" si="75"/>
        <v>-4.2731754006242184E-3</v>
      </c>
      <c r="H490" s="215">
        <f t="shared" si="70"/>
        <v>0.14258509878600334</v>
      </c>
      <c r="I490" s="231">
        <v>525092</v>
      </c>
      <c r="K490" s="230">
        <v>43809</v>
      </c>
      <c r="L490" s="1">
        <v>150.19999999999999</v>
      </c>
      <c r="M490" s="1">
        <v>151.67857142857099</v>
      </c>
      <c r="N490" s="1">
        <v>2716</v>
      </c>
      <c r="O490" s="1">
        <v>40239.879999999997</v>
      </c>
      <c r="P490" s="215">
        <f t="shared" si="76"/>
        <v>-4.2731754006242184E-3</v>
      </c>
      <c r="Q490" s="215">
        <f t="shared" si="71"/>
        <v>-1.0865986170563113E-2</v>
      </c>
      <c r="R490" s="231">
        <v>411959</v>
      </c>
      <c r="T490" s="230">
        <v>43809</v>
      </c>
      <c r="U490" s="1">
        <v>42.95</v>
      </c>
      <c r="V490" s="1">
        <v>43.110821267879302</v>
      </c>
      <c r="W490" s="1">
        <v>57119</v>
      </c>
      <c r="X490" s="1">
        <v>40239.879999999997</v>
      </c>
      <c r="Y490" s="215">
        <f t="shared" si="77"/>
        <v>-4.2731754006242184E-3</v>
      </c>
      <c r="Z490" s="215">
        <f t="shared" si="72"/>
        <v>3.8694074969770398E-2</v>
      </c>
      <c r="AA490" s="231">
        <v>2462447</v>
      </c>
      <c r="AC490" s="230">
        <v>43825</v>
      </c>
      <c r="AD490" s="1">
        <v>28.4</v>
      </c>
      <c r="AE490" s="1">
        <v>28.4</v>
      </c>
      <c r="AF490" s="1">
        <v>100</v>
      </c>
      <c r="AG490" s="1">
        <v>41163.760000000002</v>
      </c>
      <c r="AH490" s="215">
        <f t="shared" si="78"/>
        <v>-9.4865007940708734E-3</v>
      </c>
      <c r="AI490" s="215">
        <f t="shared" si="73"/>
        <v>-2.0689655172413834E-2</v>
      </c>
      <c r="AJ490" s="231">
        <v>2840</v>
      </c>
      <c r="AL490" s="254"/>
      <c r="AQ490" s="215" t="str">
        <f t="shared" si="79"/>
        <v>NA</v>
      </c>
      <c r="AR490" s="215" t="str">
        <f t="shared" si="74"/>
        <v>NA</v>
      </c>
    </row>
    <row r="491" spans="2:44">
      <c r="B491" s="230">
        <v>43810</v>
      </c>
      <c r="C491" s="1">
        <v>210.05</v>
      </c>
      <c r="D491" s="1">
        <v>220.47719678497199</v>
      </c>
      <c r="E491" s="1">
        <v>11073</v>
      </c>
      <c r="F491" s="215">
        <v>40412.57</v>
      </c>
      <c r="G491" s="215">
        <f t="shared" si="75"/>
        <v>-4.1678874547178557E-3</v>
      </c>
      <c r="H491" s="215">
        <f t="shared" si="70"/>
        <v>5.9865900383142545E-3</v>
      </c>
      <c r="I491" s="231">
        <v>2441344</v>
      </c>
      <c r="K491" s="230">
        <v>43810</v>
      </c>
      <c r="L491" s="1">
        <v>151.85</v>
      </c>
      <c r="M491" s="1">
        <v>150.92606656243001</v>
      </c>
      <c r="N491" s="1">
        <v>4477</v>
      </c>
      <c r="O491" s="1">
        <v>40412.57</v>
      </c>
      <c r="P491" s="215">
        <f t="shared" si="76"/>
        <v>-4.1678874547178557E-3</v>
      </c>
      <c r="Q491" s="215">
        <f t="shared" si="71"/>
        <v>-3.4033078880407075E-2</v>
      </c>
      <c r="R491" s="231">
        <v>675696</v>
      </c>
      <c r="T491" s="230">
        <v>43810</v>
      </c>
      <c r="U491" s="1">
        <v>41.35</v>
      </c>
      <c r="V491" s="1">
        <v>41.388685738868503</v>
      </c>
      <c r="W491" s="1">
        <v>41841</v>
      </c>
      <c r="X491" s="1">
        <v>40412.57</v>
      </c>
      <c r="Y491" s="215">
        <f t="shared" si="77"/>
        <v>-4.1678874547178557E-3</v>
      </c>
      <c r="Z491" s="215">
        <f t="shared" si="72"/>
        <v>-9.5808383233532135E-3</v>
      </c>
      <c r="AA491" s="231">
        <v>1731744</v>
      </c>
      <c r="AC491" s="230">
        <v>43829</v>
      </c>
      <c r="AD491" s="1">
        <v>29</v>
      </c>
      <c r="AE491" s="1">
        <v>28.957101449275299</v>
      </c>
      <c r="AF491" s="1">
        <v>1725</v>
      </c>
      <c r="AG491" s="1">
        <v>41558</v>
      </c>
      <c r="AH491" s="215">
        <f t="shared" si="78"/>
        <v>7.3753313032951517E-3</v>
      </c>
      <c r="AI491" s="215">
        <f t="shared" si="73"/>
        <v>0</v>
      </c>
      <c r="AJ491" s="231">
        <v>49951</v>
      </c>
      <c r="AL491" s="254"/>
      <c r="AQ491" s="215" t="str">
        <f t="shared" si="79"/>
        <v>NA</v>
      </c>
      <c r="AR491" s="215" t="str">
        <f t="shared" si="74"/>
        <v>NA</v>
      </c>
    </row>
    <row r="492" spans="2:44">
      <c r="B492" s="230">
        <v>43811</v>
      </c>
      <c r="C492" s="1">
        <v>208.8</v>
      </c>
      <c r="D492" s="1">
        <v>201.13256619754401</v>
      </c>
      <c r="E492" s="1">
        <v>23377</v>
      </c>
      <c r="F492" s="215">
        <v>40581.71</v>
      </c>
      <c r="G492" s="215">
        <f t="shared" si="75"/>
        <v>-1.0436552709102265E-2</v>
      </c>
      <c r="H492" s="215">
        <f t="shared" si="70"/>
        <v>-2.4299065420560706E-2</v>
      </c>
      <c r="I492" s="231">
        <v>4701876</v>
      </c>
      <c r="K492" s="230">
        <v>43811</v>
      </c>
      <c r="L492" s="1">
        <v>157.19999999999999</v>
      </c>
      <c r="M492" s="1">
        <v>157.353998203054</v>
      </c>
      <c r="N492" s="1">
        <v>1113</v>
      </c>
      <c r="O492" s="1">
        <v>40581.71</v>
      </c>
      <c r="P492" s="215">
        <f t="shared" si="76"/>
        <v>-1.0436552709102265E-2</v>
      </c>
      <c r="Q492" s="215">
        <f t="shared" si="71"/>
        <v>-4.4667274384685651E-2</v>
      </c>
      <c r="R492" s="231">
        <v>175135</v>
      </c>
      <c r="T492" s="230">
        <v>43811</v>
      </c>
      <c r="U492" s="1">
        <v>41.75</v>
      </c>
      <c r="V492" s="1">
        <v>42.434392028146</v>
      </c>
      <c r="W492" s="1">
        <v>186456</v>
      </c>
      <c r="X492" s="1">
        <v>40581.71</v>
      </c>
      <c r="Y492" s="215">
        <f t="shared" si="77"/>
        <v>-1.0436552709102265E-2</v>
      </c>
      <c r="Z492" s="215">
        <f t="shared" si="72"/>
        <v>0</v>
      </c>
      <c r="AA492" s="231">
        <v>7912147</v>
      </c>
      <c r="AC492" s="230">
        <v>43830</v>
      </c>
      <c r="AD492" s="1">
        <v>29</v>
      </c>
      <c r="AE492" s="1">
        <v>29</v>
      </c>
      <c r="AF492" s="1">
        <v>130</v>
      </c>
      <c r="AG492" s="1">
        <v>41253.74</v>
      </c>
      <c r="AH492" s="215">
        <f t="shared" si="78"/>
        <v>-1.2656750759332258E-3</v>
      </c>
      <c r="AI492" s="215">
        <f t="shared" si="73"/>
        <v>-4.6052631578947345E-2</v>
      </c>
      <c r="AJ492" s="231">
        <v>3770</v>
      </c>
      <c r="AL492" s="254"/>
      <c r="AQ492" s="215" t="str">
        <f t="shared" si="79"/>
        <v>NA</v>
      </c>
      <c r="AR492" s="215" t="str">
        <f t="shared" si="74"/>
        <v>NA</v>
      </c>
    </row>
    <row r="493" spans="2:44">
      <c r="B493" s="230">
        <v>43812</v>
      </c>
      <c r="C493" s="1">
        <v>214</v>
      </c>
      <c r="D493" s="1">
        <v>213.966622162883</v>
      </c>
      <c r="E493" s="1">
        <v>749</v>
      </c>
      <c r="F493" s="215">
        <v>41009.71</v>
      </c>
      <c r="G493" s="215">
        <f t="shared" si="75"/>
        <v>1.7340551927367276E-3</v>
      </c>
      <c r="H493" s="215">
        <f t="shared" si="70"/>
        <v>-2.5500910746812377E-2</v>
      </c>
      <c r="I493" s="231">
        <v>160261</v>
      </c>
      <c r="K493" s="230">
        <v>43812</v>
      </c>
      <c r="L493" s="1">
        <v>164.55</v>
      </c>
      <c r="M493" s="1">
        <v>164.02929532858201</v>
      </c>
      <c r="N493" s="1">
        <v>3789</v>
      </c>
      <c r="O493" s="1">
        <v>41009.71</v>
      </c>
      <c r="P493" s="215">
        <f t="shared" si="76"/>
        <v>1.7340551927367276E-3</v>
      </c>
      <c r="Q493" s="215">
        <f t="shared" si="71"/>
        <v>-1.2304921968787408E-2</v>
      </c>
      <c r="R493" s="231">
        <v>621507</v>
      </c>
      <c r="T493" s="230">
        <v>43812</v>
      </c>
      <c r="U493" s="1">
        <v>41.75</v>
      </c>
      <c r="V493" s="1">
        <v>41.876284373700699</v>
      </c>
      <c r="W493" s="1">
        <v>33674</v>
      </c>
      <c r="X493" s="1">
        <v>41009.71</v>
      </c>
      <c r="Y493" s="215">
        <f t="shared" si="77"/>
        <v>1.7340551927367276E-3</v>
      </c>
      <c r="Z493" s="215">
        <f t="shared" si="72"/>
        <v>-1.1961722488037507E-3</v>
      </c>
      <c r="AA493" s="231">
        <v>1410142</v>
      </c>
      <c r="AC493" s="230">
        <v>43831</v>
      </c>
      <c r="AD493" s="1">
        <v>30.4</v>
      </c>
      <c r="AE493" s="1">
        <v>30.623973727422001</v>
      </c>
      <c r="AF493" s="1">
        <v>609</v>
      </c>
      <c r="AG493" s="1">
        <v>41306.019999999997</v>
      </c>
      <c r="AH493" s="215">
        <f t="shared" si="78"/>
        <v>-7.7022791174113925E-3</v>
      </c>
      <c r="AI493" s="215">
        <f t="shared" si="73"/>
        <v>-0.16598079561042534</v>
      </c>
      <c r="AJ493" s="231">
        <v>18650</v>
      </c>
      <c r="AL493" s="254"/>
      <c r="AQ493" s="215" t="str">
        <f t="shared" si="79"/>
        <v>NA</v>
      </c>
      <c r="AR493" s="215" t="str">
        <f t="shared" si="74"/>
        <v>NA</v>
      </c>
    </row>
    <row r="494" spans="2:44">
      <c r="B494" s="230">
        <v>43815</v>
      </c>
      <c r="C494" s="1">
        <v>219.6</v>
      </c>
      <c r="D494" s="1">
        <v>220.47972773009701</v>
      </c>
      <c r="E494" s="1">
        <v>3379</v>
      </c>
      <c r="F494" s="215">
        <v>40938.720000000001</v>
      </c>
      <c r="G494" s="215">
        <f t="shared" si="75"/>
        <v>-9.998266112757781E-3</v>
      </c>
      <c r="H494" s="215">
        <f t="shared" si="70"/>
        <v>-6.3348416289592535E-3</v>
      </c>
      <c r="I494" s="231">
        <v>745001</v>
      </c>
      <c r="K494" s="230">
        <v>43815</v>
      </c>
      <c r="L494" s="1">
        <v>166.6</v>
      </c>
      <c r="M494" s="1">
        <v>166.79720133667499</v>
      </c>
      <c r="N494" s="1">
        <v>4788</v>
      </c>
      <c r="O494" s="1">
        <v>40938.720000000001</v>
      </c>
      <c r="P494" s="215">
        <f t="shared" si="76"/>
        <v>-9.998266112757781E-3</v>
      </c>
      <c r="Q494" s="215">
        <f t="shared" si="71"/>
        <v>-8.1081081081081141E-2</v>
      </c>
      <c r="R494" s="231">
        <v>798625</v>
      </c>
      <c r="T494" s="230">
        <v>43815</v>
      </c>
      <c r="U494" s="1">
        <v>41.8</v>
      </c>
      <c r="V494" s="1">
        <v>41.847096320211897</v>
      </c>
      <c r="W494" s="1">
        <v>24159</v>
      </c>
      <c r="X494" s="1">
        <v>40938.720000000001</v>
      </c>
      <c r="Y494" s="215">
        <f t="shared" si="77"/>
        <v>-9.998266112757781E-3</v>
      </c>
      <c r="Z494" s="215">
        <f t="shared" si="72"/>
        <v>-1.8779342723004744E-2</v>
      </c>
      <c r="AA494" s="231">
        <v>1010984</v>
      </c>
      <c r="AC494" s="230">
        <v>43832</v>
      </c>
      <c r="AD494" s="1">
        <v>36.450000000000003</v>
      </c>
      <c r="AE494" s="1">
        <v>34.863439238238797</v>
      </c>
      <c r="AF494" s="1">
        <v>21214</v>
      </c>
      <c r="AG494" s="1">
        <v>41626.639999999999</v>
      </c>
      <c r="AH494" s="215">
        <f t="shared" si="78"/>
        <v>3.9076696971223068E-3</v>
      </c>
      <c r="AI494" s="215">
        <f t="shared" si="73"/>
        <v>-1.4864864864864824E-2</v>
      </c>
      <c r="AJ494" s="231">
        <v>739593</v>
      </c>
      <c r="AL494" s="254"/>
      <c r="AQ494" s="215" t="str">
        <f t="shared" si="79"/>
        <v>NA</v>
      </c>
      <c r="AR494" s="215" t="str">
        <f t="shared" si="74"/>
        <v>NA</v>
      </c>
    </row>
    <row r="495" spans="2:44">
      <c r="B495" s="230">
        <v>43816</v>
      </c>
      <c r="C495" s="1">
        <v>221</v>
      </c>
      <c r="D495" s="1">
        <v>220.75551782682501</v>
      </c>
      <c r="E495" s="1">
        <v>589</v>
      </c>
      <c r="F495" s="215">
        <v>41352.17</v>
      </c>
      <c r="G495" s="215">
        <f t="shared" si="75"/>
        <v>-4.9664846504584581E-3</v>
      </c>
      <c r="H495" s="215">
        <f t="shared" si="70"/>
        <v>0</v>
      </c>
      <c r="I495" s="231">
        <v>130025</v>
      </c>
      <c r="K495" s="230">
        <v>43816</v>
      </c>
      <c r="L495" s="1">
        <v>181.3</v>
      </c>
      <c r="M495" s="1">
        <v>177.06797743623201</v>
      </c>
      <c r="N495" s="1">
        <v>24464</v>
      </c>
      <c r="O495" s="1">
        <v>41352.17</v>
      </c>
      <c r="P495" s="215">
        <f t="shared" si="76"/>
        <v>-4.9664846504584581E-3</v>
      </c>
      <c r="Q495" s="215">
        <f t="shared" si="71"/>
        <v>-8.5267406659939371E-2</v>
      </c>
      <c r="R495" s="231">
        <v>4331791</v>
      </c>
      <c r="T495" s="230">
        <v>43816</v>
      </c>
      <c r="U495" s="1">
        <v>42.6</v>
      </c>
      <c r="V495" s="1">
        <v>42.493785176242497</v>
      </c>
      <c r="W495" s="1">
        <v>58811</v>
      </c>
      <c r="X495" s="1">
        <v>41352.17</v>
      </c>
      <c r="Y495" s="215">
        <f t="shared" si="77"/>
        <v>-4.9664846504584581E-3</v>
      </c>
      <c r="Z495" s="215">
        <f t="shared" si="72"/>
        <v>-5.4384017758046577E-2</v>
      </c>
      <c r="AA495" s="231">
        <v>2499102</v>
      </c>
      <c r="AC495" s="230">
        <v>43833</v>
      </c>
      <c r="AD495" s="1">
        <v>37</v>
      </c>
      <c r="AE495" s="1">
        <v>37.803029049077203</v>
      </c>
      <c r="AF495" s="1">
        <v>24166</v>
      </c>
      <c r="AG495" s="1">
        <v>41464.61</v>
      </c>
      <c r="AH495" s="215">
        <f t="shared" si="78"/>
        <v>1.9371811283284801E-2</v>
      </c>
      <c r="AI495" s="215">
        <f t="shared" si="73"/>
        <v>0.14551083591331282</v>
      </c>
      <c r="AJ495" s="231">
        <v>913548</v>
      </c>
      <c r="AL495" s="254"/>
      <c r="AQ495" s="215" t="str">
        <f t="shared" si="79"/>
        <v>NA</v>
      </c>
      <c r="AR495" s="215" t="str">
        <f t="shared" si="74"/>
        <v>NA</v>
      </c>
    </row>
    <row r="496" spans="2:44">
      <c r="B496" s="230">
        <v>43817</v>
      </c>
      <c r="C496" s="1">
        <v>221</v>
      </c>
      <c r="D496" s="1">
        <v>220.21789321789299</v>
      </c>
      <c r="E496" s="1">
        <v>693</v>
      </c>
      <c r="F496" s="215">
        <v>41558.57</v>
      </c>
      <c r="G496" s="215">
        <f t="shared" si="75"/>
        <v>-2.7679181608065706E-3</v>
      </c>
      <c r="H496" s="215">
        <f t="shared" si="70"/>
        <v>-1.8066847335139746E-3</v>
      </c>
      <c r="I496" s="231">
        <v>152611</v>
      </c>
      <c r="K496" s="230">
        <v>43817</v>
      </c>
      <c r="L496" s="1">
        <v>198.2</v>
      </c>
      <c r="M496" s="1">
        <v>199.21284216701901</v>
      </c>
      <c r="N496" s="1">
        <v>64771</v>
      </c>
      <c r="O496" s="1">
        <v>41558.57</v>
      </c>
      <c r="P496" s="215">
        <f t="shared" si="76"/>
        <v>-2.7679181608065706E-3</v>
      </c>
      <c r="Q496" s="215">
        <f t="shared" si="71"/>
        <v>-3.3642125792296418E-2</v>
      </c>
      <c r="R496" s="231">
        <v>12903215</v>
      </c>
      <c r="T496" s="230">
        <v>43817</v>
      </c>
      <c r="U496" s="1">
        <v>45.05</v>
      </c>
      <c r="V496" s="1">
        <v>45.034330865548</v>
      </c>
      <c r="W496" s="1">
        <v>102386</v>
      </c>
      <c r="X496" s="1">
        <v>41558.57</v>
      </c>
      <c r="Y496" s="215">
        <f t="shared" si="77"/>
        <v>-2.7679181608065706E-3</v>
      </c>
      <c r="Z496" s="215">
        <f t="shared" si="72"/>
        <v>3.6823935558112586E-2</v>
      </c>
      <c r="AA496" s="231">
        <v>4610885</v>
      </c>
      <c r="AC496" s="230">
        <v>43836</v>
      </c>
      <c r="AD496" s="1">
        <v>32.299999999999997</v>
      </c>
      <c r="AE496" s="1">
        <v>33.2837393021724</v>
      </c>
      <c r="AF496" s="1">
        <v>6076</v>
      </c>
      <c r="AG496" s="1">
        <v>40676.629999999997</v>
      </c>
      <c r="AH496" s="215">
        <f t="shared" si="78"/>
        <v>-4.7184365248681415E-3</v>
      </c>
      <c r="AI496" s="215">
        <f t="shared" si="73"/>
        <v>-2.2692889561270801E-2</v>
      </c>
      <c r="AJ496" s="231">
        <v>202232</v>
      </c>
      <c r="AL496" s="254"/>
      <c r="AQ496" s="215" t="str">
        <f t="shared" si="79"/>
        <v>NA</v>
      </c>
      <c r="AR496" s="215" t="str">
        <f t="shared" si="74"/>
        <v>NA</v>
      </c>
    </row>
    <row r="497" spans="2:44">
      <c r="B497" s="230">
        <v>43818</v>
      </c>
      <c r="C497" s="1">
        <v>221.4</v>
      </c>
      <c r="D497" s="1">
        <v>220.86335403726699</v>
      </c>
      <c r="E497" s="1">
        <v>161</v>
      </c>
      <c r="F497" s="215">
        <v>41673.919999999998</v>
      </c>
      <c r="G497" s="215">
        <f t="shared" si="75"/>
        <v>-1.8281474244963292E-4</v>
      </c>
      <c r="H497" s="215">
        <f t="shared" si="70"/>
        <v>-2.7027027027026751E-3</v>
      </c>
      <c r="I497" s="231">
        <v>35559</v>
      </c>
      <c r="K497" s="230">
        <v>43818</v>
      </c>
      <c r="L497" s="1">
        <v>205.1</v>
      </c>
      <c r="M497" s="1">
        <v>203.88542696437699</v>
      </c>
      <c r="N497" s="1">
        <v>29335</v>
      </c>
      <c r="O497" s="1">
        <v>41673.919999999998</v>
      </c>
      <c r="P497" s="215">
        <f t="shared" si="76"/>
        <v>-1.8281474244963292E-4</v>
      </c>
      <c r="Q497" s="215">
        <f t="shared" si="71"/>
        <v>-5.9390048154093211E-2</v>
      </c>
      <c r="R497" s="231">
        <v>5980979</v>
      </c>
      <c r="T497" s="230">
        <v>43818</v>
      </c>
      <c r="U497" s="1">
        <v>43.45</v>
      </c>
      <c r="V497" s="1">
        <v>44.419146617486703</v>
      </c>
      <c r="W497" s="1">
        <v>95432</v>
      </c>
      <c r="X497" s="1">
        <v>41673.919999999998</v>
      </c>
      <c r="Y497" s="215">
        <f t="shared" si="77"/>
        <v>-1.8281474244963292E-4</v>
      </c>
      <c r="Z497" s="215">
        <f t="shared" si="72"/>
        <v>-3.1215161649944201E-2</v>
      </c>
      <c r="AA497" s="231">
        <v>4239008</v>
      </c>
      <c r="AC497" s="230">
        <v>43837</v>
      </c>
      <c r="AD497" s="1">
        <v>33.049999999999997</v>
      </c>
      <c r="AE497" s="1">
        <v>34.005988023952</v>
      </c>
      <c r="AF497" s="1">
        <v>167</v>
      </c>
      <c r="AG497" s="1">
        <v>40869.47</v>
      </c>
      <c r="AH497" s="215">
        <f t="shared" si="78"/>
        <v>1.2673411119774602E-3</v>
      </c>
      <c r="AI497" s="215">
        <f t="shared" si="73"/>
        <v>-3.5036496350365098E-2</v>
      </c>
      <c r="AJ497" s="231">
        <v>5679</v>
      </c>
      <c r="AL497" s="254"/>
      <c r="AQ497" s="215" t="str">
        <f t="shared" si="79"/>
        <v>NA</v>
      </c>
      <c r="AR497" s="215" t="str">
        <f t="shared" si="74"/>
        <v>NA</v>
      </c>
    </row>
    <row r="498" spans="2:44">
      <c r="B498" s="230">
        <v>43819</v>
      </c>
      <c r="C498" s="1">
        <v>222</v>
      </c>
      <c r="D498" s="1">
        <v>222.19767441860401</v>
      </c>
      <c r="E498" s="1">
        <v>172</v>
      </c>
      <c r="F498" s="215">
        <v>41681.54</v>
      </c>
      <c r="G498" s="215">
        <f t="shared" si="75"/>
        <v>9.3365793635658001E-4</v>
      </c>
      <c r="H498" s="215">
        <f t="shared" si="70"/>
        <v>-2.9193801931282071E-3</v>
      </c>
      <c r="I498" s="231">
        <v>38218</v>
      </c>
      <c r="K498" s="230">
        <v>43819</v>
      </c>
      <c r="L498" s="1">
        <v>218.05</v>
      </c>
      <c r="M498" s="1">
        <v>219.94449029163999</v>
      </c>
      <c r="N498" s="1">
        <v>64223</v>
      </c>
      <c r="O498" s="1">
        <v>41681.54</v>
      </c>
      <c r="P498" s="215">
        <f t="shared" si="76"/>
        <v>9.3365793635658001E-4</v>
      </c>
      <c r="Q498" s="215">
        <f t="shared" si="71"/>
        <v>1.2537729277919851E-2</v>
      </c>
      <c r="R498" s="231">
        <v>14125495</v>
      </c>
      <c r="T498" s="230">
        <v>43819</v>
      </c>
      <c r="U498" s="1">
        <v>44.85</v>
      </c>
      <c r="V498" s="1">
        <v>44.213163130714698</v>
      </c>
      <c r="W498" s="1">
        <v>44731</v>
      </c>
      <c r="X498" s="1">
        <v>41681.54</v>
      </c>
      <c r="Y498" s="215">
        <f t="shared" si="77"/>
        <v>9.3365793635658001E-4</v>
      </c>
      <c r="Z498" s="215">
        <f t="shared" si="72"/>
        <v>-2.2875816993463971E-2</v>
      </c>
      <c r="AA498" s="231">
        <v>1977699</v>
      </c>
      <c r="AC498" s="230">
        <v>43838</v>
      </c>
      <c r="AD498" s="1">
        <v>34.25</v>
      </c>
      <c r="AE498" s="1">
        <v>34.226211849192097</v>
      </c>
      <c r="AF498" s="1">
        <v>557</v>
      </c>
      <c r="AG498" s="1">
        <v>40817.74</v>
      </c>
      <c r="AH498" s="215">
        <f t="shared" si="78"/>
        <v>-1.530938535450943E-2</v>
      </c>
      <c r="AI498" s="215">
        <f t="shared" si="73"/>
        <v>-2.6988636363636465E-2</v>
      </c>
      <c r="AJ498" s="231">
        <v>19064</v>
      </c>
      <c r="AL498" s="254"/>
      <c r="AQ498" s="215" t="str">
        <f t="shared" si="79"/>
        <v>NA</v>
      </c>
      <c r="AR498" s="215" t="str">
        <f t="shared" si="74"/>
        <v>NA</v>
      </c>
    </row>
    <row r="499" spans="2:44">
      <c r="B499" s="230">
        <v>43822</v>
      </c>
      <c r="C499" s="1">
        <v>222.65</v>
      </c>
      <c r="D499" s="1">
        <v>224.57595993322201</v>
      </c>
      <c r="E499" s="1">
        <v>599</v>
      </c>
      <c r="F499" s="215">
        <v>41642.660000000003</v>
      </c>
      <c r="G499" s="215">
        <f t="shared" si="75"/>
        <v>4.3751685308164312E-3</v>
      </c>
      <c r="H499" s="215">
        <f t="shared" si="70"/>
        <v>5.1918735891647305E-3</v>
      </c>
      <c r="I499" s="231">
        <v>134521</v>
      </c>
      <c r="K499" s="230">
        <v>43822</v>
      </c>
      <c r="L499" s="1">
        <v>215.35</v>
      </c>
      <c r="M499" s="1">
        <v>218.556227242196</v>
      </c>
      <c r="N499" s="1">
        <v>28287</v>
      </c>
      <c r="O499" s="1">
        <v>41642.660000000003</v>
      </c>
      <c r="P499" s="215">
        <f t="shared" si="76"/>
        <v>4.3751685308164312E-3</v>
      </c>
      <c r="Q499" s="215">
        <f t="shared" si="71"/>
        <v>-6.4590542099193238E-3</v>
      </c>
      <c r="R499" s="231">
        <v>6182300</v>
      </c>
      <c r="T499" s="230">
        <v>43822</v>
      </c>
      <c r="U499" s="1">
        <v>45.9</v>
      </c>
      <c r="V499" s="1">
        <v>46.6937206258551</v>
      </c>
      <c r="W499" s="1">
        <v>67236</v>
      </c>
      <c r="X499" s="1">
        <v>41642.660000000003</v>
      </c>
      <c r="Y499" s="215">
        <f t="shared" si="77"/>
        <v>4.3751685308164312E-3</v>
      </c>
      <c r="Z499" s="215">
        <f t="shared" si="72"/>
        <v>-1.0881392818281599E-3</v>
      </c>
      <c r="AA499" s="231">
        <v>3139499</v>
      </c>
      <c r="AC499" s="230">
        <v>43839</v>
      </c>
      <c r="AD499" s="1">
        <v>35.200000000000003</v>
      </c>
      <c r="AE499" s="1">
        <v>35.509136212624497</v>
      </c>
      <c r="AF499" s="1">
        <v>1204</v>
      </c>
      <c r="AG499" s="1">
        <v>41452.35</v>
      </c>
      <c r="AH499" s="215">
        <f t="shared" si="78"/>
        <v>-3.5425719211572559E-3</v>
      </c>
      <c r="AI499" s="215">
        <f t="shared" si="73"/>
        <v>2.7737226277372296E-2</v>
      </c>
      <c r="AJ499" s="231">
        <v>42753</v>
      </c>
      <c r="AL499" s="254"/>
      <c r="AQ499" s="215" t="str">
        <f t="shared" si="79"/>
        <v>NA</v>
      </c>
      <c r="AR499" s="215" t="str">
        <f t="shared" si="74"/>
        <v>NA</v>
      </c>
    </row>
    <row r="500" spans="2:44">
      <c r="B500" s="230">
        <v>43823</v>
      </c>
      <c r="C500" s="1">
        <v>221.5</v>
      </c>
      <c r="D500" s="1">
        <v>222.30917874396101</v>
      </c>
      <c r="E500" s="1">
        <v>207</v>
      </c>
      <c r="F500" s="215">
        <v>41461.26</v>
      </c>
      <c r="G500" s="215">
        <f t="shared" si="75"/>
        <v>7.2272309429459725E-3</v>
      </c>
      <c r="H500" s="215">
        <f t="shared" si="70"/>
        <v>-1.9911504424778736E-2</v>
      </c>
      <c r="I500" s="231">
        <v>46018</v>
      </c>
      <c r="K500" s="230">
        <v>43823</v>
      </c>
      <c r="L500" s="1">
        <v>216.75</v>
      </c>
      <c r="M500" s="1">
        <v>218.79345078934799</v>
      </c>
      <c r="N500" s="1">
        <v>27301</v>
      </c>
      <c r="O500" s="1">
        <v>41461.26</v>
      </c>
      <c r="P500" s="215">
        <f t="shared" si="76"/>
        <v>7.2272309429459725E-3</v>
      </c>
      <c r="Q500" s="215">
        <f t="shared" si="71"/>
        <v>-1.3427401001365413E-2</v>
      </c>
      <c r="R500" s="231">
        <v>5973280</v>
      </c>
      <c r="T500" s="230">
        <v>43823</v>
      </c>
      <c r="U500" s="1">
        <v>45.95</v>
      </c>
      <c r="V500" s="1">
        <v>46.037432219695603</v>
      </c>
      <c r="W500" s="1">
        <v>28585</v>
      </c>
      <c r="X500" s="1">
        <v>41461.26</v>
      </c>
      <c r="Y500" s="215">
        <f t="shared" si="77"/>
        <v>7.2272309429459725E-3</v>
      </c>
      <c r="Z500" s="215">
        <f t="shared" si="72"/>
        <v>-5.8401639344262235E-2</v>
      </c>
      <c r="AA500" s="231">
        <v>1315980</v>
      </c>
      <c r="AC500" s="230">
        <v>43840</v>
      </c>
      <c r="AD500" s="1">
        <v>34.25</v>
      </c>
      <c r="AE500" s="1">
        <v>33.844859813084099</v>
      </c>
      <c r="AF500" s="1">
        <v>535</v>
      </c>
      <c r="AG500" s="1">
        <v>41599.72</v>
      </c>
      <c r="AH500" s="215">
        <f t="shared" si="78"/>
        <v>-6.2105094423776652E-3</v>
      </c>
      <c r="AI500" s="215">
        <f t="shared" si="73"/>
        <v>-5.3867403314917239E-2</v>
      </c>
      <c r="AJ500" s="231">
        <v>18107</v>
      </c>
      <c r="AL500" s="254"/>
      <c r="AQ500" s="215" t="str">
        <f t="shared" si="79"/>
        <v>NA</v>
      </c>
      <c r="AR500" s="215" t="str">
        <f t="shared" si="74"/>
        <v>NA</v>
      </c>
    </row>
    <row r="501" spans="2:44">
      <c r="B501" s="230">
        <v>43825</v>
      </c>
      <c r="C501" s="1">
        <v>226</v>
      </c>
      <c r="D501" s="1">
        <v>222.461247637051</v>
      </c>
      <c r="E501" s="1">
        <v>529</v>
      </c>
      <c r="F501" s="215">
        <v>41163.760000000002</v>
      </c>
      <c r="G501" s="215">
        <f t="shared" si="75"/>
        <v>-9.894855435243155E-3</v>
      </c>
      <c r="H501" s="215">
        <f t="shared" si="70"/>
        <v>8.4783578759481948E-3</v>
      </c>
      <c r="I501" s="231">
        <v>117682</v>
      </c>
      <c r="K501" s="230">
        <v>43825</v>
      </c>
      <c r="L501" s="1">
        <v>219.7</v>
      </c>
      <c r="M501" s="1">
        <v>221.00797490562999</v>
      </c>
      <c r="N501" s="1">
        <v>18809</v>
      </c>
      <c r="O501" s="1">
        <v>41163.760000000002</v>
      </c>
      <c r="P501" s="215">
        <f t="shared" si="76"/>
        <v>-9.894855435243155E-3</v>
      </c>
      <c r="Q501" s="215">
        <f t="shared" si="71"/>
        <v>1.6423779782558379E-2</v>
      </c>
      <c r="R501" s="231">
        <v>4156939</v>
      </c>
      <c r="T501" s="230">
        <v>43825</v>
      </c>
      <c r="U501" s="1">
        <v>48.8</v>
      </c>
      <c r="V501" s="1">
        <v>48.258098065131101</v>
      </c>
      <c r="W501" s="1">
        <v>92306</v>
      </c>
      <c r="X501" s="1">
        <v>41163.760000000002</v>
      </c>
      <c r="Y501" s="215">
        <f t="shared" si="77"/>
        <v>-9.894855435243155E-3</v>
      </c>
      <c r="Z501" s="215">
        <f t="shared" si="72"/>
        <v>-6.109979633401319E-3</v>
      </c>
      <c r="AA501" s="231">
        <v>4454512</v>
      </c>
      <c r="AC501" s="230">
        <v>43843</v>
      </c>
      <c r="AD501" s="1">
        <v>36.200000000000003</v>
      </c>
      <c r="AE501" s="1">
        <v>36.3125</v>
      </c>
      <c r="AF501" s="1">
        <v>16</v>
      </c>
      <c r="AG501" s="1">
        <v>41859.69</v>
      </c>
      <c r="AH501" s="215">
        <f t="shared" si="78"/>
        <v>-2.2153557476609631E-3</v>
      </c>
      <c r="AI501" s="215">
        <f t="shared" si="73"/>
        <v>-8.2191780821917471E-3</v>
      </c>
      <c r="AJ501" s="231">
        <v>581</v>
      </c>
      <c r="AL501" s="254"/>
      <c r="AQ501" s="215" t="str">
        <f t="shared" si="79"/>
        <v>NA</v>
      </c>
      <c r="AR501" s="215" t="str">
        <f t="shared" si="74"/>
        <v>NA</v>
      </c>
    </row>
    <row r="502" spans="2:44">
      <c r="B502" s="230">
        <v>43826</v>
      </c>
      <c r="C502" s="1">
        <v>224.1</v>
      </c>
      <c r="D502" s="1">
        <v>226.622792937399</v>
      </c>
      <c r="E502" s="1">
        <v>623</v>
      </c>
      <c r="F502" s="215">
        <v>41575.14</v>
      </c>
      <c r="G502" s="215">
        <f t="shared" si="75"/>
        <v>4.1243563212867151E-4</v>
      </c>
      <c r="H502" s="215">
        <f t="shared" si="70"/>
        <v>-8.0238046378001249E-2</v>
      </c>
      <c r="I502" s="231">
        <v>141186</v>
      </c>
      <c r="K502" s="230">
        <v>43826</v>
      </c>
      <c r="L502" s="1">
        <v>216.15</v>
      </c>
      <c r="M502" s="1">
        <v>218.143532445208</v>
      </c>
      <c r="N502" s="1">
        <v>6981</v>
      </c>
      <c r="O502" s="1">
        <v>41575.14</v>
      </c>
      <c r="P502" s="215">
        <f t="shared" si="76"/>
        <v>4.1243563212867151E-4</v>
      </c>
      <c r="Q502" s="215">
        <f t="shared" si="71"/>
        <v>-1.8392370572206995E-2</v>
      </c>
      <c r="R502" s="231">
        <v>1522860</v>
      </c>
      <c r="T502" s="230">
        <v>43826</v>
      </c>
      <c r="U502" s="1">
        <v>49.1</v>
      </c>
      <c r="V502" s="1">
        <v>50.307648780487803</v>
      </c>
      <c r="W502" s="1">
        <v>51250</v>
      </c>
      <c r="X502" s="1">
        <v>41575.14</v>
      </c>
      <c r="Y502" s="215">
        <f t="shared" si="77"/>
        <v>4.1243563212867151E-4</v>
      </c>
      <c r="Z502" s="215">
        <f t="shared" si="72"/>
        <v>1.0288065843621297E-2</v>
      </c>
      <c r="AA502" s="231">
        <v>2578267</v>
      </c>
      <c r="AC502" s="230">
        <v>43844</v>
      </c>
      <c r="AD502" s="1">
        <v>36.5</v>
      </c>
      <c r="AE502" s="1">
        <v>36.178893178893098</v>
      </c>
      <c r="AF502" s="1">
        <v>777</v>
      </c>
      <c r="AG502" s="1">
        <v>41952.63</v>
      </c>
      <c r="AH502" s="215">
        <f t="shared" si="78"/>
        <v>1.9081631410227118E-3</v>
      </c>
      <c r="AI502" s="215">
        <f t="shared" si="73"/>
        <v>4.2857142857142927E-2</v>
      </c>
      <c r="AJ502" s="231">
        <v>28111</v>
      </c>
      <c r="AL502" s="254"/>
      <c r="AQ502" s="215" t="str">
        <f t="shared" si="79"/>
        <v>NA</v>
      </c>
      <c r="AR502" s="215" t="str">
        <f t="shared" si="74"/>
        <v>NA</v>
      </c>
    </row>
    <row r="503" spans="2:44">
      <c r="B503" s="230">
        <v>43829</v>
      </c>
      <c r="C503" s="1">
        <v>243.65</v>
      </c>
      <c r="D503" s="1">
        <v>239.45324427480901</v>
      </c>
      <c r="E503" s="1">
        <v>1048</v>
      </c>
      <c r="F503" s="215">
        <v>41558</v>
      </c>
      <c r="G503" s="215">
        <f t="shared" si="75"/>
        <v>7.3753313032951517E-3</v>
      </c>
      <c r="H503" s="215">
        <f t="shared" si="70"/>
        <v>-6.3964656165962364E-2</v>
      </c>
      <c r="I503" s="231">
        <v>250947</v>
      </c>
      <c r="K503" s="230">
        <v>43829</v>
      </c>
      <c r="L503" s="1">
        <v>220.2</v>
      </c>
      <c r="M503" s="1">
        <v>217.566646378575</v>
      </c>
      <c r="N503" s="1">
        <v>3286</v>
      </c>
      <c r="O503" s="1">
        <v>41558</v>
      </c>
      <c r="P503" s="215">
        <f t="shared" si="76"/>
        <v>7.3753313032951517E-3</v>
      </c>
      <c r="Q503" s="215">
        <f t="shared" si="71"/>
        <v>-5.0657469282172851E-2</v>
      </c>
      <c r="R503" s="231">
        <v>714924</v>
      </c>
      <c r="T503" s="230">
        <v>43829</v>
      </c>
      <c r="U503" s="1">
        <v>48.6</v>
      </c>
      <c r="V503" s="1">
        <v>48.393916534202603</v>
      </c>
      <c r="W503" s="1">
        <v>37117</v>
      </c>
      <c r="X503" s="1">
        <v>41558</v>
      </c>
      <c r="Y503" s="215">
        <f t="shared" si="77"/>
        <v>7.3753313032951517E-3</v>
      </c>
      <c r="Z503" s="215">
        <f t="shared" si="72"/>
        <v>-4.5186640471512662E-2</v>
      </c>
      <c r="AA503" s="231">
        <v>1796237</v>
      </c>
      <c r="AC503" s="230">
        <v>43845</v>
      </c>
      <c r="AD503" s="1">
        <v>35</v>
      </c>
      <c r="AE503" s="1">
        <v>35.510638297872298</v>
      </c>
      <c r="AF503" s="1">
        <v>141</v>
      </c>
      <c r="AG503" s="1">
        <v>41872.730000000003</v>
      </c>
      <c r="AH503" s="215">
        <f t="shared" si="78"/>
        <v>-1.426814866537951E-3</v>
      </c>
      <c r="AI503" s="215">
        <f t="shared" si="73"/>
        <v>4.0118870728083289E-2</v>
      </c>
      <c r="AJ503" s="231">
        <v>5007</v>
      </c>
      <c r="AL503" s="254"/>
      <c r="AQ503" s="215" t="str">
        <f t="shared" si="79"/>
        <v>NA</v>
      </c>
      <c r="AR503" s="215" t="str">
        <f t="shared" si="74"/>
        <v>NA</v>
      </c>
    </row>
    <row r="504" spans="2:44">
      <c r="B504" s="230">
        <v>43830</v>
      </c>
      <c r="C504" s="1">
        <v>260.3</v>
      </c>
      <c r="D504" s="1">
        <v>261.48716707021703</v>
      </c>
      <c r="E504" s="1">
        <v>2065</v>
      </c>
      <c r="F504" s="215">
        <v>41253.74</v>
      </c>
      <c r="G504" s="215">
        <f t="shared" si="75"/>
        <v>-1.2656750759332258E-3</v>
      </c>
      <c r="H504" s="215">
        <f t="shared" si="70"/>
        <v>-1.0077961589655793E-2</v>
      </c>
      <c r="I504" s="231">
        <v>539971</v>
      </c>
      <c r="K504" s="230">
        <v>43830</v>
      </c>
      <c r="L504" s="1">
        <v>231.95</v>
      </c>
      <c r="M504" s="1">
        <v>235.32460069546701</v>
      </c>
      <c r="N504" s="1">
        <v>33934</v>
      </c>
      <c r="O504" s="1">
        <v>41253.74</v>
      </c>
      <c r="P504" s="215">
        <f t="shared" si="76"/>
        <v>-1.2656750759332258E-3</v>
      </c>
      <c r="Q504" s="215">
        <f t="shared" si="71"/>
        <v>-2.1927050390048608E-2</v>
      </c>
      <c r="R504" s="231">
        <v>7985505</v>
      </c>
      <c r="T504" s="230">
        <v>43830</v>
      </c>
      <c r="U504" s="1">
        <v>50.9</v>
      </c>
      <c r="V504" s="1">
        <v>50.778731288702502</v>
      </c>
      <c r="W504" s="1">
        <v>82036</v>
      </c>
      <c r="X504" s="1">
        <v>41253.74</v>
      </c>
      <c r="Y504" s="215">
        <f t="shared" si="77"/>
        <v>-1.2656750759332258E-3</v>
      </c>
      <c r="Z504" s="215">
        <f t="shared" si="72"/>
        <v>0</v>
      </c>
      <c r="AA504" s="231">
        <v>4165684</v>
      </c>
      <c r="AC504" s="230">
        <v>43846</v>
      </c>
      <c r="AD504" s="1">
        <v>33.65</v>
      </c>
      <c r="AE504" s="1">
        <v>33.647058823529399</v>
      </c>
      <c r="AF504" s="1">
        <v>901</v>
      </c>
      <c r="AG504" s="1">
        <v>41932.559999999998</v>
      </c>
      <c r="AH504" s="215">
        <f t="shared" si="78"/>
        <v>-3.0539723454592327E-4</v>
      </c>
      <c r="AI504" s="215">
        <f t="shared" si="73"/>
        <v>-6.1366806136680663E-2</v>
      </c>
      <c r="AJ504" s="231">
        <v>30316</v>
      </c>
      <c r="AL504" s="254"/>
      <c r="AQ504" s="215" t="str">
        <f t="shared" si="79"/>
        <v>NA</v>
      </c>
      <c r="AR504" s="215" t="str">
        <f t="shared" si="74"/>
        <v>NA</v>
      </c>
    </row>
    <row r="505" spans="2:44">
      <c r="B505" s="230">
        <v>43831</v>
      </c>
      <c r="C505" s="1">
        <v>262.95</v>
      </c>
      <c r="D505" s="1">
        <v>264.09815950920199</v>
      </c>
      <c r="E505" s="1">
        <v>489</v>
      </c>
      <c r="F505" s="215">
        <v>41306.019999999997</v>
      </c>
      <c r="G505" s="215">
        <f t="shared" si="75"/>
        <v>-7.7022791174113925E-3</v>
      </c>
      <c r="H505" s="215">
        <f t="shared" si="70"/>
        <v>-8.9980965564976589E-2</v>
      </c>
      <c r="I505" s="231">
        <v>129144</v>
      </c>
      <c r="K505" s="230">
        <v>43831</v>
      </c>
      <c r="L505" s="1">
        <v>237.15</v>
      </c>
      <c r="M505" s="1">
        <v>236.32629266644099</v>
      </c>
      <c r="N505" s="1">
        <v>17754</v>
      </c>
      <c r="O505" s="1">
        <v>41306.019999999997</v>
      </c>
      <c r="P505" s="215">
        <f t="shared" si="76"/>
        <v>-7.7022791174113925E-3</v>
      </c>
      <c r="Q505" s="215">
        <f t="shared" si="71"/>
        <v>-7.7775617343962544E-2</v>
      </c>
      <c r="R505" s="231">
        <v>4195737</v>
      </c>
      <c r="T505" s="230">
        <v>43831</v>
      </c>
      <c r="U505" s="1">
        <v>50.9</v>
      </c>
      <c r="V505" s="1">
        <v>51.3960654250644</v>
      </c>
      <c r="W505" s="1">
        <v>35277</v>
      </c>
      <c r="X505" s="1">
        <v>41306.019999999997</v>
      </c>
      <c r="Y505" s="215">
        <f t="shared" si="77"/>
        <v>-7.7022791174113925E-3</v>
      </c>
      <c r="Z505" s="215">
        <f t="shared" si="72"/>
        <v>-0.15448504983388711</v>
      </c>
      <c r="AA505" s="231">
        <v>1813099</v>
      </c>
      <c r="AC505" s="230">
        <v>43847</v>
      </c>
      <c r="AD505" s="1">
        <v>35.85</v>
      </c>
      <c r="AE505" s="1">
        <v>34.9625652040503</v>
      </c>
      <c r="AF505" s="1">
        <v>3259</v>
      </c>
      <c r="AG505" s="1">
        <v>41945.37</v>
      </c>
      <c r="AH505" s="215">
        <f t="shared" si="78"/>
        <v>1.0028194816574798E-2</v>
      </c>
      <c r="AI505" s="215">
        <f t="shared" si="73"/>
        <v>8.3081570996978771E-2</v>
      </c>
      <c r="AJ505" s="231">
        <v>113943</v>
      </c>
      <c r="AL505" s="254"/>
      <c r="AQ505" s="215" t="str">
        <f t="shared" si="79"/>
        <v>NA</v>
      </c>
      <c r="AR505" s="215" t="str">
        <f t="shared" si="74"/>
        <v>NA</v>
      </c>
    </row>
    <row r="506" spans="2:44">
      <c r="B506" s="230">
        <v>43832</v>
      </c>
      <c r="C506" s="1">
        <v>288.95</v>
      </c>
      <c r="D506" s="1">
        <v>285.19214372716101</v>
      </c>
      <c r="E506" s="1">
        <v>3284</v>
      </c>
      <c r="F506" s="215">
        <v>41626.639999999999</v>
      </c>
      <c r="G506" s="215">
        <f t="shared" si="75"/>
        <v>3.9076696971223068E-3</v>
      </c>
      <c r="H506" s="215">
        <f t="shared" si="70"/>
        <v>1.4215514215514258E-2</v>
      </c>
      <c r="I506" s="231">
        <v>936571</v>
      </c>
      <c r="K506" s="230">
        <v>43832</v>
      </c>
      <c r="L506" s="1">
        <v>257.14999999999998</v>
      </c>
      <c r="M506" s="1">
        <v>257.39814591861301</v>
      </c>
      <c r="N506" s="1">
        <v>66448</v>
      </c>
      <c r="O506" s="1">
        <v>41626.639999999999</v>
      </c>
      <c r="P506" s="215">
        <f t="shared" si="76"/>
        <v>3.9076696971223068E-3</v>
      </c>
      <c r="Q506" s="215">
        <f t="shared" si="71"/>
        <v>1.0809748427672794E-2</v>
      </c>
      <c r="R506" s="231">
        <v>17103592</v>
      </c>
      <c r="T506" s="230">
        <v>43832</v>
      </c>
      <c r="U506" s="1">
        <v>60.2</v>
      </c>
      <c r="V506" s="1">
        <v>58.677969311849701</v>
      </c>
      <c r="W506" s="1">
        <v>728620</v>
      </c>
      <c r="X506" s="1">
        <v>41626.639999999999</v>
      </c>
      <c r="Y506" s="215">
        <f t="shared" si="77"/>
        <v>3.9076696971223068E-3</v>
      </c>
      <c r="Z506" s="215">
        <f t="shared" si="72"/>
        <v>4.8780487804878092E-2</v>
      </c>
      <c r="AA506" s="231">
        <v>42753942</v>
      </c>
      <c r="AC506" s="230">
        <v>43850</v>
      </c>
      <c r="AD506" s="1">
        <v>33.1</v>
      </c>
      <c r="AE506" s="1">
        <v>33.477164044632303</v>
      </c>
      <c r="AF506" s="1">
        <v>14429</v>
      </c>
      <c r="AG506" s="1">
        <v>41528.910000000003</v>
      </c>
      <c r="AH506" s="215">
        <f t="shared" si="78"/>
        <v>4.9632403207739983E-3</v>
      </c>
      <c r="AI506" s="215">
        <f t="shared" si="73"/>
        <v>-4.5112781954886882E-3</v>
      </c>
      <c r="AJ506" s="231">
        <v>483042</v>
      </c>
      <c r="AL506" s="254"/>
      <c r="AQ506" s="215" t="str">
        <f t="shared" si="79"/>
        <v>NA</v>
      </c>
      <c r="AR506" s="215" t="str">
        <f t="shared" si="74"/>
        <v>NA</v>
      </c>
    </row>
    <row r="507" spans="2:44">
      <c r="B507" s="230">
        <v>43833</v>
      </c>
      <c r="C507" s="1">
        <v>284.89999999999998</v>
      </c>
      <c r="D507" s="1">
        <v>286.10559006211099</v>
      </c>
      <c r="E507" s="1">
        <v>805</v>
      </c>
      <c r="F507" s="215">
        <v>41464.61</v>
      </c>
      <c r="G507" s="215">
        <f t="shared" si="75"/>
        <v>1.9371811283284801E-2</v>
      </c>
      <c r="H507" s="215">
        <f t="shared" si="70"/>
        <v>3.5811670605344403E-2</v>
      </c>
      <c r="I507" s="231">
        <v>230315</v>
      </c>
      <c r="K507" s="230">
        <v>43833</v>
      </c>
      <c r="L507" s="1">
        <v>254.4</v>
      </c>
      <c r="M507" s="1">
        <v>259.30081743869198</v>
      </c>
      <c r="N507" s="1">
        <v>29360</v>
      </c>
      <c r="O507" s="1">
        <v>41464.61</v>
      </c>
      <c r="P507" s="215">
        <f t="shared" si="76"/>
        <v>1.9371811283284801E-2</v>
      </c>
      <c r="Q507" s="215">
        <f t="shared" si="71"/>
        <v>7.0707070707070718E-2</v>
      </c>
      <c r="R507" s="231">
        <v>7613072</v>
      </c>
      <c r="T507" s="230">
        <v>43833</v>
      </c>
      <c r="U507" s="1">
        <v>57.4</v>
      </c>
      <c r="V507" s="1">
        <v>61.089303100053797</v>
      </c>
      <c r="W507" s="1">
        <v>510475</v>
      </c>
      <c r="X507" s="1">
        <v>41464.61</v>
      </c>
      <c r="Y507" s="215">
        <f t="shared" si="77"/>
        <v>1.9371811283284801E-2</v>
      </c>
      <c r="Z507" s="215">
        <f t="shared" si="72"/>
        <v>8.3018867924528283E-2</v>
      </c>
      <c r="AA507" s="231">
        <v>31184562</v>
      </c>
      <c r="AC507" s="230">
        <v>43851</v>
      </c>
      <c r="AD507" s="1">
        <v>33.25</v>
      </c>
      <c r="AE507" s="1">
        <v>33.3039441248972</v>
      </c>
      <c r="AF507" s="1">
        <v>12170</v>
      </c>
      <c r="AG507" s="1">
        <v>41323.81</v>
      </c>
      <c r="AH507" s="215">
        <f t="shared" si="78"/>
        <v>5.0693925241600546E-3</v>
      </c>
      <c r="AI507" s="215">
        <f t="shared" si="73"/>
        <v>1.6819571865443361E-2</v>
      </c>
      <c r="AJ507" s="231">
        <v>405309</v>
      </c>
      <c r="AL507" s="254"/>
      <c r="AQ507" s="215" t="str">
        <f t="shared" si="79"/>
        <v>NA</v>
      </c>
      <c r="AR507" s="215" t="str">
        <f t="shared" si="74"/>
        <v>NA</v>
      </c>
    </row>
    <row r="508" spans="2:44">
      <c r="B508" s="230">
        <v>43836</v>
      </c>
      <c r="C508" s="1">
        <v>275.05</v>
      </c>
      <c r="D508" s="1">
        <v>273.238938053097</v>
      </c>
      <c r="E508" s="1">
        <v>678</v>
      </c>
      <c r="F508" s="215">
        <v>40676.629999999997</v>
      </c>
      <c r="G508" s="215">
        <f t="shared" si="75"/>
        <v>-4.7184365248681415E-3</v>
      </c>
      <c r="H508" s="215">
        <f t="shared" si="70"/>
        <v>-1.9779044903777687E-2</v>
      </c>
      <c r="I508" s="231">
        <v>185256</v>
      </c>
      <c r="K508" s="230">
        <v>43836</v>
      </c>
      <c r="L508" s="1">
        <v>237.6</v>
      </c>
      <c r="M508" s="1">
        <v>241.41467547873199</v>
      </c>
      <c r="N508" s="1">
        <v>17703</v>
      </c>
      <c r="O508" s="1">
        <v>40676.629999999997</v>
      </c>
      <c r="P508" s="215">
        <f t="shared" si="76"/>
        <v>-4.7184365248681415E-3</v>
      </c>
      <c r="Q508" s="215">
        <f t="shared" si="71"/>
        <v>-4.2707493956486653E-2</v>
      </c>
      <c r="R508" s="231">
        <v>4273764</v>
      </c>
      <c r="T508" s="230">
        <v>43836</v>
      </c>
      <c r="U508" s="1">
        <v>53</v>
      </c>
      <c r="V508" s="1">
        <v>54.025116929267497</v>
      </c>
      <c r="W508" s="1">
        <v>153084</v>
      </c>
      <c r="X508" s="1">
        <v>40676.629999999997</v>
      </c>
      <c r="Y508" s="215">
        <f t="shared" si="77"/>
        <v>-4.7184365248681415E-3</v>
      </c>
      <c r="Z508" s="215">
        <f t="shared" si="72"/>
        <v>-4.6762589928057596E-2</v>
      </c>
      <c r="AA508" s="231">
        <v>8270381</v>
      </c>
      <c r="AC508" s="230">
        <v>43852</v>
      </c>
      <c r="AD508" s="1">
        <v>32.700000000000003</v>
      </c>
      <c r="AE508" s="1">
        <v>33.012070916635203</v>
      </c>
      <c r="AF508" s="1">
        <v>5302</v>
      </c>
      <c r="AG508" s="1">
        <v>41115.379999999997</v>
      </c>
      <c r="AH508" s="215">
        <f t="shared" si="78"/>
        <v>-6.5485280188661843E-3</v>
      </c>
      <c r="AI508" s="215">
        <f t="shared" si="73"/>
        <v>1.3953488372093092E-2</v>
      </c>
      <c r="AJ508" s="231">
        <v>175030</v>
      </c>
      <c r="AL508" s="254"/>
      <c r="AQ508" s="215" t="str">
        <f t="shared" si="79"/>
        <v>NA</v>
      </c>
      <c r="AR508" s="215" t="str">
        <f t="shared" si="74"/>
        <v>NA</v>
      </c>
    </row>
    <row r="509" spans="2:44">
      <c r="B509" s="230">
        <v>43837</v>
      </c>
      <c r="C509" s="1">
        <v>280.60000000000002</v>
      </c>
      <c r="D509" s="1">
        <v>282.85028248587503</v>
      </c>
      <c r="E509" s="1">
        <v>1062</v>
      </c>
      <c r="F509" s="215">
        <v>40869.47</v>
      </c>
      <c r="G509" s="215">
        <f t="shared" si="75"/>
        <v>1.2673411119774602E-3</v>
      </c>
      <c r="H509" s="215">
        <f t="shared" si="70"/>
        <v>1.9066642455057181E-2</v>
      </c>
      <c r="I509" s="231">
        <v>300387</v>
      </c>
      <c r="K509" s="230">
        <v>43837</v>
      </c>
      <c r="L509" s="1">
        <v>248.2</v>
      </c>
      <c r="M509" s="1">
        <v>250.67748863062101</v>
      </c>
      <c r="N509" s="1">
        <v>15832</v>
      </c>
      <c r="O509" s="1">
        <v>40869.47</v>
      </c>
      <c r="P509" s="215">
        <f t="shared" si="76"/>
        <v>1.2673411119774602E-3</v>
      </c>
      <c r="Q509" s="215">
        <f t="shared" si="71"/>
        <v>1.9092588790802667E-2</v>
      </c>
      <c r="R509" s="231">
        <v>3968726</v>
      </c>
      <c r="T509" s="230">
        <v>43837</v>
      </c>
      <c r="U509" s="1">
        <v>55.6</v>
      </c>
      <c r="V509" s="1">
        <v>55.333070336549603</v>
      </c>
      <c r="W509" s="1">
        <v>231942</v>
      </c>
      <c r="X509" s="1">
        <v>40869.47</v>
      </c>
      <c r="Y509" s="215">
        <f t="shared" si="77"/>
        <v>1.2673411119774602E-3</v>
      </c>
      <c r="Z509" s="215">
        <f t="shared" si="72"/>
        <v>7.2463768115942351E-3</v>
      </c>
      <c r="AA509" s="231">
        <v>12834063</v>
      </c>
      <c r="AC509" s="230">
        <v>43853</v>
      </c>
      <c r="AD509" s="1">
        <v>32.25</v>
      </c>
      <c r="AE509" s="1">
        <v>32.361842105263101</v>
      </c>
      <c r="AF509" s="1">
        <v>760</v>
      </c>
      <c r="AG509" s="1">
        <v>41386.400000000001</v>
      </c>
      <c r="AH509" s="215">
        <f t="shared" si="78"/>
        <v>-5.449954689847103E-3</v>
      </c>
      <c r="AI509" s="215">
        <f t="shared" si="73"/>
        <v>-6.1633281972265364E-3</v>
      </c>
      <c r="AJ509" s="231">
        <v>24595</v>
      </c>
      <c r="AL509" s="254"/>
      <c r="AQ509" s="215" t="str">
        <f t="shared" si="79"/>
        <v>NA</v>
      </c>
      <c r="AR509" s="215" t="str">
        <f t="shared" si="74"/>
        <v>NA</v>
      </c>
    </row>
    <row r="510" spans="2:44">
      <c r="B510" s="230">
        <v>43838</v>
      </c>
      <c r="C510" s="1">
        <v>275.35000000000002</v>
      </c>
      <c r="D510" s="1">
        <v>275.35646687697101</v>
      </c>
      <c r="E510" s="1">
        <v>951</v>
      </c>
      <c r="F510" s="215">
        <v>40817.74</v>
      </c>
      <c r="G510" s="215">
        <f t="shared" si="75"/>
        <v>-1.530938535450943E-2</v>
      </c>
      <c r="H510" s="215">
        <f t="shared" si="70"/>
        <v>-3.5382729024347359E-2</v>
      </c>
      <c r="I510" s="231">
        <v>261864</v>
      </c>
      <c r="K510" s="230">
        <v>43838</v>
      </c>
      <c r="L510" s="1">
        <v>243.55</v>
      </c>
      <c r="M510" s="1">
        <v>245.986419128801</v>
      </c>
      <c r="N510" s="1">
        <v>13843</v>
      </c>
      <c r="O510" s="1">
        <v>40817.74</v>
      </c>
      <c r="P510" s="215">
        <f t="shared" si="76"/>
        <v>-1.530938535450943E-2</v>
      </c>
      <c r="Q510" s="215">
        <f t="shared" si="71"/>
        <v>-2.541016406562624E-2</v>
      </c>
      <c r="R510" s="231">
        <v>3405190</v>
      </c>
      <c r="T510" s="230">
        <v>43838</v>
      </c>
      <c r="U510" s="1">
        <v>55.2</v>
      </c>
      <c r="V510" s="1">
        <v>55.192810457516302</v>
      </c>
      <c r="W510" s="1">
        <v>70686</v>
      </c>
      <c r="X510" s="1">
        <v>40817.74</v>
      </c>
      <c r="Y510" s="215">
        <f t="shared" si="77"/>
        <v>-1.530938535450943E-2</v>
      </c>
      <c r="Z510" s="215">
        <f t="shared" si="72"/>
        <v>-2.987697715289972E-2</v>
      </c>
      <c r="AA510" s="231">
        <v>3901359</v>
      </c>
      <c r="AC510" s="230">
        <v>43854</v>
      </c>
      <c r="AD510" s="1">
        <v>32.450000000000003</v>
      </c>
      <c r="AE510" s="1">
        <v>32.306796116504799</v>
      </c>
      <c r="AF510" s="1">
        <v>4120</v>
      </c>
      <c r="AG510" s="1">
        <v>41613.19</v>
      </c>
      <c r="AH510" s="215">
        <f t="shared" si="78"/>
        <v>1.1130328377125354E-2</v>
      </c>
      <c r="AI510" s="215">
        <f t="shared" si="73"/>
        <v>3.1796502384737746E-2</v>
      </c>
      <c r="AJ510" s="231">
        <v>133104</v>
      </c>
      <c r="AL510" s="254"/>
      <c r="AQ510" s="215" t="str">
        <f t="shared" si="79"/>
        <v>NA</v>
      </c>
      <c r="AR510" s="215" t="str">
        <f t="shared" si="74"/>
        <v>NA</v>
      </c>
    </row>
    <row r="511" spans="2:44">
      <c r="B511" s="230">
        <v>43839</v>
      </c>
      <c r="C511" s="1">
        <v>285.45</v>
      </c>
      <c r="D511" s="1">
        <v>286.248587570621</v>
      </c>
      <c r="E511" s="1">
        <v>885</v>
      </c>
      <c r="F511" s="215">
        <v>41452.35</v>
      </c>
      <c r="G511" s="215">
        <f t="shared" si="75"/>
        <v>-3.5425719211572559E-3</v>
      </c>
      <c r="H511" s="215">
        <f t="shared" si="70"/>
        <v>5.2576235541534899E-4</v>
      </c>
      <c r="I511" s="231">
        <v>253330</v>
      </c>
      <c r="K511" s="230">
        <v>43839</v>
      </c>
      <c r="L511" s="1">
        <v>249.9</v>
      </c>
      <c r="M511" s="1">
        <v>252.169245966414</v>
      </c>
      <c r="N511" s="1">
        <v>9111</v>
      </c>
      <c r="O511" s="1">
        <v>41452.35</v>
      </c>
      <c r="P511" s="215">
        <f t="shared" si="76"/>
        <v>-3.5425719211572559E-3</v>
      </c>
      <c r="Q511" s="215">
        <f t="shared" si="71"/>
        <v>1.3176565984188038E-2</v>
      </c>
      <c r="R511" s="231">
        <v>2297514</v>
      </c>
      <c r="T511" s="230">
        <v>43839</v>
      </c>
      <c r="U511" s="1">
        <v>56.9</v>
      </c>
      <c r="V511" s="1">
        <v>57.032679381983201</v>
      </c>
      <c r="W511" s="1">
        <v>91648</v>
      </c>
      <c r="X511" s="1">
        <v>41452.35</v>
      </c>
      <c r="Y511" s="215">
        <f t="shared" si="77"/>
        <v>-3.5425719211572559E-3</v>
      </c>
      <c r="Z511" s="215">
        <f t="shared" si="72"/>
        <v>-3.2312925170068008E-2</v>
      </c>
      <c r="AA511" s="231">
        <v>5226931</v>
      </c>
      <c r="AC511" s="230">
        <v>43857</v>
      </c>
      <c r="AD511" s="1">
        <v>31.45</v>
      </c>
      <c r="AE511" s="1">
        <v>31.375429975429899</v>
      </c>
      <c r="AF511" s="1">
        <v>2035</v>
      </c>
      <c r="AG511" s="1">
        <v>41155.120000000003</v>
      </c>
      <c r="AH511" s="215">
        <f t="shared" si="78"/>
        <v>4.5954217628592087E-3</v>
      </c>
      <c r="AI511" s="215">
        <f t="shared" si="73"/>
        <v>4.8333333333333339E-2</v>
      </c>
      <c r="AJ511" s="231">
        <v>63849</v>
      </c>
      <c r="AL511" s="254"/>
      <c r="AQ511" s="215" t="str">
        <f t="shared" si="79"/>
        <v>NA</v>
      </c>
      <c r="AR511" s="215" t="str">
        <f t="shared" si="74"/>
        <v>NA</v>
      </c>
    </row>
    <row r="512" spans="2:44">
      <c r="B512" s="230">
        <v>43840</v>
      </c>
      <c r="C512" s="1">
        <v>285.3</v>
      </c>
      <c r="D512" s="1">
        <v>288.17315573770401</v>
      </c>
      <c r="E512" s="1">
        <v>976</v>
      </c>
      <c r="F512" s="215">
        <v>41599.72</v>
      </c>
      <c r="G512" s="215">
        <f t="shared" si="75"/>
        <v>-6.2105094423776652E-3</v>
      </c>
      <c r="H512" s="215">
        <f t="shared" si="70"/>
        <v>-2.9261653623681383E-2</v>
      </c>
      <c r="I512" s="231">
        <v>281257</v>
      </c>
      <c r="K512" s="230">
        <v>43840</v>
      </c>
      <c r="L512" s="1">
        <v>246.65</v>
      </c>
      <c r="M512" s="1">
        <v>251.23978675645299</v>
      </c>
      <c r="N512" s="1">
        <v>17820</v>
      </c>
      <c r="O512" s="1">
        <v>41599.72</v>
      </c>
      <c r="P512" s="215">
        <f t="shared" si="76"/>
        <v>-6.2105094423776652E-3</v>
      </c>
      <c r="Q512" s="215">
        <f t="shared" si="71"/>
        <v>-3.8368336025847993E-3</v>
      </c>
      <c r="R512" s="231">
        <v>4477093</v>
      </c>
      <c r="T512" s="230">
        <v>43840</v>
      </c>
      <c r="U512" s="1">
        <v>58.8</v>
      </c>
      <c r="V512" s="1">
        <v>59.519901489386598</v>
      </c>
      <c r="W512" s="1">
        <v>85270</v>
      </c>
      <c r="X512" s="1">
        <v>41599.72</v>
      </c>
      <c r="Y512" s="215">
        <f t="shared" si="77"/>
        <v>-6.2105094423776652E-3</v>
      </c>
      <c r="Z512" s="215">
        <f t="shared" si="72"/>
        <v>-3.8430089942763757E-2</v>
      </c>
      <c r="AA512" s="231">
        <v>5075262</v>
      </c>
      <c r="AC512" s="230">
        <v>43858</v>
      </c>
      <c r="AD512" s="1">
        <v>30</v>
      </c>
      <c r="AE512" s="1">
        <v>30.530973451327402</v>
      </c>
      <c r="AF512" s="1">
        <v>1130</v>
      </c>
      <c r="AG512" s="1">
        <v>40966.86</v>
      </c>
      <c r="AH512" s="215">
        <f t="shared" si="78"/>
        <v>-5.6263965866851784E-3</v>
      </c>
      <c r="AI512" s="215">
        <f t="shared" si="73"/>
        <v>-1.1532125205930832E-2</v>
      </c>
      <c r="AJ512" s="231">
        <v>34500</v>
      </c>
      <c r="AL512" s="254"/>
      <c r="AQ512" s="215" t="str">
        <f t="shared" si="79"/>
        <v>NA</v>
      </c>
      <c r="AR512" s="215" t="str">
        <f t="shared" si="74"/>
        <v>NA</v>
      </c>
    </row>
    <row r="513" spans="2:44">
      <c r="B513" s="230">
        <v>43843</v>
      </c>
      <c r="C513" s="1">
        <v>293.89999999999998</v>
      </c>
      <c r="D513" s="1">
        <v>290.06408345752601</v>
      </c>
      <c r="E513" s="1">
        <v>671</v>
      </c>
      <c r="F513" s="215">
        <v>41859.69</v>
      </c>
      <c r="G513" s="215">
        <f t="shared" si="75"/>
        <v>-2.2153557476609631E-3</v>
      </c>
      <c r="H513" s="215">
        <f t="shared" si="70"/>
        <v>1.021798365122395E-3</v>
      </c>
      <c r="I513" s="231">
        <v>194633</v>
      </c>
      <c r="K513" s="230">
        <v>43843</v>
      </c>
      <c r="L513" s="1">
        <v>247.6</v>
      </c>
      <c r="M513" s="1">
        <v>247.92617094469401</v>
      </c>
      <c r="N513" s="1">
        <v>7558</v>
      </c>
      <c r="O513" s="1">
        <v>41859.69</v>
      </c>
      <c r="P513" s="215">
        <f t="shared" si="76"/>
        <v>-2.2153557476609631E-3</v>
      </c>
      <c r="Q513" s="215">
        <f t="shared" si="71"/>
        <v>-3.2206119162641045E-3</v>
      </c>
      <c r="R513" s="231">
        <v>1873826</v>
      </c>
      <c r="T513" s="230">
        <v>43843</v>
      </c>
      <c r="U513" s="1">
        <v>61.15</v>
      </c>
      <c r="V513" s="1">
        <v>60.738890772371498</v>
      </c>
      <c r="W513" s="1">
        <v>409997</v>
      </c>
      <c r="X513" s="1">
        <v>41859.69</v>
      </c>
      <c r="Y513" s="215">
        <f t="shared" si="77"/>
        <v>-2.2153557476609631E-3</v>
      </c>
      <c r="Z513" s="215">
        <f t="shared" si="72"/>
        <v>1.6380016380017626E-3</v>
      </c>
      <c r="AA513" s="231">
        <v>24902763</v>
      </c>
      <c r="AC513" s="230">
        <v>43859</v>
      </c>
      <c r="AD513" s="1">
        <v>30.35</v>
      </c>
      <c r="AE513" s="1">
        <v>30.2885572139303</v>
      </c>
      <c r="AF513" s="1">
        <v>2211</v>
      </c>
      <c r="AG513" s="1">
        <v>41198.660000000003</v>
      </c>
      <c r="AH513" s="215">
        <f t="shared" si="78"/>
        <v>6.9619507540483738E-3</v>
      </c>
      <c r="AI513" s="215">
        <f t="shared" si="73"/>
        <v>4.4750430292598953E-2</v>
      </c>
      <c r="AJ513" s="231">
        <v>66968</v>
      </c>
      <c r="AL513" s="254"/>
      <c r="AQ513" s="215" t="str">
        <f t="shared" si="79"/>
        <v>NA</v>
      </c>
      <c r="AR513" s="215" t="str">
        <f t="shared" si="74"/>
        <v>NA</v>
      </c>
    </row>
    <row r="514" spans="2:44">
      <c r="B514" s="230">
        <v>43844</v>
      </c>
      <c r="C514" s="1">
        <v>293.60000000000002</v>
      </c>
      <c r="D514" s="1">
        <v>293.76040061633199</v>
      </c>
      <c r="E514" s="1">
        <v>1298</v>
      </c>
      <c r="F514" s="215">
        <v>41952.63</v>
      </c>
      <c r="G514" s="215">
        <f t="shared" si="75"/>
        <v>1.9081631410227118E-3</v>
      </c>
      <c r="H514" s="215">
        <f t="shared" si="70"/>
        <v>-9.9477322542572688E-3</v>
      </c>
      <c r="I514" s="231">
        <v>381301</v>
      </c>
      <c r="K514" s="230">
        <v>43844</v>
      </c>
      <c r="L514" s="1">
        <v>248.4</v>
      </c>
      <c r="M514" s="1">
        <v>251.12240127937</v>
      </c>
      <c r="N514" s="1">
        <v>8129</v>
      </c>
      <c r="O514" s="1">
        <v>41952.63</v>
      </c>
      <c r="P514" s="215">
        <f t="shared" si="76"/>
        <v>1.9081631410227118E-3</v>
      </c>
      <c r="Q514" s="215">
        <f t="shared" si="71"/>
        <v>4.2449969678592936E-3</v>
      </c>
      <c r="R514" s="231">
        <v>2041374</v>
      </c>
      <c r="T514" s="230">
        <v>43844</v>
      </c>
      <c r="U514" s="1">
        <v>61.05</v>
      </c>
      <c r="V514" s="1">
        <v>61.613667351427999</v>
      </c>
      <c r="W514" s="1">
        <v>55007</v>
      </c>
      <c r="X514" s="1">
        <v>41952.63</v>
      </c>
      <c r="Y514" s="215">
        <f t="shared" si="77"/>
        <v>1.9081631410227118E-3</v>
      </c>
      <c r="Z514" s="215">
        <f t="shared" si="72"/>
        <v>-1.6908212560386549E-2</v>
      </c>
      <c r="AA514" s="231">
        <v>3389183</v>
      </c>
      <c r="AC514" s="230">
        <v>43860</v>
      </c>
      <c r="AD514" s="1">
        <v>29.05</v>
      </c>
      <c r="AE514" s="1">
        <v>29.2006578947368</v>
      </c>
      <c r="AF514" s="1">
        <v>304</v>
      </c>
      <c r="AG514" s="1">
        <v>40913.82</v>
      </c>
      <c r="AH514" s="215">
        <f t="shared" si="78"/>
        <v>4.6737153421771982E-3</v>
      </c>
      <c r="AI514" s="215">
        <f t="shared" si="73"/>
        <v>1.7241379310344307E-3</v>
      </c>
      <c r="AJ514" s="231">
        <v>8877</v>
      </c>
      <c r="AL514" s="254"/>
      <c r="AQ514" s="215" t="str">
        <f t="shared" si="79"/>
        <v>NA</v>
      </c>
      <c r="AR514" s="215" t="str">
        <f t="shared" si="74"/>
        <v>NA</v>
      </c>
    </row>
    <row r="515" spans="2:44">
      <c r="B515" s="230">
        <v>43845</v>
      </c>
      <c r="C515" s="1">
        <v>296.55</v>
      </c>
      <c r="D515" s="1">
        <v>298.61306532663298</v>
      </c>
      <c r="E515" s="1">
        <v>1194</v>
      </c>
      <c r="F515" s="215">
        <v>41872.730000000003</v>
      </c>
      <c r="G515" s="215">
        <f t="shared" si="75"/>
        <v>-1.426814866537951E-3</v>
      </c>
      <c r="H515" s="215">
        <f t="shared" si="70"/>
        <v>-2.3542970036219857E-2</v>
      </c>
      <c r="I515" s="231">
        <v>356544</v>
      </c>
      <c r="K515" s="230">
        <v>43845</v>
      </c>
      <c r="L515" s="1">
        <v>247.35</v>
      </c>
      <c r="M515" s="1">
        <v>248.12756061355699</v>
      </c>
      <c r="N515" s="1">
        <v>10105</v>
      </c>
      <c r="O515" s="1">
        <v>41872.730000000003</v>
      </c>
      <c r="P515" s="215">
        <f t="shared" si="76"/>
        <v>-1.426814866537951E-3</v>
      </c>
      <c r="Q515" s="215">
        <f t="shared" si="71"/>
        <v>6.9204152249133788E-3</v>
      </c>
      <c r="R515" s="231">
        <v>2507329</v>
      </c>
      <c r="T515" s="230">
        <v>43845</v>
      </c>
      <c r="U515" s="1">
        <v>62.1</v>
      </c>
      <c r="V515" s="1">
        <v>61.322444450224097</v>
      </c>
      <c r="W515" s="1">
        <v>115347</v>
      </c>
      <c r="X515" s="1">
        <v>41872.730000000003</v>
      </c>
      <c r="Y515" s="215">
        <f t="shared" si="77"/>
        <v>-1.426814866537951E-3</v>
      </c>
      <c r="Z515" s="215">
        <f t="shared" si="72"/>
        <v>1.8867924528301883E-2</v>
      </c>
      <c r="AA515" s="231">
        <v>7073360</v>
      </c>
      <c r="AC515" s="230">
        <v>43861</v>
      </c>
      <c r="AD515" s="1">
        <v>29</v>
      </c>
      <c r="AE515" s="1">
        <v>28.6009975062344</v>
      </c>
      <c r="AF515" s="1">
        <v>401</v>
      </c>
      <c r="AG515" s="1">
        <v>40723.49</v>
      </c>
      <c r="AH515" s="215">
        <f t="shared" si="78"/>
        <v>2.48633905222857E-2</v>
      </c>
      <c r="AI515" s="215">
        <f t="shared" si="73"/>
        <v>3.5714285714285809E-2</v>
      </c>
      <c r="AJ515" s="231">
        <v>11469</v>
      </c>
      <c r="AL515" s="254"/>
      <c r="AQ515" s="215" t="str">
        <f t="shared" si="79"/>
        <v>NA</v>
      </c>
      <c r="AR515" s="215" t="str">
        <f t="shared" si="74"/>
        <v>NA</v>
      </c>
    </row>
    <row r="516" spans="2:44">
      <c r="B516" s="230">
        <v>43846</v>
      </c>
      <c r="C516" s="1">
        <v>303.7</v>
      </c>
      <c r="D516" s="1">
        <v>301.138138138138</v>
      </c>
      <c r="E516" s="1">
        <v>1332</v>
      </c>
      <c r="F516" s="215">
        <v>41932.559999999998</v>
      </c>
      <c r="G516" s="215">
        <f t="shared" si="75"/>
        <v>-3.0539723454592327E-4</v>
      </c>
      <c r="H516" s="215">
        <f t="shared" si="70"/>
        <v>-1.4121084239571591E-2</v>
      </c>
      <c r="I516" s="231">
        <v>401116</v>
      </c>
      <c r="K516" s="230">
        <v>43846</v>
      </c>
      <c r="L516" s="1">
        <v>245.65</v>
      </c>
      <c r="M516" s="1">
        <v>246.771204807408</v>
      </c>
      <c r="N516" s="1">
        <v>20302</v>
      </c>
      <c r="O516" s="1">
        <v>41932.559999999998</v>
      </c>
      <c r="P516" s="215">
        <f t="shared" si="76"/>
        <v>-3.0539723454592327E-4</v>
      </c>
      <c r="Q516" s="215">
        <f t="shared" si="71"/>
        <v>3.344551956247388E-2</v>
      </c>
      <c r="R516" s="231">
        <v>5009949</v>
      </c>
      <c r="T516" s="230">
        <v>43846</v>
      </c>
      <c r="U516" s="1">
        <v>60.95</v>
      </c>
      <c r="V516" s="1">
        <v>61.118507997282698</v>
      </c>
      <c r="W516" s="1">
        <v>32386</v>
      </c>
      <c r="X516" s="1">
        <v>41932.559999999998</v>
      </c>
      <c r="Y516" s="215">
        <f t="shared" si="77"/>
        <v>-3.0539723454592327E-4</v>
      </c>
      <c r="Z516" s="215">
        <f t="shared" si="72"/>
        <v>2.3509655751469349E-2</v>
      </c>
      <c r="AA516" s="231">
        <v>1979384</v>
      </c>
      <c r="AC516" s="230">
        <v>43862</v>
      </c>
      <c r="AD516" s="1">
        <v>28</v>
      </c>
      <c r="AE516" s="1">
        <v>27.9980601357904</v>
      </c>
      <c r="AF516" s="1">
        <v>1031</v>
      </c>
      <c r="AG516" s="1">
        <v>39735.53</v>
      </c>
      <c r="AH516" s="215">
        <f t="shared" si="78"/>
        <v>-3.4304508567474246E-3</v>
      </c>
      <c r="AI516" s="215">
        <f t="shared" si="73"/>
        <v>0</v>
      </c>
      <c r="AJ516" s="231">
        <v>28866</v>
      </c>
      <c r="AL516" s="254"/>
      <c r="AQ516" s="215" t="str">
        <f t="shared" si="79"/>
        <v>NA</v>
      </c>
      <c r="AR516" s="215" t="str">
        <f t="shared" si="74"/>
        <v>NA</v>
      </c>
    </row>
    <row r="517" spans="2:44">
      <c r="B517" s="230">
        <v>43847</v>
      </c>
      <c r="C517" s="1">
        <v>308.05</v>
      </c>
      <c r="D517" s="1">
        <v>301.48169014084499</v>
      </c>
      <c r="E517" s="1">
        <v>2485</v>
      </c>
      <c r="F517" s="215">
        <v>41945.37</v>
      </c>
      <c r="G517" s="215">
        <f t="shared" si="75"/>
        <v>1.0028194816574798E-2</v>
      </c>
      <c r="H517" s="215">
        <f t="shared" si="70"/>
        <v>2.6833333333333265E-2</v>
      </c>
      <c r="I517" s="231">
        <v>749182</v>
      </c>
      <c r="K517" s="230">
        <v>43847</v>
      </c>
      <c r="L517" s="1">
        <v>237.7</v>
      </c>
      <c r="M517" s="1">
        <v>239.02331492252699</v>
      </c>
      <c r="N517" s="1">
        <v>20459</v>
      </c>
      <c r="O517" s="1">
        <v>41945.37</v>
      </c>
      <c r="P517" s="215">
        <f t="shared" si="76"/>
        <v>1.0028194816574798E-2</v>
      </c>
      <c r="Q517" s="215">
        <f t="shared" si="71"/>
        <v>-1.1847848680108131E-2</v>
      </c>
      <c r="R517" s="231">
        <v>4890178</v>
      </c>
      <c r="T517" s="230">
        <v>43847</v>
      </c>
      <c r="U517" s="1">
        <v>59.55</v>
      </c>
      <c r="V517" s="1">
        <v>60.5572218945712</v>
      </c>
      <c r="W517" s="1">
        <v>35607</v>
      </c>
      <c r="X517" s="1">
        <v>41945.37</v>
      </c>
      <c r="Y517" s="215">
        <f t="shared" si="77"/>
        <v>1.0028194816574798E-2</v>
      </c>
      <c r="Z517" s="215">
        <f t="shared" si="72"/>
        <v>7.2972972972972894E-2</v>
      </c>
      <c r="AA517" s="231">
        <v>2156261</v>
      </c>
      <c r="AC517" s="230">
        <v>43864</v>
      </c>
      <c r="AD517" s="1">
        <v>28</v>
      </c>
      <c r="AE517" s="1">
        <v>28.414015675426398</v>
      </c>
      <c r="AF517" s="1">
        <v>2169</v>
      </c>
      <c r="AG517" s="1">
        <v>39872.31</v>
      </c>
      <c r="AH517" s="215">
        <f t="shared" si="78"/>
        <v>-2.2483058090120522E-2</v>
      </c>
      <c r="AI517" s="215">
        <f t="shared" si="73"/>
        <v>-1.7825311942959443E-3</v>
      </c>
      <c r="AJ517" s="231">
        <v>61630</v>
      </c>
      <c r="AL517" s="254"/>
      <c r="AQ517" s="215" t="str">
        <f t="shared" si="79"/>
        <v>NA</v>
      </c>
      <c r="AR517" s="215" t="str">
        <f t="shared" si="74"/>
        <v>NA</v>
      </c>
    </row>
    <row r="518" spans="2:44">
      <c r="B518" s="230">
        <v>43850</v>
      </c>
      <c r="C518" s="1">
        <v>300</v>
      </c>
      <c r="D518" s="1">
        <v>302.93063133281299</v>
      </c>
      <c r="E518" s="1">
        <v>1283</v>
      </c>
      <c r="F518" s="215">
        <v>41528.910000000003</v>
      </c>
      <c r="G518" s="215">
        <f t="shared" si="75"/>
        <v>4.9632403207739983E-3</v>
      </c>
      <c r="H518" s="215">
        <f t="shared" si="70"/>
        <v>-5.3050397877985045E-3</v>
      </c>
      <c r="I518" s="231">
        <v>388660</v>
      </c>
      <c r="K518" s="230">
        <v>43850</v>
      </c>
      <c r="L518" s="1">
        <v>240.55</v>
      </c>
      <c r="M518" s="1">
        <v>240.30791929180899</v>
      </c>
      <c r="N518" s="1">
        <v>12539</v>
      </c>
      <c r="O518" s="1">
        <v>41528.910000000003</v>
      </c>
      <c r="P518" s="215">
        <f t="shared" si="76"/>
        <v>4.9632403207739983E-3</v>
      </c>
      <c r="Q518" s="215">
        <f t="shared" si="71"/>
        <v>5.4336468129572157E-3</v>
      </c>
      <c r="R518" s="231">
        <v>3013221</v>
      </c>
      <c r="T518" s="230">
        <v>43850</v>
      </c>
      <c r="U518" s="1">
        <v>55.5</v>
      </c>
      <c r="V518" s="1">
        <v>57.045658154627503</v>
      </c>
      <c r="W518" s="1">
        <v>56704</v>
      </c>
      <c r="X518" s="1">
        <v>41528.910000000003</v>
      </c>
      <c r="Y518" s="215">
        <f t="shared" si="77"/>
        <v>4.9632403207739983E-3</v>
      </c>
      <c r="Z518" s="215">
        <f t="shared" si="72"/>
        <v>2.9684601113172615E-2</v>
      </c>
      <c r="AA518" s="231">
        <v>3234717</v>
      </c>
      <c r="AC518" s="230">
        <v>43865</v>
      </c>
      <c r="AD518" s="1">
        <v>28.05</v>
      </c>
      <c r="AE518" s="1">
        <v>28.857023411371198</v>
      </c>
      <c r="AF518" s="1">
        <v>1196</v>
      </c>
      <c r="AG518" s="1">
        <v>40789.379999999997</v>
      </c>
      <c r="AH518" s="215">
        <f t="shared" si="78"/>
        <v>-8.5867078113084361E-3</v>
      </c>
      <c r="AI518" s="215">
        <f t="shared" si="73"/>
        <v>-1.4059753954305698E-2</v>
      </c>
      <c r="AJ518" s="231">
        <v>34513</v>
      </c>
      <c r="AL518" s="254"/>
      <c r="AQ518" s="215" t="str">
        <f t="shared" si="79"/>
        <v>NA</v>
      </c>
      <c r="AR518" s="215" t="str">
        <f t="shared" si="74"/>
        <v>NA</v>
      </c>
    </row>
    <row r="519" spans="2:44">
      <c r="B519" s="230">
        <v>43851</v>
      </c>
      <c r="C519" s="1">
        <v>301.60000000000002</v>
      </c>
      <c r="D519" s="1">
        <v>304.17217630853901</v>
      </c>
      <c r="E519" s="1">
        <v>726</v>
      </c>
      <c r="F519" s="215">
        <v>41323.81</v>
      </c>
      <c r="G519" s="215">
        <f t="shared" si="75"/>
        <v>5.0693925241600546E-3</v>
      </c>
      <c r="H519" s="215">
        <f t="shared" si="70"/>
        <v>-4.7846889952152249E-3</v>
      </c>
      <c r="I519" s="231">
        <v>220829</v>
      </c>
      <c r="K519" s="230">
        <v>43851</v>
      </c>
      <c r="L519" s="1">
        <v>239.25</v>
      </c>
      <c r="M519" s="1">
        <v>239.221748469207</v>
      </c>
      <c r="N519" s="1">
        <v>31193</v>
      </c>
      <c r="O519" s="1">
        <v>41323.81</v>
      </c>
      <c r="P519" s="215">
        <f t="shared" si="76"/>
        <v>5.0693925241600546E-3</v>
      </c>
      <c r="Q519" s="215">
        <f t="shared" si="71"/>
        <v>4.5216251638269922E-2</v>
      </c>
      <c r="R519" s="231">
        <v>7462044</v>
      </c>
      <c r="T519" s="230">
        <v>43851</v>
      </c>
      <c r="U519" s="1">
        <v>53.9</v>
      </c>
      <c r="V519" s="1">
        <v>55.253525546729399</v>
      </c>
      <c r="W519" s="1">
        <v>101970</v>
      </c>
      <c r="X519" s="1">
        <v>41323.81</v>
      </c>
      <c r="Y519" s="215">
        <f t="shared" si="77"/>
        <v>5.0693925241600546E-3</v>
      </c>
      <c r="Z519" s="215">
        <f t="shared" si="72"/>
        <v>1.5065913370998052E-2</v>
      </c>
      <c r="AA519" s="231">
        <v>5634202</v>
      </c>
      <c r="AC519" s="230">
        <v>43866</v>
      </c>
      <c r="AD519" s="1">
        <v>28.45</v>
      </c>
      <c r="AE519" s="1">
        <v>28.236000000000001</v>
      </c>
      <c r="AF519" s="1">
        <v>250</v>
      </c>
      <c r="AG519" s="1">
        <v>41142.660000000003</v>
      </c>
      <c r="AH519" s="215">
        <f t="shared" si="78"/>
        <v>-3.9551126070453968E-3</v>
      </c>
      <c r="AI519" s="215">
        <f t="shared" si="73"/>
        <v>1.971326164874565E-2</v>
      </c>
      <c r="AJ519" s="231">
        <v>7059</v>
      </c>
      <c r="AL519" s="254"/>
      <c r="AQ519" s="215" t="str">
        <f t="shared" si="79"/>
        <v>NA</v>
      </c>
      <c r="AR519" s="215" t="str">
        <f t="shared" si="74"/>
        <v>NA</v>
      </c>
    </row>
    <row r="520" spans="2:44">
      <c r="B520" s="230">
        <v>43852</v>
      </c>
      <c r="C520" s="1">
        <v>303.05</v>
      </c>
      <c r="D520" s="1">
        <v>304.8125</v>
      </c>
      <c r="E520" s="1">
        <v>720</v>
      </c>
      <c r="F520" s="215">
        <v>41115.379999999997</v>
      </c>
      <c r="G520" s="215">
        <f t="shared" si="75"/>
        <v>-6.5485280188661843E-3</v>
      </c>
      <c r="H520" s="215">
        <f t="shared" si="70"/>
        <v>6.1420982735724827E-3</v>
      </c>
      <c r="I520" s="231">
        <v>219465</v>
      </c>
      <c r="K520" s="230">
        <v>43852</v>
      </c>
      <c r="L520" s="1">
        <v>228.9</v>
      </c>
      <c r="M520" s="1">
        <v>235.16479894528601</v>
      </c>
      <c r="N520" s="1">
        <v>9102</v>
      </c>
      <c r="O520" s="1">
        <v>41115.379999999997</v>
      </c>
      <c r="P520" s="215">
        <f t="shared" si="76"/>
        <v>-6.5485280188661843E-3</v>
      </c>
      <c r="Q520" s="215">
        <f t="shared" si="71"/>
        <v>-5.1977635121143062E-2</v>
      </c>
      <c r="R520" s="231">
        <v>2140470</v>
      </c>
      <c r="T520" s="230">
        <v>43852</v>
      </c>
      <c r="U520" s="1">
        <v>53.1</v>
      </c>
      <c r="V520" s="1">
        <v>53.568306344841602</v>
      </c>
      <c r="W520" s="1">
        <v>49095</v>
      </c>
      <c r="X520" s="1">
        <v>41115.379999999997</v>
      </c>
      <c r="Y520" s="215">
        <f t="shared" si="77"/>
        <v>-6.5485280188661843E-3</v>
      </c>
      <c r="Z520" s="215">
        <f t="shared" si="72"/>
        <v>-3.3666969972702465E-2</v>
      </c>
      <c r="AA520" s="231">
        <v>2629936</v>
      </c>
      <c r="AC520" s="230">
        <v>43867</v>
      </c>
      <c r="AD520" s="1">
        <v>27.9</v>
      </c>
      <c r="AE520" s="1">
        <v>27.9937888198757</v>
      </c>
      <c r="AF520" s="1">
        <v>805</v>
      </c>
      <c r="AG520" s="1">
        <v>41306.03</v>
      </c>
      <c r="AH520" s="215">
        <f t="shared" si="78"/>
        <v>3.9905837972769032E-3</v>
      </c>
      <c r="AI520" s="215">
        <f t="shared" si="73"/>
        <v>1.0869565217391131E-2</v>
      </c>
      <c r="AJ520" s="231">
        <v>22535</v>
      </c>
      <c r="AL520" s="254"/>
      <c r="AQ520" s="215" t="str">
        <f t="shared" si="79"/>
        <v>NA</v>
      </c>
      <c r="AR520" s="215" t="str">
        <f t="shared" si="74"/>
        <v>NA</v>
      </c>
    </row>
    <row r="521" spans="2:44">
      <c r="B521" s="230">
        <v>43853</v>
      </c>
      <c r="C521" s="1">
        <v>301.2</v>
      </c>
      <c r="D521" s="1">
        <v>302.444444444444</v>
      </c>
      <c r="E521" s="1">
        <v>27</v>
      </c>
      <c r="F521" s="215">
        <v>41386.400000000001</v>
      </c>
      <c r="G521" s="215">
        <f t="shared" si="75"/>
        <v>-5.449954689847103E-3</v>
      </c>
      <c r="H521" s="215">
        <f t="shared" si="70"/>
        <v>6.8653539116551254E-2</v>
      </c>
      <c r="I521" s="231">
        <v>8166</v>
      </c>
      <c r="K521" s="230">
        <v>43853</v>
      </c>
      <c r="L521" s="1">
        <v>241.45</v>
      </c>
      <c r="M521" s="1">
        <v>240.05993052639599</v>
      </c>
      <c r="N521" s="1">
        <v>26197</v>
      </c>
      <c r="O521" s="1">
        <v>41386.400000000001</v>
      </c>
      <c r="P521" s="215">
        <f t="shared" si="76"/>
        <v>-5.449954689847103E-3</v>
      </c>
      <c r="Q521" s="215">
        <f t="shared" si="71"/>
        <v>2.5700934579439227E-2</v>
      </c>
      <c r="R521" s="231">
        <v>6288850</v>
      </c>
      <c r="T521" s="230">
        <v>43853</v>
      </c>
      <c r="U521" s="1">
        <v>54.95</v>
      </c>
      <c r="V521" s="1">
        <v>54.124556495099903</v>
      </c>
      <c r="W521" s="1">
        <v>63979</v>
      </c>
      <c r="X521" s="1">
        <v>41386.400000000001</v>
      </c>
      <c r="Y521" s="215">
        <f t="shared" si="77"/>
        <v>-5.449954689847103E-3</v>
      </c>
      <c r="Z521" s="215">
        <f t="shared" si="72"/>
        <v>7.3327222731440767E-3</v>
      </c>
      <c r="AA521" s="231">
        <v>3462835</v>
      </c>
      <c r="AC521" s="230">
        <v>43868</v>
      </c>
      <c r="AD521" s="1">
        <v>27.6</v>
      </c>
      <c r="AE521" s="1">
        <v>27.7818181818181</v>
      </c>
      <c r="AF521" s="1">
        <v>1100</v>
      </c>
      <c r="AG521" s="1">
        <v>41141.85</v>
      </c>
      <c r="AH521" s="215">
        <f t="shared" si="78"/>
        <v>3.9587970801093775E-3</v>
      </c>
      <c r="AI521" s="215">
        <f t="shared" si="73"/>
        <v>-1.8083182640143969E-3</v>
      </c>
      <c r="AJ521" s="231">
        <v>30560</v>
      </c>
      <c r="AL521" s="254"/>
      <c r="AQ521" s="215" t="str">
        <f t="shared" si="79"/>
        <v>NA</v>
      </c>
      <c r="AR521" s="215" t="str">
        <f t="shared" si="74"/>
        <v>NA</v>
      </c>
    </row>
    <row r="522" spans="2:44">
      <c r="B522" s="230">
        <v>43854</v>
      </c>
      <c r="C522" s="1">
        <v>281.85000000000002</v>
      </c>
      <c r="D522" s="1">
        <v>290.70106118762698</v>
      </c>
      <c r="E522" s="1">
        <v>4429</v>
      </c>
      <c r="F522" s="215">
        <v>41613.19</v>
      </c>
      <c r="G522" s="215">
        <f t="shared" si="75"/>
        <v>1.1130328377125354E-2</v>
      </c>
      <c r="H522" s="215">
        <f t="shared" si="70"/>
        <v>-3.8054607508532401E-2</v>
      </c>
      <c r="I522" s="231">
        <v>1287515</v>
      </c>
      <c r="K522" s="230">
        <v>43854</v>
      </c>
      <c r="L522" s="1">
        <v>235.4</v>
      </c>
      <c r="M522" s="1">
        <v>237.91063040074201</v>
      </c>
      <c r="N522" s="1">
        <v>17243</v>
      </c>
      <c r="O522" s="1">
        <v>41613.19</v>
      </c>
      <c r="P522" s="215">
        <f t="shared" si="76"/>
        <v>1.1130328377125354E-2</v>
      </c>
      <c r="Q522" s="215">
        <f t="shared" si="71"/>
        <v>3.9523073526164687E-2</v>
      </c>
      <c r="R522" s="231">
        <v>4102293</v>
      </c>
      <c r="T522" s="230">
        <v>43854</v>
      </c>
      <c r="U522" s="1">
        <v>54.55</v>
      </c>
      <c r="V522" s="1">
        <v>55.198925856176302</v>
      </c>
      <c r="W522" s="1">
        <v>28674</v>
      </c>
      <c r="X522" s="1">
        <v>41613.19</v>
      </c>
      <c r="Y522" s="215">
        <f t="shared" si="77"/>
        <v>1.1130328377125354E-2</v>
      </c>
      <c r="Z522" s="215">
        <f t="shared" si="72"/>
        <v>3.3143939393939448E-2</v>
      </c>
      <c r="AA522" s="231">
        <v>1582774</v>
      </c>
      <c r="AC522" s="230">
        <v>43871</v>
      </c>
      <c r="AD522" s="1">
        <v>27.65</v>
      </c>
      <c r="AE522" s="1">
        <v>27.65</v>
      </c>
      <c r="AF522" s="1">
        <v>100</v>
      </c>
      <c r="AG522" s="1">
        <v>40979.620000000003</v>
      </c>
      <c r="AH522" s="215">
        <f t="shared" si="78"/>
        <v>-5.738528644361085E-3</v>
      </c>
      <c r="AI522" s="215">
        <f t="shared" si="73"/>
        <v>7.2859744990891873E-3</v>
      </c>
      <c r="AJ522" s="231">
        <v>2765</v>
      </c>
      <c r="AL522" s="254"/>
      <c r="AQ522" s="215" t="str">
        <f t="shared" si="79"/>
        <v>NA</v>
      </c>
      <c r="AR522" s="215" t="str">
        <f t="shared" si="74"/>
        <v>NA</v>
      </c>
    </row>
    <row r="523" spans="2:44">
      <c r="B523" s="230">
        <v>43857</v>
      </c>
      <c r="C523" s="1">
        <v>293</v>
      </c>
      <c r="D523" s="1">
        <v>294.95335608646099</v>
      </c>
      <c r="E523" s="1">
        <v>879</v>
      </c>
      <c r="F523" s="215">
        <v>41155.120000000003</v>
      </c>
      <c r="G523" s="215">
        <f t="shared" si="75"/>
        <v>4.5954217628592087E-3</v>
      </c>
      <c r="H523" s="215">
        <f t="shared" si="70"/>
        <v>-6.7796610169491567E-3</v>
      </c>
      <c r="I523" s="231">
        <v>259264</v>
      </c>
      <c r="K523" s="230">
        <v>43857</v>
      </c>
      <c r="L523" s="1">
        <v>226.45</v>
      </c>
      <c r="M523" s="1">
        <v>228.923707066719</v>
      </c>
      <c r="N523" s="1">
        <v>10132</v>
      </c>
      <c r="O523" s="1">
        <v>41155.120000000003</v>
      </c>
      <c r="P523" s="215">
        <f t="shared" si="76"/>
        <v>4.5954217628592087E-3</v>
      </c>
      <c r="Q523" s="215">
        <f t="shared" si="71"/>
        <v>4.5958429561200775E-2</v>
      </c>
      <c r="R523" s="231">
        <v>2319455</v>
      </c>
      <c r="T523" s="230">
        <v>43857</v>
      </c>
      <c r="U523" s="1">
        <v>52.8</v>
      </c>
      <c r="V523" s="1">
        <v>53.0555379594309</v>
      </c>
      <c r="W523" s="1">
        <v>72617</v>
      </c>
      <c r="X523" s="1">
        <v>41155.120000000003</v>
      </c>
      <c r="Y523" s="215">
        <f t="shared" si="77"/>
        <v>4.5954217628592087E-3</v>
      </c>
      <c r="Z523" s="215">
        <f t="shared" si="72"/>
        <v>3.5294117647058698E-2</v>
      </c>
      <c r="AA523" s="231">
        <v>3852734</v>
      </c>
      <c r="AC523" s="230">
        <v>43872</v>
      </c>
      <c r="AD523" s="1">
        <v>27.45</v>
      </c>
      <c r="AE523" s="1">
        <v>28.049559471365601</v>
      </c>
      <c r="AF523" s="1">
        <v>2724</v>
      </c>
      <c r="AG523" s="1">
        <v>41216.14</v>
      </c>
      <c r="AH523" s="215">
        <f t="shared" si="78"/>
        <v>-5.876778440025876E-3</v>
      </c>
      <c r="AI523" s="215">
        <f t="shared" si="73"/>
        <v>1.6666666666666607E-2</v>
      </c>
      <c r="AJ523" s="231">
        <v>76407</v>
      </c>
      <c r="AL523" s="254"/>
      <c r="AQ523" s="215" t="str">
        <f t="shared" si="79"/>
        <v>NA</v>
      </c>
      <c r="AR523" s="215" t="str">
        <f t="shared" si="74"/>
        <v>NA</v>
      </c>
    </row>
    <row r="524" spans="2:44">
      <c r="B524" s="230">
        <v>43858</v>
      </c>
      <c r="C524" s="1">
        <v>295</v>
      </c>
      <c r="D524" s="1">
        <v>295.84802043422701</v>
      </c>
      <c r="E524" s="1">
        <v>783</v>
      </c>
      <c r="F524" s="215">
        <v>40966.86</v>
      </c>
      <c r="G524" s="215">
        <f t="shared" si="75"/>
        <v>-5.6263965866851784E-3</v>
      </c>
      <c r="H524" s="215">
        <f t="shared" si="70"/>
        <v>0</v>
      </c>
      <c r="I524" s="231">
        <v>231649</v>
      </c>
      <c r="K524" s="230">
        <v>43858</v>
      </c>
      <c r="L524" s="1">
        <v>216.5</v>
      </c>
      <c r="M524" s="1">
        <v>221.607914190462</v>
      </c>
      <c r="N524" s="1">
        <v>6899</v>
      </c>
      <c r="O524" s="1">
        <v>40966.86</v>
      </c>
      <c r="P524" s="215">
        <f t="shared" si="76"/>
        <v>-5.6263965866851784E-3</v>
      </c>
      <c r="Q524" s="215">
        <f t="shared" si="71"/>
        <v>-3.6815462494248496E-3</v>
      </c>
      <c r="R524" s="231">
        <v>1528873</v>
      </c>
      <c r="T524" s="230">
        <v>43858</v>
      </c>
      <c r="U524" s="1">
        <v>51</v>
      </c>
      <c r="V524" s="1">
        <v>51.442229038854798</v>
      </c>
      <c r="W524" s="1">
        <v>82152</v>
      </c>
      <c r="X524" s="1">
        <v>40966.86</v>
      </c>
      <c r="Y524" s="215">
        <f t="shared" si="77"/>
        <v>-5.6263965866851784E-3</v>
      </c>
      <c r="Z524" s="215">
        <f t="shared" si="72"/>
        <v>1.2909632571995955E-2</v>
      </c>
      <c r="AA524" s="231">
        <v>4226082</v>
      </c>
      <c r="AC524" s="230">
        <v>43874</v>
      </c>
      <c r="AD524" s="1">
        <v>27</v>
      </c>
      <c r="AE524" s="1">
        <v>27.0144189991518</v>
      </c>
      <c r="AF524" s="1">
        <v>2358</v>
      </c>
      <c r="AG524" s="1">
        <v>41459.79</v>
      </c>
      <c r="AH524" s="215">
        <f t="shared" si="78"/>
        <v>4.8972629135770607E-3</v>
      </c>
      <c r="AI524" s="215">
        <f t="shared" si="73"/>
        <v>-6.8965517241379337E-2</v>
      </c>
      <c r="AJ524" s="231">
        <v>63700</v>
      </c>
      <c r="AL524" s="254"/>
      <c r="AQ524" s="215" t="str">
        <f t="shared" si="79"/>
        <v>NA</v>
      </c>
      <c r="AR524" s="215" t="str">
        <f t="shared" si="74"/>
        <v>NA</v>
      </c>
    </row>
    <row r="525" spans="2:44">
      <c r="B525" s="230">
        <v>43859</v>
      </c>
      <c r="C525" s="1">
        <v>295</v>
      </c>
      <c r="D525" s="1">
        <v>295.38051750380498</v>
      </c>
      <c r="E525" s="1">
        <v>657</v>
      </c>
      <c r="F525" s="215">
        <v>41198.660000000003</v>
      </c>
      <c r="G525" s="215">
        <f t="shared" si="75"/>
        <v>6.9619507540483738E-3</v>
      </c>
      <c r="H525" s="215">
        <f t="shared" si="70"/>
        <v>0</v>
      </c>
      <c r="I525" s="231">
        <v>194065</v>
      </c>
      <c r="K525" s="230">
        <v>43859</v>
      </c>
      <c r="L525" s="1">
        <v>217.3</v>
      </c>
      <c r="M525" s="1">
        <v>220.02296051487201</v>
      </c>
      <c r="N525" s="1">
        <v>11498</v>
      </c>
      <c r="O525" s="1">
        <v>41198.660000000003</v>
      </c>
      <c r="P525" s="215">
        <f t="shared" si="76"/>
        <v>6.9619507540483738E-3</v>
      </c>
      <c r="Q525" s="215">
        <f t="shared" si="71"/>
        <v>3.2304038004750568E-2</v>
      </c>
      <c r="R525" s="231">
        <v>2529824</v>
      </c>
      <c r="T525" s="230">
        <v>43859</v>
      </c>
      <c r="U525" s="1">
        <v>50.35</v>
      </c>
      <c r="V525" s="1">
        <v>49.930535811708999</v>
      </c>
      <c r="W525" s="1">
        <v>130139</v>
      </c>
      <c r="X525" s="1">
        <v>41198.660000000003</v>
      </c>
      <c r="Y525" s="215">
        <f t="shared" si="77"/>
        <v>6.9619507540483738E-3</v>
      </c>
      <c r="Z525" s="215">
        <f t="shared" si="72"/>
        <v>5.7773109243697496E-2</v>
      </c>
      <c r="AA525" s="231">
        <v>6497910</v>
      </c>
      <c r="AC525" s="230">
        <v>43875</v>
      </c>
      <c r="AD525" s="1">
        <v>29</v>
      </c>
      <c r="AE525" s="1">
        <v>29</v>
      </c>
      <c r="AF525" s="1">
        <v>100</v>
      </c>
      <c r="AG525" s="1">
        <v>41257.74</v>
      </c>
      <c r="AH525" s="215">
        <f t="shared" si="78"/>
        <v>8.8853284974610425E-3</v>
      </c>
      <c r="AI525" s="215">
        <f t="shared" si="73"/>
        <v>6.2271062271062272E-2</v>
      </c>
      <c r="AJ525" s="231">
        <v>2900</v>
      </c>
      <c r="AL525" s="254"/>
      <c r="AQ525" s="215" t="str">
        <f t="shared" si="79"/>
        <v>NA</v>
      </c>
      <c r="AR525" s="215" t="str">
        <f t="shared" si="74"/>
        <v>NA</v>
      </c>
    </row>
    <row r="526" spans="2:44">
      <c r="B526" s="230">
        <v>43860</v>
      </c>
      <c r="C526" s="1">
        <v>295</v>
      </c>
      <c r="D526" s="1">
        <v>294.00564971751402</v>
      </c>
      <c r="E526" s="1">
        <v>177</v>
      </c>
      <c r="F526" s="215">
        <v>40913.82</v>
      </c>
      <c r="G526" s="215">
        <f t="shared" si="75"/>
        <v>4.6737153421771982E-3</v>
      </c>
      <c r="H526" s="215">
        <f t="shared" ref="H526:H589" si="80">IF(ISERROR(C526/C527-1),"NA",C526/C527-1)</f>
        <v>-1.6338779593197628E-2</v>
      </c>
      <c r="I526" s="231">
        <v>52039</v>
      </c>
      <c r="K526" s="230">
        <v>43860</v>
      </c>
      <c r="L526" s="1">
        <v>210.5</v>
      </c>
      <c r="M526" s="1">
        <v>211.34497389033899</v>
      </c>
      <c r="N526" s="1">
        <v>3064</v>
      </c>
      <c r="O526" s="1">
        <v>40913.82</v>
      </c>
      <c r="P526" s="215">
        <f t="shared" si="76"/>
        <v>4.6737153421771982E-3</v>
      </c>
      <c r="Q526" s="215">
        <f t="shared" ref="Q526:Q589" si="81">IF(ISERROR(L526/L527-1),"NA",L526/L527-1)</f>
        <v>3.7456875308033544E-2</v>
      </c>
      <c r="R526" s="231">
        <v>647561</v>
      </c>
      <c r="T526" s="230">
        <v>43860</v>
      </c>
      <c r="U526" s="1">
        <v>47.6</v>
      </c>
      <c r="V526" s="1">
        <v>48.026646244362503</v>
      </c>
      <c r="W526" s="1">
        <v>82263</v>
      </c>
      <c r="X526" s="1">
        <v>40913.82</v>
      </c>
      <c r="Y526" s="215">
        <f t="shared" si="77"/>
        <v>4.6737153421771982E-3</v>
      </c>
      <c r="Z526" s="215">
        <f t="shared" ref="Z526:Z589" si="82">IF(ISERROR(U526/U527-1),"NA",U526/U527-1)</f>
        <v>6.9662921348314644E-2</v>
      </c>
      <c r="AA526" s="231">
        <v>3950816</v>
      </c>
      <c r="AC526" s="230">
        <v>43879</v>
      </c>
      <c r="AD526" s="1">
        <v>27.3</v>
      </c>
      <c r="AE526" s="1">
        <v>27.117837837837801</v>
      </c>
      <c r="AF526" s="1">
        <v>1850</v>
      </c>
      <c r="AG526" s="1">
        <v>40894.379999999997</v>
      </c>
      <c r="AH526" s="215">
        <f t="shared" si="78"/>
        <v>-6.6975758146928799E-3</v>
      </c>
      <c r="AI526" s="215">
        <f t="shared" ref="AI526:AI589" si="83">IF(ISERROR(AD526/AD527-1),"NA",AD526/AD527-1)</f>
        <v>2.4390243902439046E-2</v>
      </c>
      <c r="AJ526" s="231">
        <v>50168</v>
      </c>
      <c r="AL526" s="254"/>
      <c r="AQ526" s="215" t="str">
        <f t="shared" si="79"/>
        <v>NA</v>
      </c>
      <c r="AR526" s="215" t="str">
        <f t="shared" ref="AR526:AR589" si="84">IF(ISERROR(AM526/AM527-1),"NA",AM526/AM527-1)</f>
        <v>NA</v>
      </c>
    </row>
    <row r="527" spans="2:44">
      <c r="B527" s="230">
        <v>43861</v>
      </c>
      <c r="C527" s="1">
        <v>299.89999999999998</v>
      </c>
      <c r="D527" s="1">
        <v>297.19390581717403</v>
      </c>
      <c r="E527" s="1">
        <v>361</v>
      </c>
      <c r="F527" s="215">
        <v>40723.49</v>
      </c>
      <c r="G527" s="215">
        <f t="shared" ref="G527:G590" si="85">IF(ISERROR(F527/F528-1),"NA",F527/F528-1)</f>
        <v>2.48633905222857E-2</v>
      </c>
      <c r="H527" s="215">
        <f t="shared" si="80"/>
        <v>-1.6721311475409895E-2</v>
      </c>
      <c r="I527" s="231">
        <v>107287</v>
      </c>
      <c r="K527" s="230">
        <v>43861</v>
      </c>
      <c r="L527" s="1">
        <v>202.9</v>
      </c>
      <c r="M527" s="1">
        <v>206.81147637563299</v>
      </c>
      <c r="N527" s="1">
        <v>8487</v>
      </c>
      <c r="O527" s="1">
        <v>40723.49</v>
      </c>
      <c r="P527" s="215">
        <f t="shared" ref="P527:P590" si="86">IF(ISERROR(O527/O528-1),"NA",O527/O528-1)</f>
        <v>2.48633905222857E-2</v>
      </c>
      <c r="Q527" s="215">
        <f t="shared" si="81"/>
        <v>3.7851662404092101E-2</v>
      </c>
      <c r="R527" s="231">
        <v>1755209</v>
      </c>
      <c r="T527" s="230">
        <v>43861</v>
      </c>
      <c r="U527" s="1">
        <v>44.5</v>
      </c>
      <c r="V527" s="1">
        <v>45.860951919247803</v>
      </c>
      <c r="W527" s="1">
        <v>57757</v>
      </c>
      <c r="X527" s="1">
        <v>40723.49</v>
      </c>
      <c r="Y527" s="215">
        <f t="shared" ref="Y527:Y590" si="87">IF(ISERROR(X527/X528-1),"NA",X527/X528-1)</f>
        <v>2.48633905222857E-2</v>
      </c>
      <c r="Z527" s="215">
        <f t="shared" si="82"/>
        <v>1.1248593925758943E-3</v>
      </c>
      <c r="AA527" s="231">
        <v>2648791</v>
      </c>
      <c r="AC527" s="230">
        <v>43881</v>
      </c>
      <c r="AD527" s="1">
        <v>26.65</v>
      </c>
      <c r="AE527" s="1">
        <v>26.8701472556894</v>
      </c>
      <c r="AF527" s="1">
        <v>747</v>
      </c>
      <c r="AG527" s="1">
        <v>41170.120000000003</v>
      </c>
      <c r="AH527" s="215">
        <f t="shared" ref="AH527:AH590" si="88">IF(ISERROR(AG527/AG528-1),"NA",AG527/AG528-1)</f>
        <v>2.2067862923646819E-2</v>
      </c>
      <c r="AI527" s="215">
        <f t="shared" si="83"/>
        <v>4.1015624999999778E-2</v>
      </c>
      <c r="AJ527" s="231">
        <v>20072</v>
      </c>
      <c r="AL527" s="254"/>
      <c r="AQ527" s="215" t="str">
        <f t="shared" ref="AQ527:AQ590" si="89">IF(ISERROR(AP527/AP528-1),"NA",AP527/AP528-1)</f>
        <v>NA</v>
      </c>
      <c r="AR527" s="215" t="str">
        <f t="shared" si="84"/>
        <v>NA</v>
      </c>
    </row>
    <row r="528" spans="2:44">
      <c r="B528" s="230">
        <v>43862</v>
      </c>
      <c r="C528" s="1">
        <v>305</v>
      </c>
      <c r="D528" s="1">
        <v>299.32318501170897</v>
      </c>
      <c r="E528" s="1">
        <v>854</v>
      </c>
      <c r="F528" s="215">
        <v>39735.53</v>
      </c>
      <c r="G528" s="215">
        <f t="shared" si="85"/>
        <v>-3.4304508567474246E-3</v>
      </c>
      <c r="H528" s="215">
        <f t="shared" si="80"/>
        <v>4.7030552694816263E-2</v>
      </c>
      <c r="I528" s="231">
        <v>255622</v>
      </c>
      <c r="K528" s="230">
        <v>43862</v>
      </c>
      <c r="L528" s="1">
        <v>195.5</v>
      </c>
      <c r="M528" s="1">
        <v>200.78295074900299</v>
      </c>
      <c r="N528" s="1">
        <v>9279</v>
      </c>
      <c r="O528" s="1">
        <v>39735.53</v>
      </c>
      <c r="P528" s="215">
        <f t="shared" si="86"/>
        <v>-3.4304508567474246E-3</v>
      </c>
      <c r="Q528" s="215">
        <f t="shared" si="81"/>
        <v>1.7434296122820658E-2</v>
      </c>
      <c r="R528" s="231">
        <v>1863065</v>
      </c>
      <c r="T528" s="230">
        <v>43862</v>
      </c>
      <c r="U528" s="1">
        <v>44.45</v>
      </c>
      <c r="V528" s="1">
        <v>45.358294185490401</v>
      </c>
      <c r="W528" s="1">
        <v>35549</v>
      </c>
      <c r="X528" s="1">
        <v>39735.53</v>
      </c>
      <c r="Y528" s="215">
        <f t="shared" si="87"/>
        <v>-3.4304508567474246E-3</v>
      </c>
      <c r="Z528" s="215">
        <f t="shared" si="82"/>
        <v>5.082742316784894E-2</v>
      </c>
      <c r="AA528" s="231">
        <v>1612442</v>
      </c>
      <c r="AC528" s="230">
        <v>43886</v>
      </c>
      <c r="AD528" s="1">
        <v>25.6</v>
      </c>
      <c r="AE528" s="1">
        <v>25.609472049689401</v>
      </c>
      <c r="AF528" s="1">
        <v>1288</v>
      </c>
      <c r="AG528" s="1">
        <v>40281.199999999997</v>
      </c>
      <c r="AH528" s="215">
        <f t="shared" si="88"/>
        <v>9.8332972331189872E-3</v>
      </c>
      <c r="AI528" s="215">
        <f t="shared" si="83"/>
        <v>8.0168776371308148E-2</v>
      </c>
      <c r="AJ528" s="231">
        <v>32985</v>
      </c>
      <c r="AL528" s="254"/>
      <c r="AQ528" s="215" t="str">
        <f t="shared" si="89"/>
        <v>NA</v>
      </c>
      <c r="AR528" s="215" t="str">
        <f t="shared" si="84"/>
        <v>NA</v>
      </c>
    </row>
    <row r="529" spans="2:44">
      <c r="B529" s="230">
        <v>43864</v>
      </c>
      <c r="C529" s="1">
        <v>291.3</v>
      </c>
      <c r="D529" s="1">
        <v>285.92185171385898</v>
      </c>
      <c r="E529" s="1">
        <v>10736</v>
      </c>
      <c r="F529" s="215">
        <v>39872.31</v>
      </c>
      <c r="G529" s="215">
        <f t="shared" si="85"/>
        <v>-2.2483058090120522E-2</v>
      </c>
      <c r="H529" s="215">
        <f t="shared" si="80"/>
        <v>6.9775982372383361E-2</v>
      </c>
      <c r="I529" s="231">
        <v>3069657</v>
      </c>
      <c r="K529" s="230">
        <v>43864</v>
      </c>
      <c r="L529" s="1">
        <v>192.15</v>
      </c>
      <c r="M529" s="1">
        <v>193.70365795072399</v>
      </c>
      <c r="N529" s="1">
        <v>14571</v>
      </c>
      <c r="O529" s="1">
        <v>39872.31</v>
      </c>
      <c r="P529" s="215">
        <f t="shared" si="86"/>
        <v>-2.2483058090120522E-2</v>
      </c>
      <c r="Q529" s="215">
        <f t="shared" si="81"/>
        <v>-1.8390804597701149E-2</v>
      </c>
      <c r="R529" s="231">
        <v>2822456</v>
      </c>
      <c r="T529" s="230">
        <v>43864</v>
      </c>
      <c r="U529" s="1">
        <v>42.3</v>
      </c>
      <c r="V529" s="1">
        <v>42.624049450154502</v>
      </c>
      <c r="W529" s="1">
        <v>69565</v>
      </c>
      <c r="X529" s="1">
        <v>39872.31</v>
      </c>
      <c r="Y529" s="215">
        <f t="shared" si="87"/>
        <v>-2.2483058090120522E-2</v>
      </c>
      <c r="Z529" s="215">
        <f t="shared" si="82"/>
        <v>-9.0322580645161299E-2</v>
      </c>
      <c r="AA529" s="231">
        <v>2965142</v>
      </c>
      <c r="AC529" s="230">
        <v>43887</v>
      </c>
      <c r="AD529" s="1">
        <v>23.7</v>
      </c>
      <c r="AE529" s="1">
        <v>24.440643863179002</v>
      </c>
      <c r="AF529" s="1">
        <v>1988</v>
      </c>
      <c r="AG529" s="1">
        <v>39888.959999999999</v>
      </c>
      <c r="AH529" s="215">
        <f t="shared" si="88"/>
        <v>3.6054250954693501E-3</v>
      </c>
      <c r="AI529" s="215">
        <f t="shared" si="83"/>
        <v>-8.1395348837209336E-2</v>
      </c>
      <c r="AJ529" s="231">
        <v>48588</v>
      </c>
      <c r="AL529" s="254"/>
      <c r="AQ529" s="215" t="str">
        <f t="shared" si="89"/>
        <v>NA</v>
      </c>
      <c r="AR529" s="215" t="str">
        <f t="shared" si="84"/>
        <v>NA</v>
      </c>
    </row>
    <row r="530" spans="2:44">
      <c r="B530" s="230">
        <v>43865</v>
      </c>
      <c r="C530" s="1">
        <v>272.3</v>
      </c>
      <c r="D530" s="1">
        <v>276.46607714590601</v>
      </c>
      <c r="E530" s="1">
        <v>13118</v>
      </c>
      <c r="F530" s="215">
        <v>40789.379999999997</v>
      </c>
      <c r="G530" s="215">
        <f t="shared" si="85"/>
        <v>-8.5867078113084361E-3</v>
      </c>
      <c r="H530" s="215">
        <f t="shared" si="80"/>
        <v>2.5773195876288568E-3</v>
      </c>
      <c r="I530" s="231">
        <v>3626682</v>
      </c>
      <c r="K530" s="230">
        <v>43865</v>
      </c>
      <c r="L530" s="1">
        <v>195.75</v>
      </c>
      <c r="M530" s="1">
        <v>195.40336899613001</v>
      </c>
      <c r="N530" s="1">
        <v>4393</v>
      </c>
      <c r="O530" s="1">
        <v>40789.379999999997</v>
      </c>
      <c r="P530" s="215">
        <f t="shared" si="86"/>
        <v>-8.5867078113084361E-3</v>
      </c>
      <c r="Q530" s="215">
        <f t="shared" si="81"/>
        <v>-5.1598837209302362E-2</v>
      </c>
      <c r="R530" s="231">
        <v>858407</v>
      </c>
      <c r="T530" s="230">
        <v>43865</v>
      </c>
      <c r="U530" s="1">
        <v>46.5</v>
      </c>
      <c r="V530" s="1">
        <v>45.2799488585703</v>
      </c>
      <c r="W530" s="1">
        <v>59443</v>
      </c>
      <c r="X530" s="1">
        <v>40789.379999999997</v>
      </c>
      <c r="Y530" s="215">
        <f t="shared" si="87"/>
        <v>-8.5867078113084361E-3</v>
      </c>
      <c r="Z530" s="215">
        <f t="shared" si="82"/>
        <v>-1.1689691817215686E-2</v>
      </c>
      <c r="AA530" s="231">
        <v>2691576</v>
      </c>
      <c r="AC530" s="230">
        <v>43888</v>
      </c>
      <c r="AD530" s="1">
        <v>25.8</v>
      </c>
      <c r="AE530" s="1">
        <v>24.848236953455501</v>
      </c>
      <c r="AF530" s="1">
        <v>3545</v>
      </c>
      <c r="AG530" s="1">
        <v>39745.660000000003</v>
      </c>
      <c r="AH530" s="215">
        <f t="shared" si="88"/>
        <v>3.7819125060807313E-2</v>
      </c>
      <c r="AI530" s="215">
        <f t="shared" si="83"/>
        <v>7.0539419087136901E-2</v>
      </c>
      <c r="AJ530" s="231">
        <v>88087</v>
      </c>
      <c r="AL530" s="254"/>
      <c r="AQ530" s="215" t="str">
        <f t="shared" si="89"/>
        <v>NA</v>
      </c>
      <c r="AR530" s="215" t="str">
        <f t="shared" si="84"/>
        <v>NA</v>
      </c>
    </row>
    <row r="531" spans="2:44">
      <c r="B531" s="230">
        <v>43866</v>
      </c>
      <c r="C531" s="1">
        <v>271.60000000000002</v>
      </c>
      <c r="D531" s="1">
        <v>273.61531754105499</v>
      </c>
      <c r="E531" s="1">
        <v>13762</v>
      </c>
      <c r="F531" s="215">
        <v>41142.660000000003</v>
      </c>
      <c r="G531" s="215">
        <f t="shared" si="85"/>
        <v>-3.9551126070453968E-3</v>
      </c>
      <c r="H531" s="215">
        <f t="shared" si="80"/>
        <v>-4.0113094186251863E-2</v>
      </c>
      <c r="I531" s="231">
        <v>3765494</v>
      </c>
      <c r="K531" s="230">
        <v>43866</v>
      </c>
      <c r="L531" s="1">
        <v>206.4</v>
      </c>
      <c r="M531" s="1">
        <v>201.31860699381201</v>
      </c>
      <c r="N531" s="1">
        <v>13898</v>
      </c>
      <c r="O531" s="1">
        <v>41142.660000000003</v>
      </c>
      <c r="P531" s="215">
        <f t="shared" si="86"/>
        <v>-3.9551126070453968E-3</v>
      </c>
      <c r="Q531" s="215">
        <f t="shared" si="81"/>
        <v>-5.2123995407577506E-2</v>
      </c>
      <c r="R531" s="231">
        <v>2797926</v>
      </c>
      <c r="T531" s="230">
        <v>43866</v>
      </c>
      <c r="U531" s="1">
        <v>47.05</v>
      </c>
      <c r="V531" s="1">
        <v>47.132073452106198</v>
      </c>
      <c r="W531" s="1">
        <v>84082</v>
      </c>
      <c r="X531" s="1">
        <v>41142.660000000003</v>
      </c>
      <c r="Y531" s="215">
        <f t="shared" si="87"/>
        <v>-3.9551126070453968E-3</v>
      </c>
      <c r="Z531" s="215">
        <f t="shared" si="82"/>
        <v>-4.2328042328042548E-3</v>
      </c>
      <c r="AA531" s="231">
        <v>3962959</v>
      </c>
      <c r="AC531" s="230">
        <v>43889</v>
      </c>
      <c r="AD531" s="1">
        <v>24.1</v>
      </c>
      <c r="AE531" s="1">
        <v>24.014459224985501</v>
      </c>
      <c r="AF531" s="1">
        <v>1729</v>
      </c>
      <c r="AG531" s="1">
        <v>38297.29</v>
      </c>
      <c r="AH531" s="215">
        <f t="shared" si="88"/>
        <v>4.0181921045554514E-3</v>
      </c>
      <c r="AI531" s="215">
        <f t="shared" si="83"/>
        <v>2.5531914893617058E-2</v>
      </c>
      <c r="AJ531" s="231">
        <v>41521</v>
      </c>
      <c r="AL531" s="254"/>
      <c r="AQ531" s="215" t="str">
        <f t="shared" si="89"/>
        <v>NA</v>
      </c>
      <c r="AR531" s="215" t="str">
        <f t="shared" si="84"/>
        <v>NA</v>
      </c>
    </row>
    <row r="532" spans="2:44">
      <c r="B532" s="230">
        <v>43867</v>
      </c>
      <c r="C532" s="1">
        <v>282.95</v>
      </c>
      <c r="D532" s="1">
        <v>279.46506821000401</v>
      </c>
      <c r="E532" s="1">
        <v>2419</v>
      </c>
      <c r="F532" s="215">
        <v>41306.03</v>
      </c>
      <c r="G532" s="215">
        <f t="shared" si="85"/>
        <v>3.9905837972769032E-3</v>
      </c>
      <c r="H532" s="215">
        <f t="shared" si="80"/>
        <v>-2.4310344827586206E-2</v>
      </c>
      <c r="I532" s="231">
        <v>676026</v>
      </c>
      <c r="K532" s="230">
        <v>43867</v>
      </c>
      <c r="L532" s="1">
        <v>217.75</v>
      </c>
      <c r="M532" s="1">
        <v>216.58889173935299</v>
      </c>
      <c r="N532" s="1">
        <v>15592</v>
      </c>
      <c r="O532" s="1">
        <v>41306.03</v>
      </c>
      <c r="P532" s="215">
        <f t="shared" si="86"/>
        <v>3.9905837972769032E-3</v>
      </c>
      <c r="Q532" s="215">
        <f t="shared" si="81"/>
        <v>-1.9585772174696037E-2</v>
      </c>
      <c r="R532" s="231">
        <v>3377054</v>
      </c>
      <c r="T532" s="230">
        <v>43867</v>
      </c>
      <c r="U532" s="1">
        <v>47.25</v>
      </c>
      <c r="V532" s="1">
        <v>47.4925730252276</v>
      </c>
      <c r="W532" s="1">
        <v>62273</v>
      </c>
      <c r="X532" s="1">
        <v>41306.03</v>
      </c>
      <c r="Y532" s="215">
        <f t="shared" si="87"/>
        <v>3.9905837972769032E-3</v>
      </c>
      <c r="Z532" s="215">
        <f t="shared" si="82"/>
        <v>2.2727272727272707E-2</v>
      </c>
      <c r="AA532" s="231">
        <v>2957505</v>
      </c>
      <c r="AC532" s="230">
        <v>43892</v>
      </c>
      <c r="AD532" s="1">
        <v>23.5</v>
      </c>
      <c r="AE532" s="1">
        <v>23.096015875438798</v>
      </c>
      <c r="AF532" s="1">
        <v>6551</v>
      </c>
      <c r="AG532" s="1">
        <v>38144.019999999997</v>
      </c>
      <c r="AH532" s="215">
        <f t="shared" si="88"/>
        <v>-1.2419317672827779E-2</v>
      </c>
      <c r="AI532" s="215">
        <f t="shared" si="83"/>
        <v>-1.67364016736401E-2</v>
      </c>
      <c r="AJ532" s="231">
        <v>151302</v>
      </c>
      <c r="AL532" s="254"/>
      <c r="AQ532" s="215" t="str">
        <f t="shared" si="89"/>
        <v>NA</v>
      </c>
      <c r="AR532" s="215" t="str">
        <f t="shared" si="84"/>
        <v>NA</v>
      </c>
    </row>
    <row r="533" spans="2:44">
      <c r="B533" s="230">
        <v>43868</v>
      </c>
      <c r="C533" s="1">
        <v>290</v>
      </c>
      <c r="D533" s="1">
        <v>290.41538461538403</v>
      </c>
      <c r="E533" s="1">
        <v>130</v>
      </c>
      <c r="F533" s="215">
        <v>41141.85</v>
      </c>
      <c r="G533" s="215">
        <f t="shared" si="85"/>
        <v>3.9587970801093775E-3</v>
      </c>
      <c r="H533" s="215">
        <f t="shared" si="80"/>
        <v>-1.4610941216445794E-2</v>
      </c>
      <c r="I533" s="231">
        <v>37754</v>
      </c>
      <c r="K533" s="230">
        <v>43868</v>
      </c>
      <c r="L533" s="1">
        <v>222.1</v>
      </c>
      <c r="M533" s="1">
        <v>220.89777675911</v>
      </c>
      <c r="N533" s="1">
        <v>4363</v>
      </c>
      <c r="O533" s="1">
        <v>41141.85</v>
      </c>
      <c r="P533" s="215">
        <f t="shared" si="86"/>
        <v>3.9587970801093775E-3</v>
      </c>
      <c r="Q533" s="215">
        <f t="shared" si="81"/>
        <v>3.6150022593763875E-3</v>
      </c>
      <c r="R533" s="231">
        <v>963777</v>
      </c>
      <c r="T533" s="230">
        <v>43868</v>
      </c>
      <c r="U533" s="1">
        <v>46.2</v>
      </c>
      <c r="V533" s="1">
        <v>46.365733281667403</v>
      </c>
      <c r="W533" s="1">
        <v>49033</v>
      </c>
      <c r="X533" s="1">
        <v>41141.85</v>
      </c>
      <c r="Y533" s="215">
        <f t="shared" si="87"/>
        <v>3.9587970801093775E-3</v>
      </c>
      <c r="Z533" s="215">
        <f t="shared" si="82"/>
        <v>3.2573289902282365E-3</v>
      </c>
      <c r="AA533" s="231">
        <v>2273451</v>
      </c>
      <c r="AC533" s="230">
        <v>43893</v>
      </c>
      <c r="AD533" s="1">
        <v>23.9</v>
      </c>
      <c r="AE533" s="1">
        <v>23.373440939104899</v>
      </c>
      <c r="AF533" s="1">
        <v>1363</v>
      </c>
      <c r="AG533" s="1">
        <v>38623.699999999997</v>
      </c>
      <c r="AH533" s="215">
        <f t="shared" si="88"/>
        <v>5.5772689450623858E-3</v>
      </c>
      <c r="AI533" s="215">
        <f t="shared" si="83"/>
        <v>3.6876355748373113E-2</v>
      </c>
      <c r="AJ533" s="231">
        <v>31858</v>
      </c>
      <c r="AL533" s="254"/>
      <c r="AQ533" s="215" t="str">
        <f t="shared" si="89"/>
        <v>NA</v>
      </c>
      <c r="AR533" s="215" t="str">
        <f t="shared" si="84"/>
        <v>NA</v>
      </c>
    </row>
    <row r="534" spans="2:44">
      <c r="B534" s="230">
        <v>43871</v>
      </c>
      <c r="C534" s="1">
        <v>294.3</v>
      </c>
      <c r="D534" s="1">
        <v>293.53427065026301</v>
      </c>
      <c r="E534" s="1">
        <v>569</v>
      </c>
      <c r="F534" s="215">
        <v>40979.620000000003</v>
      </c>
      <c r="G534" s="215">
        <f t="shared" si="85"/>
        <v>-5.738528644361085E-3</v>
      </c>
      <c r="H534" s="215">
        <f t="shared" si="80"/>
        <v>-8.9240612897792948E-3</v>
      </c>
      <c r="I534" s="231">
        <v>167021</v>
      </c>
      <c r="K534" s="230">
        <v>43871</v>
      </c>
      <c r="L534" s="1">
        <v>221.3</v>
      </c>
      <c r="M534" s="1">
        <v>220.43060281964</v>
      </c>
      <c r="N534" s="1">
        <v>8228</v>
      </c>
      <c r="O534" s="1">
        <v>40979.620000000003</v>
      </c>
      <c r="P534" s="215">
        <f t="shared" si="86"/>
        <v>-5.738528644361085E-3</v>
      </c>
      <c r="Q534" s="215">
        <f t="shared" si="81"/>
        <v>3.4353820986211758E-2</v>
      </c>
      <c r="R534" s="231">
        <v>1813703</v>
      </c>
      <c r="T534" s="230">
        <v>43871</v>
      </c>
      <c r="U534" s="1">
        <v>46.05</v>
      </c>
      <c r="V534" s="1">
        <v>46.080932012606901</v>
      </c>
      <c r="W534" s="1">
        <v>17768</v>
      </c>
      <c r="X534" s="1">
        <v>40979.620000000003</v>
      </c>
      <c r="Y534" s="215">
        <f t="shared" si="87"/>
        <v>-5.738528644361085E-3</v>
      </c>
      <c r="Z534" s="215">
        <f t="shared" si="82"/>
        <v>1.0976948408342402E-2</v>
      </c>
      <c r="AA534" s="231">
        <v>818766</v>
      </c>
      <c r="AC534" s="230">
        <v>43894</v>
      </c>
      <c r="AD534" s="1">
        <v>23.05</v>
      </c>
      <c r="AE534" s="1">
        <v>23.931515535827501</v>
      </c>
      <c r="AF534" s="1">
        <v>1577</v>
      </c>
      <c r="AG534" s="1">
        <v>38409.480000000003</v>
      </c>
      <c r="AH534" s="215">
        <f t="shared" si="88"/>
        <v>-1.5890052172293778E-3</v>
      </c>
      <c r="AI534" s="215">
        <f t="shared" si="83"/>
        <v>-1.9148936170212738E-2</v>
      </c>
      <c r="AJ534" s="231">
        <v>37740</v>
      </c>
      <c r="AL534" s="254"/>
      <c r="AQ534" s="215" t="str">
        <f t="shared" si="89"/>
        <v>NA</v>
      </c>
      <c r="AR534" s="215" t="str">
        <f t="shared" si="84"/>
        <v>NA</v>
      </c>
    </row>
    <row r="535" spans="2:44">
      <c r="B535" s="230">
        <v>43872</v>
      </c>
      <c r="C535" s="1">
        <v>296.95</v>
      </c>
      <c r="D535" s="1">
        <v>295.27142857142798</v>
      </c>
      <c r="E535" s="1">
        <v>1050</v>
      </c>
      <c r="F535" s="215">
        <v>41216.14</v>
      </c>
      <c r="G535" s="215">
        <f t="shared" si="85"/>
        <v>-8.4145898440789457E-3</v>
      </c>
      <c r="H535" s="215">
        <f t="shared" si="80"/>
        <v>1.1237868210454582E-2</v>
      </c>
      <c r="I535" s="231">
        <v>310035</v>
      </c>
      <c r="K535" s="230">
        <v>43872</v>
      </c>
      <c r="L535" s="1">
        <v>213.95</v>
      </c>
      <c r="M535" s="1">
        <v>214.76161388844201</v>
      </c>
      <c r="N535" s="1">
        <v>24884</v>
      </c>
      <c r="O535" s="1">
        <v>41216.14</v>
      </c>
      <c r="P535" s="215">
        <f t="shared" si="86"/>
        <v>-8.4145898440789457E-3</v>
      </c>
      <c r="Q535" s="215">
        <f t="shared" si="81"/>
        <v>2.0267048164043899E-2</v>
      </c>
      <c r="R535" s="231">
        <v>5344128</v>
      </c>
      <c r="T535" s="230">
        <v>43872</v>
      </c>
      <c r="U535" s="1">
        <v>45.55</v>
      </c>
      <c r="V535" s="1">
        <v>46.188032676733698</v>
      </c>
      <c r="W535" s="1">
        <v>28277</v>
      </c>
      <c r="X535" s="1">
        <v>41216.14</v>
      </c>
      <c r="Y535" s="215">
        <f t="shared" si="87"/>
        <v>-8.4145898440789457E-3</v>
      </c>
      <c r="Z535" s="215">
        <f t="shared" si="82"/>
        <v>1.787709497206702E-2</v>
      </c>
      <c r="AA535" s="231">
        <v>1306059</v>
      </c>
      <c r="AC535" s="230">
        <v>43895</v>
      </c>
      <c r="AD535" s="1">
        <v>23.5</v>
      </c>
      <c r="AE535" s="1">
        <v>23.581712062256798</v>
      </c>
      <c r="AF535" s="1">
        <v>514</v>
      </c>
      <c r="AG535" s="1">
        <v>38470.61</v>
      </c>
      <c r="AH535" s="215">
        <f t="shared" si="88"/>
        <v>2.3791123310185958E-2</v>
      </c>
      <c r="AI535" s="215">
        <f t="shared" si="83"/>
        <v>1.0752688172043001E-2</v>
      </c>
      <c r="AJ535" s="231">
        <v>12121</v>
      </c>
      <c r="AL535" s="254"/>
      <c r="AQ535" s="215" t="str">
        <f t="shared" si="89"/>
        <v>NA</v>
      </c>
      <c r="AR535" s="215" t="str">
        <f t="shared" si="84"/>
        <v>NA</v>
      </c>
    </row>
    <row r="536" spans="2:44">
      <c r="B536" s="230">
        <v>43873</v>
      </c>
      <c r="C536" s="1">
        <v>293.64999999999998</v>
      </c>
      <c r="D536" s="1">
        <v>294.67788461538402</v>
      </c>
      <c r="E536" s="1">
        <v>208</v>
      </c>
      <c r="F536" s="215">
        <v>41565.9</v>
      </c>
      <c r="G536" s="215">
        <f t="shared" si="85"/>
        <v>2.5593472615272894E-3</v>
      </c>
      <c r="H536" s="215">
        <f t="shared" si="80"/>
        <v>-5.167124172452775E-2</v>
      </c>
      <c r="I536" s="231">
        <v>61293</v>
      </c>
      <c r="K536" s="230">
        <v>43873</v>
      </c>
      <c r="L536" s="1">
        <v>209.7</v>
      </c>
      <c r="M536" s="1">
        <v>209.92202859696101</v>
      </c>
      <c r="N536" s="1">
        <v>4476</v>
      </c>
      <c r="O536" s="1">
        <v>41565.9</v>
      </c>
      <c r="P536" s="215">
        <f t="shared" si="86"/>
        <v>2.5593472615272894E-3</v>
      </c>
      <c r="Q536" s="215">
        <f t="shared" si="81"/>
        <v>1.7714147051686391E-2</v>
      </c>
      <c r="R536" s="231">
        <v>939611</v>
      </c>
      <c r="T536" s="230">
        <v>43873</v>
      </c>
      <c r="U536" s="1">
        <v>44.75</v>
      </c>
      <c r="V536" s="1">
        <v>45.0692922162362</v>
      </c>
      <c r="W536" s="1">
        <v>43064</v>
      </c>
      <c r="X536" s="1">
        <v>41565.9</v>
      </c>
      <c r="Y536" s="215">
        <f t="shared" si="87"/>
        <v>2.5593472615272894E-3</v>
      </c>
      <c r="Z536" s="215">
        <f t="shared" si="82"/>
        <v>-4.4493882091213299E-3</v>
      </c>
      <c r="AA536" s="231">
        <v>1940864</v>
      </c>
      <c r="AC536" s="230">
        <v>43896</v>
      </c>
      <c r="AD536" s="1">
        <v>23.25</v>
      </c>
      <c r="AE536" s="1">
        <v>23.255434782608599</v>
      </c>
      <c r="AF536" s="1">
        <v>368</v>
      </c>
      <c r="AG536" s="1">
        <v>37576.620000000003</v>
      </c>
      <c r="AH536" s="215">
        <f t="shared" si="88"/>
        <v>5.4487799197136644E-2</v>
      </c>
      <c r="AI536" s="215">
        <f t="shared" si="83"/>
        <v>4.2600896860986559E-2</v>
      </c>
      <c r="AJ536" s="231">
        <v>8558</v>
      </c>
      <c r="AL536" s="254"/>
      <c r="AQ536" s="215" t="str">
        <f t="shared" si="89"/>
        <v>NA</v>
      </c>
      <c r="AR536" s="215" t="str">
        <f t="shared" si="84"/>
        <v>NA</v>
      </c>
    </row>
    <row r="537" spans="2:44">
      <c r="B537" s="230">
        <v>43874</v>
      </c>
      <c r="C537" s="1">
        <v>309.64999999999998</v>
      </c>
      <c r="D537" s="1">
        <v>308.973396353814</v>
      </c>
      <c r="E537" s="1">
        <v>7405</v>
      </c>
      <c r="F537" s="215">
        <v>41459.79</v>
      </c>
      <c r="G537" s="215">
        <f t="shared" si="85"/>
        <v>4.8972629135770607E-3</v>
      </c>
      <c r="H537" s="215">
        <f t="shared" si="80"/>
        <v>8.8592019687115497E-2</v>
      </c>
      <c r="I537" s="231">
        <v>2287948</v>
      </c>
      <c r="K537" s="230">
        <v>43874</v>
      </c>
      <c r="L537" s="1">
        <v>206.05</v>
      </c>
      <c r="M537" s="1">
        <v>206.84995586937299</v>
      </c>
      <c r="N537" s="1">
        <v>1133</v>
      </c>
      <c r="O537" s="1">
        <v>41459.79</v>
      </c>
      <c r="P537" s="215">
        <f t="shared" si="86"/>
        <v>4.8972629135770607E-3</v>
      </c>
      <c r="Q537" s="215">
        <f t="shared" si="81"/>
        <v>-2.1791767554478758E-3</v>
      </c>
      <c r="R537" s="231">
        <v>234361</v>
      </c>
      <c r="T537" s="230">
        <v>43874</v>
      </c>
      <c r="U537" s="1">
        <v>44.95</v>
      </c>
      <c r="V537" s="1">
        <v>44.463724689003897</v>
      </c>
      <c r="W537" s="1">
        <v>33039</v>
      </c>
      <c r="X537" s="1">
        <v>41459.79</v>
      </c>
      <c r="Y537" s="215">
        <f t="shared" si="87"/>
        <v>4.8972629135770607E-3</v>
      </c>
      <c r="Z537" s="215">
        <f t="shared" si="82"/>
        <v>1.9274376417233618E-2</v>
      </c>
      <c r="AA537" s="231">
        <v>1469037</v>
      </c>
      <c r="AC537" s="230">
        <v>43899</v>
      </c>
      <c r="AD537" s="1">
        <v>22.3</v>
      </c>
      <c r="AE537" s="1">
        <v>22.3720930232558</v>
      </c>
      <c r="AF537" s="1">
        <v>1419</v>
      </c>
      <c r="AG537" s="1">
        <v>35634.949999999997</v>
      </c>
      <c r="AH537" s="215">
        <f t="shared" si="88"/>
        <v>-1.74942712914683E-3</v>
      </c>
      <c r="AI537" s="215">
        <f t="shared" si="83"/>
        <v>-8.8888888888888351E-3</v>
      </c>
      <c r="AJ537" s="231">
        <v>31746</v>
      </c>
      <c r="AL537" s="254"/>
      <c r="AQ537" s="215" t="str">
        <f t="shared" si="89"/>
        <v>NA</v>
      </c>
      <c r="AR537" s="215" t="str">
        <f t="shared" si="84"/>
        <v>NA</v>
      </c>
    </row>
    <row r="538" spans="2:44">
      <c r="B538" s="230">
        <v>43875</v>
      </c>
      <c r="C538" s="1">
        <v>284.45</v>
      </c>
      <c r="D538" s="1">
        <v>283.04716981131997</v>
      </c>
      <c r="E538" s="1">
        <v>2756</v>
      </c>
      <c r="F538" s="215">
        <v>41257.74</v>
      </c>
      <c r="G538" s="215">
        <f t="shared" si="85"/>
        <v>4.9213641276031339E-3</v>
      </c>
      <c r="H538" s="215">
        <f t="shared" si="80"/>
        <v>2.3201438848920786E-2</v>
      </c>
      <c r="I538" s="231">
        <v>780078</v>
      </c>
      <c r="K538" s="230">
        <v>43875</v>
      </c>
      <c r="L538" s="1">
        <v>206.5</v>
      </c>
      <c r="M538" s="1">
        <v>209.01144873891701</v>
      </c>
      <c r="N538" s="1">
        <v>11617</v>
      </c>
      <c r="O538" s="1">
        <v>41257.74</v>
      </c>
      <c r="P538" s="215">
        <f t="shared" si="86"/>
        <v>4.9213641276031339E-3</v>
      </c>
      <c r="Q538" s="215">
        <f t="shared" si="81"/>
        <v>4.5304986079473419E-2</v>
      </c>
      <c r="R538" s="231">
        <v>2428086</v>
      </c>
      <c r="T538" s="230">
        <v>43875</v>
      </c>
      <c r="U538" s="1">
        <v>44.1</v>
      </c>
      <c r="V538" s="1">
        <v>44.789559248554902</v>
      </c>
      <c r="W538" s="1">
        <v>27680</v>
      </c>
      <c r="X538" s="1">
        <v>41257.74</v>
      </c>
      <c r="Y538" s="215">
        <f t="shared" si="87"/>
        <v>4.9213641276031339E-3</v>
      </c>
      <c r="Z538" s="215">
        <f t="shared" si="82"/>
        <v>4.2553191489361764E-2</v>
      </c>
      <c r="AA538" s="231">
        <v>1239775</v>
      </c>
      <c r="AC538" s="230">
        <v>43901</v>
      </c>
      <c r="AD538" s="1">
        <v>22.5</v>
      </c>
      <c r="AE538" s="1">
        <v>22.256495669553601</v>
      </c>
      <c r="AF538" s="1">
        <v>1501</v>
      </c>
      <c r="AG538" s="1">
        <v>35697.4</v>
      </c>
      <c r="AH538" s="215">
        <f t="shared" si="88"/>
        <v>8.9061185289952549E-2</v>
      </c>
      <c r="AI538" s="215">
        <f t="shared" si="83"/>
        <v>-1.5317286652078876E-2</v>
      </c>
      <c r="AJ538" s="231">
        <v>33407</v>
      </c>
      <c r="AL538" s="254"/>
      <c r="AQ538" s="215" t="str">
        <f t="shared" si="89"/>
        <v>NA</v>
      </c>
      <c r="AR538" s="215" t="str">
        <f t="shared" si="84"/>
        <v>NA</v>
      </c>
    </row>
    <row r="539" spans="2:44">
      <c r="B539" s="230">
        <v>43878</v>
      </c>
      <c r="C539" s="1">
        <v>278</v>
      </c>
      <c r="D539" s="1">
        <v>281.23656618610698</v>
      </c>
      <c r="E539" s="1">
        <v>1526</v>
      </c>
      <c r="F539" s="215">
        <v>41055.69</v>
      </c>
      <c r="G539" s="215">
        <f t="shared" si="85"/>
        <v>3.9445517941585351E-3</v>
      </c>
      <c r="H539" s="215">
        <f t="shared" si="80"/>
        <v>5.606800506420706E-3</v>
      </c>
      <c r="I539" s="231">
        <v>429167</v>
      </c>
      <c r="K539" s="230">
        <v>43878</v>
      </c>
      <c r="L539" s="1">
        <v>197.55</v>
      </c>
      <c r="M539" s="1">
        <v>200.18338222468799</v>
      </c>
      <c r="N539" s="1">
        <v>12613</v>
      </c>
      <c r="O539" s="1">
        <v>41055.69</v>
      </c>
      <c r="P539" s="215">
        <f t="shared" si="86"/>
        <v>3.9445517941585351E-3</v>
      </c>
      <c r="Q539" s="215">
        <f t="shared" si="81"/>
        <v>-4.0087463556851333E-2</v>
      </c>
      <c r="R539" s="231">
        <v>2524913</v>
      </c>
      <c r="T539" s="230">
        <v>43878</v>
      </c>
      <c r="U539" s="1">
        <v>42.3</v>
      </c>
      <c r="V539" s="1">
        <v>42.758974358974299</v>
      </c>
      <c r="W539" s="1">
        <v>46800</v>
      </c>
      <c r="X539" s="1">
        <v>41055.69</v>
      </c>
      <c r="Y539" s="215">
        <f t="shared" si="87"/>
        <v>3.9445517941585351E-3</v>
      </c>
      <c r="Z539" s="215">
        <f t="shared" si="82"/>
        <v>2.6699029126213469E-2</v>
      </c>
      <c r="AA539" s="231">
        <v>2001120</v>
      </c>
      <c r="AC539" s="230">
        <v>43902</v>
      </c>
      <c r="AD539" s="1">
        <v>22.85</v>
      </c>
      <c r="AE539" s="1">
        <v>22.089168162776701</v>
      </c>
      <c r="AF539" s="1">
        <v>5013</v>
      </c>
      <c r="AG539" s="1">
        <v>32778.14</v>
      </c>
      <c r="AH539" s="215">
        <f t="shared" si="88"/>
        <v>-3.8862309652856641E-2</v>
      </c>
      <c r="AI539" s="215">
        <f t="shared" si="83"/>
        <v>8.0378250591016664E-2</v>
      </c>
      <c r="AJ539" s="231">
        <v>110733</v>
      </c>
      <c r="AL539" s="254"/>
      <c r="AQ539" s="215" t="str">
        <f t="shared" si="89"/>
        <v>NA</v>
      </c>
      <c r="AR539" s="215" t="str">
        <f t="shared" si="84"/>
        <v>NA</v>
      </c>
    </row>
    <row r="540" spans="2:44">
      <c r="B540" s="230">
        <v>43879</v>
      </c>
      <c r="C540" s="1">
        <v>276.45</v>
      </c>
      <c r="D540" s="1">
        <v>278.48901098901001</v>
      </c>
      <c r="E540" s="1">
        <v>1092</v>
      </c>
      <c r="F540" s="215">
        <v>40894.379999999997</v>
      </c>
      <c r="G540" s="215">
        <f t="shared" si="85"/>
        <v>-1.0372431817631922E-2</v>
      </c>
      <c r="H540" s="215">
        <f t="shared" si="80"/>
        <v>-6.0811958552743461E-2</v>
      </c>
      <c r="I540" s="231">
        <v>304110</v>
      </c>
      <c r="K540" s="230">
        <v>43879</v>
      </c>
      <c r="L540" s="1">
        <v>205.8</v>
      </c>
      <c r="M540" s="1">
        <v>202.53688602313599</v>
      </c>
      <c r="N540" s="1">
        <v>5273</v>
      </c>
      <c r="O540" s="1">
        <v>40894.379999999997</v>
      </c>
      <c r="P540" s="215">
        <f t="shared" si="86"/>
        <v>-1.0372431817631922E-2</v>
      </c>
      <c r="Q540" s="215">
        <f t="shared" si="81"/>
        <v>3.2873274780426565E-2</v>
      </c>
      <c r="R540" s="231">
        <v>1067977</v>
      </c>
      <c r="T540" s="230">
        <v>43879</v>
      </c>
      <c r="U540" s="1">
        <v>41.2</v>
      </c>
      <c r="V540" s="1">
        <v>40.785072987303799</v>
      </c>
      <c r="W540" s="1">
        <v>47337</v>
      </c>
      <c r="X540" s="1">
        <v>40894.379999999997</v>
      </c>
      <c r="Y540" s="215">
        <f t="shared" si="87"/>
        <v>-1.0372431817631922E-2</v>
      </c>
      <c r="Z540" s="215">
        <f t="shared" si="82"/>
        <v>-1.4354066985645786E-2</v>
      </c>
      <c r="AA540" s="231">
        <v>1930643</v>
      </c>
      <c r="AC540" s="230">
        <v>43903</v>
      </c>
      <c r="AD540" s="1">
        <v>21.15</v>
      </c>
      <c r="AE540" s="1">
        <v>21.078836110420198</v>
      </c>
      <c r="AF540" s="1">
        <v>4021</v>
      </c>
      <c r="AG540" s="1">
        <v>34103.480000000003</v>
      </c>
      <c r="AH540" s="215">
        <f t="shared" si="88"/>
        <v>8.6441667699371338E-2</v>
      </c>
      <c r="AI540" s="215">
        <f t="shared" si="83"/>
        <v>0</v>
      </c>
      <c r="AJ540" s="231">
        <v>84758</v>
      </c>
      <c r="AL540" s="254"/>
      <c r="AQ540" s="215" t="str">
        <f t="shared" si="89"/>
        <v>NA</v>
      </c>
      <c r="AR540" s="215" t="str">
        <f t="shared" si="84"/>
        <v>NA</v>
      </c>
    </row>
    <row r="541" spans="2:44">
      <c r="B541" s="230">
        <v>43880</v>
      </c>
      <c r="C541" s="1">
        <v>294.35000000000002</v>
      </c>
      <c r="D541" s="1">
        <v>286.85402960526301</v>
      </c>
      <c r="E541" s="1">
        <v>2432</v>
      </c>
      <c r="F541" s="215">
        <v>41323</v>
      </c>
      <c r="G541" s="215">
        <f t="shared" si="85"/>
        <v>3.7133727081679613E-3</v>
      </c>
      <c r="H541" s="215">
        <f t="shared" si="80"/>
        <v>2.8656299143805963E-2</v>
      </c>
      <c r="I541" s="231">
        <v>697629</v>
      </c>
      <c r="K541" s="230">
        <v>43880</v>
      </c>
      <c r="L541" s="1">
        <v>199.25</v>
      </c>
      <c r="M541" s="1">
        <v>206.00809352517899</v>
      </c>
      <c r="N541" s="1">
        <v>2224</v>
      </c>
      <c r="O541" s="1">
        <v>41323</v>
      </c>
      <c r="P541" s="215">
        <f t="shared" si="86"/>
        <v>3.7133727081679613E-3</v>
      </c>
      <c r="Q541" s="215">
        <f t="shared" si="81"/>
        <v>4.5374338290899985E-3</v>
      </c>
      <c r="R541" s="231">
        <v>458162</v>
      </c>
      <c r="T541" s="230">
        <v>43880</v>
      </c>
      <c r="U541" s="1">
        <v>41.8</v>
      </c>
      <c r="V541" s="1">
        <v>41.897954102170303</v>
      </c>
      <c r="W541" s="1">
        <v>24097</v>
      </c>
      <c r="X541" s="1">
        <v>41323</v>
      </c>
      <c r="Y541" s="215">
        <f t="shared" si="87"/>
        <v>3.7133727081679613E-3</v>
      </c>
      <c r="Z541" s="215">
        <f t="shared" si="82"/>
        <v>-2.1077283372365474E-2</v>
      </c>
      <c r="AA541" s="231">
        <v>1009615</v>
      </c>
      <c r="AC541" s="230">
        <v>43906</v>
      </c>
      <c r="AD541" s="1">
        <v>21.15</v>
      </c>
      <c r="AE541" s="1">
        <v>22.304104477611901</v>
      </c>
      <c r="AF541" s="1">
        <v>536</v>
      </c>
      <c r="AG541" s="1">
        <v>31390.07</v>
      </c>
      <c r="AH541" s="215">
        <f t="shared" si="88"/>
        <v>2.6520736882621465E-2</v>
      </c>
      <c r="AI541" s="215">
        <f t="shared" si="83"/>
        <v>-1.3986013986014068E-2</v>
      </c>
      <c r="AJ541" s="231">
        <v>11955</v>
      </c>
      <c r="AL541" s="254"/>
      <c r="AQ541" s="215" t="str">
        <f t="shared" si="89"/>
        <v>NA</v>
      </c>
      <c r="AR541" s="215" t="str">
        <f t="shared" si="84"/>
        <v>NA</v>
      </c>
    </row>
    <row r="542" spans="2:44">
      <c r="B542" s="230">
        <v>43881</v>
      </c>
      <c r="C542" s="1">
        <v>286.14999999999998</v>
      </c>
      <c r="D542" s="1">
        <v>289.48604011010599</v>
      </c>
      <c r="E542" s="1">
        <v>2543</v>
      </c>
      <c r="F542" s="215">
        <v>41170.120000000003</v>
      </c>
      <c r="G542" s="215">
        <f t="shared" si="85"/>
        <v>1.9990719275934987E-2</v>
      </c>
      <c r="H542" s="215">
        <f t="shared" si="80"/>
        <v>0.1005769230769229</v>
      </c>
      <c r="I542" s="231">
        <v>736163</v>
      </c>
      <c r="K542" s="230">
        <v>43881</v>
      </c>
      <c r="L542" s="1">
        <v>198.35</v>
      </c>
      <c r="M542" s="1">
        <v>198.02373685995201</v>
      </c>
      <c r="N542" s="1">
        <v>2949</v>
      </c>
      <c r="O542" s="1">
        <v>41170.120000000003</v>
      </c>
      <c r="P542" s="215">
        <f t="shared" si="86"/>
        <v>1.9990719275934987E-2</v>
      </c>
      <c r="Q542" s="215">
        <f t="shared" si="81"/>
        <v>6.2968917470525243E-2</v>
      </c>
      <c r="R542" s="231">
        <v>583972</v>
      </c>
      <c r="T542" s="230">
        <v>43881</v>
      </c>
      <c r="U542" s="1">
        <v>42.7</v>
      </c>
      <c r="V542" s="1">
        <v>42.7078092660404</v>
      </c>
      <c r="W542" s="1">
        <v>25124</v>
      </c>
      <c r="X542" s="1">
        <v>41170.120000000003</v>
      </c>
      <c r="Y542" s="215">
        <f t="shared" si="87"/>
        <v>1.9990719275934987E-2</v>
      </c>
      <c r="Z542" s="215">
        <f t="shared" si="82"/>
        <v>3.5151515151515156E-2</v>
      </c>
      <c r="AA542" s="231">
        <v>1072991</v>
      </c>
      <c r="AC542" s="230">
        <v>43907</v>
      </c>
      <c r="AD542" s="1">
        <v>21.45</v>
      </c>
      <c r="AE542" s="1">
        <v>21.1462799495586</v>
      </c>
      <c r="AF542" s="1">
        <v>3172</v>
      </c>
      <c r="AG542" s="1">
        <v>30579.09</v>
      </c>
      <c r="AH542" s="215">
        <f t="shared" si="88"/>
        <v>5.9217492780445635E-2</v>
      </c>
      <c r="AI542" s="215">
        <f t="shared" si="83"/>
        <v>-2.3255813953488857E-3</v>
      </c>
      <c r="AJ542" s="231">
        <v>67076</v>
      </c>
      <c r="AL542" s="254"/>
      <c r="AQ542" s="215" t="str">
        <f t="shared" si="89"/>
        <v>NA</v>
      </c>
      <c r="AR542" s="215" t="str">
        <f t="shared" si="84"/>
        <v>NA</v>
      </c>
    </row>
    <row r="543" spans="2:44">
      <c r="B543" s="230">
        <v>43885</v>
      </c>
      <c r="C543" s="1">
        <v>260</v>
      </c>
      <c r="D543" s="1">
        <v>267.36077676135397</v>
      </c>
      <c r="E543" s="1">
        <v>12462</v>
      </c>
      <c r="F543" s="215">
        <v>40363.230000000003</v>
      </c>
      <c r="G543" s="215">
        <f t="shared" si="85"/>
        <v>2.036433869894827E-3</v>
      </c>
      <c r="H543" s="215">
        <f t="shared" si="80"/>
        <v>-3.703703703703709E-2</v>
      </c>
      <c r="I543" s="231">
        <v>3331850</v>
      </c>
      <c r="K543" s="230">
        <v>43885</v>
      </c>
      <c r="L543" s="1">
        <v>186.6</v>
      </c>
      <c r="M543" s="1">
        <v>189.52256146987301</v>
      </c>
      <c r="N543" s="1">
        <v>3701</v>
      </c>
      <c r="O543" s="1">
        <v>40363.230000000003</v>
      </c>
      <c r="P543" s="215">
        <f t="shared" si="86"/>
        <v>2.036433869894827E-3</v>
      </c>
      <c r="Q543" s="215">
        <f t="shared" si="81"/>
        <v>3.4081463009143942E-2</v>
      </c>
      <c r="R543" s="231">
        <v>701423</v>
      </c>
      <c r="T543" s="230">
        <v>43885</v>
      </c>
      <c r="U543" s="1">
        <v>41.25</v>
      </c>
      <c r="V543" s="1">
        <v>41.883129411764699</v>
      </c>
      <c r="W543" s="1">
        <v>42500</v>
      </c>
      <c r="X543" s="1">
        <v>40363.230000000003</v>
      </c>
      <c r="Y543" s="215">
        <f t="shared" si="87"/>
        <v>2.036433869894827E-3</v>
      </c>
      <c r="Z543" s="215">
        <f t="shared" si="82"/>
        <v>2.430133657351119E-3</v>
      </c>
      <c r="AA543" s="231">
        <v>1780033</v>
      </c>
      <c r="AC543" s="230">
        <v>43908</v>
      </c>
      <c r="AD543" s="1">
        <v>21.5</v>
      </c>
      <c r="AE543" s="1">
        <v>21.5</v>
      </c>
      <c r="AF543" s="1">
        <v>100</v>
      </c>
      <c r="AG543" s="1">
        <v>28869.51</v>
      </c>
      <c r="AH543" s="215">
        <f t="shared" si="88"/>
        <v>2.054847546134897E-2</v>
      </c>
      <c r="AI543" s="215">
        <f t="shared" si="83"/>
        <v>4.3689320388349495E-2</v>
      </c>
      <c r="AJ543" s="231">
        <v>2150</v>
      </c>
      <c r="AL543" s="254"/>
      <c r="AQ543" s="215" t="str">
        <f t="shared" si="89"/>
        <v>NA</v>
      </c>
      <c r="AR543" s="215" t="str">
        <f t="shared" si="84"/>
        <v>NA</v>
      </c>
    </row>
    <row r="544" spans="2:44">
      <c r="B544" s="230">
        <v>43886</v>
      </c>
      <c r="C544" s="1">
        <v>270</v>
      </c>
      <c r="D544" s="1">
        <v>265.13605130554203</v>
      </c>
      <c r="E544" s="1">
        <v>2183</v>
      </c>
      <c r="F544" s="215">
        <v>40281.199999999997</v>
      </c>
      <c r="G544" s="215">
        <f t="shared" si="85"/>
        <v>9.8332972331189872E-3</v>
      </c>
      <c r="H544" s="215">
        <f t="shared" si="80"/>
        <v>1.8867924528301883E-2</v>
      </c>
      <c r="I544" s="231">
        <v>578792</v>
      </c>
      <c r="K544" s="230">
        <v>43886</v>
      </c>
      <c r="L544" s="1">
        <v>180.45</v>
      </c>
      <c r="M544" s="1">
        <v>183.77186544342501</v>
      </c>
      <c r="N544" s="1">
        <v>3270</v>
      </c>
      <c r="O544" s="1">
        <v>40281.199999999997</v>
      </c>
      <c r="P544" s="215">
        <f t="shared" si="86"/>
        <v>9.8332972331189872E-3</v>
      </c>
      <c r="Q544" s="215">
        <f t="shared" si="81"/>
        <v>-2.3538961038961137E-2</v>
      </c>
      <c r="R544" s="231">
        <v>600934</v>
      </c>
      <c r="T544" s="230">
        <v>43886</v>
      </c>
      <c r="U544" s="1">
        <v>41.15</v>
      </c>
      <c r="V544" s="1">
        <v>41.212491951062397</v>
      </c>
      <c r="W544" s="1">
        <v>6212</v>
      </c>
      <c r="X544" s="1">
        <v>40281.199999999997</v>
      </c>
      <c r="Y544" s="215">
        <f t="shared" si="87"/>
        <v>9.8332972331189872E-3</v>
      </c>
      <c r="Z544" s="215">
        <f t="shared" si="82"/>
        <v>3.6523929471032668E-2</v>
      </c>
      <c r="AA544" s="231">
        <v>256012</v>
      </c>
      <c r="AC544" s="230">
        <v>43909</v>
      </c>
      <c r="AD544" s="1">
        <v>20.6</v>
      </c>
      <c r="AE544" s="1">
        <v>20.691500524658899</v>
      </c>
      <c r="AF544" s="1">
        <v>953</v>
      </c>
      <c r="AG544" s="1">
        <v>28288.23</v>
      </c>
      <c r="AH544" s="215">
        <f t="shared" si="88"/>
        <v>-5.4410087458333312E-2</v>
      </c>
      <c r="AI544" s="215">
        <f t="shared" si="83"/>
        <v>-2.8301886792452713E-2</v>
      </c>
      <c r="AJ544" s="231">
        <v>19719</v>
      </c>
      <c r="AL544" s="254"/>
      <c r="AQ544" s="215" t="str">
        <f t="shared" si="89"/>
        <v>NA</v>
      </c>
      <c r="AR544" s="215" t="str">
        <f t="shared" si="84"/>
        <v>NA</v>
      </c>
    </row>
    <row r="545" spans="2:44">
      <c r="B545" s="230">
        <v>43887</v>
      </c>
      <c r="C545" s="1">
        <v>265</v>
      </c>
      <c r="D545" s="1">
        <v>262.598226466575</v>
      </c>
      <c r="E545" s="1">
        <v>1466</v>
      </c>
      <c r="F545" s="215">
        <v>39888.959999999999</v>
      </c>
      <c r="G545" s="215">
        <f t="shared" si="85"/>
        <v>3.6054250954693501E-3</v>
      </c>
      <c r="H545" s="215">
        <f t="shared" si="80"/>
        <v>5.5018023145512185E-3</v>
      </c>
      <c r="I545" s="231">
        <v>384969</v>
      </c>
      <c r="K545" s="230">
        <v>43887</v>
      </c>
      <c r="L545" s="1">
        <v>184.8</v>
      </c>
      <c r="M545" s="1">
        <v>189.619599578503</v>
      </c>
      <c r="N545" s="1">
        <v>10439</v>
      </c>
      <c r="O545" s="1">
        <v>39888.959999999999</v>
      </c>
      <c r="P545" s="215">
        <f t="shared" si="86"/>
        <v>3.6054250954693501E-3</v>
      </c>
      <c r="Q545" s="215">
        <f t="shared" si="81"/>
        <v>4.7322187588552111E-2</v>
      </c>
      <c r="R545" s="231">
        <v>1979439</v>
      </c>
      <c r="T545" s="230">
        <v>43887</v>
      </c>
      <c r="U545" s="1">
        <v>39.700000000000003</v>
      </c>
      <c r="V545" s="1">
        <v>40.044491063644202</v>
      </c>
      <c r="W545" s="1">
        <v>36704</v>
      </c>
      <c r="X545" s="1">
        <v>39888.959999999999</v>
      </c>
      <c r="Y545" s="215">
        <f t="shared" si="87"/>
        <v>3.6054250954693501E-3</v>
      </c>
      <c r="Z545" s="215">
        <f t="shared" si="82"/>
        <v>-2.5125628140701961E-3</v>
      </c>
      <c r="AA545" s="231">
        <v>1469793</v>
      </c>
      <c r="AC545" s="230">
        <v>43910</v>
      </c>
      <c r="AD545" s="1">
        <v>21.2</v>
      </c>
      <c r="AE545" s="1">
        <v>21.449685534591101</v>
      </c>
      <c r="AF545" s="1">
        <v>318</v>
      </c>
      <c r="AG545" s="1">
        <v>29915.96</v>
      </c>
      <c r="AH545" s="215">
        <f t="shared" si="88"/>
        <v>0.15144465776075333</v>
      </c>
      <c r="AI545" s="215">
        <f t="shared" si="83"/>
        <v>6.0000000000000053E-2</v>
      </c>
      <c r="AJ545" s="231">
        <v>6821</v>
      </c>
      <c r="AL545" s="254"/>
      <c r="AQ545" s="215" t="str">
        <f t="shared" si="89"/>
        <v>NA</v>
      </c>
      <c r="AR545" s="215" t="str">
        <f t="shared" si="84"/>
        <v>NA</v>
      </c>
    </row>
    <row r="546" spans="2:44">
      <c r="B546" s="230">
        <v>43888</v>
      </c>
      <c r="C546" s="1">
        <v>263.55</v>
      </c>
      <c r="D546" s="1">
        <v>263.33752860411801</v>
      </c>
      <c r="E546" s="1">
        <v>874</v>
      </c>
      <c r="F546" s="215">
        <v>39745.660000000003</v>
      </c>
      <c r="G546" s="215">
        <f t="shared" si="85"/>
        <v>3.7819125060807313E-2</v>
      </c>
      <c r="H546" s="215">
        <f t="shared" si="80"/>
        <v>-1.4950476546439884E-2</v>
      </c>
      <c r="I546" s="231">
        <v>230157</v>
      </c>
      <c r="K546" s="230">
        <v>43888</v>
      </c>
      <c r="L546" s="1">
        <v>176.45</v>
      </c>
      <c r="M546" s="1">
        <v>178.77465815861399</v>
      </c>
      <c r="N546" s="1">
        <v>5485</v>
      </c>
      <c r="O546" s="1">
        <v>39745.660000000003</v>
      </c>
      <c r="P546" s="215">
        <f t="shared" si="86"/>
        <v>3.7819125060807313E-2</v>
      </c>
      <c r="Q546" s="215">
        <f t="shared" si="81"/>
        <v>4.9360689860243667E-2</v>
      </c>
      <c r="R546" s="231">
        <v>980579</v>
      </c>
      <c r="T546" s="230">
        <v>43888</v>
      </c>
      <c r="U546" s="1">
        <v>39.799999999999997</v>
      </c>
      <c r="V546" s="1">
        <v>39.9162223012205</v>
      </c>
      <c r="W546" s="1">
        <v>25317</v>
      </c>
      <c r="X546" s="1">
        <v>39745.660000000003</v>
      </c>
      <c r="Y546" s="215">
        <f t="shared" si="87"/>
        <v>3.7819125060807313E-2</v>
      </c>
      <c r="Z546" s="215">
        <f t="shared" si="82"/>
        <v>8.4468664850136044E-2</v>
      </c>
      <c r="AA546" s="231">
        <v>1010559</v>
      </c>
      <c r="AC546" s="230">
        <v>43913</v>
      </c>
      <c r="AD546" s="1">
        <v>20</v>
      </c>
      <c r="AE546" s="1">
        <v>19.670239282153499</v>
      </c>
      <c r="AF546" s="1">
        <v>4012</v>
      </c>
      <c r="AG546" s="1">
        <v>25981.24</v>
      </c>
      <c r="AH546" s="215">
        <f t="shared" si="88"/>
        <v>-2.5972453356316927E-2</v>
      </c>
      <c r="AI546" s="215">
        <f t="shared" si="83"/>
        <v>0</v>
      </c>
      <c r="AJ546" s="231">
        <v>78917</v>
      </c>
      <c r="AL546" s="254"/>
      <c r="AQ546" s="215" t="str">
        <f t="shared" si="89"/>
        <v>NA</v>
      </c>
      <c r="AR546" s="215" t="str">
        <f t="shared" si="84"/>
        <v>NA</v>
      </c>
    </row>
    <row r="547" spans="2:44">
      <c r="B547" s="230">
        <v>43889</v>
      </c>
      <c r="C547" s="1">
        <v>267.55</v>
      </c>
      <c r="D547" s="1">
        <v>267.00140873415103</v>
      </c>
      <c r="E547" s="1">
        <v>4969</v>
      </c>
      <c r="F547" s="215">
        <v>38297.29</v>
      </c>
      <c r="G547" s="215">
        <f t="shared" si="85"/>
        <v>4.0181921045554514E-3</v>
      </c>
      <c r="H547" s="215">
        <f t="shared" si="80"/>
        <v>-1.2730627306273057E-2</v>
      </c>
      <c r="I547" s="231">
        <v>1326730</v>
      </c>
      <c r="K547" s="230">
        <v>43889</v>
      </c>
      <c r="L547" s="1">
        <v>168.15</v>
      </c>
      <c r="M547" s="1">
        <v>170.06749241658201</v>
      </c>
      <c r="N547" s="1">
        <v>3956</v>
      </c>
      <c r="O547" s="1">
        <v>38297.29</v>
      </c>
      <c r="P547" s="215">
        <f t="shared" si="86"/>
        <v>4.0181921045554514E-3</v>
      </c>
      <c r="Q547" s="215">
        <f t="shared" si="81"/>
        <v>8.3958020989505222E-3</v>
      </c>
      <c r="R547" s="231">
        <v>672787</v>
      </c>
      <c r="T547" s="230">
        <v>43889</v>
      </c>
      <c r="U547" s="1">
        <v>36.700000000000003</v>
      </c>
      <c r="V547" s="1">
        <v>37.037011660676797</v>
      </c>
      <c r="W547" s="1">
        <v>77354</v>
      </c>
      <c r="X547" s="1">
        <v>38297.29</v>
      </c>
      <c r="Y547" s="215">
        <f t="shared" si="87"/>
        <v>4.0181921045554514E-3</v>
      </c>
      <c r="Z547" s="215">
        <f t="shared" si="82"/>
        <v>-1.7402945113788482E-2</v>
      </c>
      <c r="AA547" s="231">
        <v>2864961</v>
      </c>
      <c r="AC547" s="230">
        <v>43914</v>
      </c>
      <c r="AD547" s="1">
        <v>20</v>
      </c>
      <c r="AE547" s="1">
        <v>19.393429225237</v>
      </c>
      <c r="AF547" s="1">
        <v>6118</v>
      </c>
      <c r="AG547" s="1">
        <v>26674.03</v>
      </c>
      <c r="AH547" s="215">
        <f t="shared" si="88"/>
        <v>-0.10928524178066623</v>
      </c>
      <c r="AI547" s="215">
        <f t="shared" si="83"/>
        <v>1.7811704834605591E-2</v>
      </c>
      <c r="AJ547" s="231">
        <v>118649</v>
      </c>
      <c r="AL547" s="254"/>
      <c r="AQ547" s="215" t="str">
        <f t="shared" si="89"/>
        <v>NA</v>
      </c>
      <c r="AR547" s="215" t="str">
        <f t="shared" si="84"/>
        <v>NA</v>
      </c>
    </row>
    <row r="548" spans="2:44">
      <c r="B548" s="230">
        <v>43892</v>
      </c>
      <c r="C548" s="1">
        <v>271</v>
      </c>
      <c r="D548" s="1">
        <v>271.97182130584099</v>
      </c>
      <c r="E548" s="1">
        <v>1455</v>
      </c>
      <c r="F548" s="215">
        <v>38144.019999999997</v>
      </c>
      <c r="G548" s="215">
        <f t="shared" si="85"/>
        <v>-1.2419317672827779E-2</v>
      </c>
      <c r="H548" s="215">
        <f t="shared" si="80"/>
        <v>-1.4545454545454528E-2</v>
      </c>
      <c r="I548" s="231">
        <v>395719</v>
      </c>
      <c r="K548" s="230">
        <v>43892</v>
      </c>
      <c r="L548" s="1">
        <v>166.75</v>
      </c>
      <c r="M548" s="1">
        <v>176.792201540436</v>
      </c>
      <c r="N548" s="1">
        <v>18696</v>
      </c>
      <c r="O548" s="1">
        <v>38144.019999999997</v>
      </c>
      <c r="P548" s="215">
        <f t="shared" si="86"/>
        <v>-1.2419317672827779E-2</v>
      </c>
      <c r="Q548" s="215">
        <f t="shared" si="81"/>
        <v>9.6881622767182041E-3</v>
      </c>
      <c r="R548" s="231">
        <v>3305307</v>
      </c>
      <c r="T548" s="230">
        <v>43892</v>
      </c>
      <c r="U548" s="1">
        <v>37.35</v>
      </c>
      <c r="V548" s="1">
        <v>37.8838377025345</v>
      </c>
      <c r="W548" s="1">
        <v>66717</v>
      </c>
      <c r="X548" s="1">
        <v>38144.019999999997</v>
      </c>
      <c r="Y548" s="215">
        <f t="shared" si="87"/>
        <v>-1.2419317672827779E-2</v>
      </c>
      <c r="Z548" s="215">
        <f t="shared" si="82"/>
        <v>-2.0969855832241091E-2</v>
      </c>
      <c r="AA548" s="231">
        <v>2527496</v>
      </c>
      <c r="AC548" s="230">
        <v>43916</v>
      </c>
      <c r="AD548" s="1">
        <v>19.649999999999999</v>
      </c>
      <c r="AE548" s="1">
        <v>19.798809523809499</v>
      </c>
      <c r="AF548" s="1">
        <v>840</v>
      </c>
      <c r="AG548" s="1">
        <v>29946.77</v>
      </c>
      <c r="AH548" s="215">
        <f t="shared" si="88"/>
        <v>4.3997116944525239E-3</v>
      </c>
      <c r="AI548" s="215">
        <f t="shared" si="83"/>
        <v>-4.1463414634146378E-2</v>
      </c>
      <c r="AJ548" s="231">
        <v>16631</v>
      </c>
      <c r="AL548" s="254"/>
      <c r="AQ548" s="215" t="str">
        <f t="shared" si="89"/>
        <v>NA</v>
      </c>
      <c r="AR548" s="215" t="str">
        <f t="shared" si="84"/>
        <v>NA</v>
      </c>
    </row>
    <row r="549" spans="2:44">
      <c r="B549" s="230">
        <v>43893</v>
      </c>
      <c r="C549" s="1">
        <v>275</v>
      </c>
      <c r="D549" s="1">
        <v>273.48361381753699</v>
      </c>
      <c r="E549" s="1">
        <v>1129</v>
      </c>
      <c r="F549" s="215">
        <v>38623.699999999997</v>
      </c>
      <c r="G549" s="215">
        <f t="shared" si="85"/>
        <v>5.5772689450623858E-3</v>
      </c>
      <c r="H549" s="215">
        <f t="shared" si="80"/>
        <v>4.9017737936296157E-2</v>
      </c>
      <c r="I549" s="231">
        <v>308763</v>
      </c>
      <c r="K549" s="230">
        <v>43893</v>
      </c>
      <c r="L549" s="1">
        <v>165.15</v>
      </c>
      <c r="M549" s="1">
        <v>167.54667721518899</v>
      </c>
      <c r="N549" s="1">
        <v>5056</v>
      </c>
      <c r="O549" s="1">
        <v>38623.699999999997</v>
      </c>
      <c r="P549" s="215">
        <f t="shared" si="86"/>
        <v>5.5772689450623858E-3</v>
      </c>
      <c r="Q549" s="215">
        <f t="shared" si="81"/>
        <v>9.7829409966370129E-3</v>
      </c>
      <c r="R549" s="231">
        <v>847116</v>
      </c>
      <c r="T549" s="230">
        <v>43893</v>
      </c>
      <c r="U549" s="1">
        <v>38.15</v>
      </c>
      <c r="V549" s="1">
        <v>37.804465334900101</v>
      </c>
      <c r="W549" s="1">
        <v>25530</v>
      </c>
      <c r="X549" s="1">
        <v>38623.699999999997</v>
      </c>
      <c r="Y549" s="215">
        <f t="shared" si="87"/>
        <v>5.5772689450623858E-3</v>
      </c>
      <c r="Z549" s="215">
        <f t="shared" si="82"/>
        <v>3.247631935047357E-2</v>
      </c>
      <c r="AA549" s="231">
        <v>965148</v>
      </c>
      <c r="AC549" s="230">
        <v>43917</v>
      </c>
      <c r="AD549" s="1">
        <v>20.5</v>
      </c>
      <c r="AE549" s="1">
        <v>20.4180918091809</v>
      </c>
      <c r="AF549" s="1">
        <v>2222</v>
      </c>
      <c r="AG549" s="1">
        <v>29815.59</v>
      </c>
      <c r="AH549" s="215">
        <f t="shared" si="88"/>
        <v>4.8356347607903194E-2</v>
      </c>
      <c r="AI549" s="215">
        <f t="shared" si="83"/>
        <v>-9.6618357487922024E-3</v>
      </c>
      <c r="AJ549" s="231">
        <v>45369</v>
      </c>
      <c r="AL549" s="254"/>
      <c r="AQ549" s="215" t="str">
        <f t="shared" si="89"/>
        <v>NA</v>
      </c>
      <c r="AR549" s="215" t="str">
        <f t="shared" si="84"/>
        <v>NA</v>
      </c>
    </row>
    <row r="550" spans="2:44">
      <c r="B550" s="230">
        <v>43894</v>
      </c>
      <c r="C550" s="1">
        <v>262.14999999999998</v>
      </c>
      <c r="D550" s="1">
        <v>255.784435797665</v>
      </c>
      <c r="E550" s="1">
        <v>2570</v>
      </c>
      <c r="F550" s="215">
        <v>38409.480000000003</v>
      </c>
      <c r="G550" s="215">
        <f t="shared" si="85"/>
        <v>-1.5890052172293778E-3</v>
      </c>
      <c r="H550" s="215">
        <f t="shared" si="80"/>
        <v>-3.265682656826574E-2</v>
      </c>
      <c r="I550" s="231">
        <v>657366</v>
      </c>
      <c r="K550" s="230">
        <v>43894</v>
      </c>
      <c r="L550" s="1">
        <v>163.55000000000001</v>
      </c>
      <c r="M550" s="1">
        <v>164.21441843180901</v>
      </c>
      <c r="N550" s="1">
        <v>2691</v>
      </c>
      <c r="O550" s="1">
        <v>38409.480000000003</v>
      </c>
      <c r="P550" s="215">
        <f t="shared" si="86"/>
        <v>-1.5890052172293778E-3</v>
      </c>
      <c r="Q550" s="215">
        <f t="shared" si="81"/>
        <v>-4.2617960426178936E-3</v>
      </c>
      <c r="R550" s="231">
        <v>441901</v>
      </c>
      <c r="T550" s="230">
        <v>43894</v>
      </c>
      <c r="U550" s="1">
        <v>36.950000000000003</v>
      </c>
      <c r="V550" s="1">
        <v>36.558227353617703</v>
      </c>
      <c r="W550" s="1">
        <v>46078</v>
      </c>
      <c r="X550" s="1">
        <v>38409.480000000003</v>
      </c>
      <c r="Y550" s="215">
        <f t="shared" si="87"/>
        <v>-1.5890052172293778E-3</v>
      </c>
      <c r="Z550" s="215">
        <f t="shared" si="82"/>
        <v>-9.3833780160856861E-3</v>
      </c>
      <c r="AA550" s="231">
        <v>1684530</v>
      </c>
      <c r="AC550" s="230">
        <v>43920</v>
      </c>
      <c r="AD550" s="1">
        <v>20.7</v>
      </c>
      <c r="AE550" s="1">
        <v>20.7556675062972</v>
      </c>
      <c r="AF550" s="1">
        <v>1985</v>
      </c>
      <c r="AG550" s="1">
        <v>28440.32</v>
      </c>
      <c r="AH550" s="215">
        <f t="shared" si="88"/>
        <v>-3.4890488111199547E-2</v>
      </c>
      <c r="AI550" s="215">
        <f t="shared" si="83"/>
        <v>7.2538860103626757E-2</v>
      </c>
      <c r="AJ550" s="231">
        <v>41200</v>
      </c>
      <c r="AL550" s="254"/>
      <c r="AQ550" s="215" t="str">
        <f t="shared" si="89"/>
        <v>NA</v>
      </c>
      <c r="AR550" s="215" t="str">
        <f t="shared" si="84"/>
        <v>NA</v>
      </c>
    </row>
    <row r="551" spans="2:44">
      <c r="B551" s="230">
        <v>43895</v>
      </c>
      <c r="C551" s="1">
        <v>271</v>
      </c>
      <c r="D551" s="1">
        <v>271.613207547169</v>
      </c>
      <c r="E551" s="1">
        <v>318</v>
      </c>
      <c r="F551" s="215">
        <v>38470.61</v>
      </c>
      <c r="G551" s="215">
        <f t="shared" si="85"/>
        <v>2.3791123310185958E-2</v>
      </c>
      <c r="H551" s="215">
        <f t="shared" si="80"/>
        <v>1.1194029850746245E-2</v>
      </c>
      <c r="I551" s="231">
        <v>86373</v>
      </c>
      <c r="K551" s="230">
        <v>43895</v>
      </c>
      <c r="L551" s="1">
        <v>164.25</v>
      </c>
      <c r="M551" s="1">
        <v>164.920263049732</v>
      </c>
      <c r="N551" s="1">
        <v>2433</v>
      </c>
      <c r="O551" s="1">
        <v>38470.61</v>
      </c>
      <c r="P551" s="215">
        <f t="shared" si="86"/>
        <v>2.3791123310185958E-2</v>
      </c>
      <c r="Q551" s="215">
        <f t="shared" si="81"/>
        <v>6.001936108422079E-2</v>
      </c>
      <c r="R551" s="231">
        <v>401251</v>
      </c>
      <c r="T551" s="230">
        <v>43895</v>
      </c>
      <c r="U551" s="1">
        <v>37.299999999999997</v>
      </c>
      <c r="V551" s="1">
        <v>37.3290164626424</v>
      </c>
      <c r="W551" s="1">
        <v>59225</v>
      </c>
      <c r="X551" s="1">
        <v>38470.61</v>
      </c>
      <c r="Y551" s="215">
        <f t="shared" si="87"/>
        <v>2.3791123310185958E-2</v>
      </c>
      <c r="Z551" s="215">
        <f t="shared" si="82"/>
        <v>-5.3333333333334121E-3</v>
      </c>
      <c r="AA551" s="231">
        <v>2210811</v>
      </c>
      <c r="AC551" s="230">
        <v>43921</v>
      </c>
      <c r="AD551" s="1">
        <v>19.3</v>
      </c>
      <c r="AE551" s="1">
        <v>19.551706146300699</v>
      </c>
      <c r="AF551" s="1">
        <v>9583</v>
      </c>
      <c r="AG551" s="1">
        <v>29468.49</v>
      </c>
      <c r="AH551" s="215">
        <f t="shared" si="88"/>
        <v>4.2567373221804372E-2</v>
      </c>
      <c r="AI551" s="215">
        <f t="shared" si="83"/>
        <v>1.0471204188481575E-2</v>
      </c>
      <c r="AJ551" s="231">
        <v>187364</v>
      </c>
      <c r="AL551" s="254"/>
      <c r="AQ551" s="215" t="str">
        <f t="shared" si="89"/>
        <v>NA</v>
      </c>
      <c r="AR551" s="215" t="str">
        <f t="shared" si="84"/>
        <v>NA</v>
      </c>
    </row>
    <row r="552" spans="2:44">
      <c r="B552" s="230">
        <v>43896</v>
      </c>
      <c r="C552" s="1">
        <v>268</v>
      </c>
      <c r="D552" s="1">
        <v>265.43099787685702</v>
      </c>
      <c r="E552" s="1">
        <v>471</v>
      </c>
      <c r="F552" s="215">
        <v>37576.620000000003</v>
      </c>
      <c r="G552" s="215">
        <f t="shared" si="85"/>
        <v>5.4487799197136644E-2</v>
      </c>
      <c r="H552" s="215">
        <f t="shared" si="80"/>
        <v>0.11365052981508406</v>
      </c>
      <c r="I552" s="231">
        <v>125018</v>
      </c>
      <c r="K552" s="230">
        <v>43896</v>
      </c>
      <c r="L552" s="1">
        <v>154.94999999999999</v>
      </c>
      <c r="M552" s="1">
        <v>156.14506828527999</v>
      </c>
      <c r="N552" s="1">
        <v>3295</v>
      </c>
      <c r="O552" s="1">
        <v>37576.620000000003</v>
      </c>
      <c r="P552" s="215">
        <f t="shared" si="86"/>
        <v>5.4487799197136644E-2</v>
      </c>
      <c r="Q552" s="215">
        <f t="shared" si="81"/>
        <v>0.17519908987485766</v>
      </c>
      <c r="R552" s="231">
        <v>514498</v>
      </c>
      <c r="T552" s="230">
        <v>43896</v>
      </c>
      <c r="U552" s="1">
        <v>37.5</v>
      </c>
      <c r="V552" s="1">
        <v>35.626893775430602</v>
      </c>
      <c r="W552" s="1">
        <v>46204</v>
      </c>
      <c r="X552" s="1">
        <v>37576.620000000003</v>
      </c>
      <c r="Y552" s="215">
        <f t="shared" si="87"/>
        <v>5.4487799197136644E-2</v>
      </c>
      <c r="Z552" s="215">
        <f t="shared" si="82"/>
        <v>0.16459627329192528</v>
      </c>
      <c r="AA552" s="231">
        <v>1646105</v>
      </c>
      <c r="AC552" s="230">
        <v>43922</v>
      </c>
      <c r="AD552" s="1">
        <v>19.100000000000001</v>
      </c>
      <c r="AE552" s="1">
        <v>19.399999999999999</v>
      </c>
      <c r="AF552" s="1">
        <v>10</v>
      </c>
      <c r="AG552" s="1">
        <v>28265.31</v>
      </c>
      <c r="AH552" s="215">
        <f t="shared" si="88"/>
        <v>2.4441347615794307E-2</v>
      </c>
      <c r="AI552" s="215">
        <f t="shared" si="83"/>
        <v>-5.679012345679002E-2</v>
      </c>
      <c r="AJ552" s="231">
        <v>194</v>
      </c>
      <c r="AL552" s="254"/>
      <c r="AQ552" s="215" t="str">
        <f t="shared" si="89"/>
        <v>NA</v>
      </c>
      <c r="AR552" s="215" t="str">
        <f t="shared" si="84"/>
        <v>NA</v>
      </c>
    </row>
    <row r="553" spans="2:44">
      <c r="B553" s="230">
        <v>43899</v>
      </c>
      <c r="C553" s="1">
        <v>240.65</v>
      </c>
      <c r="D553" s="1">
        <v>242.16478970351599</v>
      </c>
      <c r="E553" s="1">
        <v>4351</v>
      </c>
      <c r="F553" s="215">
        <v>35634.949999999997</v>
      </c>
      <c r="G553" s="215">
        <f t="shared" si="85"/>
        <v>-1.74942712914683E-3</v>
      </c>
      <c r="H553" s="215">
        <f t="shared" si="80"/>
        <v>8.169250104734127E-3</v>
      </c>
      <c r="I553" s="231">
        <v>1053659</v>
      </c>
      <c r="K553" s="230">
        <v>43899</v>
      </c>
      <c r="L553" s="1">
        <v>131.85</v>
      </c>
      <c r="M553" s="1">
        <v>135.14973212636201</v>
      </c>
      <c r="N553" s="1">
        <v>10826</v>
      </c>
      <c r="O553" s="1">
        <v>35634.949999999997</v>
      </c>
      <c r="P553" s="215">
        <f t="shared" si="86"/>
        <v>-1.74942712914683E-3</v>
      </c>
      <c r="Q553" s="215">
        <f t="shared" si="81"/>
        <v>-3.0871003307607614E-2</v>
      </c>
      <c r="R553" s="231">
        <v>1463131</v>
      </c>
      <c r="T553" s="230">
        <v>43899</v>
      </c>
      <c r="U553" s="1">
        <v>32.200000000000003</v>
      </c>
      <c r="V553" s="1">
        <v>34.223148144485997</v>
      </c>
      <c r="W553" s="1">
        <v>252841</v>
      </c>
      <c r="X553" s="1">
        <v>35634.949999999997</v>
      </c>
      <c r="Y553" s="215">
        <f t="shared" si="87"/>
        <v>-1.74942712914683E-3</v>
      </c>
      <c r="Z553" s="215">
        <f t="shared" si="82"/>
        <v>-5.4331864904551996E-2</v>
      </c>
      <c r="AA553" s="231">
        <v>8653015</v>
      </c>
      <c r="AC553" s="230">
        <v>43924</v>
      </c>
      <c r="AD553" s="1">
        <v>20.25</v>
      </c>
      <c r="AE553" s="1">
        <v>20.636029411764699</v>
      </c>
      <c r="AF553" s="1">
        <v>544</v>
      </c>
      <c r="AG553" s="1">
        <v>27590.95</v>
      </c>
      <c r="AH553" s="215">
        <f t="shared" si="88"/>
        <v>-8.2357491765946977E-2</v>
      </c>
      <c r="AI553" s="215">
        <f t="shared" si="83"/>
        <v>-7.3226544622425727E-2</v>
      </c>
      <c r="AJ553" s="231">
        <v>11226</v>
      </c>
      <c r="AL553" s="254"/>
      <c r="AQ553" s="215" t="str">
        <f t="shared" si="89"/>
        <v>NA</v>
      </c>
      <c r="AR553" s="215" t="str">
        <f t="shared" si="84"/>
        <v>NA</v>
      </c>
    </row>
    <row r="554" spans="2:44">
      <c r="B554" s="230">
        <v>43901</v>
      </c>
      <c r="C554" s="1">
        <v>238.7</v>
      </c>
      <c r="D554" s="1">
        <v>236.59444634898799</v>
      </c>
      <c r="E554" s="1">
        <v>2917</v>
      </c>
      <c r="F554" s="215">
        <v>35697.4</v>
      </c>
      <c r="G554" s="215">
        <f t="shared" si="85"/>
        <v>8.9061185289952549E-2</v>
      </c>
      <c r="H554" s="215">
        <f t="shared" si="80"/>
        <v>0.10509259259259252</v>
      </c>
      <c r="I554" s="231">
        <v>690146</v>
      </c>
      <c r="K554" s="230">
        <v>43901</v>
      </c>
      <c r="L554" s="1">
        <v>136.05000000000001</v>
      </c>
      <c r="M554" s="1">
        <v>137.457631405878</v>
      </c>
      <c r="N554" s="1">
        <v>19767</v>
      </c>
      <c r="O554" s="1">
        <v>35697.4</v>
      </c>
      <c r="P554" s="215">
        <f t="shared" si="86"/>
        <v>8.9061185289952549E-2</v>
      </c>
      <c r="Q554" s="215">
        <f t="shared" si="81"/>
        <v>0.17945383615084531</v>
      </c>
      <c r="R554" s="231">
        <v>2717125</v>
      </c>
      <c r="T554" s="230">
        <v>43901</v>
      </c>
      <c r="U554" s="1">
        <v>34.049999999999997</v>
      </c>
      <c r="V554" s="1">
        <v>33.912046247982197</v>
      </c>
      <c r="W554" s="1">
        <v>53278</v>
      </c>
      <c r="X554" s="1">
        <v>35697.4</v>
      </c>
      <c r="Y554" s="215">
        <f t="shared" si="87"/>
        <v>8.9061185289952549E-2</v>
      </c>
      <c r="Z554" s="215">
        <f t="shared" si="82"/>
        <v>0.15228426395939065</v>
      </c>
      <c r="AA554" s="231">
        <v>1806766</v>
      </c>
      <c r="AC554" s="230">
        <v>43928</v>
      </c>
      <c r="AD554" s="1">
        <v>21.85</v>
      </c>
      <c r="AE554" s="1">
        <v>21.197129186602801</v>
      </c>
      <c r="AF554" s="1">
        <v>2090</v>
      </c>
      <c r="AG554" s="1">
        <v>30067.21</v>
      </c>
      <c r="AH554" s="215">
        <f t="shared" si="88"/>
        <v>5.7954851080284087E-3</v>
      </c>
      <c r="AI554" s="215">
        <f t="shared" si="83"/>
        <v>-1.1312217194570096E-2</v>
      </c>
      <c r="AJ554" s="231">
        <v>44302</v>
      </c>
      <c r="AL554" s="254"/>
      <c r="AQ554" s="215" t="str">
        <f t="shared" si="89"/>
        <v>NA</v>
      </c>
      <c r="AR554" s="215" t="str">
        <f t="shared" si="84"/>
        <v>NA</v>
      </c>
    </row>
    <row r="555" spans="2:44">
      <c r="B555" s="230">
        <v>43902</v>
      </c>
      <c r="C555" s="1">
        <v>216</v>
      </c>
      <c r="D555" s="1">
        <v>217.504366812227</v>
      </c>
      <c r="E555" s="1">
        <v>2290</v>
      </c>
      <c r="F555" s="215">
        <v>32778.14</v>
      </c>
      <c r="G555" s="215">
        <f t="shared" si="85"/>
        <v>-3.8862309652856641E-2</v>
      </c>
      <c r="H555" s="215">
        <f t="shared" si="80"/>
        <v>-7.1367153912295755E-2</v>
      </c>
      <c r="I555" s="231">
        <v>498085</v>
      </c>
      <c r="K555" s="230">
        <v>43902</v>
      </c>
      <c r="L555" s="1">
        <v>115.35</v>
      </c>
      <c r="M555" s="1">
        <v>118.07939414749499</v>
      </c>
      <c r="N555" s="1">
        <v>26211</v>
      </c>
      <c r="O555" s="1">
        <v>32778.14</v>
      </c>
      <c r="P555" s="215">
        <f t="shared" si="86"/>
        <v>-3.8862309652856641E-2</v>
      </c>
      <c r="Q555" s="215">
        <f t="shared" si="81"/>
        <v>-8.5612366230677805E-2</v>
      </c>
      <c r="R555" s="231">
        <v>3094979</v>
      </c>
      <c r="T555" s="230">
        <v>43902</v>
      </c>
      <c r="U555" s="1">
        <v>29.55</v>
      </c>
      <c r="V555" s="1">
        <v>30.187889219214501</v>
      </c>
      <c r="W555" s="1">
        <v>127820</v>
      </c>
      <c r="X555" s="1">
        <v>32778.14</v>
      </c>
      <c r="Y555" s="215">
        <f t="shared" si="87"/>
        <v>-3.8862309652856641E-2</v>
      </c>
      <c r="Z555" s="215">
        <f t="shared" si="82"/>
        <v>1.5463917525773141E-2</v>
      </c>
      <c r="AA555" s="231">
        <v>3858616</v>
      </c>
      <c r="AC555" s="230">
        <v>43929</v>
      </c>
      <c r="AD555" s="1">
        <v>22.1</v>
      </c>
      <c r="AE555" s="1">
        <v>22.01213592233</v>
      </c>
      <c r="AF555" s="1">
        <v>412</v>
      </c>
      <c r="AG555" s="1">
        <v>29893.96</v>
      </c>
      <c r="AH555" s="215">
        <f t="shared" si="88"/>
        <v>-4.061859547709501E-2</v>
      </c>
      <c r="AI555" s="215">
        <f t="shared" si="83"/>
        <v>-0.11066398390342047</v>
      </c>
      <c r="AJ555" s="231">
        <v>9069</v>
      </c>
      <c r="AL555" s="254"/>
      <c r="AQ555" s="215" t="str">
        <f t="shared" si="89"/>
        <v>NA</v>
      </c>
      <c r="AR555" s="215" t="str">
        <f t="shared" si="84"/>
        <v>NA</v>
      </c>
    </row>
    <row r="556" spans="2:44">
      <c r="B556" s="230">
        <v>43903</v>
      </c>
      <c r="C556" s="1">
        <v>232.6</v>
      </c>
      <c r="D556" s="1">
        <v>216.16114359974</v>
      </c>
      <c r="E556" s="1">
        <v>4617</v>
      </c>
      <c r="F556" s="215">
        <v>34103.480000000003</v>
      </c>
      <c r="G556" s="215">
        <f t="shared" si="85"/>
        <v>8.6441667699371338E-2</v>
      </c>
      <c r="H556" s="215">
        <f t="shared" si="80"/>
        <v>0.15291201982651792</v>
      </c>
      <c r="I556" s="231">
        <v>998016</v>
      </c>
      <c r="K556" s="230">
        <v>43903</v>
      </c>
      <c r="L556" s="1">
        <v>126.15</v>
      </c>
      <c r="M556" s="1">
        <v>119.858863843229</v>
      </c>
      <c r="N556" s="1">
        <v>18677</v>
      </c>
      <c r="O556" s="1">
        <v>34103.480000000003</v>
      </c>
      <c r="P556" s="215">
        <f t="shared" si="86"/>
        <v>8.6441667699371338E-2</v>
      </c>
      <c r="Q556" s="215">
        <f t="shared" si="81"/>
        <v>0.11096433289299878</v>
      </c>
      <c r="R556" s="231">
        <v>2238604</v>
      </c>
      <c r="T556" s="230">
        <v>43903</v>
      </c>
      <c r="U556" s="1">
        <v>29.1</v>
      </c>
      <c r="V556" s="1">
        <v>27.588117211925901</v>
      </c>
      <c r="W556" s="1">
        <v>199263</v>
      </c>
      <c r="X556" s="1">
        <v>34103.480000000003</v>
      </c>
      <c r="Y556" s="215">
        <f t="shared" si="87"/>
        <v>8.6441667699371338E-2</v>
      </c>
      <c r="Z556" s="215">
        <f t="shared" si="82"/>
        <v>0.19262295081967218</v>
      </c>
      <c r="AA556" s="231">
        <v>5497291</v>
      </c>
      <c r="AC556" s="230">
        <v>43930</v>
      </c>
      <c r="AD556" s="1">
        <v>24.85</v>
      </c>
      <c r="AE556" s="1">
        <v>24.4925579785392</v>
      </c>
      <c r="AF556" s="1">
        <v>2889</v>
      </c>
      <c r="AG556" s="1">
        <v>31159.62</v>
      </c>
      <c r="AH556" s="215">
        <f t="shared" si="88"/>
        <v>1.5301391136271603E-2</v>
      </c>
      <c r="AI556" s="215">
        <f t="shared" si="83"/>
        <v>8.515283842794763E-2</v>
      </c>
      <c r="AJ556" s="231">
        <v>70759</v>
      </c>
      <c r="AL556" s="254"/>
      <c r="AQ556" s="215" t="str">
        <f t="shared" si="89"/>
        <v>NA</v>
      </c>
      <c r="AR556" s="215" t="str">
        <f t="shared" si="84"/>
        <v>NA</v>
      </c>
    </row>
    <row r="557" spans="2:44">
      <c r="B557" s="230">
        <v>43906</v>
      </c>
      <c r="C557" s="1">
        <v>201.75</v>
      </c>
      <c r="D557" s="1">
        <v>205.89007822149</v>
      </c>
      <c r="E557" s="1">
        <v>2429</v>
      </c>
      <c r="F557" s="215">
        <v>31390.07</v>
      </c>
      <c r="G557" s="215">
        <f t="shared" si="85"/>
        <v>2.6520736882621465E-2</v>
      </c>
      <c r="H557" s="215">
        <f t="shared" si="80"/>
        <v>4.1290322580645133E-2</v>
      </c>
      <c r="I557" s="231">
        <v>500107</v>
      </c>
      <c r="K557" s="230">
        <v>43906</v>
      </c>
      <c r="L557" s="1">
        <v>113.55</v>
      </c>
      <c r="M557" s="1">
        <v>117.061410788381</v>
      </c>
      <c r="N557" s="1">
        <v>14460</v>
      </c>
      <c r="O557" s="1">
        <v>31390.07</v>
      </c>
      <c r="P557" s="215">
        <f t="shared" si="86"/>
        <v>2.6520736882621465E-2</v>
      </c>
      <c r="Q557" s="215">
        <f t="shared" si="81"/>
        <v>3.0918727915194566E-3</v>
      </c>
      <c r="R557" s="231">
        <v>1692708</v>
      </c>
      <c r="T557" s="230">
        <v>43906</v>
      </c>
      <c r="U557" s="1">
        <v>24.4</v>
      </c>
      <c r="V557" s="1">
        <v>25.085213804482301</v>
      </c>
      <c r="W557" s="1">
        <v>181825</v>
      </c>
      <c r="X557" s="1">
        <v>31390.07</v>
      </c>
      <c r="Y557" s="215">
        <f t="shared" si="87"/>
        <v>2.6520736882621465E-2</v>
      </c>
      <c r="Z557" s="215">
        <f t="shared" si="82"/>
        <v>-2.59481037924153E-2</v>
      </c>
      <c r="AA557" s="231">
        <v>4561119</v>
      </c>
      <c r="AC557" s="230">
        <v>43934</v>
      </c>
      <c r="AD557" s="1">
        <v>22.9</v>
      </c>
      <c r="AE557" s="1">
        <v>22.818246614397701</v>
      </c>
      <c r="AF557" s="1">
        <v>1403</v>
      </c>
      <c r="AG557" s="1">
        <v>30690.02</v>
      </c>
      <c r="AH557" s="215">
        <f t="shared" si="88"/>
        <v>1.0211057936175383E-2</v>
      </c>
      <c r="AI557" s="215">
        <f t="shared" si="83"/>
        <v>-2.1786492374727962E-3</v>
      </c>
      <c r="AJ557" s="231">
        <v>32014</v>
      </c>
      <c r="AL557" s="254"/>
      <c r="AQ557" s="215" t="str">
        <f t="shared" si="89"/>
        <v>NA</v>
      </c>
      <c r="AR557" s="215" t="str">
        <f t="shared" si="84"/>
        <v>NA</v>
      </c>
    </row>
    <row r="558" spans="2:44">
      <c r="B558" s="230">
        <v>43907</v>
      </c>
      <c r="C558" s="1">
        <v>193.75</v>
      </c>
      <c r="D558" s="1">
        <v>205.45631067961099</v>
      </c>
      <c r="E558" s="1">
        <v>721</v>
      </c>
      <c r="F558" s="215">
        <v>30579.09</v>
      </c>
      <c r="G558" s="215">
        <f t="shared" si="85"/>
        <v>5.9217492780445635E-2</v>
      </c>
      <c r="H558" s="215">
        <f t="shared" si="80"/>
        <v>-5.1347881899871384E-3</v>
      </c>
      <c r="I558" s="231">
        <v>148134</v>
      </c>
      <c r="K558" s="230">
        <v>43907</v>
      </c>
      <c r="L558" s="1">
        <v>113.2</v>
      </c>
      <c r="M558" s="1">
        <v>117.38265406575999</v>
      </c>
      <c r="N558" s="1">
        <v>10158</v>
      </c>
      <c r="O558" s="1">
        <v>30579.09</v>
      </c>
      <c r="P558" s="215">
        <f t="shared" si="86"/>
        <v>5.9217492780445635E-2</v>
      </c>
      <c r="Q558" s="215">
        <f t="shared" si="81"/>
        <v>9.2664092664092701E-2</v>
      </c>
      <c r="R558" s="231">
        <v>1192373</v>
      </c>
      <c r="T558" s="230">
        <v>43907</v>
      </c>
      <c r="U558" s="1">
        <v>25.05</v>
      </c>
      <c r="V558" s="1">
        <v>25.172158386010501</v>
      </c>
      <c r="W558" s="1">
        <v>135416</v>
      </c>
      <c r="X558" s="1">
        <v>30579.09</v>
      </c>
      <c r="Y558" s="215">
        <f t="shared" si="87"/>
        <v>5.9217492780445635E-2</v>
      </c>
      <c r="Z558" s="215">
        <f t="shared" si="82"/>
        <v>7.7419354838709653E-2</v>
      </c>
      <c r="AA558" s="231">
        <v>3408713</v>
      </c>
      <c r="AC558" s="230">
        <v>43936</v>
      </c>
      <c r="AD558" s="1">
        <v>22.95</v>
      </c>
      <c r="AE558" s="1">
        <v>23.463768115941999</v>
      </c>
      <c r="AF558" s="1">
        <v>3795</v>
      </c>
      <c r="AG558" s="1">
        <v>30379.81</v>
      </c>
      <c r="AH558" s="215">
        <f t="shared" si="88"/>
        <v>-7.2804247742267458E-3</v>
      </c>
      <c r="AI558" s="215">
        <f t="shared" si="83"/>
        <v>0</v>
      </c>
      <c r="AJ558" s="231">
        <v>89045</v>
      </c>
      <c r="AL558" s="254"/>
      <c r="AQ558" s="215" t="str">
        <f t="shared" si="89"/>
        <v>NA</v>
      </c>
      <c r="AR558" s="215" t="str">
        <f t="shared" si="84"/>
        <v>NA</v>
      </c>
    </row>
    <row r="559" spans="2:44">
      <c r="B559" s="230">
        <v>43908</v>
      </c>
      <c r="C559" s="1">
        <v>194.75</v>
      </c>
      <c r="D559" s="1">
        <v>197.14248021108099</v>
      </c>
      <c r="E559" s="1">
        <v>758</v>
      </c>
      <c r="F559" s="215">
        <v>28869.51</v>
      </c>
      <c r="G559" s="215">
        <f t="shared" si="85"/>
        <v>2.054847546134897E-2</v>
      </c>
      <c r="H559" s="215">
        <f t="shared" si="80"/>
        <v>8.3449235048678627E-2</v>
      </c>
      <c r="I559" s="231">
        <v>149434</v>
      </c>
      <c r="K559" s="230">
        <v>43908</v>
      </c>
      <c r="L559" s="1">
        <v>103.6</v>
      </c>
      <c r="M559" s="1">
        <v>105.040718465539</v>
      </c>
      <c r="N559" s="1">
        <v>12304</v>
      </c>
      <c r="O559" s="1">
        <v>28869.51</v>
      </c>
      <c r="P559" s="215">
        <f t="shared" si="86"/>
        <v>2.054847546134897E-2</v>
      </c>
      <c r="Q559" s="215">
        <f t="shared" si="81"/>
        <v>6.0931899641576859E-2</v>
      </c>
      <c r="R559" s="231">
        <v>1292421</v>
      </c>
      <c r="T559" s="230">
        <v>43908</v>
      </c>
      <c r="U559" s="1">
        <v>23.25</v>
      </c>
      <c r="V559" s="1">
        <v>24.074941429411499</v>
      </c>
      <c r="W559" s="1">
        <v>103721</v>
      </c>
      <c r="X559" s="1">
        <v>28869.51</v>
      </c>
      <c r="Y559" s="215">
        <f t="shared" si="87"/>
        <v>2.054847546134897E-2</v>
      </c>
      <c r="Z559" s="215">
        <f t="shared" si="82"/>
        <v>8.1395348837209225E-2</v>
      </c>
      <c r="AA559" s="231">
        <v>2497077</v>
      </c>
      <c r="AC559" s="230">
        <v>43937</v>
      </c>
      <c r="AD559" s="1">
        <v>22.95</v>
      </c>
      <c r="AE559" s="1">
        <v>23.125614662494399</v>
      </c>
      <c r="AF559" s="1">
        <v>2237</v>
      </c>
      <c r="AG559" s="1">
        <v>30602.61</v>
      </c>
      <c r="AH559" s="215">
        <f t="shared" si="88"/>
        <v>-3.1217155997457335E-2</v>
      </c>
      <c r="AI559" s="215">
        <f t="shared" si="83"/>
        <v>-2.754237288135597E-2</v>
      </c>
      <c r="AJ559" s="231">
        <v>51732</v>
      </c>
      <c r="AL559" s="254"/>
      <c r="AQ559" s="215" t="str">
        <f t="shared" si="89"/>
        <v>NA</v>
      </c>
      <c r="AR559" s="215" t="str">
        <f t="shared" si="84"/>
        <v>NA</v>
      </c>
    </row>
    <row r="560" spans="2:44">
      <c r="B560" s="230">
        <v>43909</v>
      </c>
      <c r="C560" s="1">
        <v>179.75</v>
      </c>
      <c r="D560" s="1">
        <v>173.84190948542999</v>
      </c>
      <c r="E560" s="1">
        <v>4839</v>
      </c>
      <c r="F560" s="215">
        <v>28288.23</v>
      </c>
      <c r="G560" s="215">
        <f t="shared" si="85"/>
        <v>-5.4410087458333312E-2</v>
      </c>
      <c r="H560" s="215">
        <f t="shared" si="80"/>
        <v>-6.5748440748440773E-2</v>
      </c>
      <c r="I560" s="231">
        <v>841221</v>
      </c>
      <c r="K560" s="230">
        <v>43909</v>
      </c>
      <c r="L560" s="1">
        <v>97.65</v>
      </c>
      <c r="M560" s="1">
        <v>97.403736288848194</v>
      </c>
      <c r="N560" s="1">
        <v>17504</v>
      </c>
      <c r="O560" s="1">
        <v>28288.23</v>
      </c>
      <c r="P560" s="215">
        <f t="shared" si="86"/>
        <v>-5.4410087458333312E-2</v>
      </c>
      <c r="Q560" s="215">
        <f t="shared" si="81"/>
        <v>-5.4695062923523663E-2</v>
      </c>
      <c r="R560" s="231">
        <v>1704955</v>
      </c>
      <c r="T560" s="230">
        <v>43909</v>
      </c>
      <c r="U560" s="1">
        <v>21.5</v>
      </c>
      <c r="V560" s="1">
        <v>21.439103537142302</v>
      </c>
      <c r="W560" s="1">
        <v>148227</v>
      </c>
      <c r="X560" s="1">
        <v>28288.23</v>
      </c>
      <c r="Y560" s="215">
        <f t="shared" si="87"/>
        <v>-5.4410087458333312E-2</v>
      </c>
      <c r="Z560" s="215">
        <f t="shared" si="82"/>
        <v>-2.2727272727272707E-2</v>
      </c>
      <c r="AA560" s="231">
        <v>3177854</v>
      </c>
      <c r="AC560" s="230">
        <v>43938</v>
      </c>
      <c r="AD560" s="1">
        <v>23.6</v>
      </c>
      <c r="AE560" s="1">
        <v>23.193353474320201</v>
      </c>
      <c r="AF560" s="1">
        <v>2648</v>
      </c>
      <c r="AG560" s="1">
        <v>31588.720000000001</v>
      </c>
      <c r="AH560" s="215">
        <f t="shared" si="88"/>
        <v>-1.8731041456016007E-3</v>
      </c>
      <c r="AI560" s="215">
        <f t="shared" si="83"/>
        <v>4.2553191489362874E-3</v>
      </c>
      <c r="AJ560" s="231">
        <v>61416</v>
      </c>
      <c r="AL560" s="254"/>
      <c r="AQ560" s="215" t="str">
        <f t="shared" si="89"/>
        <v>NA</v>
      </c>
      <c r="AR560" s="215" t="str">
        <f t="shared" si="84"/>
        <v>NA</v>
      </c>
    </row>
    <row r="561" spans="2:44">
      <c r="B561" s="230">
        <v>43910</v>
      </c>
      <c r="C561" s="1">
        <v>192.4</v>
      </c>
      <c r="D561" s="1">
        <v>190.039980256663</v>
      </c>
      <c r="E561" s="1">
        <v>2026</v>
      </c>
      <c r="F561" s="215">
        <v>29915.96</v>
      </c>
      <c r="G561" s="215">
        <f t="shared" si="85"/>
        <v>0.15144465776075333</v>
      </c>
      <c r="H561" s="215">
        <f t="shared" si="80"/>
        <v>0.24975641442026641</v>
      </c>
      <c r="I561" s="231">
        <v>385021</v>
      </c>
      <c r="K561" s="230">
        <v>43910</v>
      </c>
      <c r="L561" s="1">
        <v>103.3</v>
      </c>
      <c r="M561" s="1">
        <v>103.49012775842</v>
      </c>
      <c r="N561" s="1">
        <v>9471</v>
      </c>
      <c r="O561" s="1">
        <v>29915.96</v>
      </c>
      <c r="P561" s="215">
        <f t="shared" si="86"/>
        <v>0.15144465776075333</v>
      </c>
      <c r="Q561" s="215">
        <f t="shared" si="81"/>
        <v>0.11075268817204309</v>
      </c>
      <c r="R561" s="231">
        <v>980155</v>
      </c>
      <c r="T561" s="230">
        <v>43910</v>
      </c>
      <c r="U561" s="1">
        <v>22</v>
      </c>
      <c r="V561" s="1">
        <v>22.207353788994901</v>
      </c>
      <c r="W561" s="1">
        <v>62444</v>
      </c>
      <c r="X561" s="1">
        <v>29915.96</v>
      </c>
      <c r="Y561" s="215">
        <f t="shared" si="87"/>
        <v>0.15144465776075333</v>
      </c>
      <c r="Z561" s="215">
        <f t="shared" si="82"/>
        <v>0.10000000000000009</v>
      </c>
      <c r="AA561" s="231">
        <v>1386716</v>
      </c>
      <c r="AC561" s="230">
        <v>43941</v>
      </c>
      <c r="AD561" s="1">
        <v>23.5</v>
      </c>
      <c r="AE561" s="1">
        <v>23.817980022197499</v>
      </c>
      <c r="AF561" s="1">
        <v>901</v>
      </c>
      <c r="AG561" s="1">
        <v>31648</v>
      </c>
      <c r="AH561" s="215">
        <f t="shared" si="88"/>
        <v>3.300909268651897E-2</v>
      </c>
      <c r="AI561" s="215">
        <f t="shared" si="83"/>
        <v>4.4444444444444509E-2</v>
      </c>
      <c r="AJ561" s="231">
        <v>21460</v>
      </c>
      <c r="AL561" s="254"/>
      <c r="AQ561" s="215" t="str">
        <f t="shared" si="89"/>
        <v>NA</v>
      </c>
      <c r="AR561" s="215" t="str">
        <f t="shared" si="84"/>
        <v>NA</v>
      </c>
    </row>
    <row r="562" spans="2:44">
      <c r="B562" s="230">
        <v>43913</v>
      </c>
      <c r="C562" s="1">
        <v>153.94999999999999</v>
      </c>
      <c r="D562" s="1">
        <v>159.18084700495899</v>
      </c>
      <c r="E562" s="1">
        <v>2621</v>
      </c>
      <c r="F562" s="215">
        <v>25981.24</v>
      </c>
      <c r="G562" s="215">
        <f t="shared" si="85"/>
        <v>-2.5972453356316927E-2</v>
      </c>
      <c r="H562" s="215">
        <f t="shared" si="80"/>
        <v>-3.3281004709576179E-2</v>
      </c>
      <c r="I562" s="231">
        <v>417213</v>
      </c>
      <c r="K562" s="230">
        <v>43913</v>
      </c>
      <c r="L562" s="1">
        <v>93</v>
      </c>
      <c r="M562" s="1">
        <v>93.0885978428351</v>
      </c>
      <c r="N562" s="1">
        <v>1298</v>
      </c>
      <c r="O562" s="1">
        <v>25981.24</v>
      </c>
      <c r="P562" s="215">
        <f t="shared" si="86"/>
        <v>-2.5972453356316927E-2</v>
      </c>
      <c r="Q562" s="215">
        <f t="shared" si="81"/>
        <v>0.10124333925399642</v>
      </c>
      <c r="R562" s="231">
        <v>120829</v>
      </c>
      <c r="T562" s="230">
        <v>43913</v>
      </c>
      <c r="U562" s="1">
        <v>20</v>
      </c>
      <c r="V562" s="1">
        <v>20.285225486267301</v>
      </c>
      <c r="W562" s="1">
        <v>64882</v>
      </c>
      <c r="X562" s="1">
        <v>25981.24</v>
      </c>
      <c r="Y562" s="215">
        <f t="shared" si="87"/>
        <v>-2.5972453356316927E-2</v>
      </c>
      <c r="Z562" s="215">
        <f t="shared" si="82"/>
        <v>-1.4778325123152691E-2</v>
      </c>
      <c r="AA562" s="231">
        <v>1316146</v>
      </c>
      <c r="AC562" s="230">
        <v>43942</v>
      </c>
      <c r="AD562" s="1">
        <v>22.5</v>
      </c>
      <c r="AE562" s="1">
        <v>22.996932515337399</v>
      </c>
      <c r="AF562" s="1">
        <v>326</v>
      </c>
      <c r="AG562" s="1">
        <v>30636.71</v>
      </c>
      <c r="AH562" s="215">
        <f t="shared" si="88"/>
        <v>-2.3672742279605696E-2</v>
      </c>
      <c r="AI562" s="215">
        <f t="shared" si="83"/>
        <v>-2.5974025974025983E-2</v>
      </c>
      <c r="AJ562" s="231">
        <v>7497</v>
      </c>
      <c r="AL562" s="254"/>
      <c r="AQ562" s="215" t="str">
        <f t="shared" si="89"/>
        <v>NA</v>
      </c>
      <c r="AR562" s="215" t="str">
        <f t="shared" si="84"/>
        <v>NA</v>
      </c>
    </row>
    <row r="563" spans="2:44">
      <c r="B563" s="230">
        <v>43914</v>
      </c>
      <c r="C563" s="1">
        <v>159.25</v>
      </c>
      <c r="D563" s="1">
        <v>166.73991935483801</v>
      </c>
      <c r="E563" s="1">
        <v>1984</v>
      </c>
      <c r="F563" s="215">
        <v>26674.03</v>
      </c>
      <c r="G563" s="215">
        <f t="shared" si="85"/>
        <v>-6.5242653258470562E-2</v>
      </c>
      <c r="H563" s="215">
        <f t="shared" si="80"/>
        <v>4.2553191489361764E-2</v>
      </c>
      <c r="I563" s="231">
        <v>330812</v>
      </c>
      <c r="K563" s="230">
        <v>43914</v>
      </c>
      <c r="L563" s="1">
        <v>84.45</v>
      </c>
      <c r="M563" s="1">
        <v>85.085168869309797</v>
      </c>
      <c r="N563" s="1">
        <v>7491</v>
      </c>
      <c r="O563" s="1">
        <v>26674.03</v>
      </c>
      <c r="P563" s="215">
        <f t="shared" si="86"/>
        <v>-6.5242653258470562E-2</v>
      </c>
      <c r="Q563" s="215">
        <f t="shared" si="81"/>
        <v>-4.7377326565143818E-2</v>
      </c>
      <c r="R563" s="231">
        <v>637373</v>
      </c>
      <c r="T563" s="230">
        <v>43914</v>
      </c>
      <c r="U563" s="1">
        <v>20.3</v>
      </c>
      <c r="V563" s="1">
        <v>19.526021819700301</v>
      </c>
      <c r="W563" s="1">
        <v>38314</v>
      </c>
      <c r="X563" s="1">
        <v>26674.03</v>
      </c>
      <c r="Y563" s="215">
        <f t="shared" si="87"/>
        <v>-6.5242653258470562E-2</v>
      </c>
      <c r="Z563" s="215">
        <f t="shared" si="82"/>
        <v>-4.6948356807511749E-2</v>
      </c>
      <c r="AA563" s="231">
        <v>748120</v>
      </c>
      <c r="AC563" s="230">
        <v>43943</v>
      </c>
      <c r="AD563" s="1">
        <v>23.1</v>
      </c>
      <c r="AE563" s="1">
        <v>23.066265060240902</v>
      </c>
      <c r="AF563" s="1">
        <v>166</v>
      </c>
      <c r="AG563" s="1">
        <v>31379.55</v>
      </c>
      <c r="AH563" s="215">
        <f t="shared" si="88"/>
        <v>-1.5175243573439912E-2</v>
      </c>
      <c r="AI563" s="215">
        <f t="shared" si="83"/>
        <v>1.0940919037199182E-2</v>
      </c>
      <c r="AJ563" s="231">
        <v>3829</v>
      </c>
      <c r="AL563" s="254"/>
      <c r="AQ563" s="215" t="str">
        <f t="shared" si="89"/>
        <v>NA</v>
      </c>
      <c r="AR563" s="215" t="str">
        <f t="shared" si="84"/>
        <v>NA</v>
      </c>
    </row>
    <row r="564" spans="2:44">
      <c r="B564" s="230">
        <v>43915</v>
      </c>
      <c r="C564" s="1">
        <v>152.75</v>
      </c>
      <c r="D564" s="1">
        <v>148.67163384779099</v>
      </c>
      <c r="E564" s="1">
        <v>3758</v>
      </c>
      <c r="F564" s="215">
        <v>28535.78</v>
      </c>
      <c r="G564" s="215">
        <f t="shared" si="85"/>
        <v>-4.7116600554917953E-2</v>
      </c>
      <c r="H564" s="215">
        <f t="shared" si="80"/>
        <v>-9.0773809523809534E-2</v>
      </c>
      <c r="I564" s="231">
        <v>558708</v>
      </c>
      <c r="K564" s="230">
        <v>43915</v>
      </c>
      <c r="L564" s="1">
        <v>88.65</v>
      </c>
      <c r="M564" s="1">
        <v>86.305770671996001</v>
      </c>
      <c r="N564" s="1">
        <v>4003</v>
      </c>
      <c r="O564" s="1">
        <v>28535.78</v>
      </c>
      <c r="P564" s="215">
        <f t="shared" si="86"/>
        <v>-4.7116600554917953E-2</v>
      </c>
      <c r="Q564" s="215">
        <f t="shared" si="81"/>
        <v>-4.7286405158516787E-2</v>
      </c>
      <c r="R564" s="231">
        <v>345482</v>
      </c>
      <c r="T564" s="230">
        <v>43915</v>
      </c>
      <c r="U564" s="1">
        <v>21.3</v>
      </c>
      <c r="V564" s="1">
        <v>20.358764186633</v>
      </c>
      <c r="W564" s="1">
        <v>36478</v>
      </c>
      <c r="X564" s="1">
        <v>28535.78</v>
      </c>
      <c r="Y564" s="215">
        <f t="shared" si="87"/>
        <v>-4.7116600554917953E-2</v>
      </c>
      <c r="Z564" s="215">
        <f t="shared" si="82"/>
        <v>-4.6728971962616273E-3</v>
      </c>
      <c r="AA564" s="231">
        <v>742647</v>
      </c>
      <c r="AC564" s="230">
        <v>43944</v>
      </c>
      <c r="AD564" s="1">
        <v>22.85</v>
      </c>
      <c r="AE564" s="1">
        <v>22.864806866952701</v>
      </c>
      <c r="AF564" s="1">
        <v>466</v>
      </c>
      <c r="AG564" s="1">
        <v>31863.08</v>
      </c>
      <c r="AH564" s="215">
        <f t="shared" si="88"/>
        <v>3.7803514970822238E-3</v>
      </c>
      <c r="AI564" s="215">
        <f t="shared" si="83"/>
        <v>3.8636363636363802E-2</v>
      </c>
      <c r="AJ564" s="231">
        <v>10655</v>
      </c>
      <c r="AL564" s="254"/>
      <c r="AQ564" s="215" t="str">
        <f t="shared" si="89"/>
        <v>NA</v>
      </c>
      <c r="AR564" s="215" t="str">
        <f t="shared" si="84"/>
        <v>NA</v>
      </c>
    </row>
    <row r="565" spans="2:44">
      <c r="B565" s="230">
        <v>43916</v>
      </c>
      <c r="C565" s="1">
        <v>168</v>
      </c>
      <c r="D565" s="1">
        <v>165.82397003745299</v>
      </c>
      <c r="E565" s="1">
        <v>801</v>
      </c>
      <c r="F565" s="215">
        <v>29946.77</v>
      </c>
      <c r="G565" s="215">
        <f t="shared" si="85"/>
        <v>4.3997116944525239E-3</v>
      </c>
      <c r="H565" s="215">
        <f t="shared" si="80"/>
        <v>5.6271612700408591E-2</v>
      </c>
      <c r="I565" s="231">
        <v>132825</v>
      </c>
      <c r="K565" s="230">
        <v>43916</v>
      </c>
      <c r="L565" s="1">
        <v>93.05</v>
      </c>
      <c r="M565" s="1">
        <v>92.8951890034364</v>
      </c>
      <c r="N565" s="1">
        <v>582</v>
      </c>
      <c r="O565" s="1">
        <v>29946.77</v>
      </c>
      <c r="P565" s="215">
        <f t="shared" si="86"/>
        <v>4.3997116944525239E-3</v>
      </c>
      <c r="Q565" s="215">
        <f t="shared" si="81"/>
        <v>-4.6130189646335196E-2</v>
      </c>
      <c r="R565" s="231">
        <v>54065</v>
      </c>
      <c r="T565" s="230">
        <v>43916</v>
      </c>
      <c r="U565" s="1">
        <v>21.4</v>
      </c>
      <c r="V565" s="1">
        <v>21.5144441008878</v>
      </c>
      <c r="W565" s="1">
        <v>45278</v>
      </c>
      <c r="X565" s="1">
        <v>29946.77</v>
      </c>
      <c r="Y565" s="215">
        <f t="shared" si="87"/>
        <v>4.3997116944525239E-3</v>
      </c>
      <c r="Z565" s="215">
        <f t="shared" si="82"/>
        <v>3.3816425120772875E-2</v>
      </c>
      <c r="AA565" s="231">
        <v>974131</v>
      </c>
      <c r="AC565" s="230">
        <v>43948</v>
      </c>
      <c r="AD565" s="1">
        <v>22</v>
      </c>
      <c r="AE565" s="1">
        <v>22.018000000000001</v>
      </c>
      <c r="AF565" s="1">
        <v>1000</v>
      </c>
      <c r="AG565" s="1">
        <v>31743.08</v>
      </c>
      <c r="AH565" s="215">
        <f t="shared" si="88"/>
        <v>-1.1566107791740277E-2</v>
      </c>
      <c r="AI565" s="215">
        <f t="shared" si="83"/>
        <v>-3.9301310043668103E-2</v>
      </c>
      <c r="AJ565" s="231">
        <v>22018</v>
      </c>
      <c r="AL565" s="254"/>
      <c r="AQ565" s="215" t="str">
        <f t="shared" si="89"/>
        <v>NA</v>
      </c>
      <c r="AR565" s="215" t="str">
        <f t="shared" si="84"/>
        <v>NA</v>
      </c>
    </row>
    <row r="566" spans="2:44">
      <c r="B566" s="230">
        <v>43917</v>
      </c>
      <c r="C566" s="1">
        <v>159.05000000000001</v>
      </c>
      <c r="D566" s="1">
        <v>165.514788169464</v>
      </c>
      <c r="E566" s="1">
        <v>1251</v>
      </c>
      <c r="F566" s="215">
        <v>29815.59</v>
      </c>
      <c r="G566" s="215">
        <f t="shared" si="85"/>
        <v>4.8356347607903194E-2</v>
      </c>
      <c r="H566" s="215">
        <f t="shared" si="80"/>
        <v>3.3463287849252898E-2</v>
      </c>
      <c r="I566" s="231">
        <v>207059</v>
      </c>
      <c r="K566" s="230">
        <v>43917</v>
      </c>
      <c r="L566" s="1">
        <v>97.55</v>
      </c>
      <c r="M566" s="1">
        <v>97.220523275569093</v>
      </c>
      <c r="N566" s="1">
        <v>5886</v>
      </c>
      <c r="O566" s="1">
        <v>29815.59</v>
      </c>
      <c r="P566" s="215">
        <f t="shared" si="86"/>
        <v>4.8356347607903194E-2</v>
      </c>
      <c r="Q566" s="215">
        <f t="shared" si="81"/>
        <v>-1.4148559878726652E-2</v>
      </c>
      <c r="R566" s="231">
        <v>572240</v>
      </c>
      <c r="T566" s="230">
        <v>43917</v>
      </c>
      <c r="U566" s="1">
        <v>20.7</v>
      </c>
      <c r="V566" s="1">
        <v>21.276604212588701</v>
      </c>
      <c r="W566" s="1">
        <v>65328</v>
      </c>
      <c r="X566" s="1">
        <v>29815.59</v>
      </c>
      <c r="Y566" s="215">
        <f t="shared" si="87"/>
        <v>4.8356347607903194E-2</v>
      </c>
      <c r="Z566" s="215">
        <f t="shared" si="82"/>
        <v>4.020100502512558E-2</v>
      </c>
      <c r="AA566" s="231">
        <v>1389958</v>
      </c>
      <c r="AC566" s="230">
        <v>43949</v>
      </c>
      <c r="AD566" s="1">
        <v>22.9</v>
      </c>
      <c r="AE566" s="1">
        <v>22.890090090089998</v>
      </c>
      <c r="AF566" s="1">
        <v>1110</v>
      </c>
      <c r="AG566" s="1">
        <v>32114.52</v>
      </c>
      <c r="AH566" s="215">
        <f t="shared" si="88"/>
        <v>-1.8509689439171417E-2</v>
      </c>
      <c r="AI566" s="215">
        <f t="shared" si="83"/>
        <v>-3.3755274261603407E-2</v>
      </c>
      <c r="AJ566" s="231">
        <v>25408</v>
      </c>
      <c r="AL566" s="254"/>
      <c r="AQ566" s="215" t="str">
        <f t="shared" si="89"/>
        <v>NA</v>
      </c>
      <c r="AR566" s="215" t="str">
        <f t="shared" si="84"/>
        <v>NA</v>
      </c>
    </row>
    <row r="567" spans="2:44">
      <c r="B567" s="230">
        <v>43920</v>
      </c>
      <c r="C567" s="1">
        <v>153.9</v>
      </c>
      <c r="D567" s="1">
        <v>152.87040087863801</v>
      </c>
      <c r="E567" s="1">
        <v>1821</v>
      </c>
      <c r="F567" s="215">
        <v>28440.32</v>
      </c>
      <c r="G567" s="215">
        <f t="shared" si="85"/>
        <v>-3.4890488111199547E-2</v>
      </c>
      <c r="H567" s="215">
        <f t="shared" si="80"/>
        <v>-6.3583815028901647E-2</v>
      </c>
      <c r="I567" s="231">
        <v>278377</v>
      </c>
      <c r="K567" s="230">
        <v>43920</v>
      </c>
      <c r="L567" s="1">
        <v>98.95</v>
      </c>
      <c r="M567" s="1">
        <v>100.04889618682699</v>
      </c>
      <c r="N567" s="1">
        <v>5481</v>
      </c>
      <c r="O567" s="1">
        <v>28440.32</v>
      </c>
      <c r="P567" s="215">
        <f t="shared" si="86"/>
        <v>-3.4890488111199547E-2</v>
      </c>
      <c r="Q567" s="215">
        <f t="shared" si="81"/>
        <v>-4.7183437650457294E-2</v>
      </c>
      <c r="R567" s="231">
        <v>548368</v>
      </c>
      <c r="T567" s="230">
        <v>43920</v>
      </c>
      <c r="U567" s="1">
        <v>19.899999999999999</v>
      </c>
      <c r="V567" s="1">
        <v>19.919639663078399</v>
      </c>
      <c r="W567" s="1">
        <v>30749</v>
      </c>
      <c r="X567" s="1">
        <v>28440.32</v>
      </c>
      <c r="Y567" s="215">
        <f t="shared" si="87"/>
        <v>-3.4890488111199547E-2</v>
      </c>
      <c r="Z567" s="215">
        <f t="shared" si="82"/>
        <v>1.7902813299232712E-2</v>
      </c>
      <c r="AA567" s="231">
        <v>612509</v>
      </c>
      <c r="AC567" s="230">
        <v>43950</v>
      </c>
      <c r="AD567" s="1">
        <v>23.7</v>
      </c>
      <c r="AE567" s="1">
        <v>23.714285714285701</v>
      </c>
      <c r="AF567" s="1">
        <v>14</v>
      </c>
      <c r="AG567" s="1">
        <v>32720.16</v>
      </c>
      <c r="AH567" s="215">
        <f t="shared" si="88"/>
        <v>-2.9582752282041325E-2</v>
      </c>
      <c r="AI567" s="215">
        <f t="shared" si="83"/>
        <v>-1.2500000000000067E-2</v>
      </c>
      <c r="AJ567" s="231">
        <v>332</v>
      </c>
      <c r="AL567" s="254"/>
      <c r="AQ567" s="215" t="str">
        <f t="shared" si="89"/>
        <v>NA</v>
      </c>
      <c r="AR567" s="215" t="str">
        <f t="shared" si="84"/>
        <v>NA</v>
      </c>
    </row>
    <row r="568" spans="2:44">
      <c r="B568" s="230">
        <v>43921</v>
      </c>
      <c r="C568" s="1">
        <v>164.35</v>
      </c>
      <c r="D568" s="1">
        <v>158.332116788321</v>
      </c>
      <c r="E568" s="1">
        <v>1370</v>
      </c>
      <c r="F568" s="215">
        <v>29468.49</v>
      </c>
      <c r="G568" s="215">
        <f t="shared" si="85"/>
        <v>4.2567373221804372E-2</v>
      </c>
      <c r="H568" s="215">
        <f t="shared" si="80"/>
        <v>-8.4146001671774884E-2</v>
      </c>
      <c r="I568" s="231">
        <v>216915</v>
      </c>
      <c r="K568" s="230">
        <v>43921</v>
      </c>
      <c r="L568" s="1">
        <v>103.85</v>
      </c>
      <c r="M568" s="1">
        <v>102.89492494639001</v>
      </c>
      <c r="N568" s="1">
        <v>2798</v>
      </c>
      <c r="O568" s="1">
        <v>29468.49</v>
      </c>
      <c r="P568" s="215">
        <f t="shared" si="86"/>
        <v>4.2567373221804372E-2</v>
      </c>
      <c r="Q568" s="215">
        <f t="shared" si="81"/>
        <v>-4.7247706422018365E-2</v>
      </c>
      <c r="R568" s="231">
        <v>287900</v>
      </c>
      <c r="T568" s="230">
        <v>43921</v>
      </c>
      <c r="U568" s="1">
        <v>19.55</v>
      </c>
      <c r="V568" s="1">
        <v>19.7192320392471</v>
      </c>
      <c r="W568" s="1">
        <v>42398</v>
      </c>
      <c r="X568" s="1">
        <v>29468.49</v>
      </c>
      <c r="Y568" s="215">
        <f t="shared" si="87"/>
        <v>4.2567373221804372E-2</v>
      </c>
      <c r="Z568" s="215">
        <f t="shared" si="82"/>
        <v>-2.2499999999999964E-2</v>
      </c>
      <c r="AA568" s="231">
        <v>836056</v>
      </c>
      <c r="AC568" s="230">
        <v>43951</v>
      </c>
      <c r="AD568" s="1">
        <v>24</v>
      </c>
      <c r="AE568" s="1">
        <v>23.472108044627099</v>
      </c>
      <c r="AF568" s="1">
        <v>1703</v>
      </c>
      <c r="AG568" s="1">
        <v>33717.620000000003</v>
      </c>
      <c r="AH568" s="215">
        <f t="shared" si="88"/>
        <v>6.3132521003236741E-2</v>
      </c>
      <c r="AI568" s="215">
        <f t="shared" si="83"/>
        <v>8.1081081081081141E-2</v>
      </c>
      <c r="AJ568" s="231">
        <v>39973</v>
      </c>
      <c r="AL568" s="254"/>
      <c r="AQ568" s="215" t="str">
        <f t="shared" si="89"/>
        <v>NA</v>
      </c>
      <c r="AR568" s="215" t="str">
        <f t="shared" si="84"/>
        <v>NA</v>
      </c>
    </row>
    <row r="569" spans="2:44">
      <c r="B569" s="230">
        <v>43922</v>
      </c>
      <c r="C569" s="1">
        <v>179.45</v>
      </c>
      <c r="D569" s="1">
        <v>166.10476190476101</v>
      </c>
      <c r="E569" s="1">
        <v>1260</v>
      </c>
      <c r="F569" s="215">
        <v>28265.31</v>
      </c>
      <c r="G569" s="215">
        <f t="shared" si="85"/>
        <v>2.4441347615794307E-2</v>
      </c>
      <c r="H569" s="215">
        <f t="shared" si="80"/>
        <v>5.7142857142857162E-2</v>
      </c>
      <c r="I569" s="231">
        <v>209292</v>
      </c>
      <c r="K569" s="230">
        <v>43922</v>
      </c>
      <c r="L569" s="1">
        <v>109</v>
      </c>
      <c r="M569" s="1">
        <v>108.861024498886</v>
      </c>
      <c r="N569" s="1">
        <v>2245</v>
      </c>
      <c r="O569" s="1">
        <v>28265.31</v>
      </c>
      <c r="P569" s="215">
        <f t="shared" si="86"/>
        <v>2.4441347615794307E-2</v>
      </c>
      <c r="Q569" s="215">
        <f t="shared" si="81"/>
        <v>-2.8953229398663738E-2</v>
      </c>
      <c r="R569" s="231">
        <v>244393</v>
      </c>
      <c r="T569" s="230">
        <v>43922</v>
      </c>
      <c r="U569" s="1">
        <v>20</v>
      </c>
      <c r="V569" s="1">
        <v>19.781715834462599</v>
      </c>
      <c r="W569" s="1">
        <v>9593</v>
      </c>
      <c r="X569" s="1">
        <v>28265.31</v>
      </c>
      <c r="Y569" s="215">
        <f t="shared" si="87"/>
        <v>2.4441347615794307E-2</v>
      </c>
      <c r="Z569" s="215">
        <f t="shared" si="82"/>
        <v>-3.8461538461538547E-2</v>
      </c>
      <c r="AA569" s="231">
        <v>189766</v>
      </c>
      <c r="AC569" s="230">
        <v>43955</v>
      </c>
      <c r="AD569" s="1">
        <v>22.2</v>
      </c>
      <c r="AE569" s="1">
        <v>23.445762711864401</v>
      </c>
      <c r="AF569" s="1">
        <v>590</v>
      </c>
      <c r="AG569" s="1">
        <v>31715.35</v>
      </c>
      <c r="AH569" s="215">
        <f t="shared" si="88"/>
        <v>9.3417387942529295E-4</v>
      </c>
      <c r="AI569" s="215">
        <f t="shared" si="83"/>
        <v>-6.7114093959732557E-3</v>
      </c>
      <c r="AJ569" s="231">
        <v>13833</v>
      </c>
      <c r="AL569" s="254"/>
      <c r="AQ569" s="215" t="str">
        <f t="shared" si="89"/>
        <v>NA</v>
      </c>
      <c r="AR569" s="215" t="str">
        <f t="shared" si="84"/>
        <v>NA</v>
      </c>
    </row>
    <row r="570" spans="2:44">
      <c r="B570" s="230">
        <v>43924</v>
      </c>
      <c r="C570" s="1">
        <v>169.75</v>
      </c>
      <c r="D570" s="1">
        <v>165.995024875621</v>
      </c>
      <c r="E570" s="1">
        <v>1005</v>
      </c>
      <c r="F570" s="215">
        <v>27590.95</v>
      </c>
      <c r="G570" s="215">
        <f t="shared" si="85"/>
        <v>-8.2357491765946977E-2</v>
      </c>
      <c r="H570" s="215">
        <f t="shared" si="80"/>
        <v>-2.6383710926297654E-2</v>
      </c>
      <c r="I570" s="231">
        <v>166825</v>
      </c>
      <c r="K570" s="230">
        <v>43924</v>
      </c>
      <c r="L570" s="1">
        <v>112.25</v>
      </c>
      <c r="M570" s="1">
        <v>109.110022130888</v>
      </c>
      <c r="N570" s="1">
        <v>3163</v>
      </c>
      <c r="O570" s="1">
        <v>27590.95</v>
      </c>
      <c r="P570" s="215">
        <f t="shared" si="86"/>
        <v>-8.2357491765946977E-2</v>
      </c>
      <c r="Q570" s="215">
        <f t="shared" si="81"/>
        <v>-4.7518031395842097E-2</v>
      </c>
      <c r="R570" s="231">
        <v>345115</v>
      </c>
      <c r="T570" s="230">
        <v>43924</v>
      </c>
      <c r="U570" s="1">
        <v>20.8</v>
      </c>
      <c r="V570" s="1">
        <v>20.8107162585159</v>
      </c>
      <c r="W570" s="1">
        <v>27155</v>
      </c>
      <c r="X570" s="1">
        <v>27590.95</v>
      </c>
      <c r="Y570" s="215">
        <f t="shared" si="87"/>
        <v>-8.2357491765946977E-2</v>
      </c>
      <c r="Z570" s="215">
        <f t="shared" si="82"/>
        <v>-5.4545454545454564E-2</v>
      </c>
      <c r="AA570" s="231">
        <v>565115</v>
      </c>
      <c r="AC570" s="230">
        <v>43957</v>
      </c>
      <c r="AD570" s="1">
        <v>22.35</v>
      </c>
      <c r="AE570" s="1">
        <v>22.376811594202799</v>
      </c>
      <c r="AF570" s="1">
        <v>69</v>
      </c>
      <c r="AG570" s="1">
        <v>31685.75</v>
      </c>
      <c r="AH570" s="215">
        <f t="shared" si="88"/>
        <v>7.7081407914798561E-3</v>
      </c>
      <c r="AI570" s="215">
        <f t="shared" si="83"/>
        <v>-3.6637931034482651E-2</v>
      </c>
      <c r="AJ570" s="231">
        <v>1544</v>
      </c>
      <c r="AL570" s="254"/>
      <c r="AQ570" s="215" t="str">
        <f t="shared" si="89"/>
        <v>NA</v>
      </c>
      <c r="AR570" s="215" t="str">
        <f t="shared" si="84"/>
        <v>NA</v>
      </c>
    </row>
    <row r="571" spans="2:44">
      <c r="B571" s="230">
        <v>43928</v>
      </c>
      <c r="C571" s="1">
        <v>174.35</v>
      </c>
      <c r="D571" s="1">
        <v>174.674721189591</v>
      </c>
      <c r="E571" s="1">
        <v>538</v>
      </c>
      <c r="F571" s="215">
        <v>30067.21</v>
      </c>
      <c r="G571" s="215">
        <f t="shared" si="85"/>
        <v>5.7954851080284087E-3</v>
      </c>
      <c r="H571" s="215">
        <f t="shared" si="80"/>
        <v>-3.4295513003714806E-3</v>
      </c>
      <c r="I571" s="231">
        <v>93975</v>
      </c>
      <c r="K571" s="230">
        <v>43928</v>
      </c>
      <c r="L571" s="1">
        <v>117.85</v>
      </c>
      <c r="M571" s="1">
        <v>116.968853820598</v>
      </c>
      <c r="N571" s="1">
        <v>2408</v>
      </c>
      <c r="O571" s="1">
        <v>30067.21</v>
      </c>
      <c r="P571" s="215">
        <f t="shared" si="86"/>
        <v>5.7954851080284087E-3</v>
      </c>
      <c r="Q571" s="215">
        <f t="shared" si="81"/>
        <v>-2.8041237113402118E-2</v>
      </c>
      <c r="R571" s="231">
        <v>281661</v>
      </c>
      <c r="T571" s="230">
        <v>43928</v>
      </c>
      <c r="U571" s="1">
        <v>22</v>
      </c>
      <c r="V571" s="1">
        <v>22.147668025405199</v>
      </c>
      <c r="W571" s="1">
        <v>42196</v>
      </c>
      <c r="X571" s="1">
        <v>30067.21</v>
      </c>
      <c r="Y571" s="215">
        <f t="shared" si="87"/>
        <v>5.7954851080284087E-3</v>
      </c>
      <c r="Z571" s="215">
        <f t="shared" si="82"/>
        <v>-2.2675736961451642E-3</v>
      </c>
      <c r="AA571" s="231">
        <v>934543</v>
      </c>
      <c r="AC571" s="230">
        <v>43958</v>
      </c>
      <c r="AD571" s="1">
        <v>23.2</v>
      </c>
      <c r="AE571" s="1">
        <v>22.758474576271102</v>
      </c>
      <c r="AF571" s="1">
        <v>236</v>
      </c>
      <c r="AG571" s="1">
        <v>31443.38</v>
      </c>
      <c r="AH571" s="215">
        <f t="shared" si="88"/>
        <v>-6.2990832008646969E-3</v>
      </c>
      <c r="AI571" s="215">
        <f t="shared" si="83"/>
        <v>8.6956521739129933E-3</v>
      </c>
      <c r="AJ571" s="231">
        <v>5371</v>
      </c>
      <c r="AL571" s="254"/>
      <c r="AQ571" s="215" t="str">
        <f t="shared" si="89"/>
        <v>NA</v>
      </c>
      <c r="AR571" s="215" t="str">
        <f t="shared" si="84"/>
        <v>NA</v>
      </c>
    </row>
    <row r="572" spans="2:44">
      <c r="B572" s="230">
        <v>43929</v>
      </c>
      <c r="C572" s="1">
        <v>174.95</v>
      </c>
      <c r="D572" s="1">
        <v>172.805074971164</v>
      </c>
      <c r="E572" s="1">
        <v>867</v>
      </c>
      <c r="F572" s="215">
        <v>29893.96</v>
      </c>
      <c r="G572" s="215">
        <f t="shared" si="85"/>
        <v>-4.061859547709501E-2</v>
      </c>
      <c r="H572" s="215">
        <f t="shared" si="80"/>
        <v>-1.4921171171171199E-2</v>
      </c>
      <c r="I572" s="231">
        <v>149822</v>
      </c>
      <c r="K572" s="230">
        <v>43929</v>
      </c>
      <c r="L572" s="1">
        <v>121.25</v>
      </c>
      <c r="M572" s="1">
        <v>120.50247191011201</v>
      </c>
      <c r="N572" s="1">
        <v>6675</v>
      </c>
      <c r="O572" s="1">
        <v>29893.96</v>
      </c>
      <c r="P572" s="215">
        <f t="shared" si="86"/>
        <v>-4.061859547709501E-2</v>
      </c>
      <c r="Q572" s="215">
        <f t="shared" si="81"/>
        <v>-7.3679901760131949E-3</v>
      </c>
      <c r="R572" s="231">
        <v>804354</v>
      </c>
      <c r="T572" s="230">
        <v>43929</v>
      </c>
      <c r="U572" s="1">
        <v>22.05</v>
      </c>
      <c r="V572" s="1">
        <v>22.1278356946627</v>
      </c>
      <c r="W572" s="1">
        <v>83357</v>
      </c>
      <c r="X572" s="1">
        <v>29893.96</v>
      </c>
      <c r="Y572" s="215">
        <f t="shared" si="87"/>
        <v>-4.061859547709501E-2</v>
      </c>
      <c r="Z572" s="215">
        <f t="shared" si="82"/>
        <v>-9.0721649484536093E-2</v>
      </c>
      <c r="AA572" s="231">
        <v>1844510</v>
      </c>
      <c r="AC572" s="230">
        <v>43959</v>
      </c>
      <c r="AD572" s="1">
        <v>23</v>
      </c>
      <c r="AE572" s="1">
        <v>24.303664921465899</v>
      </c>
      <c r="AF572" s="1">
        <v>1719</v>
      </c>
      <c r="AG572" s="1">
        <v>31642.7</v>
      </c>
      <c r="AH572" s="215">
        <f t="shared" si="88"/>
        <v>2.5816492518349055E-3</v>
      </c>
      <c r="AI572" s="215">
        <f t="shared" si="83"/>
        <v>0</v>
      </c>
      <c r="AJ572" s="231">
        <v>41778</v>
      </c>
      <c r="AL572" s="254"/>
      <c r="AQ572" s="215" t="str">
        <f t="shared" si="89"/>
        <v>NA</v>
      </c>
      <c r="AR572" s="215" t="str">
        <f t="shared" si="84"/>
        <v>NA</v>
      </c>
    </row>
    <row r="573" spans="2:44">
      <c r="B573" s="230">
        <v>43930</v>
      </c>
      <c r="C573" s="1">
        <v>177.6</v>
      </c>
      <c r="D573" s="1">
        <v>174.228119180633</v>
      </c>
      <c r="E573" s="1">
        <v>1074</v>
      </c>
      <c r="F573" s="215">
        <v>31159.62</v>
      </c>
      <c r="G573" s="215">
        <f t="shared" si="85"/>
        <v>1.5301391136271603E-2</v>
      </c>
      <c r="H573" s="215">
        <f t="shared" si="80"/>
        <v>4.3171806167400906E-2</v>
      </c>
      <c r="I573" s="231">
        <v>187121</v>
      </c>
      <c r="K573" s="230">
        <v>43930</v>
      </c>
      <c r="L573" s="1">
        <v>122.15</v>
      </c>
      <c r="M573" s="1">
        <v>124.98047070605899</v>
      </c>
      <c r="N573" s="1">
        <v>3994</v>
      </c>
      <c r="O573" s="1">
        <v>31159.62</v>
      </c>
      <c r="P573" s="215">
        <f t="shared" si="86"/>
        <v>1.5301391136271603E-2</v>
      </c>
      <c r="Q573" s="215">
        <f t="shared" si="81"/>
        <v>8.2542302930250777E-3</v>
      </c>
      <c r="R573" s="231">
        <v>499172</v>
      </c>
      <c r="T573" s="230">
        <v>43930</v>
      </c>
      <c r="U573" s="1">
        <v>24.25</v>
      </c>
      <c r="V573" s="1">
        <v>23.831885129722</v>
      </c>
      <c r="W573" s="1">
        <v>162270</v>
      </c>
      <c r="X573" s="1">
        <v>31159.62</v>
      </c>
      <c r="Y573" s="215">
        <f t="shared" si="87"/>
        <v>1.5301391136271603E-2</v>
      </c>
      <c r="Z573" s="215">
        <f t="shared" si="82"/>
        <v>5.2060737527114931E-2</v>
      </c>
      <c r="AA573" s="231">
        <v>3867200</v>
      </c>
      <c r="AC573" s="230">
        <v>43962</v>
      </c>
      <c r="AD573" s="1">
        <v>23</v>
      </c>
      <c r="AE573" s="1">
        <v>22.624179943767501</v>
      </c>
      <c r="AF573" s="1">
        <v>2134</v>
      </c>
      <c r="AG573" s="1">
        <v>31561.22</v>
      </c>
      <c r="AH573" s="215">
        <f t="shared" si="88"/>
        <v>-1.3977176765876398E-2</v>
      </c>
      <c r="AI573" s="215">
        <f t="shared" si="83"/>
        <v>-5.7377049180327822E-2</v>
      </c>
      <c r="AJ573" s="231">
        <v>48280</v>
      </c>
      <c r="AL573" s="254"/>
      <c r="AQ573" s="215" t="str">
        <f t="shared" si="89"/>
        <v>NA</v>
      </c>
      <c r="AR573" s="215" t="str">
        <f t="shared" si="84"/>
        <v>NA</v>
      </c>
    </row>
    <row r="574" spans="2:44">
      <c r="B574" s="230">
        <v>43934</v>
      </c>
      <c r="C574" s="1">
        <v>170.25</v>
      </c>
      <c r="D574" s="1">
        <v>172.54963680387399</v>
      </c>
      <c r="E574" s="1">
        <v>413</v>
      </c>
      <c r="F574" s="215">
        <v>30690.02</v>
      </c>
      <c r="G574" s="215">
        <f t="shared" si="85"/>
        <v>1.0211057936175383E-2</v>
      </c>
      <c r="H574" s="215">
        <f t="shared" si="80"/>
        <v>-1.3329469718922127E-2</v>
      </c>
      <c r="I574" s="231">
        <v>71263</v>
      </c>
      <c r="K574" s="230">
        <v>43934</v>
      </c>
      <c r="L574" s="1">
        <v>121.15</v>
      </c>
      <c r="M574" s="1">
        <v>118.994146525679</v>
      </c>
      <c r="N574" s="1">
        <v>5296</v>
      </c>
      <c r="O574" s="1">
        <v>30690.02</v>
      </c>
      <c r="P574" s="215">
        <f t="shared" si="86"/>
        <v>1.0211057936175383E-2</v>
      </c>
      <c r="Q574" s="215">
        <f t="shared" si="81"/>
        <v>-2.9246794871794823E-2</v>
      </c>
      <c r="R574" s="231">
        <v>630193</v>
      </c>
      <c r="T574" s="230">
        <v>43934</v>
      </c>
      <c r="U574" s="1">
        <v>23.05</v>
      </c>
      <c r="V574" s="1">
        <v>23.359915382525301</v>
      </c>
      <c r="W574" s="1">
        <v>103052</v>
      </c>
      <c r="X574" s="1">
        <v>30690.02</v>
      </c>
      <c r="Y574" s="215">
        <f t="shared" si="87"/>
        <v>1.0211057936175383E-2</v>
      </c>
      <c r="Z574" s="215">
        <f t="shared" si="82"/>
        <v>-2.5369978858350906E-2</v>
      </c>
      <c r="AA574" s="231">
        <v>2407286</v>
      </c>
      <c r="AC574" s="230">
        <v>43964</v>
      </c>
      <c r="AD574" s="1">
        <v>24.4</v>
      </c>
      <c r="AE574" s="1">
        <v>24.350581395348801</v>
      </c>
      <c r="AF574" s="1">
        <v>1720</v>
      </c>
      <c r="AG574" s="1">
        <v>32008.61</v>
      </c>
      <c r="AH574" s="215">
        <f t="shared" si="88"/>
        <v>2.8458796724854407E-2</v>
      </c>
      <c r="AI574" s="215">
        <f t="shared" si="83"/>
        <v>1.6666666666666607E-2</v>
      </c>
      <c r="AJ574" s="231">
        <v>41883</v>
      </c>
      <c r="AL574" s="254"/>
      <c r="AQ574" s="215" t="str">
        <f t="shared" si="89"/>
        <v>NA</v>
      </c>
      <c r="AR574" s="215" t="str">
        <f t="shared" si="84"/>
        <v>NA</v>
      </c>
    </row>
    <row r="575" spans="2:44">
      <c r="B575" s="230">
        <v>43936</v>
      </c>
      <c r="C575" s="1">
        <v>172.55</v>
      </c>
      <c r="D575" s="1">
        <v>178.20019579050401</v>
      </c>
      <c r="E575" s="1">
        <v>2043</v>
      </c>
      <c r="F575" s="215">
        <v>30379.81</v>
      </c>
      <c r="G575" s="215">
        <f t="shared" si="85"/>
        <v>-7.2804247742267458E-3</v>
      </c>
      <c r="H575" s="215">
        <f t="shared" si="80"/>
        <v>-8.3333333333333037E-3</v>
      </c>
      <c r="I575" s="231">
        <v>364063</v>
      </c>
      <c r="K575" s="230">
        <v>43936</v>
      </c>
      <c r="L575" s="1">
        <v>124.8</v>
      </c>
      <c r="M575" s="1">
        <v>126.047866894197</v>
      </c>
      <c r="N575" s="1">
        <v>11720</v>
      </c>
      <c r="O575" s="1">
        <v>30379.81</v>
      </c>
      <c r="P575" s="215">
        <f t="shared" si="86"/>
        <v>-7.2804247742267458E-3</v>
      </c>
      <c r="Q575" s="215">
        <f t="shared" si="81"/>
        <v>-6.3694267515923553E-3</v>
      </c>
      <c r="R575" s="231">
        <v>1477281</v>
      </c>
      <c r="T575" s="230">
        <v>43936</v>
      </c>
      <c r="U575" s="1">
        <v>23.65</v>
      </c>
      <c r="V575" s="1">
        <v>23.075877926421398</v>
      </c>
      <c r="W575" s="1">
        <v>57408</v>
      </c>
      <c r="X575" s="1">
        <v>30379.81</v>
      </c>
      <c r="Y575" s="215">
        <f t="shared" si="87"/>
        <v>-7.2804247742267458E-3</v>
      </c>
      <c r="Z575" s="215">
        <f t="shared" si="82"/>
        <v>-5.4000000000000048E-2</v>
      </c>
      <c r="AA575" s="231">
        <v>1324740</v>
      </c>
      <c r="AC575" s="230">
        <v>43965</v>
      </c>
      <c r="AD575" s="1">
        <v>24</v>
      </c>
      <c r="AE575" s="1">
        <v>23.947368421052602</v>
      </c>
      <c r="AF575" s="1">
        <v>19</v>
      </c>
      <c r="AG575" s="1">
        <v>31122.89</v>
      </c>
      <c r="AH575" s="215">
        <f t="shared" si="88"/>
        <v>3.6428476758118222E-2</v>
      </c>
      <c r="AI575" s="215">
        <f t="shared" si="83"/>
        <v>2.1276595744680771E-2</v>
      </c>
      <c r="AJ575" s="231">
        <v>455</v>
      </c>
      <c r="AL575" s="254"/>
      <c r="AQ575" s="215" t="str">
        <f t="shared" si="89"/>
        <v>NA</v>
      </c>
      <c r="AR575" s="215" t="str">
        <f t="shared" si="84"/>
        <v>NA</v>
      </c>
    </row>
    <row r="576" spans="2:44">
      <c r="B576" s="230">
        <v>43937</v>
      </c>
      <c r="C576" s="1">
        <v>174</v>
      </c>
      <c r="D576" s="1">
        <v>174.10101010100999</v>
      </c>
      <c r="E576" s="1">
        <v>99</v>
      </c>
      <c r="F576" s="215">
        <v>30602.61</v>
      </c>
      <c r="G576" s="215">
        <f t="shared" si="85"/>
        <v>-3.1217155997457335E-2</v>
      </c>
      <c r="H576" s="215">
        <f t="shared" si="80"/>
        <v>-5.7421451787648903E-2</v>
      </c>
      <c r="I576" s="231">
        <v>17236</v>
      </c>
      <c r="K576" s="230">
        <v>43937</v>
      </c>
      <c r="L576" s="1">
        <v>125.6</v>
      </c>
      <c r="M576" s="1">
        <v>125.67148826743799</v>
      </c>
      <c r="N576" s="1">
        <v>3111</v>
      </c>
      <c r="O576" s="1">
        <v>30602.61</v>
      </c>
      <c r="P576" s="215">
        <f t="shared" si="86"/>
        <v>-3.1217155997457335E-2</v>
      </c>
      <c r="Q576" s="215">
        <f t="shared" si="81"/>
        <v>-1.0634107916502655E-2</v>
      </c>
      <c r="R576" s="231">
        <v>390964</v>
      </c>
      <c r="T576" s="230">
        <v>43937</v>
      </c>
      <c r="U576" s="1">
        <v>25</v>
      </c>
      <c r="V576" s="1">
        <v>24.736099550867301</v>
      </c>
      <c r="W576" s="1">
        <v>121345</v>
      </c>
      <c r="X576" s="1">
        <v>30602.61</v>
      </c>
      <c r="Y576" s="215">
        <f t="shared" si="87"/>
        <v>-3.1217155997457335E-2</v>
      </c>
      <c r="Z576" s="215">
        <f t="shared" si="82"/>
        <v>-8.7591240875912413E-2</v>
      </c>
      <c r="AA576" s="231">
        <v>3001602</v>
      </c>
      <c r="AC576" s="230">
        <v>43969</v>
      </c>
      <c r="AD576" s="1">
        <v>23.5</v>
      </c>
      <c r="AE576" s="1">
        <v>23.7558139534883</v>
      </c>
      <c r="AF576" s="1">
        <v>86</v>
      </c>
      <c r="AG576" s="1">
        <v>30028.98</v>
      </c>
      <c r="AH576" s="215">
        <f t="shared" si="88"/>
        <v>-5.536794898160835E-3</v>
      </c>
      <c r="AI576" s="215">
        <f t="shared" si="83"/>
        <v>0</v>
      </c>
      <c r="AJ576" s="231">
        <v>2043</v>
      </c>
      <c r="AL576" s="254"/>
      <c r="AQ576" s="215" t="str">
        <f t="shared" si="89"/>
        <v>NA</v>
      </c>
      <c r="AR576" s="215" t="str">
        <f t="shared" si="84"/>
        <v>NA</v>
      </c>
    </row>
    <row r="577" spans="2:44">
      <c r="B577" s="230">
        <v>43938</v>
      </c>
      <c r="C577" s="1">
        <v>184.6</v>
      </c>
      <c r="D577" s="1">
        <v>180.692307692307</v>
      </c>
      <c r="E577" s="1">
        <v>377</v>
      </c>
      <c r="F577" s="215">
        <v>31588.720000000001</v>
      </c>
      <c r="G577" s="215">
        <f t="shared" si="85"/>
        <v>-1.8731041456016007E-3</v>
      </c>
      <c r="H577" s="215">
        <f t="shared" si="80"/>
        <v>-2.8165306659647227E-2</v>
      </c>
      <c r="I577" s="231">
        <v>68121</v>
      </c>
      <c r="K577" s="230">
        <v>43938</v>
      </c>
      <c r="L577" s="1">
        <v>126.95</v>
      </c>
      <c r="M577" s="1">
        <v>127.66049921452201</v>
      </c>
      <c r="N577" s="1">
        <v>5729</v>
      </c>
      <c r="O577" s="1">
        <v>31588.720000000001</v>
      </c>
      <c r="P577" s="215">
        <f t="shared" si="86"/>
        <v>-1.8731041456016007E-3</v>
      </c>
      <c r="Q577" s="215">
        <f t="shared" si="81"/>
        <v>3.5903712770297913E-2</v>
      </c>
      <c r="R577" s="231">
        <v>731367</v>
      </c>
      <c r="T577" s="230">
        <v>43938</v>
      </c>
      <c r="U577" s="1">
        <v>27.4</v>
      </c>
      <c r="V577" s="1">
        <v>26.407790489649202</v>
      </c>
      <c r="W577" s="1">
        <v>66517</v>
      </c>
      <c r="X577" s="1">
        <v>31588.720000000001</v>
      </c>
      <c r="Y577" s="215">
        <f t="shared" si="87"/>
        <v>-1.8731041456016007E-3</v>
      </c>
      <c r="Z577" s="215">
        <f t="shared" si="82"/>
        <v>-8.9700996677741007E-2</v>
      </c>
      <c r="AA577" s="231">
        <v>1756567</v>
      </c>
      <c r="AC577" s="230">
        <v>43970</v>
      </c>
      <c r="AD577" s="1">
        <v>23.5</v>
      </c>
      <c r="AE577" s="1">
        <v>23.5</v>
      </c>
      <c r="AF577" s="1">
        <v>1490</v>
      </c>
      <c r="AG577" s="1">
        <v>30196.17</v>
      </c>
      <c r="AH577" s="215">
        <f t="shared" si="88"/>
        <v>-2.0196887529969842E-2</v>
      </c>
      <c r="AI577" s="215">
        <f t="shared" si="83"/>
        <v>-4.081632653061229E-2</v>
      </c>
      <c r="AJ577" s="231">
        <v>35015</v>
      </c>
      <c r="AL577" s="254"/>
      <c r="AQ577" s="215" t="str">
        <f t="shared" si="89"/>
        <v>NA</v>
      </c>
      <c r="AR577" s="215" t="str">
        <f t="shared" si="84"/>
        <v>NA</v>
      </c>
    </row>
    <row r="578" spans="2:44">
      <c r="B578" s="230">
        <v>43941</v>
      </c>
      <c r="C578" s="1">
        <v>189.95</v>
      </c>
      <c r="D578" s="1">
        <v>186.84705882352901</v>
      </c>
      <c r="E578" s="1">
        <v>425</v>
      </c>
      <c r="F578" s="215">
        <v>31648</v>
      </c>
      <c r="G578" s="215">
        <f t="shared" si="85"/>
        <v>3.300909268651897E-2</v>
      </c>
      <c r="H578" s="215">
        <f t="shared" si="80"/>
        <v>0.11081871345029226</v>
      </c>
      <c r="I578" s="231">
        <v>79410</v>
      </c>
      <c r="K578" s="230">
        <v>43941</v>
      </c>
      <c r="L578" s="1">
        <v>122.55</v>
      </c>
      <c r="M578" s="1">
        <v>127.757928577634</v>
      </c>
      <c r="N578" s="1">
        <v>11509</v>
      </c>
      <c r="O578" s="1">
        <v>31648</v>
      </c>
      <c r="P578" s="215">
        <f t="shared" si="86"/>
        <v>3.300909268651897E-2</v>
      </c>
      <c r="Q578" s="215">
        <f t="shared" si="81"/>
        <v>3.7679932260795912E-2</v>
      </c>
      <c r="R578" s="231">
        <v>1470366</v>
      </c>
      <c r="T578" s="230">
        <v>43941</v>
      </c>
      <c r="U578" s="1">
        <v>30.1</v>
      </c>
      <c r="V578" s="1">
        <v>29.705565310329</v>
      </c>
      <c r="W578" s="1">
        <v>65495</v>
      </c>
      <c r="X578" s="1">
        <v>31648</v>
      </c>
      <c r="Y578" s="215">
        <f t="shared" si="87"/>
        <v>3.300909268651897E-2</v>
      </c>
      <c r="Z578" s="215">
        <f t="shared" si="82"/>
        <v>5.0610820244328281E-2</v>
      </c>
      <c r="AA578" s="231">
        <v>1945566</v>
      </c>
      <c r="AC578" s="230">
        <v>43971</v>
      </c>
      <c r="AD578" s="1">
        <v>24.5</v>
      </c>
      <c r="AE578" s="1">
        <v>24.5</v>
      </c>
      <c r="AF578" s="1">
        <v>50</v>
      </c>
      <c r="AG578" s="1">
        <v>30818.61</v>
      </c>
      <c r="AH578" s="215">
        <f t="shared" si="88"/>
        <v>-3.6947715862398756E-3</v>
      </c>
      <c r="AI578" s="215">
        <f t="shared" si="83"/>
        <v>4.0339702760084917E-2</v>
      </c>
      <c r="AJ578" s="231">
        <v>1225</v>
      </c>
      <c r="AL578" s="254"/>
      <c r="AQ578" s="215" t="str">
        <f t="shared" si="89"/>
        <v>NA</v>
      </c>
      <c r="AR578" s="215" t="str">
        <f t="shared" si="84"/>
        <v>NA</v>
      </c>
    </row>
    <row r="579" spans="2:44">
      <c r="B579" s="230">
        <v>43942</v>
      </c>
      <c r="C579" s="1">
        <v>171</v>
      </c>
      <c r="D579" s="1">
        <v>174.114685314685</v>
      </c>
      <c r="E579" s="1">
        <v>2860</v>
      </c>
      <c r="F579" s="215">
        <v>30636.71</v>
      </c>
      <c r="G579" s="215">
        <f t="shared" si="85"/>
        <v>-2.3672742279605696E-2</v>
      </c>
      <c r="H579" s="215">
        <f t="shared" si="80"/>
        <v>-1.0702921608330862E-2</v>
      </c>
      <c r="I579" s="231">
        <v>497968</v>
      </c>
      <c r="K579" s="230">
        <v>43942</v>
      </c>
      <c r="L579" s="1">
        <v>118.1</v>
      </c>
      <c r="M579" s="1">
        <v>120.22383362977099</v>
      </c>
      <c r="N579" s="1">
        <v>7309</v>
      </c>
      <c r="O579" s="1">
        <v>30636.71</v>
      </c>
      <c r="P579" s="215">
        <f t="shared" si="86"/>
        <v>-2.3672742279605696E-2</v>
      </c>
      <c r="Q579" s="215">
        <f t="shared" si="81"/>
        <v>5.106382978723456E-3</v>
      </c>
      <c r="R579" s="231">
        <v>878716</v>
      </c>
      <c r="T579" s="230">
        <v>43942</v>
      </c>
      <c r="U579" s="1">
        <v>28.65</v>
      </c>
      <c r="V579" s="1">
        <v>28.710550160888701</v>
      </c>
      <c r="W579" s="1">
        <v>140159</v>
      </c>
      <c r="X579" s="1">
        <v>30636.71</v>
      </c>
      <c r="Y579" s="215">
        <f t="shared" si="87"/>
        <v>-2.3672742279605696E-2</v>
      </c>
      <c r="Z579" s="215">
        <f t="shared" si="82"/>
        <v>2.8725314183123851E-2</v>
      </c>
      <c r="AA579" s="231">
        <v>4024042</v>
      </c>
      <c r="AC579" s="230">
        <v>43972</v>
      </c>
      <c r="AD579" s="1">
        <v>23.55</v>
      </c>
      <c r="AE579" s="1">
        <v>23.55</v>
      </c>
      <c r="AF579" s="1">
        <v>200</v>
      </c>
      <c r="AG579" s="1">
        <v>30932.9</v>
      </c>
      <c r="AH579" s="215">
        <f t="shared" si="88"/>
        <v>8.4867303348039602E-3</v>
      </c>
      <c r="AI579" s="215">
        <f t="shared" si="83"/>
        <v>-8.4210526315788847E-3</v>
      </c>
      <c r="AJ579" s="231">
        <v>4710</v>
      </c>
      <c r="AL579" s="254"/>
      <c r="AQ579" s="215" t="str">
        <f t="shared" si="89"/>
        <v>NA</v>
      </c>
      <c r="AR579" s="215" t="str">
        <f t="shared" si="84"/>
        <v>NA</v>
      </c>
    </row>
    <row r="580" spans="2:44">
      <c r="B580" s="230">
        <v>43943</v>
      </c>
      <c r="C580" s="1">
        <v>172.85</v>
      </c>
      <c r="D580" s="1">
        <v>172.326530612244</v>
      </c>
      <c r="E580" s="1">
        <v>490</v>
      </c>
      <c r="F580" s="215">
        <v>31379.55</v>
      </c>
      <c r="G580" s="215">
        <f t="shared" si="85"/>
        <v>-1.5175243573439912E-2</v>
      </c>
      <c r="H580" s="215">
        <f t="shared" si="80"/>
        <v>-1.2285714285714344E-2</v>
      </c>
      <c r="I580" s="231">
        <v>84440</v>
      </c>
      <c r="K580" s="230">
        <v>43943</v>
      </c>
      <c r="L580" s="1">
        <v>117.5</v>
      </c>
      <c r="M580" s="1">
        <v>115.835932986712</v>
      </c>
      <c r="N580" s="1">
        <v>1731</v>
      </c>
      <c r="O580" s="1">
        <v>31379.55</v>
      </c>
      <c r="P580" s="215">
        <f t="shared" si="86"/>
        <v>-1.5175243573439912E-2</v>
      </c>
      <c r="Q580" s="215">
        <f t="shared" si="81"/>
        <v>-1.3848090642047839E-2</v>
      </c>
      <c r="R580" s="231">
        <v>200512</v>
      </c>
      <c r="T580" s="230">
        <v>43943</v>
      </c>
      <c r="U580" s="1">
        <v>27.85</v>
      </c>
      <c r="V580" s="1">
        <v>27.766363759053402</v>
      </c>
      <c r="W580" s="1">
        <v>44458</v>
      </c>
      <c r="X580" s="1">
        <v>31379.55</v>
      </c>
      <c r="Y580" s="215">
        <f t="shared" si="87"/>
        <v>-1.5175243573439912E-2</v>
      </c>
      <c r="Z580" s="215">
        <f t="shared" si="82"/>
        <v>-3.4662045060658619E-2</v>
      </c>
      <c r="AA580" s="231">
        <v>1234437</v>
      </c>
      <c r="AC580" s="230">
        <v>43973</v>
      </c>
      <c r="AD580" s="1">
        <v>23.75</v>
      </c>
      <c r="AE580" s="1">
        <v>23.984848484848399</v>
      </c>
      <c r="AF580" s="1">
        <v>1320</v>
      </c>
      <c r="AG580" s="1">
        <v>30672.59</v>
      </c>
      <c r="AH580" s="215">
        <f t="shared" si="88"/>
        <v>2.0676722434032069E-3</v>
      </c>
      <c r="AI580" s="215">
        <f t="shared" si="83"/>
        <v>-3.2586558044806591E-2</v>
      </c>
      <c r="AJ580" s="231">
        <v>31660</v>
      </c>
      <c r="AL580" s="254"/>
      <c r="AQ580" s="215" t="str">
        <f t="shared" si="89"/>
        <v>NA</v>
      </c>
      <c r="AR580" s="215" t="str">
        <f t="shared" si="84"/>
        <v>NA</v>
      </c>
    </row>
    <row r="581" spans="2:44">
      <c r="B581" s="230">
        <v>43944</v>
      </c>
      <c r="C581" s="1">
        <v>175</v>
      </c>
      <c r="D581" s="1">
        <v>173</v>
      </c>
      <c r="E581" s="1">
        <v>138</v>
      </c>
      <c r="F581" s="215">
        <v>31863.08</v>
      </c>
      <c r="G581" s="215">
        <f t="shared" si="85"/>
        <v>1.7105252237511026E-2</v>
      </c>
      <c r="H581" s="215">
        <f t="shared" si="80"/>
        <v>-1.5194147439504757E-2</v>
      </c>
      <c r="I581" s="231">
        <v>23874</v>
      </c>
      <c r="K581" s="230">
        <v>43944</v>
      </c>
      <c r="L581" s="1">
        <v>119.15</v>
      </c>
      <c r="M581" s="1">
        <v>119.525037936267</v>
      </c>
      <c r="N581" s="1">
        <v>1318</v>
      </c>
      <c r="O581" s="1">
        <v>31863.08</v>
      </c>
      <c r="P581" s="215">
        <f t="shared" si="86"/>
        <v>1.7105252237511026E-2</v>
      </c>
      <c r="Q581" s="215">
        <f t="shared" si="81"/>
        <v>3.789198606271782E-2</v>
      </c>
      <c r="R581" s="231">
        <v>157534</v>
      </c>
      <c r="T581" s="230">
        <v>43944</v>
      </c>
      <c r="U581" s="1">
        <v>28.85</v>
      </c>
      <c r="V581" s="1">
        <v>28.890995933036901</v>
      </c>
      <c r="W581" s="1">
        <v>42292</v>
      </c>
      <c r="X581" s="1">
        <v>31863.08</v>
      </c>
      <c r="Y581" s="215">
        <f t="shared" si="87"/>
        <v>1.7105252237511026E-2</v>
      </c>
      <c r="Z581" s="215">
        <f t="shared" si="82"/>
        <v>4.9090909090909074E-2</v>
      </c>
      <c r="AA581" s="231">
        <v>1221858</v>
      </c>
      <c r="AC581" s="230">
        <v>43977</v>
      </c>
      <c r="AD581" s="1">
        <v>24.55</v>
      </c>
      <c r="AE581" s="1">
        <v>24.1270226537216</v>
      </c>
      <c r="AF581" s="1">
        <v>3708</v>
      </c>
      <c r="AG581" s="1">
        <v>30609.3</v>
      </c>
      <c r="AH581" s="215">
        <f t="shared" si="88"/>
        <v>-3.1511250356744958E-2</v>
      </c>
      <c r="AI581" s="215">
        <f t="shared" si="83"/>
        <v>-1.8000000000000016E-2</v>
      </c>
      <c r="AJ581" s="231">
        <v>89463</v>
      </c>
      <c r="AL581" s="254"/>
      <c r="AQ581" s="215" t="str">
        <f t="shared" si="89"/>
        <v>NA</v>
      </c>
      <c r="AR581" s="215" t="str">
        <f t="shared" si="84"/>
        <v>NA</v>
      </c>
    </row>
    <row r="582" spans="2:44">
      <c r="B582" s="230">
        <v>43945</v>
      </c>
      <c r="C582" s="1">
        <v>177.7</v>
      </c>
      <c r="D582" s="1">
        <v>176.74683544303701</v>
      </c>
      <c r="E582" s="1">
        <v>79</v>
      </c>
      <c r="F582" s="215">
        <v>31327.22</v>
      </c>
      <c r="G582" s="215">
        <f t="shared" si="85"/>
        <v>-1.3100808113138407E-2</v>
      </c>
      <c r="H582" s="215">
        <f t="shared" si="80"/>
        <v>-1.8232044198895125E-2</v>
      </c>
      <c r="I582" s="231">
        <v>13963</v>
      </c>
      <c r="K582" s="230">
        <v>43945</v>
      </c>
      <c r="L582" s="1">
        <v>114.8</v>
      </c>
      <c r="M582" s="1">
        <v>115.939330543933</v>
      </c>
      <c r="N582" s="1">
        <v>956</v>
      </c>
      <c r="O582" s="1">
        <v>31327.22</v>
      </c>
      <c r="P582" s="215">
        <f t="shared" si="86"/>
        <v>-1.3100808113138407E-2</v>
      </c>
      <c r="Q582" s="215">
        <f t="shared" si="81"/>
        <v>-4.4129891756869211E-2</v>
      </c>
      <c r="R582" s="231">
        <v>110838</v>
      </c>
      <c r="T582" s="230">
        <v>43945</v>
      </c>
      <c r="U582" s="1">
        <v>27.5</v>
      </c>
      <c r="V582" s="1">
        <v>27.873929183323799</v>
      </c>
      <c r="W582" s="1">
        <v>21012</v>
      </c>
      <c r="X582" s="1">
        <v>31327.22</v>
      </c>
      <c r="Y582" s="215">
        <f t="shared" si="87"/>
        <v>-1.3100808113138407E-2</v>
      </c>
      <c r="Z582" s="215">
        <f t="shared" si="82"/>
        <v>-5.1724137931034475E-2</v>
      </c>
      <c r="AA582" s="231">
        <v>585687</v>
      </c>
      <c r="AC582" s="230">
        <v>43978</v>
      </c>
      <c r="AD582" s="1">
        <v>25</v>
      </c>
      <c r="AE582" s="1">
        <v>24.832141512984499</v>
      </c>
      <c r="AF582" s="1">
        <v>2657</v>
      </c>
      <c r="AG582" s="1">
        <v>31605.22</v>
      </c>
      <c r="AH582" s="215">
        <f t="shared" si="88"/>
        <v>-1.8489412771629299E-2</v>
      </c>
      <c r="AI582" s="215">
        <f t="shared" si="83"/>
        <v>-4.3977055449330726E-2</v>
      </c>
      <c r="AJ582" s="231">
        <v>65979</v>
      </c>
      <c r="AL582" s="254"/>
      <c r="AQ582" s="215" t="str">
        <f t="shared" si="89"/>
        <v>NA</v>
      </c>
      <c r="AR582" s="215" t="str">
        <f t="shared" si="84"/>
        <v>NA</v>
      </c>
    </row>
    <row r="583" spans="2:44">
      <c r="B583" s="230">
        <v>43948</v>
      </c>
      <c r="C583" s="1">
        <v>181</v>
      </c>
      <c r="D583" s="1">
        <v>174.97077922077901</v>
      </c>
      <c r="E583" s="1">
        <v>308</v>
      </c>
      <c r="F583" s="215">
        <v>31743.08</v>
      </c>
      <c r="G583" s="215">
        <f t="shared" si="85"/>
        <v>-1.1566107791740277E-2</v>
      </c>
      <c r="H583" s="215">
        <f t="shared" si="80"/>
        <v>3.4285714285714253E-2</v>
      </c>
      <c r="I583" s="231">
        <v>53891</v>
      </c>
      <c r="K583" s="230">
        <v>43948</v>
      </c>
      <c r="L583" s="1">
        <v>120.1</v>
      </c>
      <c r="M583" s="1">
        <v>118.67379454926601</v>
      </c>
      <c r="N583" s="1">
        <v>2385</v>
      </c>
      <c r="O583" s="1">
        <v>31743.08</v>
      </c>
      <c r="P583" s="215">
        <f t="shared" si="86"/>
        <v>-1.1566107791740277E-2</v>
      </c>
      <c r="Q583" s="215">
        <f t="shared" si="81"/>
        <v>-3.3195020746888959E-3</v>
      </c>
      <c r="R583" s="231">
        <v>283037</v>
      </c>
      <c r="T583" s="230">
        <v>43948</v>
      </c>
      <c r="U583" s="1">
        <v>29</v>
      </c>
      <c r="V583" s="1">
        <v>28.704584544214399</v>
      </c>
      <c r="W583" s="1">
        <v>50583</v>
      </c>
      <c r="X583" s="1">
        <v>31743.08</v>
      </c>
      <c r="Y583" s="215">
        <f t="shared" si="87"/>
        <v>-1.1566107791740277E-2</v>
      </c>
      <c r="Z583" s="215">
        <f t="shared" si="82"/>
        <v>-1.1925042589437829E-2</v>
      </c>
      <c r="AA583" s="231">
        <v>1451964</v>
      </c>
      <c r="AC583" s="230">
        <v>43979</v>
      </c>
      <c r="AD583" s="1">
        <v>26.15</v>
      </c>
      <c r="AE583" s="1">
        <v>25.6666666666666</v>
      </c>
      <c r="AF583" s="1">
        <v>6</v>
      </c>
      <c r="AG583" s="1">
        <v>32200.59</v>
      </c>
      <c r="AH583" s="215">
        <f t="shared" si="88"/>
        <v>-6.8933293445306854E-3</v>
      </c>
      <c r="AI583" s="215">
        <f t="shared" si="83"/>
        <v>3.155818540433919E-2</v>
      </c>
      <c r="AJ583" s="231">
        <v>154</v>
      </c>
      <c r="AL583" s="254"/>
      <c r="AQ583" s="215" t="str">
        <f t="shared" si="89"/>
        <v>NA</v>
      </c>
      <c r="AR583" s="215" t="str">
        <f t="shared" si="84"/>
        <v>NA</v>
      </c>
    </row>
    <row r="584" spans="2:44">
      <c r="B584" s="230">
        <v>43949</v>
      </c>
      <c r="C584" s="1">
        <v>175</v>
      </c>
      <c r="D584" s="1">
        <v>181.31075697211099</v>
      </c>
      <c r="E584" s="1">
        <v>251</v>
      </c>
      <c r="F584" s="215">
        <v>32114.52</v>
      </c>
      <c r="G584" s="215">
        <f t="shared" si="85"/>
        <v>-1.8509689439171417E-2</v>
      </c>
      <c r="H584" s="215">
        <f t="shared" si="80"/>
        <v>-2.3164945576332752E-2</v>
      </c>
      <c r="I584" s="231">
        <v>45509</v>
      </c>
      <c r="K584" s="230">
        <v>43949</v>
      </c>
      <c r="L584" s="1">
        <v>120.5</v>
      </c>
      <c r="M584" s="1">
        <v>119.23973362930001</v>
      </c>
      <c r="N584" s="1">
        <v>901</v>
      </c>
      <c r="O584" s="1">
        <v>32114.52</v>
      </c>
      <c r="P584" s="215">
        <f t="shared" si="86"/>
        <v>-1.8509689439171417E-2</v>
      </c>
      <c r="Q584" s="215">
        <f t="shared" si="81"/>
        <v>-3.0181086519114664E-2</v>
      </c>
      <c r="R584" s="231">
        <v>107435</v>
      </c>
      <c r="T584" s="230">
        <v>43949</v>
      </c>
      <c r="U584" s="1">
        <v>29.35</v>
      </c>
      <c r="V584" s="1">
        <v>29.012105766167501</v>
      </c>
      <c r="W584" s="1">
        <v>21973</v>
      </c>
      <c r="X584" s="1">
        <v>32114.52</v>
      </c>
      <c r="Y584" s="215">
        <f t="shared" si="87"/>
        <v>-1.8509689439171417E-2</v>
      </c>
      <c r="Z584" s="215">
        <f t="shared" si="82"/>
        <v>-4.7077922077922052E-2</v>
      </c>
      <c r="AA584" s="231">
        <v>637483</v>
      </c>
      <c r="AC584" s="230">
        <v>43980</v>
      </c>
      <c r="AD584" s="1">
        <v>25.35</v>
      </c>
      <c r="AE584" s="1">
        <v>26.727272727272702</v>
      </c>
      <c r="AF584" s="1">
        <v>264</v>
      </c>
      <c r="AG584" s="1">
        <v>32424.1</v>
      </c>
      <c r="AH584" s="215">
        <f t="shared" si="88"/>
        <v>-2.6406217721129721E-2</v>
      </c>
      <c r="AI584" s="215">
        <f t="shared" si="83"/>
        <v>-7.818181818181813E-2</v>
      </c>
      <c r="AJ584" s="231">
        <v>7056</v>
      </c>
      <c r="AL584" s="254"/>
      <c r="AQ584" s="215" t="str">
        <f t="shared" si="89"/>
        <v>NA</v>
      </c>
      <c r="AR584" s="215" t="str">
        <f t="shared" si="84"/>
        <v>NA</v>
      </c>
    </row>
    <row r="585" spans="2:44">
      <c r="B585" s="230">
        <v>43950</v>
      </c>
      <c r="C585" s="1">
        <v>179.15</v>
      </c>
      <c r="D585" s="1">
        <v>178.73684210526301</v>
      </c>
      <c r="E585" s="1">
        <v>285</v>
      </c>
      <c r="F585" s="215">
        <v>32720.16</v>
      </c>
      <c r="G585" s="215">
        <f t="shared" si="85"/>
        <v>-2.9582752282041325E-2</v>
      </c>
      <c r="H585" s="215">
        <f t="shared" si="80"/>
        <v>-4.4456793553764307E-3</v>
      </c>
      <c r="I585" s="231">
        <v>50940</v>
      </c>
      <c r="K585" s="230">
        <v>43950</v>
      </c>
      <c r="L585" s="1">
        <v>124.25</v>
      </c>
      <c r="M585" s="1">
        <v>124.007603736693</v>
      </c>
      <c r="N585" s="1">
        <v>4603</v>
      </c>
      <c r="O585" s="1">
        <v>32720.16</v>
      </c>
      <c r="P585" s="215">
        <f t="shared" si="86"/>
        <v>-2.9582752282041325E-2</v>
      </c>
      <c r="Q585" s="215">
        <f t="shared" si="81"/>
        <v>-2.1268215833005089E-2</v>
      </c>
      <c r="R585" s="231">
        <v>570807</v>
      </c>
      <c r="T585" s="230">
        <v>43950</v>
      </c>
      <c r="U585" s="1">
        <v>30.8</v>
      </c>
      <c r="V585" s="1">
        <v>30.591432450098001</v>
      </c>
      <c r="W585" s="1">
        <v>19889</v>
      </c>
      <c r="X585" s="1">
        <v>32720.16</v>
      </c>
      <c r="Y585" s="215">
        <f t="shared" si="87"/>
        <v>-2.9582752282041325E-2</v>
      </c>
      <c r="Z585" s="215">
        <f t="shared" si="82"/>
        <v>-4.6439628482972006E-2</v>
      </c>
      <c r="AA585" s="231">
        <v>608433</v>
      </c>
      <c r="AC585" s="230">
        <v>43983</v>
      </c>
      <c r="AD585" s="1">
        <v>27.5</v>
      </c>
      <c r="AE585" s="1">
        <v>27.3342391304347</v>
      </c>
      <c r="AF585" s="1">
        <v>736</v>
      </c>
      <c r="AG585" s="1">
        <v>33303.519999999997</v>
      </c>
      <c r="AH585" s="215">
        <f t="shared" si="88"/>
        <v>-1.5432426335965865E-2</v>
      </c>
      <c r="AI585" s="215">
        <f t="shared" si="83"/>
        <v>9.1743119266054496E-3</v>
      </c>
      <c r="AJ585" s="231">
        <v>20118</v>
      </c>
      <c r="AL585" s="254"/>
      <c r="AQ585" s="215" t="str">
        <f t="shared" si="89"/>
        <v>NA</v>
      </c>
      <c r="AR585" s="215" t="str">
        <f t="shared" si="84"/>
        <v>NA</v>
      </c>
    </row>
    <row r="586" spans="2:44">
      <c r="B586" s="230">
        <v>43951</v>
      </c>
      <c r="C586" s="1">
        <v>179.95</v>
      </c>
      <c r="D586" s="1">
        <v>180.683823529411</v>
      </c>
      <c r="E586" s="1">
        <v>680</v>
      </c>
      <c r="F586" s="215">
        <v>33717.620000000003</v>
      </c>
      <c r="G586" s="215">
        <f t="shared" si="85"/>
        <v>6.3132521003236741E-2</v>
      </c>
      <c r="H586" s="215">
        <f t="shared" si="80"/>
        <v>3.5683453237409957E-2</v>
      </c>
      <c r="I586" s="231">
        <v>122865</v>
      </c>
      <c r="K586" s="230">
        <v>43951</v>
      </c>
      <c r="L586" s="1">
        <v>126.95</v>
      </c>
      <c r="M586" s="1">
        <v>126.450435030666</v>
      </c>
      <c r="N586" s="1">
        <v>7011</v>
      </c>
      <c r="O586" s="1">
        <v>33717.620000000003</v>
      </c>
      <c r="P586" s="215">
        <f t="shared" si="86"/>
        <v>6.3132521003236741E-2</v>
      </c>
      <c r="Q586" s="215">
        <f t="shared" si="81"/>
        <v>4.9607275733774214E-2</v>
      </c>
      <c r="R586" s="231">
        <v>886544</v>
      </c>
      <c r="T586" s="230">
        <v>43951</v>
      </c>
      <c r="U586" s="1">
        <v>32.299999999999997</v>
      </c>
      <c r="V586" s="1">
        <v>32.299999999999997</v>
      </c>
      <c r="W586" s="1">
        <v>14740</v>
      </c>
      <c r="X586" s="1">
        <v>33717.620000000003</v>
      </c>
      <c r="Y586" s="215">
        <f t="shared" si="87"/>
        <v>6.3132521003236741E-2</v>
      </c>
      <c r="Z586" s="215">
        <f t="shared" si="82"/>
        <v>5.2117263843648232E-2</v>
      </c>
      <c r="AA586" s="231">
        <v>476102</v>
      </c>
      <c r="AC586" s="230">
        <v>43984</v>
      </c>
      <c r="AD586" s="1">
        <v>27.25</v>
      </c>
      <c r="AE586" s="1">
        <v>27.256222547584098</v>
      </c>
      <c r="AF586" s="1">
        <v>2049</v>
      </c>
      <c r="AG586" s="1">
        <v>33825.53</v>
      </c>
      <c r="AH586" s="215">
        <f t="shared" si="88"/>
        <v>-8.3264095616651934E-3</v>
      </c>
      <c r="AI586" s="215">
        <f t="shared" si="83"/>
        <v>1.6791044776119479E-2</v>
      </c>
      <c r="AJ586" s="231">
        <v>55848</v>
      </c>
      <c r="AL586" s="254"/>
      <c r="AQ586" s="215" t="str">
        <f t="shared" si="89"/>
        <v>NA</v>
      </c>
      <c r="AR586" s="215" t="str">
        <f t="shared" si="84"/>
        <v>NA</v>
      </c>
    </row>
    <row r="587" spans="2:44">
      <c r="B587" s="230">
        <v>43955</v>
      </c>
      <c r="C587" s="1">
        <v>173.75</v>
      </c>
      <c r="D587" s="1">
        <v>171.50335570469699</v>
      </c>
      <c r="E587" s="1">
        <v>1490</v>
      </c>
      <c r="F587" s="215">
        <v>31715.35</v>
      </c>
      <c r="G587" s="215">
        <f t="shared" si="85"/>
        <v>8.3246671039258757E-3</v>
      </c>
      <c r="H587" s="215">
        <f t="shared" si="80"/>
        <v>1.4409221902016434E-3</v>
      </c>
      <c r="I587" s="231">
        <v>255540</v>
      </c>
      <c r="K587" s="230">
        <v>43955</v>
      </c>
      <c r="L587" s="1">
        <v>120.95</v>
      </c>
      <c r="M587" s="1">
        <v>121.009285051067</v>
      </c>
      <c r="N587" s="1">
        <v>2154</v>
      </c>
      <c r="O587" s="1">
        <v>31715.35</v>
      </c>
      <c r="P587" s="215">
        <f t="shared" si="86"/>
        <v>8.3246671039258757E-3</v>
      </c>
      <c r="Q587" s="215">
        <f t="shared" si="81"/>
        <v>1.5533165407220828E-2</v>
      </c>
      <c r="R587" s="231">
        <v>260654</v>
      </c>
      <c r="T587" s="230">
        <v>43955</v>
      </c>
      <c r="U587" s="1">
        <v>30.7</v>
      </c>
      <c r="V587" s="1">
        <v>30.857505564830198</v>
      </c>
      <c r="W587" s="1">
        <v>28752</v>
      </c>
      <c r="X587" s="1">
        <v>31715.35</v>
      </c>
      <c r="Y587" s="215">
        <f t="shared" si="87"/>
        <v>8.3246671039258757E-3</v>
      </c>
      <c r="Z587" s="215">
        <f t="shared" si="82"/>
        <v>5.1369863013698724E-2</v>
      </c>
      <c r="AA587" s="231">
        <v>887215</v>
      </c>
      <c r="AC587" s="230">
        <v>43985</v>
      </c>
      <c r="AD587" s="1">
        <v>26.8</v>
      </c>
      <c r="AE587" s="1">
        <v>27.251118846345101</v>
      </c>
      <c r="AF587" s="1">
        <v>4022</v>
      </c>
      <c r="AG587" s="1">
        <v>34109.54</v>
      </c>
      <c r="AH587" s="215">
        <f t="shared" si="88"/>
        <v>3.7915640348786805E-3</v>
      </c>
      <c r="AI587" s="215">
        <f t="shared" si="83"/>
        <v>-2.1897810218978075E-2</v>
      </c>
      <c r="AJ587" s="231">
        <v>109604</v>
      </c>
      <c r="AL587" s="254"/>
      <c r="AQ587" s="215" t="str">
        <f t="shared" si="89"/>
        <v>NA</v>
      </c>
      <c r="AR587" s="215" t="str">
        <f t="shared" si="84"/>
        <v>NA</v>
      </c>
    </row>
    <row r="588" spans="2:44">
      <c r="B588" s="230">
        <v>43956</v>
      </c>
      <c r="C588" s="1">
        <v>173.5</v>
      </c>
      <c r="D588" s="1">
        <v>173.642857142857</v>
      </c>
      <c r="E588" s="1">
        <v>28</v>
      </c>
      <c r="F588" s="215">
        <v>31453.51</v>
      </c>
      <c r="G588" s="215">
        <f t="shared" si="85"/>
        <v>-7.329477762085479E-3</v>
      </c>
      <c r="H588" s="215">
        <f t="shared" si="80"/>
        <v>7.363861386138626E-2</v>
      </c>
      <c r="I588" s="231">
        <v>4862</v>
      </c>
      <c r="K588" s="230">
        <v>43956</v>
      </c>
      <c r="L588" s="1">
        <v>119.1</v>
      </c>
      <c r="M588" s="1">
        <v>120.936413540713</v>
      </c>
      <c r="N588" s="1">
        <v>2186</v>
      </c>
      <c r="O588" s="1">
        <v>31453.51</v>
      </c>
      <c r="P588" s="215">
        <f t="shared" si="86"/>
        <v>-7.329477762085479E-3</v>
      </c>
      <c r="Q588" s="215">
        <f t="shared" si="81"/>
        <v>4.1083916083916039E-2</v>
      </c>
      <c r="R588" s="231">
        <v>264367</v>
      </c>
      <c r="T588" s="230">
        <v>43956</v>
      </c>
      <c r="U588" s="1">
        <v>29.2</v>
      </c>
      <c r="V588" s="1">
        <v>29.3003664842612</v>
      </c>
      <c r="W588" s="1">
        <v>19919</v>
      </c>
      <c r="X588" s="1">
        <v>31453.51</v>
      </c>
      <c r="Y588" s="215">
        <f t="shared" si="87"/>
        <v>-7.329477762085479E-3</v>
      </c>
      <c r="Z588" s="215">
        <f t="shared" si="82"/>
        <v>5.0359712230215736E-2</v>
      </c>
      <c r="AA588" s="231">
        <v>583634</v>
      </c>
      <c r="AC588" s="230">
        <v>43986</v>
      </c>
      <c r="AD588" s="1">
        <v>27.4</v>
      </c>
      <c r="AE588" s="1">
        <v>27.074471492632899</v>
      </c>
      <c r="AF588" s="1">
        <v>6244</v>
      </c>
      <c r="AG588" s="1">
        <v>33980.699999999997</v>
      </c>
      <c r="AH588" s="215">
        <f t="shared" si="88"/>
        <v>-8.9403521543292008E-3</v>
      </c>
      <c r="AI588" s="215">
        <f t="shared" si="83"/>
        <v>-2.1428571428571463E-2</v>
      </c>
      <c r="AJ588" s="231">
        <v>169053</v>
      </c>
      <c r="AL588" s="254"/>
      <c r="AQ588" s="215" t="str">
        <f t="shared" si="89"/>
        <v>NA</v>
      </c>
      <c r="AR588" s="215" t="str">
        <f t="shared" si="84"/>
        <v>NA</v>
      </c>
    </row>
    <row r="589" spans="2:44">
      <c r="B589" s="230">
        <v>43957</v>
      </c>
      <c r="C589" s="1">
        <v>161.6</v>
      </c>
      <c r="D589" s="1">
        <v>165.755380936112</v>
      </c>
      <c r="E589" s="1">
        <v>2927</v>
      </c>
      <c r="F589" s="215">
        <v>31685.75</v>
      </c>
      <c r="G589" s="215">
        <f t="shared" si="85"/>
        <v>7.7081407914798561E-3</v>
      </c>
      <c r="H589" s="215">
        <f t="shared" si="80"/>
        <v>-7.0660522273425785E-3</v>
      </c>
      <c r="I589" s="231">
        <v>485166</v>
      </c>
      <c r="K589" s="230">
        <v>43957</v>
      </c>
      <c r="L589" s="1">
        <v>114.4</v>
      </c>
      <c r="M589" s="1">
        <v>114.829636533084</v>
      </c>
      <c r="N589" s="1">
        <v>5365</v>
      </c>
      <c r="O589" s="1">
        <v>31685.75</v>
      </c>
      <c r="P589" s="215">
        <f t="shared" si="86"/>
        <v>7.7081407914798561E-3</v>
      </c>
      <c r="Q589" s="215">
        <f t="shared" si="81"/>
        <v>-3.4843205574912606E-3</v>
      </c>
      <c r="R589" s="231">
        <v>616061</v>
      </c>
      <c r="T589" s="230">
        <v>43957</v>
      </c>
      <c r="U589" s="1">
        <v>27.8</v>
      </c>
      <c r="V589" s="1">
        <v>27.994048290293001</v>
      </c>
      <c r="W589" s="1">
        <v>79809</v>
      </c>
      <c r="X589" s="1">
        <v>31685.75</v>
      </c>
      <c r="Y589" s="215">
        <f t="shared" si="87"/>
        <v>7.7081407914798561E-3</v>
      </c>
      <c r="Z589" s="215">
        <f t="shared" si="82"/>
        <v>5.1039697542533125E-2</v>
      </c>
      <c r="AA589" s="231">
        <v>2234177</v>
      </c>
      <c r="AC589" s="230">
        <v>43987</v>
      </c>
      <c r="AD589" s="1">
        <v>28</v>
      </c>
      <c r="AE589" s="1">
        <v>27.8829993535875</v>
      </c>
      <c r="AF589" s="1">
        <v>1547</v>
      </c>
      <c r="AG589" s="1">
        <v>34287.24</v>
      </c>
      <c r="AH589" s="215">
        <f t="shared" si="88"/>
        <v>-2.4247481421612038E-3</v>
      </c>
      <c r="AI589" s="215">
        <f t="shared" si="83"/>
        <v>0</v>
      </c>
      <c r="AJ589" s="231">
        <v>43135</v>
      </c>
      <c r="AL589" s="254"/>
      <c r="AQ589" s="215" t="str">
        <f t="shared" si="89"/>
        <v>NA</v>
      </c>
      <c r="AR589" s="215" t="str">
        <f t="shared" si="84"/>
        <v>NA</v>
      </c>
    </row>
    <row r="590" spans="2:44">
      <c r="B590" s="230">
        <v>43958</v>
      </c>
      <c r="C590" s="1">
        <v>162.75</v>
      </c>
      <c r="D590" s="1">
        <v>156.20493918171701</v>
      </c>
      <c r="E590" s="1">
        <v>2713</v>
      </c>
      <c r="F590" s="215">
        <v>31443.38</v>
      </c>
      <c r="G590" s="215">
        <f t="shared" si="85"/>
        <v>-6.2990832008646969E-3</v>
      </c>
      <c r="H590" s="215">
        <f t="shared" ref="H590:H653" si="90">IF(ISERROR(C590/C591-1),"NA",C590/C591-1)</f>
        <v>8.3643122676579917E-3</v>
      </c>
      <c r="I590" s="231">
        <v>423784</v>
      </c>
      <c r="K590" s="230">
        <v>43958</v>
      </c>
      <c r="L590" s="1">
        <v>114.8</v>
      </c>
      <c r="M590" s="1">
        <v>114.121909633418</v>
      </c>
      <c r="N590" s="1">
        <v>1173</v>
      </c>
      <c r="O590" s="1">
        <v>31443.38</v>
      </c>
      <c r="P590" s="215">
        <f t="shared" si="86"/>
        <v>-6.2990832008646969E-3</v>
      </c>
      <c r="Q590" s="215">
        <f t="shared" ref="Q590:Q653" si="91">IF(ISERROR(L590/L591-1),"NA",L590/L591-1)</f>
        <v>2.1824530772587281E-3</v>
      </c>
      <c r="R590" s="231">
        <v>133865</v>
      </c>
      <c r="T590" s="230">
        <v>43958</v>
      </c>
      <c r="U590" s="1">
        <v>26.45</v>
      </c>
      <c r="V590" s="1">
        <v>26.5479548314349</v>
      </c>
      <c r="W590" s="1">
        <v>61193</v>
      </c>
      <c r="X590" s="1">
        <v>31443.38</v>
      </c>
      <c r="Y590" s="215">
        <f t="shared" si="87"/>
        <v>-6.2990832008646969E-3</v>
      </c>
      <c r="Z590" s="215">
        <f t="shared" ref="Z590:Z653" si="92">IF(ISERROR(U590/U591-1),"NA",U590/U591-1)</f>
        <v>-2.2181146025878062E-2</v>
      </c>
      <c r="AA590" s="231">
        <v>1624549</v>
      </c>
      <c r="AC590" s="230">
        <v>43990</v>
      </c>
      <c r="AD590" s="1">
        <v>28</v>
      </c>
      <c r="AE590" s="1">
        <v>28.918257261410702</v>
      </c>
      <c r="AF590" s="1">
        <v>4820</v>
      </c>
      <c r="AG590" s="1">
        <v>34370.58</v>
      </c>
      <c r="AH590" s="215">
        <f t="shared" si="88"/>
        <v>1.2188761625470557E-2</v>
      </c>
      <c r="AI590" s="215">
        <f t="shared" ref="AI590:AI653" si="93">IF(ISERROR(AD590/AD591-1),"NA",AD590/AD591-1)</f>
        <v>-5.3285968028419228E-3</v>
      </c>
      <c r="AJ590" s="231">
        <v>139386</v>
      </c>
      <c r="AL590" s="254"/>
      <c r="AQ590" s="215" t="str">
        <f t="shared" si="89"/>
        <v>NA</v>
      </c>
      <c r="AR590" s="215" t="str">
        <f t="shared" ref="AR590:AR653" si="94">IF(ISERROR(AM590/AM591-1),"NA",AM590/AM591-1)</f>
        <v>NA</v>
      </c>
    </row>
    <row r="591" spans="2:44">
      <c r="B591" s="230">
        <v>43959</v>
      </c>
      <c r="C591" s="1">
        <v>161.4</v>
      </c>
      <c r="D591" s="1">
        <v>164.55072463768099</v>
      </c>
      <c r="E591" s="1">
        <v>483</v>
      </c>
      <c r="F591" s="215">
        <v>31642.7</v>
      </c>
      <c r="G591" s="215">
        <f t="shared" ref="G591:G654" si="95">IF(ISERROR(F591/F592-1),"NA",F591/F592-1)</f>
        <v>2.5816492518349055E-3</v>
      </c>
      <c r="H591" s="215">
        <f t="shared" si="90"/>
        <v>-7.9901659496003363E-3</v>
      </c>
      <c r="I591" s="231">
        <v>79478</v>
      </c>
      <c r="K591" s="230">
        <v>43959</v>
      </c>
      <c r="L591" s="1">
        <v>114.55</v>
      </c>
      <c r="M591" s="1">
        <v>115.639885807504</v>
      </c>
      <c r="N591" s="1">
        <v>2452</v>
      </c>
      <c r="O591" s="1">
        <v>31642.7</v>
      </c>
      <c r="P591" s="215">
        <f t="shared" ref="P591:P654" si="96">IF(ISERROR(O591/O592-1),"NA",O591/O592-1)</f>
        <v>2.5816492518349055E-3</v>
      </c>
      <c r="Q591" s="215">
        <f t="shared" si="91"/>
        <v>-6.5047701647875655E-3</v>
      </c>
      <c r="R591" s="231">
        <v>283549</v>
      </c>
      <c r="T591" s="230">
        <v>43959</v>
      </c>
      <c r="U591" s="1">
        <v>27.05</v>
      </c>
      <c r="V591" s="1">
        <v>27.4954212276165</v>
      </c>
      <c r="W591" s="1">
        <v>51433</v>
      </c>
      <c r="X591" s="1">
        <v>31642.7</v>
      </c>
      <c r="Y591" s="215">
        <f t="shared" ref="Y591:Y654" si="97">IF(ISERROR(X591/X592-1),"NA",X591/X592-1)</f>
        <v>2.5816492518349055E-3</v>
      </c>
      <c r="Z591" s="215">
        <f t="shared" si="92"/>
        <v>-2.3465703971119134E-2</v>
      </c>
      <c r="AA591" s="231">
        <v>1414172</v>
      </c>
      <c r="AC591" s="230">
        <v>43991</v>
      </c>
      <c r="AD591" s="1">
        <v>28.15</v>
      </c>
      <c r="AE591" s="1">
        <v>28.3276836158192</v>
      </c>
      <c r="AF591" s="1">
        <v>177</v>
      </c>
      <c r="AG591" s="1">
        <v>33956.69</v>
      </c>
      <c r="AH591" s="215">
        <f t="shared" ref="AH591:AH654" si="98">IF(ISERROR(AG591/AG592-1),"NA",AG591/AG592-1)</f>
        <v>-8.4783944894524232E-3</v>
      </c>
      <c r="AI591" s="215">
        <f t="shared" si="93"/>
        <v>-6.9421487603305798E-2</v>
      </c>
      <c r="AJ591" s="231">
        <v>5014</v>
      </c>
      <c r="AL591" s="254"/>
      <c r="AQ591" s="215" t="str">
        <f t="shared" ref="AQ591:AQ654" si="99">IF(ISERROR(AP591/AP592-1),"NA",AP591/AP592-1)</f>
        <v>NA</v>
      </c>
      <c r="AR591" s="215" t="str">
        <f t="shared" si="94"/>
        <v>NA</v>
      </c>
    </row>
    <row r="592" spans="2:44">
      <c r="B592" s="230">
        <v>43962</v>
      </c>
      <c r="C592" s="1">
        <v>162.69999999999999</v>
      </c>
      <c r="D592" s="1">
        <v>162.200557103064</v>
      </c>
      <c r="E592" s="1">
        <v>359</v>
      </c>
      <c r="F592" s="215">
        <v>31561.22</v>
      </c>
      <c r="G592" s="215">
        <f t="shared" si="95"/>
        <v>6.0597135199509378E-3</v>
      </c>
      <c r="H592" s="215">
        <f t="shared" si="90"/>
        <v>3.9284573618652008E-2</v>
      </c>
      <c r="I592" s="231">
        <v>58230</v>
      </c>
      <c r="K592" s="230">
        <v>43962</v>
      </c>
      <c r="L592" s="1">
        <v>115.3</v>
      </c>
      <c r="M592" s="1">
        <v>116.343402225755</v>
      </c>
      <c r="N592" s="1">
        <v>629</v>
      </c>
      <c r="O592" s="1">
        <v>31561.22</v>
      </c>
      <c r="P592" s="215">
        <f t="shared" si="96"/>
        <v>6.0597135199509378E-3</v>
      </c>
      <c r="Q592" s="215">
        <f t="shared" si="91"/>
        <v>2.3978685612788597E-2</v>
      </c>
      <c r="R592" s="231">
        <v>73180</v>
      </c>
      <c r="T592" s="230">
        <v>43962</v>
      </c>
      <c r="U592" s="1">
        <v>27.7</v>
      </c>
      <c r="V592" s="1">
        <v>27.711566265060199</v>
      </c>
      <c r="W592" s="1">
        <v>12450</v>
      </c>
      <c r="X592" s="1">
        <v>31561.22</v>
      </c>
      <c r="Y592" s="215">
        <f t="shared" si="97"/>
        <v>6.0597135199509378E-3</v>
      </c>
      <c r="Z592" s="215">
        <f t="shared" si="92"/>
        <v>1.0948905109489093E-2</v>
      </c>
      <c r="AA592" s="231">
        <v>345009</v>
      </c>
      <c r="AC592" s="230">
        <v>43992</v>
      </c>
      <c r="AD592" s="1">
        <v>30.25</v>
      </c>
      <c r="AE592" s="1">
        <v>30.0436517834871</v>
      </c>
      <c r="AF592" s="1">
        <v>8018</v>
      </c>
      <c r="AG592" s="1">
        <v>34247.050000000003</v>
      </c>
      <c r="AH592" s="215">
        <f t="shared" si="98"/>
        <v>2.1130424644966395E-2</v>
      </c>
      <c r="AI592" s="215">
        <f t="shared" si="93"/>
        <v>5.0347222222222099E-2</v>
      </c>
      <c r="AJ592" s="231">
        <v>240890</v>
      </c>
      <c r="AL592" s="254"/>
      <c r="AQ592" s="215" t="str">
        <f t="shared" si="99"/>
        <v>NA</v>
      </c>
      <c r="AR592" s="215" t="str">
        <f t="shared" si="94"/>
        <v>NA</v>
      </c>
    </row>
    <row r="593" spans="2:44">
      <c r="B593" s="230">
        <v>43963</v>
      </c>
      <c r="C593" s="1">
        <v>156.55000000000001</v>
      </c>
      <c r="D593" s="1">
        <v>157.10108303249001</v>
      </c>
      <c r="E593" s="1">
        <v>277</v>
      </c>
      <c r="F593" s="215">
        <v>31371.119999999999</v>
      </c>
      <c r="G593" s="215">
        <f t="shared" si="95"/>
        <v>-1.9916203796416121E-2</v>
      </c>
      <c r="H593" s="215">
        <f t="shared" si="90"/>
        <v>-3.364197530864188E-2</v>
      </c>
      <c r="I593" s="231">
        <v>43517</v>
      </c>
      <c r="K593" s="230">
        <v>43963</v>
      </c>
      <c r="L593" s="1">
        <v>112.6</v>
      </c>
      <c r="M593" s="1">
        <v>113.03783870450501</v>
      </c>
      <c r="N593" s="1">
        <v>18711</v>
      </c>
      <c r="O593" s="1">
        <v>31371.119999999999</v>
      </c>
      <c r="P593" s="215">
        <f t="shared" si="96"/>
        <v>-1.9916203796416121E-2</v>
      </c>
      <c r="Q593" s="215">
        <f t="shared" si="91"/>
        <v>-3.924914675767921E-2</v>
      </c>
      <c r="R593" s="231">
        <v>2115051</v>
      </c>
      <c r="T593" s="230">
        <v>43963</v>
      </c>
      <c r="U593" s="1">
        <v>27.4</v>
      </c>
      <c r="V593" s="1">
        <v>27.040811216825201</v>
      </c>
      <c r="W593" s="1">
        <v>15976</v>
      </c>
      <c r="X593" s="1">
        <v>31371.119999999999</v>
      </c>
      <c r="Y593" s="215">
        <f t="shared" si="97"/>
        <v>-1.9916203796416121E-2</v>
      </c>
      <c r="Z593" s="215">
        <f t="shared" si="92"/>
        <v>-4.6956521739130452E-2</v>
      </c>
      <c r="AA593" s="231">
        <v>432004</v>
      </c>
      <c r="AC593" s="230">
        <v>43993</v>
      </c>
      <c r="AD593" s="1">
        <v>28.8</v>
      </c>
      <c r="AE593" s="1">
        <v>29.418282548476402</v>
      </c>
      <c r="AF593" s="1">
        <v>1083</v>
      </c>
      <c r="AG593" s="1">
        <v>33538.370000000003</v>
      </c>
      <c r="AH593" s="215">
        <f t="shared" si="98"/>
        <v>-7.1792069421497962E-3</v>
      </c>
      <c r="AI593" s="215">
        <f t="shared" si="93"/>
        <v>-2.7027027027027084E-2</v>
      </c>
      <c r="AJ593" s="231">
        <v>31860</v>
      </c>
      <c r="AL593" s="254"/>
      <c r="AQ593" s="215" t="str">
        <f t="shared" si="99"/>
        <v>NA</v>
      </c>
      <c r="AR593" s="215" t="str">
        <f t="shared" si="94"/>
        <v>NA</v>
      </c>
    </row>
    <row r="594" spans="2:44">
      <c r="B594" s="230">
        <v>43964</v>
      </c>
      <c r="C594" s="1">
        <v>162</v>
      </c>
      <c r="D594" s="1">
        <v>160.54145077720199</v>
      </c>
      <c r="E594" s="1">
        <v>1544</v>
      </c>
      <c r="F594" s="215">
        <v>32008.61</v>
      </c>
      <c r="G594" s="215">
        <f t="shared" si="95"/>
        <v>2.8458796724854407E-2</v>
      </c>
      <c r="H594" s="215">
        <f t="shared" si="90"/>
        <v>-1.5197568389057725E-2</v>
      </c>
      <c r="I594" s="231">
        <v>247876</v>
      </c>
      <c r="K594" s="230">
        <v>43964</v>
      </c>
      <c r="L594" s="1">
        <v>117.2</v>
      </c>
      <c r="M594" s="1">
        <v>116.870723802664</v>
      </c>
      <c r="N594" s="1">
        <v>2777</v>
      </c>
      <c r="O594" s="1">
        <v>32008.61</v>
      </c>
      <c r="P594" s="215">
        <f t="shared" si="96"/>
        <v>2.8458796724854407E-2</v>
      </c>
      <c r="Q594" s="215">
        <f t="shared" si="91"/>
        <v>1.736111111111116E-2</v>
      </c>
      <c r="R594" s="231">
        <v>324550</v>
      </c>
      <c r="T594" s="230">
        <v>43964</v>
      </c>
      <c r="U594" s="1">
        <v>28.75</v>
      </c>
      <c r="V594" s="1">
        <v>28.5692942515651</v>
      </c>
      <c r="W594" s="1">
        <v>35140</v>
      </c>
      <c r="X594" s="1">
        <v>32008.61</v>
      </c>
      <c r="Y594" s="215">
        <f t="shared" si="97"/>
        <v>2.8458796724854407E-2</v>
      </c>
      <c r="Z594" s="215">
        <f t="shared" si="92"/>
        <v>1.2323943661971981E-2</v>
      </c>
      <c r="AA594" s="231">
        <v>1003925</v>
      </c>
      <c r="AC594" s="230">
        <v>43994</v>
      </c>
      <c r="AD594" s="1">
        <v>29.6</v>
      </c>
      <c r="AE594" s="1">
        <v>29.3357487922705</v>
      </c>
      <c r="AF594" s="1">
        <v>2484</v>
      </c>
      <c r="AG594" s="1">
        <v>33780.89</v>
      </c>
      <c r="AH594" s="215">
        <f t="shared" si="98"/>
        <v>1.6614804025423702E-2</v>
      </c>
      <c r="AI594" s="215">
        <f t="shared" si="93"/>
        <v>3.8596491228070295E-2</v>
      </c>
      <c r="AJ594" s="231">
        <v>72870</v>
      </c>
      <c r="AL594" s="254"/>
      <c r="AQ594" s="215" t="str">
        <f t="shared" si="99"/>
        <v>NA</v>
      </c>
      <c r="AR594" s="215" t="str">
        <f t="shared" si="94"/>
        <v>NA</v>
      </c>
    </row>
    <row r="595" spans="2:44">
      <c r="B595" s="230">
        <v>43965</v>
      </c>
      <c r="C595" s="1">
        <v>164.5</v>
      </c>
      <c r="D595" s="1">
        <v>159.94384449244001</v>
      </c>
      <c r="E595" s="1">
        <v>463</v>
      </c>
      <c r="F595" s="215">
        <v>31122.89</v>
      </c>
      <c r="G595" s="215">
        <f t="shared" si="95"/>
        <v>8.0906226917520918E-4</v>
      </c>
      <c r="H595" s="215">
        <f t="shared" si="90"/>
        <v>1.4180024660912505E-2</v>
      </c>
      <c r="I595" s="231">
        <v>74054</v>
      </c>
      <c r="K595" s="230">
        <v>43965</v>
      </c>
      <c r="L595" s="1">
        <v>115.2</v>
      </c>
      <c r="M595" s="1">
        <v>115.477237720349</v>
      </c>
      <c r="N595" s="1">
        <v>11686</v>
      </c>
      <c r="O595" s="1">
        <v>31122.89</v>
      </c>
      <c r="P595" s="215">
        <f t="shared" si="96"/>
        <v>8.0906226917520918E-4</v>
      </c>
      <c r="Q595" s="215">
        <f t="shared" si="91"/>
        <v>5.2356020942410098E-3</v>
      </c>
      <c r="R595" s="231">
        <v>1349467</v>
      </c>
      <c r="T595" s="230">
        <v>43965</v>
      </c>
      <c r="U595" s="1">
        <v>28.4</v>
      </c>
      <c r="V595" s="1">
        <v>28.863550839166098</v>
      </c>
      <c r="W595" s="1">
        <v>26574</v>
      </c>
      <c r="X595" s="1">
        <v>31122.89</v>
      </c>
      <c r="Y595" s="215">
        <f t="shared" si="97"/>
        <v>8.0906226917520918E-4</v>
      </c>
      <c r="Z595" s="215">
        <f t="shared" si="92"/>
        <v>-3.5087719298245723E-3</v>
      </c>
      <c r="AA595" s="231">
        <v>767020</v>
      </c>
      <c r="AC595" s="230">
        <v>43997</v>
      </c>
      <c r="AD595" s="1">
        <v>28.5</v>
      </c>
      <c r="AE595" s="1">
        <v>28.574324324324301</v>
      </c>
      <c r="AF595" s="1">
        <v>148</v>
      </c>
      <c r="AG595" s="1">
        <v>33228.800000000003</v>
      </c>
      <c r="AH595" s="215">
        <f t="shared" si="98"/>
        <v>-1.1201235998454906E-2</v>
      </c>
      <c r="AI595" s="215">
        <f t="shared" si="93"/>
        <v>-1.7241379310344862E-2</v>
      </c>
      <c r="AJ595" s="231">
        <v>4229</v>
      </c>
      <c r="AL595" s="254"/>
      <c r="AQ595" s="215" t="str">
        <f t="shared" si="99"/>
        <v>NA</v>
      </c>
      <c r="AR595" s="215" t="str">
        <f t="shared" si="94"/>
        <v>NA</v>
      </c>
    </row>
    <row r="596" spans="2:44">
      <c r="B596" s="230">
        <v>43966</v>
      </c>
      <c r="C596" s="1">
        <v>162.19999999999999</v>
      </c>
      <c r="D596" s="1">
        <v>161.25416666666601</v>
      </c>
      <c r="E596" s="1">
        <v>240</v>
      </c>
      <c r="F596" s="215">
        <v>31097.73</v>
      </c>
      <c r="G596" s="215">
        <f t="shared" si="95"/>
        <v>3.5590619461600026E-2</v>
      </c>
      <c r="H596" s="215">
        <f t="shared" si="90"/>
        <v>7.2751322751322789E-2</v>
      </c>
      <c r="I596" s="231">
        <v>38701</v>
      </c>
      <c r="K596" s="230">
        <v>43966</v>
      </c>
      <c r="L596" s="1">
        <v>114.6</v>
      </c>
      <c r="M596" s="1">
        <v>114.38032925284899</v>
      </c>
      <c r="N596" s="1">
        <v>2369</v>
      </c>
      <c r="O596" s="1">
        <v>31097.73</v>
      </c>
      <c r="P596" s="215">
        <f t="shared" si="96"/>
        <v>3.5590619461600026E-2</v>
      </c>
      <c r="Q596" s="215">
        <f t="shared" si="91"/>
        <v>2.1845742309406946E-2</v>
      </c>
      <c r="R596" s="231">
        <v>270967</v>
      </c>
      <c r="T596" s="230">
        <v>43966</v>
      </c>
      <c r="U596" s="1">
        <v>28.5</v>
      </c>
      <c r="V596" s="1">
        <v>28.419985913265901</v>
      </c>
      <c r="W596" s="1">
        <v>69569</v>
      </c>
      <c r="X596" s="1">
        <v>31097.73</v>
      </c>
      <c r="Y596" s="215">
        <f t="shared" si="97"/>
        <v>3.5590619461600026E-2</v>
      </c>
      <c r="Z596" s="215">
        <f t="shared" si="92"/>
        <v>5.1660516605166018E-2</v>
      </c>
      <c r="AA596" s="231">
        <v>1977150</v>
      </c>
      <c r="AC596" s="230">
        <v>43998</v>
      </c>
      <c r="AD596" s="1">
        <v>29</v>
      </c>
      <c r="AE596" s="1">
        <v>29.150680786686799</v>
      </c>
      <c r="AF596" s="1">
        <v>3305</v>
      </c>
      <c r="AG596" s="1">
        <v>33605.22</v>
      </c>
      <c r="AH596" s="215">
        <f t="shared" si="98"/>
        <v>2.903791103715303E-3</v>
      </c>
      <c r="AI596" s="215">
        <f t="shared" si="93"/>
        <v>0</v>
      </c>
      <c r="AJ596" s="231">
        <v>96343</v>
      </c>
      <c r="AL596" s="254"/>
      <c r="AQ596" s="215" t="str">
        <f t="shared" si="99"/>
        <v>NA</v>
      </c>
      <c r="AR596" s="215" t="str">
        <f t="shared" si="94"/>
        <v>NA</v>
      </c>
    </row>
    <row r="597" spans="2:44">
      <c r="B597" s="230">
        <v>43969</v>
      </c>
      <c r="C597" s="1">
        <v>151.19999999999999</v>
      </c>
      <c r="D597" s="1">
        <v>152.059106529209</v>
      </c>
      <c r="E597" s="1">
        <v>1455</v>
      </c>
      <c r="F597" s="215">
        <v>30028.98</v>
      </c>
      <c r="G597" s="215">
        <f t="shared" si="95"/>
        <v>-5.536794898160835E-3</v>
      </c>
      <c r="H597" s="215">
        <f t="shared" si="90"/>
        <v>-8.8495575221240186E-3</v>
      </c>
      <c r="I597" s="231">
        <v>221246</v>
      </c>
      <c r="K597" s="230">
        <v>43969</v>
      </c>
      <c r="L597" s="1">
        <v>112.15</v>
      </c>
      <c r="M597" s="1">
        <v>112.45313235986799</v>
      </c>
      <c r="N597" s="1">
        <v>2123</v>
      </c>
      <c r="O597" s="1">
        <v>30028.98</v>
      </c>
      <c r="P597" s="215">
        <f t="shared" si="96"/>
        <v>-5.536794898160835E-3</v>
      </c>
      <c r="Q597" s="215">
        <f t="shared" si="91"/>
        <v>2.0009095043201475E-2</v>
      </c>
      <c r="R597" s="231">
        <v>238738</v>
      </c>
      <c r="T597" s="230">
        <v>43969</v>
      </c>
      <c r="U597" s="1">
        <v>27.1</v>
      </c>
      <c r="V597" s="1">
        <v>28.041923209961901</v>
      </c>
      <c r="W597" s="1">
        <v>28910</v>
      </c>
      <c r="X597" s="1">
        <v>30028.98</v>
      </c>
      <c r="Y597" s="215">
        <f t="shared" si="97"/>
        <v>-5.536794898160835E-3</v>
      </c>
      <c r="Z597" s="215">
        <f t="shared" si="92"/>
        <v>-9.1407678244972423E-3</v>
      </c>
      <c r="AA597" s="231">
        <v>810692</v>
      </c>
      <c r="AC597" s="230">
        <v>43999</v>
      </c>
      <c r="AD597" s="1">
        <v>29</v>
      </c>
      <c r="AE597" s="1">
        <v>28.2763157894736</v>
      </c>
      <c r="AF597" s="1">
        <v>152</v>
      </c>
      <c r="AG597" s="1">
        <v>33507.919999999998</v>
      </c>
      <c r="AH597" s="215">
        <f t="shared" si="98"/>
        <v>-2.0466819944428449E-2</v>
      </c>
      <c r="AI597" s="215">
        <f t="shared" si="93"/>
        <v>-3.9735099337748325E-2</v>
      </c>
      <c r="AJ597" s="231">
        <v>4298</v>
      </c>
      <c r="AL597" s="254"/>
      <c r="AQ597" s="215" t="str">
        <f t="shared" si="99"/>
        <v>NA</v>
      </c>
      <c r="AR597" s="215" t="str">
        <f t="shared" si="94"/>
        <v>NA</v>
      </c>
    </row>
    <row r="598" spans="2:44">
      <c r="B598" s="230">
        <v>43970</v>
      </c>
      <c r="C598" s="1">
        <v>152.55000000000001</v>
      </c>
      <c r="D598" s="1">
        <v>158.255319148936</v>
      </c>
      <c r="E598" s="1">
        <v>188</v>
      </c>
      <c r="F598" s="215">
        <v>30196.17</v>
      </c>
      <c r="G598" s="215">
        <f t="shared" si="95"/>
        <v>-2.0196887529969842E-2</v>
      </c>
      <c r="H598" s="215">
        <f t="shared" si="90"/>
        <v>2.3138832997988024E-2</v>
      </c>
      <c r="I598" s="231">
        <v>29752</v>
      </c>
      <c r="K598" s="230">
        <v>43970</v>
      </c>
      <c r="L598" s="1">
        <v>109.95</v>
      </c>
      <c r="M598" s="1">
        <v>111.959219858156</v>
      </c>
      <c r="N598" s="1">
        <v>1128</v>
      </c>
      <c r="O598" s="1">
        <v>30196.17</v>
      </c>
      <c r="P598" s="215">
        <f t="shared" si="96"/>
        <v>-2.0196887529969842E-2</v>
      </c>
      <c r="Q598" s="215">
        <f t="shared" si="91"/>
        <v>1.8999073215940632E-2</v>
      </c>
      <c r="R598" s="231">
        <v>126290</v>
      </c>
      <c r="T598" s="230">
        <v>43970</v>
      </c>
      <c r="U598" s="1">
        <v>27.35</v>
      </c>
      <c r="V598" s="1">
        <v>27.523926276631698</v>
      </c>
      <c r="W598" s="1">
        <v>11828</v>
      </c>
      <c r="X598" s="1">
        <v>30196.17</v>
      </c>
      <c r="Y598" s="215">
        <f t="shared" si="97"/>
        <v>-2.0196887529969842E-2</v>
      </c>
      <c r="Z598" s="215">
        <f t="shared" si="92"/>
        <v>-1.8248175182480342E-3</v>
      </c>
      <c r="AA598" s="231">
        <v>325553</v>
      </c>
      <c r="AC598" s="230">
        <v>44000</v>
      </c>
      <c r="AD598" s="1">
        <v>30.2</v>
      </c>
      <c r="AE598" s="1">
        <v>29.9197530864197</v>
      </c>
      <c r="AF598" s="1">
        <v>972</v>
      </c>
      <c r="AG598" s="1">
        <v>34208.050000000003</v>
      </c>
      <c r="AH598" s="215">
        <f t="shared" si="98"/>
        <v>-1.5077855321344535E-2</v>
      </c>
      <c r="AI598" s="215">
        <f t="shared" si="93"/>
        <v>2.1996615905245376E-2</v>
      </c>
      <c r="AJ598" s="231">
        <v>29082</v>
      </c>
      <c r="AL598" s="254"/>
      <c r="AQ598" s="215" t="str">
        <f t="shared" si="99"/>
        <v>NA</v>
      </c>
      <c r="AR598" s="215" t="str">
        <f t="shared" si="94"/>
        <v>NA</v>
      </c>
    </row>
    <row r="599" spans="2:44">
      <c r="B599" s="230">
        <v>43971</v>
      </c>
      <c r="C599" s="1">
        <v>149.1</v>
      </c>
      <c r="D599" s="1">
        <v>150.416666666666</v>
      </c>
      <c r="E599" s="1">
        <v>84</v>
      </c>
      <c r="F599" s="215">
        <v>30818.61</v>
      </c>
      <c r="G599" s="215">
        <f t="shared" si="95"/>
        <v>-3.6947715862398756E-3</v>
      </c>
      <c r="H599" s="215">
        <f t="shared" si="90"/>
        <v>1.343183344526544E-3</v>
      </c>
      <c r="I599" s="231">
        <v>12635</v>
      </c>
      <c r="K599" s="230">
        <v>43971</v>
      </c>
      <c r="L599" s="1">
        <v>107.9</v>
      </c>
      <c r="M599" s="1">
        <v>107.118311981914</v>
      </c>
      <c r="N599" s="1">
        <v>1327</v>
      </c>
      <c r="O599" s="1">
        <v>30818.61</v>
      </c>
      <c r="P599" s="215">
        <f t="shared" si="96"/>
        <v>-3.6947715862398756E-3</v>
      </c>
      <c r="Q599" s="215">
        <f t="shared" si="91"/>
        <v>1.7444601603017418E-2</v>
      </c>
      <c r="R599" s="231">
        <v>142146</v>
      </c>
      <c r="T599" s="230">
        <v>43971</v>
      </c>
      <c r="U599" s="1">
        <v>27.4</v>
      </c>
      <c r="V599" s="1">
        <v>27.144096195545</v>
      </c>
      <c r="W599" s="1">
        <v>15219</v>
      </c>
      <c r="X599" s="1">
        <v>30818.61</v>
      </c>
      <c r="Y599" s="215">
        <f t="shared" si="97"/>
        <v>-3.6947715862398756E-3</v>
      </c>
      <c r="Z599" s="215">
        <f t="shared" si="92"/>
        <v>1.1070110701106861E-2</v>
      </c>
      <c r="AA599" s="231">
        <v>413106</v>
      </c>
      <c r="AC599" s="230">
        <v>44001</v>
      </c>
      <c r="AD599" s="1">
        <v>29.55</v>
      </c>
      <c r="AE599" s="1">
        <v>29.904109589040999</v>
      </c>
      <c r="AF599" s="1">
        <v>2701</v>
      </c>
      <c r="AG599" s="1">
        <v>34731.730000000003</v>
      </c>
      <c r="AH599" s="215">
        <f t="shared" si="98"/>
        <v>-5.1441767312149222E-3</v>
      </c>
      <c r="AI599" s="215">
        <f t="shared" si="93"/>
        <v>-1.6891891891892552E-3</v>
      </c>
      <c r="AJ599" s="231">
        <v>80771</v>
      </c>
      <c r="AL599" s="254"/>
      <c r="AQ599" s="215" t="str">
        <f t="shared" si="99"/>
        <v>NA</v>
      </c>
      <c r="AR599" s="215" t="str">
        <f t="shared" si="94"/>
        <v>NA</v>
      </c>
    </row>
    <row r="600" spans="2:44">
      <c r="B600" s="230">
        <v>43972</v>
      </c>
      <c r="C600" s="1">
        <v>148.9</v>
      </c>
      <c r="D600" s="1">
        <v>148.97658862876199</v>
      </c>
      <c r="E600" s="1">
        <v>598</v>
      </c>
      <c r="F600" s="215">
        <v>30932.9</v>
      </c>
      <c r="G600" s="215">
        <f t="shared" si="95"/>
        <v>8.4867303348039602E-3</v>
      </c>
      <c r="H600" s="215">
        <f t="shared" si="90"/>
        <v>-4.1827541827541781E-2</v>
      </c>
      <c r="I600" s="231">
        <v>89088</v>
      </c>
      <c r="K600" s="230">
        <v>43972</v>
      </c>
      <c r="L600" s="1">
        <v>106.05</v>
      </c>
      <c r="M600" s="1">
        <v>106.901518863302</v>
      </c>
      <c r="N600" s="1">
        <v>2041</v>
      </c>
      <c r="O600" s="1">
        <v>30932.9</v>
      </c>
      <c r="P600" s="215">
        <f t="shared" si="96"/>
        <v>8.4867303348039602E-3</v>
      </c>
      <c r="Q600" s="215">
        <f t="shared" si="91"/>
        <v>8.5592011412267688E-3</v>
      </c>
      <c r="R600" s="231">
        <v>218186</v>
      </c>
      <c r="T600" s="230">
        <v>43972</v>
      </c>
      <c r="U600" s="1">
        <v>27.1</v>
      </c>
      <c r="V600" s="1">
        <v>27.5026855804985</v>
      </c>
      <c r="W600" s="1">
        <v>14522</v>
      </c>
      <c r="X600" s="1">
        <v>30932.9</v>
      </c>
      <c r="Y600" s="215">
        <f t="shared" si="97"/>
        <v>8.4867303348039602E-3</v>
      </c>
      <c r="Z600" s="215">
        <f t="shared" si="92"/>
        <v>4.0307101727447225E-2</v>
      </c>
      <c r="AA600" s="231">
        <v>399394</v>
      </c>
      <c r="AC600" s="230">
        <v>44004</v>
      </c>
      <c r="AD600" s="1">
        <v>29.6</v>
      </c>
      <c r="AE600" s="1">
        <v>28.982142857142801</v>
      </c>
      <c r="AF600" s="1">
        <v>112</v>
      </c>
      <c r="AG600" s="1">
        <v>34911.32</v>
      </c>
      <c r="AH600" s="215">
        <f t="shared" si="98"/>
        <v>-1.4651529772571226E-2</v>
      </c>
      <c r="AI600" s="215">
        <f t="shared" si="93"/>
        <v>-0.12684365781710905</v>
      </c>
      <c r="AJ600" s="231">
        <v>3246</v>
      </c>
      <c r="AL600" s="254"/>
      <c r="AQ600" s="215" t="str">
        <f t="shared" si="99"/>
        <v>NA</v>
      </c>
      <c r="AR600" s="215" t="str">
        <f t="shared" si="94"/>
        <v>NA</v>
      </c>
    </row>
    <row r="601" spans="2:44">
      <c r="B601" s="230">
        <v>43973</v>
      </c>
      <c r="C601" s="1">
        <v>155.4</v>
      </c>
      <c r="D601" s="1">
        <v>151.881499395405</v>
      </c>
      <c r="E601" s="1">
        <v>827</v>
      </c>
      <c r="F601" s="215">
        <v>30672.59</v>
      </c>
      <c r="G601" s="215">
        <f t="shared" si="95"/>
        <v>2.0676722434032069E-3</v>
      </c>
      <c r="H601" s="215">
        <f t="shared" si="90"/>
        <v>5.1420838971583116E-2</v>
      </c>
      <c r="I601" s="231">
        <v>125606</v>
      </c>
      <c r="K601" s="230">
        <v>43973</v>
      </c>
      <c r="L601" s="1">
        <v>105.15</v>
      </c>
      <c r="M601" s="1">
        <v>105.94403892944</v>
      </c>
      <c r="N601" s="1">
        <v>1233</v>
      </c>
      <c r="O601" s="1">
        <v>30672.59</v>
      </c>
      <c r="P601" s="215">
        <f t="shared" si="96"/>
        <v>2.0676722434032069E-3</v>
      </c>
      <c r="Q601" s="215">
        <f t="shared" si="91"/>
        <v>-3.9726027397260277E-2</v>
      </c>
      <c r="R601" s="231">
        <v>130629</v>
      </c>
      <c r="T601" s="230">
        <v>43973</v>
      </c>
      <c r="U601" s="1">
        <v>26.05</v>
      </c>
      <c r="V601" s="1">
        <v>26.304603854389701</v>
      </c>
      <c r="W601" s="1">
        <v>13076</v>
      </c>
      <c r="X601" s="1">
        <v>30672.59</v>
      </c>
      <c r="Y601" s="215">
        <f t="shared" si="97"/>
        <v>2.0676722434032069E-3</v>
      </c>
      <c r="Z601" s="215">
        <f t="shared" si="92"/>
        <v>-4.5787545787545736E-2</v>
      </c>
      <c r="AA601" s="231">
        <v>343959</v>
      </c>
      <c r="AC601" s="230">
        <v>44005</v>
      </c>
      <c r="AD601" s="1">
        <v>33.9</v>
      </c>
      <c r="AE601" s="1">
        <v>32.349958719828997</v>
      </c>
      <c r="AF601" s="1">
        <v>20591</v>
      </c>
      <c r="AG601" s="1">
        <v>35430.43</v>
      </c>
      <c r="AH601" s="215">
        <f t="shared" si="98"/>
        <v>1.6101704150795371E-2</v>
      </c>
      <c r="AI601" s="215">
        <f t="shared" si="93"/>
        <v>-0.16296296296296298</v>
      </c>
      <c r="AJ601" s="231">
        <v>666118</v>
      </c>
      <c r="AL601" s="254"/>
      <c r="AQ601" s="215" t="str">
        <f t="shared" si="99"/>
        <v>NA</v>
      </c>
      <c r="AR601" s="215" t="str">
        <f t="shared" si="94"/>
        <v>NA</v>
      </c>
    </row>
    <row r="602" spans="2:44">
      <c r="B602" s="230">
        <v>43977</v>
      </c>
      <c r="C602" s="1">
        <v>147.80000000000001</v>
      </c>
      <c r="D602" s="1">
        <v>148.53834115805901</v>
      </c>
      <c r="E602" s="1">
        <v>639</v>
      </c>
      <c r="F602" s="215">
        <v>30609.3</v>
      </c>
      <c r="G602" s="215">
        <f t="shared" si="95"/>
        <v>-3.1511250356744958E-2</v>
      </c>
      <c r="H602" s="215">
        <f t="shared" si="90"/>
        <v>-3.6505867014341553E-2</v>
      </c>
      <c r="I602" s="231">
        <v>94916</v>
      </c>
      <c r="K602" s="230">
        <v>43977</v>
      </c>
      <c r="L602" s="1">
        <v>109.5</v>
      </c>
      <c r="M602" s="1">
        <v>108.63690224291101</v>
      </c>
      <c r="N602" s="1">
        <v>11815</v>
      </c>
      <c r="O602" s="1">
        <v>30609.3</v>
      </c>
      <c r="P602" s="215">
        <f t="shared" si="96"/>
        <v>-3.1511250356744958E-2</v>
      </c>
      <c r="Q602" s="215">
        <f t="shared" si="91"/>
        <v>0</v>
      </c>
      <c r="R602" s="231">
        <v>1283545</v>
      </c>
      <c r="T602" s="230">
        <v>43977</v>
      </c>
      <c r="U602" s="1">
        <v>27.3</v>
      </c>
      <c r="V602" s="1">
        <v>26.893644900633301</v>
      </c>
      <c r="W602" s="1">
        <v>32053</v>
      </c>
      <c r="X602" s="1">
        <v>30609.3</v>
      </c>
      <c r="Y602" s="215">
        <f t="shared" si="97"/>
        <v>-3.1511250356744958E-2</v>
      </c>
      <c r="Z602" s="215">
        <f t="shared" si="92"/>
        <v>-2.1505376344085891E-2</v>
      </c>
      <c r="AA602" s="231">
        <v>862022</v>
      </c>
      <c r="AC602" s="230">
        <v>44006</v>
      </c>
      <c r="AD602" s="1">
        <v>40.5</v>
      </c>
      <c r="AE602" s="1">
        <v>39.800012457695701</v>
      </c>
      <c r="AF602" s="1">
        <v>48163</v>
      </c>
      <c r="AG602" s="1">
        <v>34868.980000000003</v>
      </c>
      <c r="AH602" s="215">
        <f t="shared" si="98"/>
        <v>7.714804790757146E-4</v>
      </c>
      <c r="AI602" s="215">
        <f t="shared" si="93"/>
        <v>0.1095890410958904</v>
      </c>
      <c r="AJ602" s="231">
        <v>1916888</v>
      </c>
      <c r="AL602" s="254"/>
      <c r="AQ602" s="215" t="str">
        <f t="shared" si="99"/>
        <v>NA</v>
      </c>
      <c r="AR602" s="215" t="str">
        <f t="shared" si="94"/>
        <v>NA</v>
      </c>
    </row>
    <row r="603" spans="2:44">
      <c r="B603" s="230">
        <v>43978</v>
      </c>
      <c r="C603" s="1">
        <v>153.4</v>
      </c>
      <c r="D603" s="1">
        <v>146.90521327014201</v>
      </c>
      <c r="E603" s="1">
        <v>633</v>
      </c>
      <c r="F603" s="215">
        <v>31605.22</v>
      </c>
      <c r="G603" s="215">
        <f t="shared" si="95"/>
        <v>-1.8489412771629299E-2</v>
      </c>
      <c r="H603" s="215">
        <f t="shared" si="90"/>
        <v>3.5982989859340009E-3</v>
      </c>
      <c r="I603" s="231">
        <v>92991</v>
      </c>
      <c r="K603" s="230">
        <v>43978</v>
      </c>
      <c r="L603" s="1">
        <v>109.5</v>
      </c>
      <c r="M603" s="1">
        <v>109.48388265121299</v>
      </c>
      <c r="N603" s="1">
        <v>2761</v>
      </c>
      <c r="O603" s="1">
        <v>31605.22</v>
      </c>
      <c r="P603" s="215">
        <f t="shared" si="96"/>
        <v>-1.8489412771629299E-2</v>
      </c>
      <c r="Q603" s="215">
        <f t="shared" si="91"/>
        <v>-4.741191822531543E-2</v>
      </c>
      <c r="R603" s="231">
        <v>302285</v>
      </c>
      <c r="T603" s="230">
        <v>43978</v>
      </c>
      <c r="U603" s="1">
        <v>27.9</v>
      </c>
      <c r="V603" s="1">
        <v>27.7528716770594</v>
      </c>
      <c r="W603" s="1">
        <v>21329</v>
      </c>
      <c r="X603" s="1">
        <v>31605.22</v>
      </c>
      <c r="Y603" s="215">
        <f t="shared" si="97"/>
        <v>-1.8489412771629299E-2</v>
      </c>
      <c r="Z603" s="215">
        <f t="shared" si="92"/>
        <v>-2.447552447552459E-2</v>
      </c>
      <c r="AA603" s="231">
        <v>591941</v>
      </c>
      <c r="AC603" s="230">
        <v>44007</v>
      </c>
      <c r="AD603" s="1">
        <v>36.5</v>
      </c>
      <c r="AE603" s="1">
        <v>36.931164666942401</v>
      </c>
      <c r="AF603" s="1">
        <v>38672</v>
      </c>
      <c r="AG603" s="1">
        <v>34842.1</v>
      </c>
      <c r="AH603" s="215">
        <f t="shared" si="98"/>
        <v>-9.3590592548974394E-3</v>
      </c>
      <c r="AI603" s="215">
        <f t="shared" si="93"/>
        <v>5.7971014492753659E-2</v>
      </c>
      <c r="AJ603" s="231">
        <v>1428202</v>
      </c>
      <c r="AL603" s="254"/>
      <c r="AQ603" s="215" t="str">
        <f t="shared" si="99"/>
        <v>NA</v>
      </c>
      <c r="AR603" s="215" t="str">
        <f t="shared" si="94"/>
        <v>NA</v>
      </c>
    </row>
    <row r="604" spans="2:44">
      <c r="B604" s="230">
        <v>43979</v>
      </c>
      <c r="C604" s="1">
        <v>152.85</v>
      </c>
      <c r="D604" s="1">
        <v>152.677456647398</v>
      </c>
      <c r="E604" s="1">
        <v>865</v>
      </c>
      <c r="F604" s="215">
        <v>32200.59</v>
      </c>
      <c r="G604" s="215">
        <f t="shared" si="95"/>
        <v>-6.8933293445306854E-3</v>
      </c>
      <c r="H604" s="215">
        <f t="shared" si="90"/>
        <v>2.9527559055118058E-3</v>
      </c>
      <c r="I604" s="231">
        <v>132066</v>
      </c>
      <c r="K604" s="230">
        <v>43979</v>
      </c>
      <c r="L604" s="1">
        <v>114.95</v>
      </c>
      <c r="M604" s="1">
        <v>114.592307692307</v>
      </c>
      <c r="N604" s="1">
        <v>650</v>
      </c>
      <c r="O604" s="1">
        <v>32200.59</v>
      </c>
      <c r="P604" s="215">
        <f t="shared" si="96"/>
        <v>-6.8933293445306854E-3</v>
      </c>
      <c r="Q604" s="215">
        <f t="shared" si="91"/>
        <v>-1.7941050832977257E-2</v>
      </c>
      <c r="R604" s="231">
        <v>74485</v>
      </c>
      <c r="T604" s="230">
        <v>43979</v>
      </c>
      <c r="U604" s="1">
        <v>28.6</v>
      </c>
      <c r="V604" s="1">
        <v>28.389440020885001</v>
      </c>
      <c r="W604" s="1">
        <v>15322</v>
      </c>
      <c r="X604" s="1">
        <v>32200.59</v>
      </c>
      <c r="Y604" s="215">
        <f t="shared" si="97"/>
        <v>-6.8933293445306854E-3</v>
      </c>
      <c r="Z604" s="215">
        <f t="shared" si="92"/>
        <v>8.818342151675429E-3</v>
      </c>
      <c r="AA604" s="231">
        <v>434983</v>
      </c>
      <c r="AC604" s="230">
        <v>44008</v>
      </c>
      <c r="AD604" s="1">
        <v>34.5</v>
      </c>
      <c r="AE604" s="1">
        <v>36.221488732073702</v>
      </c>
      <c r="AF604" s="1">
        <v>4393</v>
      </c>
      <c r="AG604" s="1">
        <v>35171.269999999997</v>
      </c>
      <c r="AH604" s="215">
        <f t="shared" si="98"/>
        <v>5.9994531130225237E-3</v>
      </c>
      <c r="AI604" s="215">
        <f t="shared" si="93"/>
        <v>4.5454545454545414E-2</v>
      </c>
      <c r="AJ604" s="231">
        <v>159121</v>
      </c>
      <c r="AL604" s="254"/>
      <c r="AQ604" s="215" t="str">
        <f t="shared" si="99"/>
        <v>NA</v>
      </c>
      <c r="AR604" s="215" t="str">
        <f t="shared" si="94"/>
        <v>NA</v>
      </c>
    </row>
    <row r="605" spans="2:44">
      <c r="B605" s="230">
        <v>43980</v>
      </c>
      <c r="C605" s="1">
        <v>152.4</v>
      </c>
      <c r="D605" s="1">
        <v>147.74070080862501</v>
      </c>
      <c r="E605" s="1">
        <v>1855</v>
      </c>
      <c r="F605" s="215">
        <v>32424.1</v>
      </c>
      <c r="G605" s="215">
        <f t="shared" si="95"/>
        <v>-2.6406217721129721E-2</v>
      </c>
      <c r="H605" s="215">
        <f t="shared" si="90"/>
        <v>-2.6819923371647403E-2</v>
      </c>
      <c r="I605" s="231">
        <v>274059</v>
      </c>
      <c r="K605" s="230">
        <v>43980</v>
      </c>
      <c r="L605" s="1">
        <v>117.05</v>
      </c>
      <c r="M605" s="1">
        <v>117.19192674266399</v>
      </c>
      <c r="N605" s="1">
        <v>5351</v>
      </c>
      <c r="O605" s="1">
        <v>32424.1</v>
      </c>
      <c r="P605" s="215">
        <f t="shared" si="96"/>
        <v>-2.6406217721129721E-2</v>
      </c>
      <c r="Q605" s="215">
        <f t="shared" si="91"/>
        <v>-4.7599674532139979E-2</v>
      </c>
      <c r="R605" s="231">
        <v>627094</v>
      </c>
      <c r="T605" s="230">
        <v>43980</v>
      </c>
      <c r="U605" s="1">
        <v>28.35</v>
      </c>
      <c r="V605" s="1">
        <v>28.389492537313401</v>
      </c>
      <c r="W605" s="1">
        <v>16750</v>
      </c>
      <c r="X605" s="1">
        <v>32424.1</v>
      </c>
      <c r="Y605" s="215">
        <f t="shared" si="97"/>
        <v>-2.6406217721129721E-2</v>
      </c>
      <c r="Z605" s="215">
        <f t="shared" si="92"/>
        <v>-2.5773195876288679E-2</v>
      </c>
      <c r="AA605" s="231">
        <v>475524</v>
      </c>
      <c r="AC605" s="230">
        <v>44011</v>
      </c>
      <c r="AD605" s="1">
        <v>33</v>
      </c>
      <c r="AE605" s="1">
        <v>33.389088729016699</v>
      </c>
      <c r="AF605" s="1">
        <v>1668</v>
      </c>
      <c r="AG605" s="1">
        <v>34961.519999999997</v>
      </c>
      <c r="AH605" s="215">
        <f t="shared" si="98"/>
        <v>1.3094358427987451E-3</v>
      </c>
      <c r="AI605" s="215">
        <f t="shared" si="93"/>
        <v>0</v>
      </c>
      <c r="AJ605" s="231">
        <v>55693</v>
      </c>
      <c r="AL605" s="254"/>
      <c r="AQ605" s="215" t="str">
        <f t="shared" si="99"/>
        <v>NA</v>
      </c>
      <c r="AR605" s="215" t="str">
        <f t="shared" si="94"/>
        <v>NA</v>
      </c>
    </row>
    <row r="606" spans="2:44">
      <c r="B606" s="230">
        <v>43983</v>
      </c>
      <c r="C606" s="1">
        <v>156.6</v>
      </c>
      <c r="D606" s="1">
        <v>154.65890909090899</v>
      </c>
      <c r="E606" s="1">
        <v>1375</v>
      </c>
      <c r="F606" s="215">
        <v>33303.519999999997</v>
      </c>
      <c r="G606" s="215">
        <f t="shared" si="95"/>
        <v>-1.5432426335965865E-2</v>
      </c>
      <c r="H606" s="215">
        <f t="shared" si="90"/>
        <v>-5.0909090909090904E-2</v>
      </c>
      <c r="I606" s="231">
        <v>212656</v>
      </c>
      <c r="K606" s="230">
        <v>43983</v>
      </c>
      <c r="L606" s="1">
        <v>122.9</v>
      </c>
      <c r="M606" s="1">
        <v>121.480620155038</v>
      </c>
      <c r="N606" s="1">
        <v>2451</v>
      </c>
      <c r="O606" s="1">
        <v>33303.519999999997</v>
      </c>
      <c r="P606" s="215">
        <f t="shared" si="96"/>
        <v>-1.5432426335965865E-2</v>
      </c>
      <c r="Q606" s="215">
        <f t="shared" si="91"/>
        <v>-4.7286821705426307E-2</v>
      </c>
      <c r="R606" s="231">
        <v>297749</v>
      </c>
      <c r="T606" s="230">
        <v>43983</v>
      </c>
      <c r="U606" s="1">
        <v>29.1</v>
      </c>
      <c r="V606" s="1">
        <v>29.132769204535698</v>
      </c>
      <c r="W606" s="1">
        <v>46916</v>
      </c>
      <c r="X606" s="1">
        <v>33303.519999999997</v>
      </c>
      <c r="Y606" s="215">
        <f t="shared" si="97"/>
        <v>-1.5432426335965865E-2</v>
      </c>
      <c r="Z606" s="215">
        <f t="shared" si="92"/>
        <v>-2.9999999999999916E-2</v>
      </c>
      <c r="AA606" s="231">
        <v>1366793</v>
      </c>
      <c r="AC606" s="230">
        <v>44012</v>
      </c>
      <c r="AD606" s="1">
        <v>33</v>
      </c>
      <c r="AE606" s="1">
        <v>33.405013054830199</v>
      </c>
      <c r="AF606" s="1">
        <v>9575</v>
      </c>
      <c r="AG606" s="1">
        <v>34915.800000000003</v>
      </c>
      <c r="AH606" s="215">
        <f t="shared" si="98"/>
        <v>-1.4080410679821243E-2</v>
      </c>
      <c r="AI606" s="215">
        <f t="shared" si="93"/>
        <v>4.2654028436019065E-2</v>
      </c>
      <c r="AJ606" s="231">
        <v>319853</v>
      </c>
      <c r="AL606" s="254"/>
      <c r="AQ606" s="215" t="str">
        <f t="shared" si="99"/>
        <v>NA</v>
      </c>
      <c r="AR606" s="215" t="str">
        <f t="shared" si="94"/>
        <v>NA</v>
      </c>
    </row>
    <row r="607" spans="2:44">
      <c r="B607" s="230">
        <v>43984</v>
      </c>
      <c r="C607" s="1">
        <v>165</v>
      </c>
      <c r="D607" s="1">
        <v>158.44627054361499</v>
      </c>
      <c r="E607" s="1">
        <v>791</v>
      </c>
      <c r="F607" s="215">
        <v>33825.53</v>
      </c>
      <c r="G607" s="215">
        <f t="shared" si="95"/>
        <v>-8.3264095616651934E-3</v>
      </c>
      <c r="H607" s="215">
        <f t="shared" si="90"/>
        <v>-4.5415099797512237E-2</v>
      </c>
      <c r="I607" s="231">
        <v>125331</v>
      </c>
      <c r="K607" s="230">
        <v>43984</v>
      </c>
      <c r="L607" s="1">
        <v>129</v>
      </c>
      <c r="M607" s="1">
        <v>128.813180675788</v>
      </c>
      <c r="N607" s="1">
        <v>3581</v>
      </c>
      <c r="O607" s="1">
        <v>33825.53</v>
      </c>
      <c r="P607" s="215">
        <f t="shared" si="96"/>
        <v>-8.3264095616651934E-3</v>
      </c>
      <c r="Q607" s="215">
        <f t="shared" si="91"/>
        <v>-3.9106145251396662E-2</v>
      </c>
      <c r="R607" s="231">
        <v>461280</v>
      </c>
      <c r="T607" s="230">
        <v>43984</v>
      </c>
      <c r="U607" s="1">
        <v>30</v>
      </c>
      <c r="V607" s="1">
        <v>29.931479978354901</v>
      </c>
      <c r="W607" s="1">
        <v>29568</v>
      </c>
      <c r="X607" s="1">
        <v>33825.53</v>
      </c>
      <c r="Y607" s="215">
        <f t="shared" si="97"/>
        <v>-8.3264095616651934E-3</v>
      </c>
      <c r="Z607" s="215">
        <f t="shared" si="92"/>
        <v>-4.0000000000000036E-2</v>
      </c>
      <c r="AA607" s="231">
        <v>885014</v>
      </c>
      <c r="AC607" s="230">
        <v>44013</v>
      </c>
      <c r="AD607" s="1">
        <v>31.65</v>
      </c>
      <c r="AE607" s="1">
        <v>31.6023720349563</v>
      </c>
      <c r="AF607" s="1">
        <v>4806</v>
      </c>
      <c r="AG607" s="1">
        <v>35414.449999999997</v>
      </c>
      <c r="AH607" s="215">
        <f t="shared" si="98"/>
        <v>-1.1975605197008132E-2</v>
      </c>
      <c r="AI607" s="215">
        <f t="shared" si="93"/>
        <v>2.2617124394184174E-2</v>
      </c>
      <c r="AJ607" s="231">
        <v>151881</v>
      </c>
      <c r="AL607" s="254"/>
      <c r="AQ607" s="215" t="str">
        <f t="shared" si="99"/>
        <v>NA</v>
      </c>
      <c r="AR607" s="215" t="str">
        <f t="shared" si="94"/>
        <v>NA</v>
      </c>
    </row>
    <row r="608" spans="2:44">
      <c r="B608" s="230">
        <v>43985</v>
      </c>
      <c r="C608" s="1">
        <v>172.85</v>
      </c>
      <c r="D608" s="1">
        <v>173.21755971594499</v>
      </c>
      <c r="E608" s="1">
        <v>1549</v>
      </c>
      <c r="F608" s="215">
        <v>34109.54</v>
      </c>
      <c r="G608" s="215">
        <f t="shared" si="95"/>
        <v>3.7915640348786805E-3</v>
      </c>
      <c r="H608" s="215">
        <f t="shared" si="90"/>
        <v>2.8256989886972006E-2</v>
      </c>
      <c r="I608" s="231">
        <v>268314</v>
      </c>
      <c r="K608" s="230">
        <v>43985</v>
      </c>
      <c r="L608" s="1">
        <v>134.25</v>
      </c>
      <c r="M608" s="1">
        <v>134.90611657694399</v>
      </c>
      <c r="N608" s="1">
        <v>21548</v>
      </c>
      <c r="O608" s="1">
        <v>34109.54</v>
      </c>
      <c r="P608" s="215">
        <f t="shared" si="96"/>
        <v>3.7915640348786805E-3</v>
      </c>
      <c r="Q608" s="215">
        <f t="shared" si="91"/>
        <v>4.8652694610777925E-3</v>
      </c>
      <c r="R608" s="231">
        <v>2906957</v>
      </c>
      <c r="T608" s="230">
        <v>43985</v>
      </c>
      <c r="U608" s="1">
        <v>31.25</v>
      </c>
      <c r="V608" s="1">
        <v>31.291083682381199</v>
      </c>
      <c r="W608" s="1">
        <v>44884</v>
      </c>
      <c r="X608" s="1">
        <v>34109.54</v>
      </c>
      <c r="Y608" s="215">
        <f t="shared" si="97"/>
        <v>3.7915640348786805E-3</v>
      </c>
      <c r="Z608" s="215">
        <f t="shared" si="92"/>
        <v>5.2188552188552118E-2</v>
      </c>
      <c r="AA608" s="231">
        <v>1404469</v>
      </c>
      <c r="AC608" s="230">
        <v>44014</v>
      </c>
      <c r="AD608" s="1">
        <v>30.95</v>
      </c>
      <c r="AE608" s="1">
        <v>31.6446654611211</v>
      </c>
      <c r="AF608" s="1">
        <v>1106</v>
      </c>
      <c r="AG608" s="1">
        <v>35843.699999999997</v>
      </c>
      <c r="AH608" s="215">
        <f t="shared" si="98"/>
        <v>-4.9337310966641734E-3</v>
      </c>
      <c r="AI608" s="215">
        <f t="shared" si="93"/>
        <v>1.1437908496731986E-2</v>
      </c>
      <c r="AJ608" s="231">
        <v>34999</v>
      </c>
      <c r="AL608" s="254"/>
      <c r="AQ608" s="215" t="str">
        <f t="shared" si="99"/>
        <v>NA</v>
      </c>
      <c r="AR608" s="215" t="str">
        <f t="shared" si="94"/>
        <v>NA</v>
      </c>
    </row>
    <row r="609" spans="2:44">
      <c r="B609" s="230">
        <v>43986</v>
      </c>
      <c r="C609" s="1">
        <v>168.1</v>
      </c>
      <c r="D609" s="1">
        <v>169.174540682414</v>
      </c>
      <c r="E609" s="1">
        <v>762</v>
      </c>
      <c r="F609" s="215">
        <v>33980.699999999997</v>
      </c>
      <c r="G609" s="215">
        <f t="shared" si="95"/>
        <v>-8.9403521543292008E-3</v>
      </c>
      <c r="H609" s="215">
        <f t="shared" si="90"/>
        <v>-5.1354401805869032E-2</v>
      </c>
      <c r="I609" s="231">
        <v>128911</v>
      </c>
      <c r="K609" s="230">
        <v>43986</v>
      </c>
      <c r="L609" s="1">
        <v>133.6</v>
      </c>
      <c r="M609" s="1">
        <v>135.07078783942799</v>
      </c>
      <c r="N609" s="1">
        <v>24637</v>
      </c>
      <c r="O609" s="1">
        <v>33980.699999999997</v>
      </c>
      <c r="P609" s="215">
        <f t="shared" si="96"/>
        <v>-8.9403521543292008E-3</v>
      </c>
      <c r="Q609" s="215">
        <f t="shared" si="91"/>
        <v>-5.6830215319449429E-2</v>
      </c>
      <c r="R609" s="231">
        <v>3327739</v>
      </c>
      <c r="T609" s="230">
        <v>43986</v>
      </c>
      <c r="U609" s="1">
        <v>29.7</v>
      </c>
      <c r="V609" s="1">
        <v>30.1749577821559</v>
      </c>
      <c r="W609" s="1">
        <v>28424</v>
      </c>
      <c r="X609" s="1">
        <v>33980.699999999997</v>
      </c>
      <c r="Y609" s="215">
        <f t="shared" si="97"/>
        <v>-8.9403521543292008E-3</v>
      </c>
      <c r="Z609" s="215">
        <f t="shared" si="92"/>
        <v>-0.1657303370786517</v>
      </c>
      <c r="AA609" s="231">
        <v>857693</v>
      </c>
      <c r="AC609" s="230">
        <v>44015</v>
      </c>
      <c r="AD609" s="1">
        <v>30.6</v>
      </c>
      <c r="AE609" s="1">
        <v>31.661685734298299</v>
      </c>
      <c r="AF609" s="1">
        <v>4283</v>
      </c>
      <c r="AG609" s="1">
        <v>36021.42</v>
      </c>
      <c r="AH609" s="215">
        <f t="shared" si="98"/>
        <v>-1.2767737140175983E-2</v>
      </c>
      <c r="AI609" s="215">
        <f t="shared" si="93"/>
        <v>-1.1308562197091976E-2</v>
      </c>
      <c r="AJ609" s="231">
        <v>135607</v>
      </c>
      <c r="AL609" s="254"/>
      <c r="AQ609" s="215" t="str">
        <f t="shared" si="99"/>
        <v>NA</v>
      </c>
      <c r="AR609" s="215" t="str">
        <f t="shared" si="94"/>
        <v>NA</v>
      </c>
    </row>
    <row r="610" spans="2:44">
      <c r="B610" s="230">
        <v>43987</v>
      </c>
      <c r="C610" s="1">
        <v>177.2</v>
      </c>
      <c r="D610" s="1">
        <v>174.28296849973299</v>
      </c>
      <c r="E610" s="1">
        <v>1873</v>
      </c>
      <c r="F610" s="215">
        <v>34287.24</v>
      </c>
      <c r="G610" s="215">
        <f t="shared" si="95"/>
        <v>-2.4247481421612038E-3</v>
      </c>
      <c r="H610" s="215">
        <f t="shared" si="90"/>
        <v>-2.6641032683328847E-2</v>
      </c>
      <c r="I610" s="231">
        <v>326432</v>
      </c>
      <c r="K610" s="230">
        <v>43987</v>
      </c>
      <c r="L610" s="1">
        <v>141.65</v>
      </c>
      <c r="M610" s="1">
        <v>140.45719618161701</v>
      </c>
      <c r="N610" s="1">
        <v>32684</v>
      </c>
      <c r="O610" s="1">
        <v>34287.24</v>
      </c>
      <c r="P610" s="215">
        <f t="shared" si="96"/>
        <v>-2.4247481421612038E-3</v>
      </c>
      <c r="Q610" s="215">
        <f t="shared" si="91"/>
        <v>-8.8481338481338434E-2</v>
      </c>
      <c r="R610" s="231">
        <v>4590703</v>
      </c>
      <c r="T610" s="230">
        <v>43987</v>
      </c>
      <c r="U610" s="1">
        <v>35.6</v>
      </c>
      <c r="V610" s="1">
        <v>34.696082157020101</v>
      </c>
      <c r="W610" s="1">
        <v>326302</v>
      </c>
      <c r="X610" s="1">
        <v>34287.24</v>
      </c>
      <c r="Y610" s="215">
        <f t="shared" si="97"/>
        <v>-2.4247481421612038E-3</v>
      </c>
      <c r="Z610" s="215">
        <f t="shared" si="92"/>
        <v>-8.0103359173126609E-2</v>
      </c>
      <c r="AA610" s="231">
        <v>11321401</v>
      </c>
      <c r="AC610" s="230">
        <v>44018</v>
      </c>
      <c r="AD610" s="1">
        <v>30.95</v>
      </c>
      <c r="AE610" s="1">
        <v>30.738709677419301</v>
      </c>
      <c r="AF610" s="1">
        <v>310</v>
      </c>
      <c r="AG610" s="1">
        <v>36487.279999999999</v>
      </c>
      <c r="AH610" s="215">
        <f t="shared" si="98"/>
        <v>-5.105451959562024E-3</v>
      </c>
      <c r="AI610" s="215">
        <f t="shared" si="93"/>
        <v>1.4754098360655776E-2</v>
      </c>
      <c r="AJ610" s="231">
        <v>9529</v>
      </c>
      <c r="AL610" s="254"/>
      <c r="AQ610" s="215" t="str">
        <f t="shared" si="99"/>
        <v>NA</v>
      </c>
      <c r="AR610" s="215" t="str">
        <f t="shared" si="94"/>
        <v>NA</v>
      </c>
    </row>
    <row r="611" spans="2:44">
      <c r="B611" s="230">
        <v>43990</v>
      </c>
      <c r="C611" s="1">
        <v>182.05</v>
      </c>
      <c r="D611" s="1">
        <v>179.03532182103601</v>
      </c>
      <c r="E611" s="1">
        <v>1274</v>
      </c>
      <c r="F611" s="215">
        <v>34370.58</v>
      </c>
      <c r="G611" s="215">
        <f t="shared" si="95"/>
        <v>1.2188761625470557E-2</v>
      </c>
      <c r="H611" s="215">
        <f t="shared" si="90"/>
        <v>3.1152647975077885E-2</v>
      </c>
      <c r="I611" s="231">
        <v>228091</v>
      </c>
      <c r="K611" s="230">
        <v>43990</v>
      </c>
      <c r="L611" s="1">
        <v>155.4</v>
      </c>
      <c r="M611" s="1">
        <v>154.57898638508601</v>
      </c>
      <c r="N611" s="1">
        <v>55307</v>
      </c>
      <c r="O611" s="1">
        <v>34370.58</v>
      </c>
      <c r="P611" s="215">
        <f t="shared" si="96"/>
        <v>1.2188761625470557E-2</v>
      </c>
      <c r="Q611" s="215">
        <f t="shared" si="91"/>
        <v>6.0027285129604424E-2</v>
      </c>
      <c r="R611" s="231">
        <v>8549300</v>
      </c>
      <c r="T611" s="230">
        <v>43990</v>
      </c>
      <c r="U611" s="1">
        <v>38.700000000000003</v>
      </c>
      <c r="V611" s="1">
        <v>38.802568332000902</v>
      </c>
      <c r="W611" s="1">
        <v>395276</v>
      </c>
      <c r="X611" s="1">
        <v>34370.58</v>
      </c>
      <c r="Y611" s="215">
        <f t="shared" si="97"/>
        <v>1.2188761625470557E-2</v>
      </c>
      <c r="Z611" s="215">
        <f t="shared" si="92"/>
        <v>5.7377049180327822E-2</v>
      </c>
      <c r="AA611" s="231">
        <v>15337724</v>
      </c>
      <c r="AC611" s="230">
        <v>44019</v>
      </c>
      <c r="AD611" s="1">
        <v>30.5</v>
      </c>
      <c r="AE611" s="1">
        <v>30.3180515759312</v>
      </c>
      <c r="AF611" s="1">
        <v>2094</v>
      </c>
      <c r="AG611" s="1">
        <v>36674.519999999997</v>
      </c>
      <c r="AH611" s="215">
        <f t="shared" si="98"/>
        <v>9.5105812131957013E-3</v>
      </c>
      <c r="AI611" s="215">
        <f t="shared" si="93"/>
        <v>-1.4539579967689842E-2</v>
      </c>
      <c r="AJ611" s="231">
        <v>63486</v>
      </c>
      <c r="AL611" s="254"/>
      <c r="AQ611" s="215" t="str">
        <f t="shared" si="99"/>
        <v>NA</v>
      </c>
      <c r="AR611" s="215" t="str">
        <f t="shared" si="94"/>
        <v>NA</v>
      </c>
    </row>
    <row r="612" spans="2:44">
      <c r="B612" s="230">
        <v>43991</v>
      </c>
      <c r="C612" s="1">
        <v>176.55</v>
      </c>
      <c r="D612" s="1">
        <v>178.88679245283001</v>
      </c>
      <c r="E612" s="1">
        <v>848</v>
      </c>
      <c r="F612" s="215">
        <v>33956.69</v>
      </c>
      <c r="G612" s="215">
        <f t="shared" si="95"/>
        <v>-8.4783944894524232E-3</v>
      </c>
      <c r="H612" s="215">
        <f t="shared" si="90"/>
        <v>-2.8240609997175481E-3</v>
      </c>
      <c r="I612" s="231">
        <v>151696</v>
      </c>
      <c r="K612" s="230">
        <v>43991</v>
      </c>
      <c r="L612" s="1">
        <v>146.6</v>
      </c>
      <c r="M612" s="1">
        <v>157.51044044009899</v>
      </c>
      <c r="N612" s="1">
        <v>29357</v>
      </c>
      <c r="O612" s="1">
        <v>33956.69</v>
      </c>
      <c r="P612" s="215">
        <f t="shared" si="96"/>
        <v>-8.4783944894524232E-3</v>
      </c>
      <c r="Q612" s="215">
        <f t="shared" si="91"/>
        <v>1.8409169850642559E-2</v>
      </c>
      <c r="R612" s="231">
        <v>4624034</v>
      </c>
      <c r="T612" s="230">
        <v>43991</v>
      </c>
      <c r="U612" s="1">
        <v>36.6</v>
      </c>
      <c r="V612" s="1">
        <v>37.474973516949099</v>
      </c>
      <c r="W612" s="1">
        <v>60416</v>
      </c>
      <c r="X612" s="1">
        <v>33956.69</v>
      </c>
      <c r="Y612" s="215">
        <f t="shared" si="97"/>
        <v>-8.4783944894524232E-3</v>
      </c>
      <c r="Z612" s="215">
        <f t="shared" si="92"/>
        <v>-2.008032128514059E-2</v>
      </c>
      <c r="AA612" s="231">
        <v>2264088</v>
      </c>
      <c r="AC612" s="230">
        <v>44020</v>
      </c>
      <c r="AD612" s="1">
        <v>30.95</v>
      </c>
      <c r="AE612" s="1">
        <v>31.419889502762398</v>
      </c>
      <c r="AF612" s="1">
        <v>905</v>
      </c>
      <c r="AG612" s="1">
        <v>36329.01</v>
      </c>
      <c r="AH612" s="215">
        <f t="shared" si="98"/>
        <v>-1.112427046991793E-2</v>
      </c>
      <c r="AI612" s="215">
        <f t="shared" si="93"/>
        <v>-8.0128205128204844E-3</v>
      </c>
      <c r="AJ612" s="231">
        <v>28435</v>
      </c>
      <c r="AL612" s="254"/>
      <c r="AQ612" s="215" t="str">
        <f t="shared" si="99"/>
        <v>NA</v>
      </c>
      <c r="AR612" s="215" t="str">
        <f t="shared" si="94"/>
        <v>NA</v>
      </c>
    </row>
    <row r="613" spans="2:44">
      <c r="B613" s="230">
        <v>43992</v>
      </c>
      <c r="C613" s="1">
        <v>177.05</v>
      </c>
      <c r="D613" s="1">
        <v>178.30851063829701</v>
      </c>
      <c r="E613" s="1">
        <v>376</v>
      </c>
      <c r="F613" s="215">
        <v>34247.050000000003</v>
      </c>
      <c r="G613" s="215">
        <f t="shared" si="95"/>
        <v>2.1130424644966395E-2</v>
      </c>
      <c r="H613" s="215">
        <f t="shared" si="90"/>
        <v>-1.5842134519177264E-2</v>
      </c>
      <c r="I613" s="231">
        <v>67044</v>
      </c>
      <c r="K613" s="230">
        <v>43992</v>
      </c>
      <c r="L613" s="1">
        <v>143.94999999999999</v>
      </c>
      <c r="M613" s="1">
        <v>146.71696809123301</v>
      </c>
      <c r="N613" s="1">
        <v>8681</v>
      </c>
      <c r="O613" s="1">
        <v>34247.050000000003</v>
      </c>
      <c r="P613" s="215">
        <f t="shared" si="96"/>
        <v>2.1130424644966395E-2</v>
      </c>
      <c r="Q613" s="215">
        <f t="shared" si="91"/>
        <v>4.4250997461008357E-2</v>
      </c>
      <c r="R613" s="231">
        <v>1273650</v>
      </c>
      <c r="T613" s="230">
        <v>43992</v>
      </c>
      <c r="U613" s="1">
        <v>37.35</v>
      </c>
      <c r="V613" s="1">
        <v>37.234622911335201</v>
      </c>
      <c r="W613" s="1">
        <v>33215</v>
      </c>
      <c r="X613" s="1">
        <v>34247.050000000003</v>
      </c>
      <c r="Y613" s="215">
        <f t="shared" si="97"/>
        <v>2.1130424644966395E-2</v>
      </c>
      <c r="Z613" s="215">
        <f t="shared" si="92"/>
        <v>5.508474576271194E-2</v>
      </c>
      <c r="AA613" s="231">
        <v>1236748</v>
      </c>
      <c r="AC613" s="230">
        <v>44021</v>
      </c>
      <c r="AD613" s="1">
        <v>31.2</v>
      </c>
      <c r="AE613" s="1">
        <v>31.209677419354801</v>
      </c>
      <c r="AF613" s="1">
        <v>310</v>
      </c>
      <c r="AG613" s="1">
        <v>36737.69</v>
      </c>
      <c r="AH613" s="215">
        <f t="shared" si="98"/>
        <v>3.9175467893524107E-3</v>
      </c>
      <c r="AI613" s="215">
        <f t="shared" si="93"/>
        <v>-2.3474178403755874E-2</v>
      </c>
      <c r="AJ613" s="231">
        <v>9675</v>
      </c>
      <c r="AL613" s="254"/>
      <c r="AQ613" s="215" t="str">
        <f t="shared" si="99"/>
        <v>NA</v>
      </c>
      <c r="AR613" s="215" t="str">
        <f t="shared" si="94"/>
        <v>NA</v>
      </c>
    </row>
    <row r="614" spans="2:44">
      <c r="B614" s="230">
        <v>43993</v>
      </c>
      <c r="C614" s="1">
        <v>179.9</v>
      </c>
      <c r="D614" s="1">
        <v>179.07272727272701</v>
      </c>
      <c r="E614" s="1">
        <v>1210</v>
      </c>
      <c r="F614" s="215">
        <v>33538.370000000003</v>
      </c>
      <c r="G614" s="215">
        <f t="shared" si="95"/>
        <v>-7.1792069421497962E-3</v>
      </c>
      <c r="H614" s="215">
        <f t="shared" si="90"/>
        <v>2.2159090909090962E-2</v>
      </c>
      <c r="I614" s="231">
        <v>216678</v>
      </c>
      <c r="K614" s="230">
        <v>43993</v>
      </c>
      <c r="L614" s="1">
        <v>137.85</v>
      </c>
      <c r="M614" s="1">
        <v>141.15743855109901</v>
      </c>
      <c r="N614" s="1">
        <v>7730</v>
      </c>
      <c r="O614" s="1">
        <v>33538.370000000003</v>
      </c>
      <c r="P614" s="215">
        <f t="shared" si="96"/>
        <v>-7.1792069421497962E-3</v>
      </c>
      <c r="Q614" s="215">
        <f t="shared" si="91"/>
        <v>-9.0699208443271728E-2</v>
      </c>
      <c r="R614" s="231">
        <v>1091147</v>
      </c>
      <c r="T614" s="230">
        <v>43993</v>
      </c>
      <c r="U614" s="1">
        <v>35.4</v>
      </c>
      <c r="V614" s="1">
        <v>36.010712664548301</v>
      </c>
      <c r="W614" s="1">
        <v>33045</v>
      </c>
      <c r="X614" s="1">
        <v>33538.370000000003</v>
      </c>
      <c r="Y614" s="215">
        <f t="shared" si="97"/>
        <v>-7.1792069421497962E-3</v>
      </c>
      <c r="Z614" s="215">
        <f t="shared" si="92"/>
        <v>1.4144271570013522E-3</v>
      </c>
      <c r="AA614" s="231">
        <v>1189974</v>
      </c>
      <c r="AC614" s="230">
        <v>44022</v>
      </c>
      <c r="AD614" s="1">
        <v>31.95</v>
      </c>
      <c r="AE614" s="1">
        <v>31.5086505190311</v>
      </c>
      <c r="AF614" s="1">
        <v>289</v>
      </c>
      <c r="AG614" s="1">
        <v>36594.33</v>
      </c>
      <c r="AH614" s="215">
        <f t="shared" si="98"/>
        <v>-2.7078225166234926E-3</v>
      </c>
      <c r="AI614" s="215">
        <f t="shared" si="93"/>
        <v>-7.1220930232558155E-2</v>
      </c>
      <c r="AJ614" s="231">
        <v>9106</v>
      </c>
      <c r="AL614" s="254"/>
      <c r="AQ614" s="215" t="str">
        <f t="shared" si="99"/>
        <v>NA</v>
      </c>
      <c r="AR614" s="215" t="str">
        <f t="shared" si="94"/>
        <v>NA</v>
      </c>
    </row>
    <row r="615" spans="2:44">
      <c r="B615" s="230">
        <v>43994</v>
      </c>
      <c r="C615" s="1">
        <v>176</v>
      </c>
      <c r="D615" s="1">
        <v>174.05975395430499</v>
      </c>
      <c r="E615" s="1">
        <v>1138</v>
      </c>
      <c r="F615" s="215">
        <v>33780.89</v>
      </c>
      <c r="G615" s="215">
        <f t="shared" si="95"/>
        <v>1.6614804025423702E-2</v>
      </c>
      <c r="H615" s="215">
        <f t="shared" si="90"/>
        <v>2.277904328018332E-3</v>
      </c>
      <c r="I615" s="231">
        <v>198080</v>
      </c>
      <c r="K615" s="230">
        <v>43994</v>
      </c>
      <c r="L615" s="1">
        <v>151.6</v>
      </c>
      <c r="M615" s="1">
        <v>144.20364109232699</v>
      </c>
      <c r="N615" s="1">
        <v>15380</v>
      </c>
      <c r="O615" s="1">
        <v>33780.89</v>
      </c>
      <c r="P615" s="215">
        <f t="shared" si="96"/>
        <v>1.6614804025423702E-2</v>
      </c>
      <c r="Q615" s="215">
        <f t="shared" si="91"/>
        <v>-3.3163265306122569E-2</v>
      </c>
      <c r="R615" s="231">
        <v>2217852</v>
      </c>
      <c r="T615" s="230">
        <v>43994</v>
      </c>
      <c r="U615" s="1">
        <v>35.35</v>
      </c>
      <c r="V615" s="1">
        <v>34.135163743547103</v>
      </c>
      <c r="W615" s="1">
        <v>61407</v>
      </c>
      <c r="X615" s="1">
        <v>33780.89</v>
      </c>
      <c r="Y615" s="215">
        <f t="shared" si="97"/>
        <v>1.6614804025423702E-2</v>
      </c>
      <c r="Z615" s="215">
        <f t="shared" si="92"/>
        <v>-3.4153005464480857E-2</v>
      </c>
      <c r="AA615" s="231">
        <v>2096138</v>
      </c>
      <c r="AC615" s="230">
        <v>44025</v>
      </c>
      <c r="AD615" s="1">
        <v>34.4</v>
      </c>
      <c r="AE615" s="1">
        <v>34.372377054505201</v>
      </c>
      <c r="AF615" s="1">
        <v>15393</v>
      </c>
      <c r="AG615" s="1">
        <v>36693.69</v>
      </c>
      <c r="AH615" s="215">
        <f t="shared" si="98"/>
        <v>1.8333996613110415E-2</v>
      </c>
      <c r="AI615" s="215">
        <f t="shared" si="93"/>
        <v>6.336939721792878E-2</v>
      </c>
      <c r="AJ615" s="231">
        <v>529094</v>
      </c>
      <c r="AL615" s="254"/>
      <c r="AQ615" s="215" t="str">
        <f t="shared" si="99"/>
        <v>NA</v>
      </c>
      <c r="AR615" s="215" t="str">
        <f t="shared" si="94"/>
        <v>NA</v>
      </c>
    </row>
    <row r="616" spans="2:44">
      <c r="B616" s="230">
        <v>43997</v>
      </c>
      <c r="C616" s="1">
        <v>175.6</v>
      </c>
      <c r="D616" s="1">
        <v>172.98249999999999</v>
      </c>
      <c r="E616" s="1">
        <v>400</v>
      </c>
      <c r="F616" s="215">
        <v>33228.800000000003</v>
      </c>
      <c r="G616" s="215">
        <f t="shared" si="95"/>
        <v>-1.1201235998454906E-2</v>
      </c>
      <c r="H616" s="215">
        <f t="shared" si="90"/>
        <v>3.0818902260052905E-2</v>
      </c>
      <c r="I616" s="231">
        <v>69193</v>
      </c>
      <c r="K616" s="230">
        <v>43997</v>
      </c>
      <c r="L616" s="1">
        <v>156.80000000000001</v>
      </c>
      <c r="M616" s="1">
        <v>156.82475417409</v>
      </c>
      <c r="N616" s="1">
        <v>30306</v>
      </c>
      <c r="O616" s="1">
        <v>33228.800000000003</v>
      </c>
      <c r="P616" s="215">
        <f t="shared" si="96"/>
        <v>-1.1201235998454906E-2</v>
      </c>
      <c r="Q616" s="215">
        <f t="shared" si="91"/>
        <v>-2.9402661714639455E-2</v>
      </c>
      <c r="R616" s="231">
        <v>4752731</v>
      </c>
      <c r="T616" s="230">
        <v>43997</v>
      </c>
      <c r="U616" s="1">
        <v>36.6</v>
      </c>
      <c r="V616" s="1">
        <v>36.270946704673001</v>
      </c>
      <c r="W616" s="1">
        <v>46308</v>
      </c>
      <c r="X616" s="1">
        <v>33228.800000000003</v>
      </c>
      <c r="Y616" s="215">
        <f t="shared" si="97"/>
        <v>-1.1201235998454906E-2</v>
      </c>
      <c r="Z616" s="215">
        <f t="shared" si="92"/>
        <v>5.494505494505475E-3</v>
      </c>
      <c r="AA616" s="231">
        <v>1679635</v>
      </c>
      <c r="AC616" s="230">
        <v>44026</v>
      </c>
      <c r="AD616" s="1">
        <v>32.35</v>
      </c>
      <c r="AE616" s="1">
        <v>32.121266427717998</v>
      </c>
      <c r="AF616" s="1">
        <v>8370</v>
      </c>
      <c r="AG616" s="1">
        <v>36033.06</v>
      </c>
      <c r="AH616" s="215">
        <f t="shared" si="98"/>
        <v>-5.200848445612305E-4</v>
      </c>
      <c r="AI616" s="215">
        <f t="shared" si="93"/>
        <v>9.3603744149768353E-3</v>
      </c>
      <c r="AJ616" s="231">
        <v>268855</v>
      </c>
      <c r="AL616" s="254"/>
      <c r="AQ616" s="215" t="str">
        <f t="shared" si="99"/>
        <v>NA</v>
      </c>
      <c r="AR616" s="215" t="str">
        <f t="shared" si="94"/>
        <v>NA</v>
      </c>
    </row>
    <row r="617" spans="2:44">
      <c r="B617" s="230">
        <v>43998</v>
      </c>
      <c r="C617" s="1">
        <v>170.35</v>
      </c>
      <c r="D617" s="1">
        <v>171.29153094462501</v>
      </c>
      <c r="E617" s="1">
        <v>614</v>
      </c>
      <c r="F617" s="215">
        <v>33605.22</v>
      </c>
      <c r="G617" s="215">
        <f t="shared" si="95"/>
        <v>2.903791103715303E-3</v>
      </c>
      <c r="H617" s="215">
        <f t="shared" si="90"/>
        <v>-2.6571428571428579E-2</v>
      </c>
      <c r="I617" s="231">
        <v>105173</v>
      </c>
      <c r="K617" s="230">
        <v>43998</v>
      </c>
      <c r="L617" s="1">
        <v>161.55000000000001</v>
      </c>
      <c r="M617" s="1">
        <v>165.24813726419501</v>
      </c>
      <c r="N617" s="1">
        <v>52745</v>
      </c>
      <c r="O617" s="1">
        <v>33605.22</v>
      </c>
      <c r="P617" s="215">
        <f t="shared" si="96"/>
        <v>2.903791103715303E-3</v>
      </c>
      <c r="Q617" s="215">
        <f t="shared" si="91"/>
        <v>1.6997167138810276E-2</v>
      </c>
      <c r="R617" s="231">
        <v>8716013</v>
      </c>
      <c r="T617" s="230">
        <v>43998</v>
      </c>
      <c r="U617" s="1">
        <v>36.4</v>
      </c>
      <c r="V617" s="1">
        <v>36.462817843051198</v>
      </c>
      <c r="W617" s="1">
        <v>36496</v>
      </c>
      <c r="X617" s="1">
        <v>33605.22</v>
      </c>
      <c r="Y617" s="215">
        <f t="shared" si="97"/>
        <v>2.903791103715303E-3</v>
      </c>
      <c r="Z617" s="215">
        <f t="shared" si="92"/>
        <v>2.2471910112359383E-2</v>
      </c>
      <c r="AA617" s="231">
        <v>1330747</v>
      </c>
      <c r="AC617" s="230">
        <v>44027</v>
      </c>
      <c r="AD617" s="1">
        <v>32.049999999999997</v>
      </c>
      <c r="AE617" s="1">
        <v>32.360105332455497</v>
      </c>
      <c r="AF617" s="1">
        <v>4557</v>
      </c>
      <c r="AG617" s="1">
        <v>36051.81</v>
      </c>
      <c r="AH617" s="215">
        <f t="shared" si="98"/>
        <v>-1.1512219892256148E-2</v>
      </c>
      <c r="AI617" s="215">
        <f t="shared" si="93"/>
        <v>6.4784053156146104E-2</v>
      </c>
      <c r="AJ617" s="231">
        <v>147465</v>
      </c>
      <c r="AL617" s="254"/>
      <c r="AQ617" s="215" t="str">
        <f t="shared" si="99"/>
        <v>NA</v>
      </c>
      <c r="AR617" s="215" t="str">
        <f t="shared" si="94"/>
        <v>NA</v>
      </c>
    </row>
    <row r="618" spans="2:44">
      <c r="B618" s="230">
        <v>43999</v>
      </c>
      <c r="C618" s="1">
        <v>175</v>
      </c>
      <c r="D618" s="1">
        <v>173.64418604651101</v>
      </c>
      <c r="E618" s="1">
        <v>430</v>
      </c>
      <c r="F618" s="215">
        <v>33507.919999999998</v>
      </c>
      <c r="G618" s="215">
        <f t="shared" si="95"/>
        <v>-2.0466819944428449E-2</v>
      </c>
      <c r="H618" s="215">
        <f t="shared" si="90"/>
        <v>2.8579594169775291E-4</v>
      </c>
      <c r="I618" s="231">
        <v>74667</v>
      </c>
      <c r="K618" s="230">
        <v>43999</v>
      </c>
      <c r="L618" s="1">
        <v>158.85</v>
      </c>
      <c r="M618" s="1">
        <v>160.35959522949</v>
      </c>
      <c r="N618" s="1">
        <v>2767</v>
      </c>
      <c r="O618" s="1">
        <v>33507.919999999998</v>
      </c>
      <c r="P618" s="215">
        <f t="shared" si="96"/>
        <v>-2.0466819944428449E-2</v>
      </c>
      <c r="Q618" s="215">
        <f t="shared" si="91"/>
        <v>-1.151213441194765E-2</v>
      </c>
      <c r="R618" s="231">
        <v>443715</v>
      </c>
      <c r="T618" s="230">
        <v>43999</v>
      </c>
      <c r="U618" s="1">
        <v>35.6</v>
      </c>
      <c r="V618" s="1">
        <v>35.719772096809002</v>
      </c>
      <c r="W618" s="1">
        <v>60201</v>
      </c>
      <c r="X618" s="1">
        <v>33507.919999999998</v>
      </c>
      <c r="Y618" s="215">
        <f t="shared" si="97"/>
        <v>-2.0466819944428449E-2</v>
      </c>
      <c r="Z618" s="215">
        <f t="shared" si="92"/>
        <v>-6.192358366271411E-2</v>
      </c>
      <c r="AA618" s="231">
        <v>2150366</v>
      </c>
      <c r="AC618" s="230">
        <v>44028</v>
      </c>
      <c r="AD618" s="1">
        <v>30.1</v>
      </c>
      <c r="AE618" s="1">
        <v>30.684346300691299</v>
      </c>
      <c r="AF618" s="1">
        <v>9691</v>
      </c>
      <c r="AG618" s="1">
        <v>36471.68</v>
      </c>
      <c r="AH618" s="215">
        <f t="shared" si="98"/>
        <v>-1.4815178980954635E-2</v>
      </c>
      <c r="AI618" s="215">
        <f t="shared" si="93"/>
        <v>-4.5958795562599075E-2</v>
      </c>
      <c r="AJ618" s="231">
        <v>297362</v>
      </c>
      <c r="AL618" s="254"/>
      <c r="AQ618" s="215" t="str">
        <f t="shared" si="99"/>
        <v>NA</v>
      </c>
      <c r="AR618" s="215" t="str">
        <f t="shared" si="94"/>
        <v>NA</v>
      </c>
    </row>
    <row r="619" spans="2:44">
      <c r="B619" s="230">
        <v>44000</v>
      </c>
      <c r="C619" s="1">
        <v>174.95</v>
      </c>
      <c r="D619" s="1">
        <v>175.16</v>
      </c>
      <c r="E619" s="1">
        <v>125</v>
      </c>
      <c r="F619" s="215">
        <v>34208.050000000003</v>
      </c>
      <c r="G619" s="215">
        <f t="shared" si="95"/>
        <v>-1.5077855321344535E-2</v>
      </c>
      <c r="H619" s="215">
        <f t="shared" si="90"/>
        <v>-2.9941779872470264E-2</v>
      </c>
      <c r="I619" s="231">
        <v>21895</v>
      </c>
      <c r="K619" s="230">
        <v>44000</v>
      </c>
      <c r="L619" s="1">
        <v>160.69999999999999</v>
      </c>
      <c r="M619" s="1">
        <v>161.152381959498</v>
      </c>
      <c r="N619" s="1">
        <v>18913</v>
      </c>
      <c r="O619" s="1">
        <v>34208.050000000003</v>
      </c>
      <c r="P619" s="215">
        <f t="shared" si="96"/>
        <v>-1.5077855321344535E-2</v>
      </c>
      <c r="Q619" s="215">
        <f t="shared" si="91"/>
        <v>8.7884494664154378E-3</v>
      </c>
      <c r="R619" s="231">
        <v>3047875</v>
      </c>
      <c r="T619" s="230">
        <v>44000</v>
      </c>
      <c r="U619" s="1">
        <v>37.950000000000003</v>
      </c>
      <c r="V619" s="1">
        <v>37.948507618037397</v>
      </c>
      <c r="W619" s="1">
        <v>201758</v>
      </c>
      <c r="X619" s="1">
        <v>34208.050000000003</v>
      </c>
      <c r="Y619" s="215">
        <f t="shared" si="97"/>
        <v>-1.5077855321344535E-2</v>
      </c>
      <c r="Z619" s="215">
        <f t="shared" si="92"/>
        <v>-1.6839378238341918E-2</v>
      </c>
      <c r="AA619" s="231">
        <v>7656415</v>
      </c>
      <c r="AC619" s="230">
        <v>44029</v>
      </c>
      <c r="AD619" s="1">
        <v>31.55</v>
      </c>
      <c r="AE619" s="1">
        <v>31.686580516898601</v>
      </c>
      <c r="AF619" s="1">
        <v>10060</v>
      </c>
      <c r="AG619" s="1">
        <v>37020.14</v>
      </c>
      <c r="AH619" s="215">
        <f t="shared" si="98"/>
        <v>-1.0659026339299826E-2</v>
      </c>
      <c r="AI619" s="215">
        <f t="shared" si="93"/>
        <v>-4.7318611987381409E-3</v>
      </c>
      <c r="AJ619" s="231">
        <v>318767</v>
      </c>
      <c r="AL619" s="254"/>
      <c r="AQ619" s="215" t="str">
        <f t="shared" si="99"/>
        <v>NA</v>
      </c>
      <c r="AR619" s="215" t="str">
        <f t="shared" si="94"/>
        <v>NA</v>
      </c>
    </row>
    <row r="620" spans="2:44">
      <c r="B620" s="230">
        <v>44001</v>
      </c>
      <c r="C620" s="1">
        <v>180.35</v>
      </c>
      <c r="D620" s="1">
        <v>179.979485697775</v>
      </c>
      <c r="E620" s="1">
        <v>3461</v>
      </c>
      <c r="F620" s="215">
        <v>34731.730000000003</v>
      </c>
      <c r="G620" s="215">
        <f t="shared" si="95"/>
        <v>-5.1441767312149222E-3</v>
      </c>
      <c r="H620" s="215">
        <f t="shared" si="90"/>
        <v>-9.0659340659341447E-3</v>
      </c>
      <c r="I620" s="231">
        <v>622909</v>
      </c>
      <c r="K620" s="230">
        <v>44001</v>
      </c>
      <c r="L620" s="1">
        <v>159.30000000000001</v>
      </c>
      <c r="M620" s="1">
        <v>161.660538236077</v>
      </c>
      <c r="N620" s="1">
        <v>7506</v>
      </c>
      <c r="O620" s="1">
        <v>34731.730000000003</v>
      </c>
      <c r="P620" s="215">
        <f t="shared" si="96"/>
        <v>-5.1441767312149222E-3</v>
      </c>
      <c r="Q620" s="215">
        <f t="shared" si="91"/>
        <v>2.4766806046960577E-2</v>
      </c>
      <c r="R620" s="231">
        <v>1213424</v>
      </c>
      <c r="T620" s="230">
        <v>44001</v>
      </c>
      <c r="U620" s="1">
        <v>38.6</v>
      </c>
      <c r="V620" s="1">
        <v>38.989792558445799</v>
      </c>
      <c r="W620" s="1">
        <v>63777</v>
      </c>
      <c r="X620" s="1">
        <v>34731.730000000003</v>
      </c>
      <c r="Y620" s="215">
        <f t="shared" si="97"/>
        <v>-5.1441767312149222E-3</v>
      </c>
      <c r="Z620" s="215">
        <f t="shared" si="92"/>
        <v>1.7127799736495364E-2</v>
      </c>
      <c r="AA620" s="231">
        <v>2486652</v>
      </c>
      <c r="AC620" s="230">
        <v>44032</v>
      </c>
      <c r="AD620" s="1">
        <v>31.7</v>
      </c>
      <c r="AE620" s="1">
        <v>31.636746379252202</v>
      </c>
      <c r="AF620" s="1">
        <v>5938</v>
      </c>
      <c r="AG620" s="1">
        <v>37418.99</v>
      </c>
      <c r="AH620" s="215">
        <f t="shared" si="98"/>
        <v>-1.3481032197716236E-2</v>
      </c>
      <c r="AI620" s="215">
        <f t="shared" si="93"/>
        <v>1.6025641025640969E-2</v>
      </c>
      <c r="AJ620" s="231">
        <v>187859</v>
      </c>
      <c r="AL620" s="254"/>
      <c r="AQ620" s="215" t="str">
        <f t="shared" si="99"/>
        <v>NA</v>
      </c>
      <c r="AR620" s="215" t="str">
        <f t="shared" si="94"/>
        <v>NA</v>
      </c>
    </row>
    <row r="621" spans="2:44">
      <c r="B621" s="230">
        <v>44004</v>
      </c>
      <c r="C621" s="1">
        <v>182</v>
      </c>
      <c r="D621" s="1">
        <v>181.50513112884801</v>
      </c>
      <c r="E621" s="1">
        <v>877</v>
      </c>
      <c r="F621" s="215">
        <v>34911.32</v>
      </c>
      <c r="G621" s="215">
        <f t="shared" si="95"/>
        <v>-1.4651529772571226E-2</v>
      </c>
      <c r="H621" s="215">
        <f t="shared" si="90"/>
        <v>-4.5621394861038223E-2</v>
      </c>
      <c r="I621" s="231">
        <v>159180</v>
      </c>
      <c r="K621" s="230">
        <v>44004</v>
      </c>
      <c r="L621" s="1">
        <v>155.44999999999999</v>
      </c>
      <c r="M621" s="1">
        <v>158.95959289077899</v>
      </c>
      <c r="N621" s="1">
        <v>6583</v>
      </c>
      <c r="O621" s="1">
        <v>34911.32</v>
      </c>
      <c r="P621" s="215">
        <f t="shared" si="96"/>
        <v>-1.4651529772571226E-2</v>
      </c>
      <c r="Q621" s="215">
        <f t="shared" si="91"/>
        <v>-8.3431603773584939E-2</v>
      </c>
      <c r="R621" s="231">
        <v>1046431</v>
      </c>
      <c r="T621" s="230">
        <v>44004</v>
      </c>
      <c r="U621" s="1">
        <v>37.950000000000003</v>
      </c>
      <c r="V621" s="1">
        <v>38.428719389347599</v>
      </c>
      <c r="W621" s="1">
        <v>70482</v>
      </c>
      <c r="X621" s="1">
        <v>34911.32</v>
      </c>
      <c r="Y621" s="215">
        <f t="shared" si="97"/>
        <v>-1.4651529772571226E-2</v>
      </c>
      <c r="Z621" s="215">
        <f t="shared" si="92"/>
        <v>-2.5673940949935803E-2</v>
      </c>
      <c r="AA621" s="231">
        <v>2708533</v>
      </c>
      <c r="AC621" s="230">
        <v>44033</v>
      </c>
      <c r="AD621" s="1">
        <v>31.2</v>
      </c>
      <c r="AE621" s="1">
        <v>31.214452214452201</v>
      </c>
      <c r="AF621" s="1">
        <v>429</v>
      </c>
      <c r="AG621" s="1">
        <v>37930.33</v>
      </c>
      <c r="AH621" s="215">
        <f t="shared" si="98"/>
        <v>1.5528819545664874E-3</v>
      </c>
      <c r="AI621" s="215">
        <f t="shared" si="93"/>
        <v>-1.4218009478672911E-2</v>
      </c>
      <c r="AJ621" s="231">
        <v>13391</v>
      </c>
      <c r="AL621" s="254"/>
      <c r="AQ621" s="215" t="str">
        <f t="shared" si="99"/>
        <v>NA</v>
      </c>
      <c r="AR621" s="215" t="str">
        <f t="shared" si="94"/>
        <v>NA</v>
      </c>
    </row>
    <row r="622" spans="2:44">
      <c r="B622" s="230">
        <v>44005</v>
      </c>
      <c r="C622" s="1">
        <v>190.7</v>
      </c>
      <c r="D622" s="1">
        <v>188.969392875062</v>
      </c>
      <c r="E622" s="1">
        <v>1993</v>
      </c>
      <c r="F622" s="215">
        <v>35430.43</v>
      </c>
      <c r="G622" s="215">
        <f t="shared" si="95"/>
        <v>1.6101704150795371E-2</v>
      </c>
      <c r="H622" s="215">
        <f t="shared" si="90"/>
        <v>4.2076502732240284E-2</v>
      </c>
      <c r="I622" s="231">
        <v>376616</v>
      </c>
      <c r="K622" s="230">
        <v>44005</v>
      </c>
      <c r="L622" s="1">
        <v>169.6</v>
      </c>
      <c r="M622" s="1">
        <v>167.30971873761999</v>
      </c>
      <c r="N622" s="1">
        <v>15146</v>
      </c>
      <c r="O622" s="1">
        <v>35430.43</v>
      </c>
      <c r="P622" s="215">
        <f t="shared" si="96"/>
        <v>1.6101704150795371E-2</v>
      </c>
      <c r="Q622" s="215">
        <f t="shared" si="91"/>
        <v>-1.7950202663578385E-2</v>
      </c>
      <c r="R622" s="231">
        <v>2534073</v>
      </c>
      <c r="T622" s="230">
        <v>44005</v>
      </c>
      <c r="U622" s="1">
        <v>38.950000000000003</v>
      </c>
      <c r="V622" s="1">
        <v>38.8116152350702</v>
      </c>
      <c r="W622" s="1">
        <v>36521</v>
      </c>
      <c r="X622" s="1">
        <v>35430.43</v>
      </c>
      <c r="Y622" s="215">
        <f t="shared" si="97"/>
        <v>1.6101704150795371E-2</v>
      </c>
      <c r="Z622" s="215">
        <f t="shared" si="92"/>
        <v>4.4235924932976012E-2</v>
      </c>
      <c r="AA622" s="231">
        <v>1417439</v>
      </c>
      <c r="AC622" s="230">
        <v>44034</v>
      </c>
      <c r="AD622" s="1">
        <v>31.65</v>
      </c>
      <c r="AE622" s="1">
        <v>31.428657921291599</v>
      </c>
      <c r="AF622" s="1">
        <v>4955</v>
      </c>
      <c r="AG622" s="1">
        <v>37871.519999999997</v>
      </c>
      <c r="AH622" s="215">
        <f t="shared" si="98"/>
        <v>-7.0515649125457713E-3</v>
      </c>
      <c r="AI622" s="215">
        <f t="shared" si="93"/>
        <v>1.605136436597121E-2</v>
      </c>
      <c r="AJ622" s="231">
        <v>155729</v>
      </c>
      <c r="AL622" s="254"/>
      <c r="AQ622" s="215" t="str">
        <f t="shared" si="99"/>
        <v>NA</v>
      </c>
      <c r="AR622" s="215" t="str">
        <f t="shared" si="94"/>
        <v>NA</v>
      </c>
    </row>
    <row r="623" spans="2:44">
      <c r="B623" s="230">
        <v>44006</v>
      </c>
      <c r="C623" s="1">
        <v>183</v>
      </c>
      <c r="D623" s="1">
        <v>191.433569530558</v>
      </c>
      <c r="E623" s="1">
        <v>2258</v>
      </c>
      <c r="F623" s="215">
        <v>34868.980000000003</v>
      </c>
      <c r="G623" s="215">
        <f t="shared" si="95"/>
        <v>7.714804790757146E-4</v>
      </c>
      <c r="H623" s="215">
        <f t="shared" si="90"/>
        <v>-1.3642564802183177E-3</v>
      </c>
      <c r="I623" s="231">
        <v>432257</v>
      </c>
      <c r="K623" s="230">
        <v>44006</v>
      </c>
      <c r="L623" s="1">
        <v>172.7</v>
      </c>
      <c r="M623" s="1">
        <v>177.15850886497901</v>
      </c>
      <c r="N623" s="1">
        <v>19797</v>
      </c>
      <c r="O623" s="1">
        <v>34868.980000000003</v>
      </c>
      <c r="P623" s="215">
        <f t="shared" si="96"/>
        <v>7.714804790757146E-4</v>
      </c>
      <c r="Q623" s="215">
        <f t="shared" si="91"/>
        <v>2.0384047267355987E-2</v>
      </c>
      <c r="R623" s="231">
        <v>3507207</v>
      </c>
      <c r="T623" s="230">
        <v>44006</v>
      </c>
      <c r="U623" s="1">
        <v>37.299999999999997</v>
      </c>
      <c r="V623" s="1">
        <v>38.832239684041603</v>
      </c>
      <c r="W623" s="1">
        <v>97228</v>
      </c>
      <c r="X623" s="1">
        <v>34868.980000000003</v>
      </c>
      <c r="Y623" s="215">
        <f t="shared" si="97"/>
        <v>7.714804790757146E-4</v>
      </c>
      <c r="Z623" s="215">
        <f t="shared" si="92"/>
        <v>4.0376850605652326E-3</v>
      </c>
      <c r="AA623" s="231">
        <v>3775581</v>
      </c>
      <c r="AC623" s="230">
        <v>44035</v>
      </c>
      <c r="AD623" s="1">
        <v>31.15</v>
      </c>
      <c r="AE623" s="1">
        <v>31.188790560471901</v>
      </c>
      <c r="AF623" s="1">
        <v>339</v>
      </c>
      <c r="AG623" s="1">
        <v>38140.47</v>
      </c>
      <c r="AH623" s="215">
        <f t="shared" si="98"/>
        <v>3.0344436896956317E-4</v>
      </c>
      <c r="AI623" s="215">
        <f t="shared" si="93"/>
        <v>1.607717041800516E-3</v>
      </c>
      <c r="AJ623" s="231">
        <v>10573</v>
      </c>
      <c r="AL623" s="254"/>
      <c r="AQ623" s="215" t="str">
        <f t="shared" si="99"/>
        <v>NA</v>
      </c>
      <c r="AR623" s="215" t="str">
        <f t="shared" si="94"/>
        <v>NA</v>
      </c>
    </row>
    <row r="624" spans="2:44">
      <c r="B624" s="230">
        <v>44007</v>
      </c>
      <c r="C624" s="1">
        <v>183.25</v>
      </c>
      <c r="D624" s="1">
        <v>183.82722513089001</v>
      </c>
      <c r="E624" s="1">
        <v>191</v>
      </c>
      <c r="F624" s="215">
        <v>34842.1</v>
      </c>
      <c r="G624" s="215">
        <f t="shared" si="95"/>
        <v>-9.3590592548974394E-3</v>
      </c>
      <c r="H624" s="215">
        <f t="shared" si="90"/>
        <v>-4.3330723048812358E-2</v>
      </c>
      <c r="I624" s="231">
        <v>35111</v>
      </c>
      <c r="K624" s="230">
        <v>44007</v>
      </c>
      <c r="L624" s="1">
        <v>169.25</v>
      </c>
      <c r="M624" s="1">
        <v>170.48517350157701</v>
      </c>
      <c r="N624" s="1">
        <v>6340</v>
      </c>
      <c r="O624" s="1">
        <v>34842.1</v>
      </c>
      <c r="P624" s="215">
        <f t="shared" si="96"/>
        <v>-9.3590592548974394E-3</v>
      </c>
      <c r="Q624" s="215">
        <f t="shared" si="91"/>
        <v>-1.7131242740998753E-2</v>
      </c>
      <c r="R624" s="231">
        <v>1080876</v>
      </c>
      <c r="T624" s="230">
        <v>44007</v>
      </c>
      <c r="U624" s="1">
        <v>37.15</v>
      </c>
      <c r="V624" s="1">
        <v>36.857764485981299</v>
      </c>
      <c r="W624" s="1">
        <v>66875</v>
      </c>
      <c r="X624" s="1">
        <v>34842.1</v>
      </c>
      <c r="Y624" s="215">
        <f t="shared" si="97"/>
        <v>-9.3590592548974394E-3</v>
      </c>
      <c r="Z624" s="215">
        <f t="shared" si="92"/>
        <v>1.6415868673050671E-2</v>
      </c>
      <c r="AA624" s="231">
        <v>2464863</v>
      </c>
      <c r="AC624" s="230">
        <v>44036</v>
      </c>
      <c r="AD624" s="1">
        <v>31.1</v>
      </c>
      <c r="AE624" s="1">
        <v>30.558558558558499</v>
      </c>
      <c r="AF624" s="1">
        <v>333</v>
      </c>
      <c r="AG624" s="1">
        <v>38128.9</v>
      </c>
      <c r="AH624" s="215">
        <f t="shared" si="98"/>
        <v>5.1185285884465248E-3</v>
      </c>
      <c r="AI624" s="215">
        <f t="shared" si="93"/>
        <v>2.64026402640265E-2</v>
      </c>
      <c r="AJ624" s="231">
        <v>10176</v>
      </c>
      <c r="AL624" s="254"/>
      <c r="AQ624" s="215" t="str">
        <f t="shared" si="99"/>
        <v>NA</v>
      </c>
      <c r="AR624" s="215" t="str">
        <f t="shared" si="94"/>
        <v>NA</v>
      </c>
    </row>
    <row r="625" spans="2:44">
      <c r="B625" s="230">
        <v>44008</v>
      </c>
      <c r="C625" s="1">
        <v>191.55</v>
      </c>
      <c r="D625" s="1">
        <v>190.618181818181</v>
      </c>
      <c r="E625" s="1">
        <v>1320</v>
      </c>
      <c r="F625" s="215">
        <v>35171.269999999997</v>
      </c>
      <c r="G625" s="215">
        <f t="shared" si="95"/>
        <v>5.9994531130225237E-3</v>
      </c>
      <c r="H625" s="215">
        <f t="shared" si="90"/>
        <v>4.30166076776477E-2</v>
      </c>
      <c r="I625" s="231">
        <v>251616</v>
      </c>
      <c r="K625" s="230">
        <v>44008</v>
      </c>
      <c r="L625" s="1">
        <v>172.2</v>
      </c>
      <c r="M625" s="1">
        <v>172.82702757093901</v>
      </c>
      <c r="N625" s="1">
        <v>9938</v>
      </c>
      <c r="O625" s="1">
        <v>35171.269999999997</v>
      </c>
      <c r="P625" s="215">
        <f t="shared" si="96"/>
        <v>5.9994531130225237E-3</v>
      </c>
      <c r="Q625" s="215">
        <f t="shared" si="91"/>
        <v>2.0142180094786521E-2</v>
      </c>
      <c r="R625" s="231">
        <v>1717555</v>
      </c>
      <c r="T625" s="230">
        <v>44008</v>
      </c>
      <c r="U625" s="1">
        <v>36.549999999999997</v>
      </c>
      <c r="V625" s="1">
        <v>37.056926324531901</v>
      </c>
      <c r="W625" s="1">
        <v>28897</v>
      </c>
      <c r="X625" s="1">
        <v>35171.269999999997</v>
      </c>
      <c r="Y625" s="215">
        <f t="shared" si="97"/>
        <v>5.9994531130225237E-3</v>
      </c>
      <c r="Z625" s="215">
        <f t="shared" si="92"/>
        <v>3.9829302987197668E-2</v>
      </c>
      <c r="AA625" s="231">
        <v>1070834</v>
      </c>
      <c r="AC625" s="230">
        <v>44039</v>
      </c>
      <c r="AD625" s="1">
        <v>30.3</v>
      </c>
      <c r="AE625" s="1">
        <v>30.307093184979099</v>
      </c>
      <c r="AF625" s="1">
        <v>3595</v>
      </c>
      <c r="AG625" s="1">
        <v>37934.730000000003</v>
      </c>
      <c r="AH625" s="215">
        <f t="shared" si="98"/>
        <v>-1.450187631761124E-2</v>
      </c>
      <c r="AI625" s="215">
        <f t="shared" si="93"/>
        <v>1.5075376884422065E-2</v>
      </c>
      <c r="AJ625" s="231">
        <v>108954</v>
      </c>
      <c r="AL625" s="254"/>
      <c r="AQ625" s="215" t="str">
        <f t="shared" si="99"/>
        <v>NA</v>
      </c>
      <c r="AR625" s="215" t="str">
        <f t="shared" si="94"/>
        <v>NA</v>
      </c>
    </row>
    <row r="626" spans="2:44">
      <c r="B626" s="230">
        <v>44011</v>
      </c>
      <c r="C626" s="1">
        <v>183.65</v>
      </c>
      <c r="D626" s="1">
        <v>184.616497829232</v>
      </c>
      <c r="E626" s="1">
        <v>2073</v>
      </c>
      <c r="F626" s="215">
        <v>34961.519999999997</v>
      </c>
      <c r="G626" s="215">
        <f t="shared" si="95"/>
        <v>1.3094358427987451E-3</v>
      </c>
      <c r="H626" s="215">
        <f t="shared" si="90"/>
        <v>-2.9846804014791339E-2</v>
      </c>
      <c r="I626" s="231">
        <v>382710</v>
      </c>
      <c r="K626" s="230">
        <v>44011</v>
      </c>
      <c r="L626" s="1">
        <v>168.8</v>
      </c>
      <c r="M626" s="1">
        <v>167.14156912369501</v>
      </c>
      <c r="N626" s="1">
        <v>12644</v>
      </c>
      <c r="O626" s="1">
        <v>34961.519999999997</v>
      </c>
      <c r="P626" s="215">
        <f t="shared" si="96"/>
        <v>1.3094358427987451E-3</v>
      </c>
      <c r="Q626" s="215">
        <f t="shared" si="91"/>
        <v>4.1641879833433926E-3</v>
      </c>
      <c r="R626" s="231">
        <v>2113338</v>
      </c>
      <c r="T626" s="230">
        <v>44011</v>
      </c>
      <c r="U626" s="1">
        <v>35.15</v>
      </c>
      <c r="V626" s="1">
        <v>35.301115189158601</v>
      </c>
      <c r="W626" s="1">
        <v>70840</v>
      </c>
      <c r="X626" s="1">
        <v>34961.519999999997</v>
      </c>
      <c r="Y626" s="215">
        <f t="shared" si="97"/>
        <v>1.3094358427987451E-3</v>
      </c>
      <c r="Z626" s="215">
        <f t="shared" si="92"/>
        <v>0</v>
      </c>
      <c r="AA626" s="231">
        <v>2500731</v>
      </c>
      <c r="AC626" s="230">
        <v>44040</v>
      </c>
      <c r="AD626" s="1">
        <v>29.85</v>
      </c>
      <c r="AE626" s="1">
        <v>29.449197860962499</v>
      </c>
      <c r="AF626" s="1">
        <v>1496</v>
      </c>
      <c r="AG626" s="1">
        <v>38492.949999999997</v>
      </c>
      <c r="AH626" s="215">
        <f t="shared" si="98"/>
        <v>1.1079786704518702E-2</v>
      </c>
      <c r="AI626" s="215">
        <f t="shared" si="93"/>
        <v>-3.7096774193548288E-2</v>
      </c>
      <c r="AJ626" s="231">
        <v>44056</v>
      </c>
      <c r="AL626" s="254"/>
      <c r="AQ626" s="215" t="str">
        <f t="shared" si="99"/>
        <v>NA</v>
      </c>
      <c r="AR626" s="215" t="str">
        <f t="shared" si="94"/>
        <v>NA</v>
      </c>
    </row>
    <row r="627" spans="2:44">
      <c r="B627" s="230">
        <v>44012</v>
      </c>
      <c r="C627" s="1">
        <v>189.3</v>
      </c>
      <c r="D627" s="1">
        <v>188.21008403361299</v>
      </c>
      <c r="E627" s="1">
        <v>1071</v>
      </c>
      <c r="F627" s="215">
        <v>34915.800000000003</v>
      </c>
      <c r="G627" s="215">
        <f t="shared" si="95"/>
        <v>-1.4080410679821243E-2</v>
      </c>
      <c r="H627" s="215">
        <f t="shared" si="90"/>
        <v>-2.0186335403726607E-2</v>
      </c>
      <c r="I627" s="231">
        <v>201573</v>
      </c>
      <c r="K627" s="230">
        <v>44012</v>
      </c>
      <c r="L627" s="1">
        <v>168.1</v>
      </c>
      <c r="M627" s="1">
        <v>170.02426770309901</v>
      </c>
      <c r="N627" s="1">
        <v>10549</v>
      </c>
      <c r="O627" s="1">
        <v>34915.800000000003</v>
      </c>
      <c r="P627" s="215">
        <f t="shared" si="96"/>
        <v>-1.4080410679821243E-2</v>
      </c>
      <c r="Q627" s="215">
        <f t="shared" si="91"/>
        <v>3.5820895522387097E-3</v>
      </c>
      <c r="R627" s="231">
        <v>1793586</v>
      </c>
      <c r="T627" s="230">
        <v>44012</v>
      </c>
      <c r="U627" s="1">
        <v>35.15</v>
      </c>
      <c r="V627" s="1">
        <v>35.597437658748497</v>
      </c>
      <c r="W627" s="1">
        <v>62599</v>
      </c>
      <c r="X627" s="1">
        <v>34915.800000000003</v>
      </c>
      <c r="Y627" s="215">
        <f t="shared" si="97"/>
        <v>-1.4080410679821243E-2</v>
      </c>
      <c r="Z627" s="215">
        <f t="shared" si="92"/>
        <v>8.6083213773313627E-3</v>
      </c>
      <c r="AA627" s="231">
        <v>2228364</v>
      </c>
      <c r="AC627" s="230">
        <v>44041</v>
      </c>
      <c r="AD627" s="1">
        <v>31</v>
      </c>
      <c r="AE627" s="1">
        <v>30.933315691981999</v>
      </c>
      <c r="AF627" s="1">
        <v>11337</v>
      </c>
      <c r="AG627" s="1">
        <v>38071.129999999997</v>
      </c>
      <c r="AH627" s="215">
        <f t="shared" si="98"/>
        <v>8.8790380132324209E-3</v>
      </c>
      <c r="AI627" s="215">
        <f t="shared" si="93"/>
        <v>3.5058430717863187E-2</v>
      </c>
      <c r="AJ627" s="231">
        <v>350691</v>
      </c>
      <c r="AL627" s="254"/>
      <c r="AQ627" s="215" t="str">
        <f t="shared" si="99"/>
        <v>NA</v>
      </c>
      <c r="AR627" s="215" t="str">
        <f t="shared" si="94"/>
        <v>NA</v>
      </c>
    </row>
    <row r="628" spans="2:44">
      <c r="B628" s="230">
        <v>44013</v>
      </c>
      <c r="C628" s="1">
        <v>193.2</v>
      </c>
      <c r="D628" s="1">
        <v>190.85684647302901</v>
      </c>
      <c r="E628" s="1">
        <v>482</v>
      </c>
      <c r="F628" s="215">
        <v>35414.449999999997</v>
      </c>
      <c r="G628" s="215">
        <f t="shared" si="95"/>
        <v>-1.1975605197008132E-2</v>
      </c>
      <c r="H628" s="215">
        <f t="shared" si="90"/>
        <v>2.765957446808498E-2</v>
      </c>
      <c r="I628" s="231">
        <v>91993</v>
      </c>
      <c r="K628" s="230">
        <v>44013</v>
      </c>
      <c r="L628" s="1">
        <v>167.5</v>
      </c>
      <c r="M628" s="1">
        <v>167.91803278688499</v>
      </c>
      <c r="N628" s="1">
        <v>2013</v>
      </c>
      <c r="O628" s="1">
        <v>35414.449999999997</v>
      </c>
      <c r="P628" s="215">
        <f t="shared" si="96"/>
        <v>-1.1975605197008132E-2</v>
      </c>
      <c r="Q628" s="215">
        <f t="shared" si="91"/>
        <v>2.6938042502244741E-3</v>
      </c>
      <c r="R628" s="231">
        <v>338019</v>
      </c>
      <c r="T628" s="230">
        <v>44013</v>
      </c>
      <c r="U628" s="1">
        <v>34.85</v>
      </c>
      <c r="V628" s="1">
        <v>35.134751773049601</v>
      </c>
      <c r="W628" s="1">
        <v>42723</v>
      </c>
      <c r="X628" s="1">
        <v>35414.449999999997</v>
      </c>
      <c r="Y628" s="215">
        <f t="shared" si="97"/>
        <v>-1.1975605197008132E-2</v>
      </c>
      <c r="Z628" s="215">
        <f t="shared" si="92"/>
        <v>-1.1347517730496359E-2</v>
      </c>
      <c r="AA628" s="231">
        <v>1501062</v>
      </c>
      <c r="AC628" s="230">
        <v>44042</v>
      </c>
      <c r="AD628" s="1">
        <v>29.95</v>
      </c>
      <c r="AE628" s="1">
        <v>30.199557032115099</v>
      </c>
      <c r="AF628" s="1">
        <v>4515</v>
      </c>
      <c r="AG628" s="1">
        <v>37736.07</v>
      </c>
      <c r="AH628" s="215">
        <f t="shared" si="98"/>
        <v>3.435008850771748E-3</v>
      </c>
      <c r="AI628" s="215">
        <f t="shared" si="93"/>
        <v>-9.91735537190086E-3</v>
      </c>
      <c r="AJ628" s="231">
        <v>136351</v>
      </c>
      <c r="AL628" s="254"/>
      <c r="AQ628" s="215" t="str">
        <f t="shared" si="99"/>
        <v>NA</v>
      </c>
      <c r="AR628" s="215" t="str">
        <f t="shared" si="94"/>
        <v>NA</v>
      </c>
    </row>
    <row r="629" spans="2:44">
      <c r="B629" s="230">
        <v>44014</v>
      </c>
      <c r="C629" s="1">
        <v>188</v>
      </c>
      <c r="D629" s="1">
        <v>186.29499174463399</v>
      </c>
      <c r="E629" s="1">
        <v>1817</v>
      </c>
      <c r="F629" s="215">
        <v>35843.699999999997</v>
      </c>
      <c r="G629" s="215">
        <f t="shared" si="95"/>
        <v>-4.9337310966641734E-3</v>
      </c>
      <c r="H629" s="215">
        <f t="shared" si="90"/>
        <v>-1.8789144050104345E-2</v>
      </c>
      <c r="I629" s="231">
        <v>338498</v>
      </c>
      <c r="K629" s="230">
        <v>44014</v>
      </c>
      <c r="L629" s="1">
        <v>167.05</v>
      </c>
      <c r="M629" s="1">
        <v>168.52713891444299</v>
      </c>
      <c r="N629" s="1">
        <v>3261</v>
      </c>
      <c r="O629" s="1">
        <v>35843.699999999997</v>
      </c>
      <c r="P629" s="215">
        <f t="shared" si="96"/>
        <v>-4.9337310966641734E-3</v>
      </c>
      <c r="Q629" s="215">
        <f t="shared" si="91"/>
        <v>2.2963870177587165E-2</v>
      </c>
      <c r="R629" s="231">
        <v>549567</v>
      </c>
      <c r="T629" s="230">
        <v>44014</v>
      </c>
      <c r="U629" s="1">
        <v>35.25</v>
      </c>
      <c r="V629" s="1">
        <v>34.968928049817798</v>
      </c>
      <c r="W629" s="1">
        <v>62307</v>
      </c>
      <c r="X629" s="1">
        <v>35843.699999999997</v>
      </c>
      <c r="Y629" s="215">
        <f t="shared" si="97"/>
        <v>-4.9337310966641734E-3</v>
      </c>
      <c r="Z629" s="215">
        <f t="shared" si="92"/>
        <v>7.1428571428571175E-3</v>
      </c>
      <c r="AA629" s="231">
        <v>2178809</v>
      </c>
      <c r="AC629" s="230">
        <v>44043</v>
      </c>
      <c r="AD629" s="1">
        <v>30.25</v>
      </c>
      <c r="AE629" s="1">
        <v>30.064003103180699</v>
      </c>
      <c r="AF629" s="1">
        <v>2578</v>
      </c>
      <c r="AG629" s="1">
        <v>37606.89</v>
      </c>
      <c r="AH629" s="215">
        <f t="shared" si="98"/>
        <v>1.8064353701718439E-2</v>
      </c>
      <c r="AI629" s="215">
        <f t="shared" si="93"/>
        <v>8.3333333333333037E-3</v>
      </c>
      <c r="AJ629" s="231">
        <v>77505</v>
      </c>
      <c r="AL629" s="254"/>
      <c r="AQ629" s="215" t="str">
        <f t="shared" si="99"/>
        <v>NA</v>
      </c>
      <c r="AR629" s="215" t="str">
        <f t="shared" si="94"/>
        <v>NA</v>
      </c>
    </row>
    <row r="630" spans="2:44">
      <c r="B630" s="230">
        <v>44015</v>
      </c>
      <c r="C630" s="1">
        <v>191.6</v>
      </c>
      <c r="D630" s="1">
        <v>188.926020408163</v>
      </c>
      <c r="E630" s="1">
        <v>392</v>
      </c>
      <c r="F630" s="215">
        <v>36021.42</v>
      </c>
      <c r="G630" s="215">
        <f t="shared" si="95"/>
        <v>-1.2767737140175983E-2</v>
      </c>
      <c r="H630" s="215">
        <f t="shared" si="90"/>
        <v>2.0920502092049986E-3</v>
      </c>
      <c r="I630" s="231">
        <v>74059</v>
      </c>
      <c r="K630" s="230">
        <v>44015</v>
      </c>
      <c r="L630" s="1">
        <v>163.30000000000001</v>
      </c>
      <c r="M630" s="1">
        <v>164.5520483546</v>
      </c>
      <c r="N630" s="1">
        <v>5956</v>
      </c>
      <c r="O630" s="1">
        <v>36021.42</v>
      </c>
      <c r="P630" s="215">
        <f t="shared" si="96"/>
        <v>-1.2767737140175983E-2</v>
      </c>
      <c r="Q630" s="215">
        <f t="shared" si="91"/>
        <v>1.5332720024532343E-3</v>
      </c>
      <c r="R630" s="231">
        <v>980072</v>
      </c>
      <c r="T630" s="230">
        <v>44015</v>
      </c>
      <c r="U630" s="1">
        <v>35</v>
      </c>
      <c r="V630" s="1">
        <v>35.465631452167898</v>
      </c>
      <c r="W630" s="1">
        <v>46496</v>
      </c>
      <c r="X630" s="1">
        <v>36021.42</v>
      </c>
      <c r="Y630" s="215">
        <f t="shared" si="97"/>
        <v>-1.2767737140175983E-2</v>
      </c>
      <c r="Z630" s="215">
        <f t="shared" si="92"/>
        <v>-1.2693935119887256E-2</v>
      </c>
      <c r="AA630" s="231">
        <v>1649010</v>
      </c>
      <c r="AC630" s="230">
        <v>44046</v>
      </c>
      <c r="AD630" s="1">
        <v>30</v>
      </c>
      <c r="AE630" s="1">
        <v>29.658934169278901</v>
      </c>
      <c r="AF630" s="1">
        <v>1595</v>
      </c>
      <c r="AG630" s="1">
        <v>36939.599999999999</v>
      </c>
      <c r="AH630" s="215">
        <f t="shared" si="98"/>
        <v>-1.9855439051940094E-2</v>
      </c>
      <c r="AI630" s="215">
        <f t="shared" si="93"/>
        <v>0</v>
      </c>
      <c r="AJ630" s="231">
        <v>47306</v>
      </c>
      <c r="AL630" s="254"/>
      <c r="AQ630" s="215" t="str">
        <f t="shared" si="99"/>
        <v>NA</v>
      </c>
      <c r="AR630" s="215" t="str">
        <f t="shared" si="94"/>
        <v>NA</v>
      </c>
    </row>
    <row r="631" spans="2:44">
      <c r="B631" s="230">
        <v>44018</v>
      </c>
      <c r="C631" s="1">
        <v>191.2</v>
      </c>
      <c r="D631" s="1">
        <v>190.341796875</v>
      </c>
      <c r="E631" s="1">
        <v>512</v>
      </c>
      <c r="F631" s="215">
        <v>36487.279999999999</v>
      </c>
      <c r="G631" s="215">
        <f t="shared" si="95"/>
        <v>-5.105451959562024E-3</v>
      </c>
      <c r="H631" s="215">
        <f t="shared" si="90"/>
        <v>6.3157894736840525E-3</v>
      </c>
      <c r="I631" s="231">
        <v>97455</v>
      </c>
      <c r="K631" s="230">
        <v>44018</v>
      </c>
      <c r="L631" s="1">
        <v>163.05000000000001</v>
      </c>
      <c r="M631" s="1">
        <v>164.45660639777401</v>
      </c>
      <c r="N631" s="1">
        <v>21570</v>
      </c>
      <c r="O631" s="1">
        <v>36487.279999999999</v>
      </c>
      <c r="P631" s="215">
        <f t="shared" si="96"/>
        <v>-5.105451959562024E-3</v>
      </c>
      <c r="Q631" s="215">
        <f t="shared" si="91"/>
        <v>3.0006317119393611E-2</v>
      </c>
      <c r="R631" s="231">
        <v>3547329</v>
      </c>
      <c r="T631" s="230">
        <v>44018</v>
      </c>
      <c r="U631" s="1">
        <v>35.450000000000003</v>
      </c>
      <c r="V631" s="1">
        <v>35.493115865282697</v>
      </c>
      <c r="W631" s="1">
        <v>28326</v>
      </c>
      <c r="X631" s="1">
        <v>36487.279999999999</v>
      </c>
      <c r="Y631" s="215">
        <f t="shared" si="97"/>
        <v>-5.105451959562024E-3</v>
      </c>
      <c r="Z631" s="215">
        <f t="shared" si="92"/>
        <v>1.8678160919540332E-2</v>
      </c>
      <c r="AA631" s="231">
        <v>1005378</v>
      </c>
      <c r="AC631" s="230">
        <v>44047</v>
      </c>
      <c r="AD631" s="1">
        <v>30</v>
      </c>
      <c r="AE631" s="1">
        <v>30</v>
      </c>
      <c r="AF631" s="1">
        <v>231</v>
      </c>
      <c r="AG631" s="1">
        <v>37687.910000000003</v>
      </c>
      <c r="AH631" s="215">
        <f t="shared" si="98"/>
        <v>6.5262418378830844E-4</v>
      </c>
      <c r="AI631" s="215">
        <f t="shared" si="93"/>
        <v>1.6694490818029983E-3</v>
      </c>
      <c r="AJ631" s="231">
        <v>6930</v>
      </c>
      <c r="AL631" s="254"/>
      <c r="AQ631" s="215" t="str">
        <f t="shared" si="99"/>
        <v>NA</v>
      </c>
      <c r="AR631" s="215" t="str">
        <f t="shared" si="94"/>
        <v>NA</v>
      </c>
    </row>
    <row r="632" spans="2:44">
      <c r="B632" s="230">
        <v>44019</v>
      </c>
      <c r="C632" s="1">
        <v>190</v>
      </c>
      <c r="D632" s="1">
        <v>192.26923076923001</v>
      </c>
      <c r="E632" s="1">
        <v>390</v>
      </c>
      <c r="F632" s="215">
        <v>36674.519999999997</v>
      </c>
      <c r="G632" s="215">
        <f t="shared" si="95"/>
        <v>9.5105812131957013E-3</v>
      </c>
      <c r="H632" s="215">
        <f t="shared" si="90"/>
        <v>-1.5799015799015881E-2</v>
      </c>
      <c r="I632" s="231">
        <v>74985</v>
      </c>
      <c r="K632" s="230">
        <v>44019</v>
      </c>
      <c r="L632" s="1">
        <v>158.30000000000001</v>
      </c>
      <c r="M632" s="1">
        <v>159.326144014606</v>
      </c>
      <c r="N632" s="1">
        <v>8763</v>
      </c>
      <c r="O632" s="1">
        <v>36674.519999999997</v>
      </c>
      <c r="P632" s="215">
        <f t="shared" si="96"/>
        <v>9.5105812131957013E-3</v>
      </c>
      <c r="Q632" s="215">
        <f t="shared" si="91"/>
        <v>-2.5546321945213779E-2</v>
      </c>
      <c r="R632" s="231">
        <v>1396175</v>
      </c>
      <c r="T632" s="230">
        <v>44019</v>
      </c>
      <c r="U632" s="1">
        <v>34.799999999999997</v>
      </c>
      <c r="V632" s="1">
        <v>35.017982708933701</v>
      </c>
      <c r="W632" s="1">
        <v>43375</v>
      </c>
      <c r="X632" s="1">
        <v>36674.519999999997</v>
      </c>
      <c r="Y632" s="215">
        <f t="shared" si="97"/>
        <v>9.5105812131957013E-3</v>
      </c>
      <c r="Z632" s="215">
        <f t="shared" si="92"/>
        <v>-3.0640668523676973E-2</v>
      </c>
      <c r="AA632" s="231">
        <v>1518905</v>
      </c>
      <c r="AC632" s="230">
        <v>44048</v>
      </c>
      <c r="AD632" s="1">
        <v>29.95</v>
      </c>
      <c r="AE632" s="1">
        <v>29.4834662742972</v>
      </c>
      <c r="AF632" s="1">
        <v>12913</v>
      </c>
      <c r="AG632" s="1">
        <v>37663.33</v>
      </c>
      <c r="AH632" s="215">
        <f t="shared" si="98"/>
        <v>-9.5230957161583918E-3</v>
      </c>
      <c r="AI632" s="215">
        <f t="shared" si="93"/>
        <v>-3.0744336569579311E-2</v>
      </c>
      <c r="AJ632" s="231">
        <v>380720</v>
      </c>
      <c r="AL632" s="254"/>
      <c r="AQ632" s="215" t="str">
        <f t="shared" si="99"/>
        <v>NA</v>
      </c>
      <c r="AR632" s="215" t="str">
        <f t="shared" si="94"/>
        <v>NA</v>
      </c>
    </row>
    <row r="633" spans="2:44">
      <c r="B633" s="230">
        <v>44020</v>
      </c>
      <c r="C633" s="1">
        <v>193.05</v>
      </c>
      <c r="D633" s="1">
        <v>193.90617481956599</v>
      </c>
      <c r="E633" s="1">
        <v>1247</v>
      </c>
      <c r="F633" s="215">
        <v>36329.01</v>
      </c>
      <c r="G633" s="215">
        <f t="shared" si="95"/>
        <v>-1.112427046991793E-2</v>
      </c>
      <c r="H633" s="215">
        <f t="shared" si="90"/>
        <v>-7.5652382092410764E-2</v>
      </c>
      <c r="I633" s="231">
        <v>241801</v>
      </c>
      <c r="K633" s="230">
        <v>44020</v>
      </c>
      <c r="L633" s="1">
        <v>162.44999999999999</v>
      </c>
      <c r="M633" s="1">
        <v>162.85229868228399</v>
      </c>
      <c r="N633" s="1">
        <v>17075</v>
      </c>
      <c r="O633" s="1">
        <v>36329.01</v>
      </c>
      <c r="P633" s="215">
        <f t="shared" si="96"/>
        <v>-1.112427046991793E-2</v>
      </c>
      <c r="Q633" s="215">
        <f t="shared" si="91"/>
        <v>1.8495297805642519E-2</v>
      </c>
      <c r="R633" s="231">
        <v>2780703</v>
      </c>
      <c r="T633" s="230">
        <v>44020</v>
      </c>
      <c r="U633" s="1">
        <v>35.9</v>
      </c>
      <c r="V633" s="1">
        <v>36.439433610108999</v>
      </c>
      <c r="W633" s="1">
        <v>151627</v>
      </c>
      <c r="X633" s="1">
        <v>36329.01</v>
      </c>
      <c r="Y633" s="215">
        <f t="shared" si="97"/>
        <v>-1.112427046991793E-2</v>
      </c>
      <c r="Z633" s="215">
        <f t="shared" si="92"/>
        <v>-3.4946236559139865E-2</v>
      </c>
      <c r="AA633" s="231">
        <v>5525202</v>
      </c>
      <c r="AC633" s="230">
        <v>44049</v>
      </c>
      <c r="AD633" s="1">
        <v>30.9</v>
      </c>
      <c r="AE633" s="1">
        <v>30.713400717313299</v>
      </c>
      <c r="AF633" s="1">
        <v>6134</v>
      </c>
      <c r="AG633" s="1">
        <v>38025.449999999997</v>
      </c>
      <c r="AH633" s="215">
        <f t="shared" si="98"/>
        <v>-3.9747038490756115E-4</v>
      </c>
      <c r="AI633" s="215">
        <f t="shared" si="93"/>
        <v>1.1456628477904962E-2</v>
      </c>
      <c r="AJ633" s="231">
        <v>188396</v>
      </c>
      <c r="AL633" s="254"/>
      <c r="AQ633" s="215" t="str">
        <f t="shared" si="99"/>
        <v>NA</v>
      </c>
      <c r="AR633" s="215" t="str">
        <f t="shared" si="94"/>
        <v>NA</v>
      </c>
    </row>
    <row r="634" spans="2:44">
      <c r="B634" s="230">
        <v>44021</v>
      </c>
      <c r="C634" s="1">
        <v>208.85</v>
      </c>
      <c r="D634" s="1">
        <v>198.87440997977001</v>
      </c>
      <c r="E634" s="1">
        <v>5932</v>
      </c>
      <c r="F634" s="215">
        <v>36737.69</v>
      </c>
      <c r="G634" s="215">
        <f t="shared" si="95"/>
        <v>3.9175467893524107E-3</v>
      </c>
      <c r="H634" s="215">
        <f t="shared" si="90"/>
        <v>2.0522843879794639E-2</v>
      </c>
      <c r="I634" s="231">
        <v>1179723</v>
      </c>
      <c r="K634" s="230">
        <v>44021</v>
      </c>
      <c r="L634" s="1">
        <v>159.5</v>
      </c>
      <c r="M634" s="1">
        <v>161.514957811301</v>
      </c>
      <c r="N634" s="1">
        <v>7822</v>
      </c>
      <c r="O634" s="1">
        <v>36737.69</v>
      </c>
      <c r="P634" s="215">
        <f t="shared" si="96"/>
        <v>3.9175467893524107E-3</v>
      </c>
      <c r="Q634" s="215">
        <f t="shared" si="91"/>
        <v>5.04095778197855E-3</v>
      </c>
      <c r="R634" s="231">
        <v>1263370</v>
      </c>
      <c r="T634" s="230">
        <v>44021</v>
      </c>
      <c r="U634" s="1">
        <v>37.200000000000003</v>
      </c>
      <c r="V634" s="1">
        <v>37.057318732078699</v>
      </c>
      <c r="W634" s="1">
        <v>102183</v>
      </c>
      <c r="X634" s="1">
        <v>36737.69</v>
      </c>
      <c r="Y634" s="215">
        <f t="shared" si="97"/>
        <v>3.9175467893524107E-3</v>
      </c>
      <c r="Z634" s="215">
        <f t="shared" si="92"/>
        <v>3.9106145251396773E-2</v>
      </c>
      <c r="AA634" s="231">
        <v>3786628</v>
      </c>
      <c r="AC634" s="230">
        <v>44050</v>
      </c>
      <c r="AD634" s="1">
        <v>30.55</v>
      </c>
      <c r="AE634" s="1">
        <v>30.508752117447699</v>
      </c>
      <c r="AF634" s="1">
        <v>1771</v>
      </c>
      <c r="AG634" s="1">
        <v>38040.57</v>
      </c>
      <c r="AH634" s="215">
        <f t="shared" si="98"/>
        <v>-3.7061888718478153E-3</v>
      </c>
      <c r="AI634" s="215">
        <f t="shared" si="93"/>
        <v>-2.861685214626386E-2</v>
      </c>
      <c r="AJ634" s="231">
        <v>54031</v>
      </c>
      <c r="AL634" s="254"/>
      <c r="AQ634" s="215" t="str">
        <f t="shared" si="99"/>
        <v>NA</v>
      </c>
      <c r="AR634" s="215" t="str">
        <f t="shared" si="94"/>
        <v>NA</v>
      </c>
    </row>
    <row r="635" spans="2:44">
      <c r="B635" s="230">
        <v>44022</v>
      </c>
      <c r="C635" s="1">
        <v>204.65</v>
      </c>
      <c r="D635" s="1">
        <v>203.05412054120501</v>
      </c>
      <c r="E635" s="1">
        <v>2439</v>
      </c>
      <c r="F635" s="215">
        <v>36594.33</v>
      </c>
      <c r="G635" s="215">
        <f t="shared" si="95"/>
        <v>-2.7078225166234926E-3</v>
      </c>
      <c r="H635" s="215">
        <f t="shared" si="90"/>
        <v>-6.7944673622907237E-3</v>
      </c>
      <c r="I635" s="231">
        <v>495249</v>
      </c>
      <c r="K635" s="230">
        <v>44022</v>
      </c>
      <c r="L635" s="1">
        <v>158.69999999999999</v>
      </c>
      <c r="M635" s="1">
        <v>157.29706307173799</v>
      </c>
      <c r="N635" s="1">
        <v>4154</v>
      </c>
      <c r="O635" s="1">
        <v>36594.33</v>
      </c>
      <c r="P635" s="215">
        <f t="shared" si="96"/>
        <v>-2.7078225166234926E-3</v>
      </c>
      <c r="Q635" s="215">
        <f t="shared" si="91"/>
        <v>-1.8856259659969177E-2</v>
      </c>
      <c r="R635" s="231">
        <v>653412</v>
      </c>
      <c r="T635" s="230">
        <v>44022</v>
      </c>
      <c r="U635" s="1">
        <v>35.799999999999997</v>
      </c>
      <c r="V635" s="1">
        <v>36.525582717452998</v>
      </c>
      <c r="W635" s="1">
        <v>105540</v>
      </c>
      <c r="X635" s="1">
        <v>36594.33</v>
      </c>
      <c r="Y635" s="215">
        <f t="shared" si="97"/>
        <v>-2.7078225166234926E-3</v>
      </c>
      <c r="Z635" s="215">
        <f t="shared" si="92"/>
        <v>1.2729844413012614E-2</v>
      </c>
      <c r="AA635" s="231">
        <v>3854910</v>
      </c>
      <c r="AC635" s="230">
        <v>44053</v>
      </c>
      <c r="AD635" s="1">
        <v>31.45</v>
      </c>
      <c r="AE635" s="1">
        <v>31.319622964867101</v>
      </c>
      <c r="AF635" s="1">
        <v>1167</v>
      </c>
      <c r="AG635" s="1">
        <v>38182.080000000002</v>
      </c>
      <c r="AH635" s="215">
        <f t="shared" si="98"/>
        <v>-5.8564829701661658E-3</v>
      </c>
      <c r="AI635" s="215">
        <f t="shared" si="93"/>
        <v>-1.7187500000000022E-2</v>
      </c>
      <c r="AJ635" s="231">
        <v>36550</v>
      </c>
      <c r="AL635" s="254"/>
      <c r="AQ635" s="215" t="str">
        <f t="shared" si="99"/>
        <v>NA</v>
      </c>
      <c r="AR635" s="215" t="str">
        <f t="shared" si="94"/>
        <v>NA</v>
      </c>
    </row>
    <row r="636" spans="2:44">
      <c r="B636" s="230">
        <v>44025</v>
      </c>
      <c r="C636" s="1">
        <v>206.05</v>
      </c>
      <c r="D636" s="1">
        <v>207.214741729541</v>
      </c>
      <c r="E636" s="1">
        <v>1723</v>
      </c>
      <c r="F636" s="215">
        <v>36693.69</v>
      </c>
      <c r="G636" s="215">
        <f t="shared" si="95"/>
        <v>1.8333996613110415E-2</v>
      </c>
      <c r="H636" s="215">
        <f t="shared" si="90"/>
        <v>6.0200668896321252E-2</v>
      </c>
      <c r="I636" s="231">
        <v>357031</v>
      </c>
      <c r="K636" s="230">
        <v>44025</v>
      </c>
      <c r="L636" s="1">
        <v>161.75</v>
      </c>
      <c r="M636" s="1">
        <v>163.287185185185</v>
      </c>
      <c r="N636" s="1">
        <v>13500</v>
      </c>
      <c r="O636" s="1">
        <v>36693.69</v>
      </c>
      <c r="P636" s="215">
        <f t="shared" si="96"/>
        <v>1.8333996613110415E-2</v>
      </c>
      <c r="Q636" s="215">
        <f t="shared" si="91"/>
        <v>1.7615602390689045E-2</v>
      </c>
      <c r="R636" s="231">
        <v>2204377</v>
      </c>
      <c r="T636" s="230">
        <v>44025</v>
      </c>
      <c r="U636" s="1">
        <v>35.35</v>
      </c>
      <c r="V636" s="1">
        <v>35.654573090140097</v>
      </c>
      <c r="W636" s="1">
        <v>30264</v>
      </c>
      <c r="X636" s="1">
        <v>36693.69</v>
      </c>
      <c r="Y636" s="215">
        <f t="shared" si="97"/>
        <v>1.8333996613110415E-2</v>
      </c>
      <c r="Z636" s="215">
        <f t="shared" si="92"/>
        <v>4.4313146233382561E-2</v>
      </c>
      <c r="AA636" s="231">
        <v>1079050</v>
      </c>
      <c r="AC636" s="230">
        <v>44054</v>
      </c>
      <c r="AD636" s="1">
        <v>32</v>
      </c>
      <c r="AE636" s="1">
        <v>31.983492063492001</v>
      </c>
      <c r="AF636" s="1">
        <v>1575</v>
      </c>
      <c r="AG636" s="1">
        <v>38407.01</v>
      </c>
      <c r="AH636" s="215">
        <f t="shared" si="98"/>
        <v>9.7420798688974131E-4</v>
      </c>
      <c r="AI636" s="215">
        <f t="shared" si="93"/>
        <v>-1.538461538461533E-2</v>
      </c>
      <c r="AJ636" s="231">
        <v>50374</v>
      </c>
      <c r="AL636" s="254"/>
      <c r="AQ636" s="215" t="str">
        <f t="shared" si="99"/>
        <v>NA</v>
      </c>
      <c r="AR636" s="215" t="str">
        <f t="shared" si="94"/>
        <v>NA</v>
      </c>
    </row>
    <row r="637" spans="2:44">
      <c r="B637" s="230">
        <v>44026</v>
      </c>
      <c r="C637" s="1">
        <v>194.35</v>
      </c>
      <c r="D637" s="1">
        <v>196.09849521203799</v>
      </c>
      <c r="E637" s="1">
        <v>2193</v>
      </c>
      <c r="F637" s="215">
        <v>36033.06</v>
      </c>
      <c r="G637" s="215">
        <f t="shared" si="95"/>
        <v>-5.200848445612305E-4</v>
      </c>
      <c r="H637" s="215">
        <f t="shared" si="90"/>
        <v>-2.2875816993464082E-2</v>
      </c>
      <c r="I637" s="231">
        <v>430044</v>
      </c>
      <c r="K637" s="230">
        <v>44026</v>
      </c>
      <c r="L637" s="1">
        <v>158.94999999999999</v>
      </c>
      <c r="M637" s="1">
        <v>159.07463970746301</v>
      </c>
      <c r="N637" s="1">
        <v>4649</v>
      </c>
      <c r="O637" s="1">
        <v>36033.06</v>
      </c>
      <c r="P637" s="215">
        <f t="shared" si="96"/>
        <v>-5.200848445612305E-4</v>
      </c>
      <c r="Q637" s="215">
        <f t="shared" si="91"/>
        <v>1.6304347826086918E-2</v>
      </c>
      <c r="R637" s="231">
        <v>739538</v>
      </c>
      <c r="T637" s="230">
        <v>44026</v>
      </c>
      <c r="U637" s="1">
        <v>33.85</v>
      </c>
      <c r="V637" s="1">
        <v>33.860756149909101</v>
      </c>
      <c r="W637" s="1">
        <v>90855</v>
      </c>
      <c r="X637" s="1">
        <v>36033.06</v>
      </c>
      <c r="Y637" s="215">
        <f t="shared" si="97"/>
        <v>-5.200848445612305E-4</v>
      </c>
      <c r="Z637" s="215">
        <f t="shared" si="92"/>
        <v>1.0447761194029903E-2</v>
      </c>
      <c r="AA637" s="231">
        <v>3076419</v>
      </c>
      <c r="AC637" s="230">
        <v>44055</v>
      </c>
      <c r="AD637" s="1">
        <v>32.5</v>
      </c>
      <c r="AE637" s="1">
        <v>31.445082027514101</v>
      </c>
      <c r="AF637" s="1">
        <v>13593</v>
      </c>
      <c r="AG637" s="1">
        <v>38369.629999999997</v>
      </c>
      <c r="AH637" s="215">
        <f t="shared" si="98"/>
        <v>1.5437025211633149E-3</v>
      </c>
      <c r="AI637" s="215">
        <f t="shared" si="93"/>
        <v>4.6698872785829293E-2</v>
      </c>
      <c r="AJ637" s="231">
        <v>427433</v>
      </c>
      <c r="AL637" s="254"/>
      <c r="AQ637" s="215" t="str">
        <f t="shared" si="99"/>
        <v>NA</v>
      </c>
      <c r="AR637" s="215" t="str">
        <f t="shared" si="94"/>
        <v>NA</v>
      </c>
    </row>
    <row r="638" spans="2:44">
      <c r="B638" s="230">
        <v>44027</v>
      </c>
      <c r="C638" s="1">
        <v>198.9</v>
      </c>
      <c r="D638" s="1">
        <v>199.206597222222</v>
      </c>
      <c r="E638" s="1">
        <v>576</v>
      </c>
      <c r="F638" s="215">
        <v>36051.81</v>
      </c>
      <c r="G638" s="215">
        <f t="shared" si="95"/>
        <v>-1.1512219892256148E-2</v>
      </c>
      <c r="H638" s="215">
        <f t="shared" si="90"/>
        <v>5.797872340425525E-2</v>
      </c>
      <c r="I638" s="231">
        <v>114743</v>
      </c>
      <c r="K638" s="230">
        <v>44027</v>
      </c>
      <c r="L638" s="1">
        <v>156.4</v>
      </c>
      <c r="M638" s="1">
        <v>158.682009205523</v>
      </c>
      <c r="N638" s="1">
        <v>4997</v>
      </c>
      <c r="O638" s="1">
        <v>36051.81</v>
      </c>
      <c r="P638" s="215">
        <f t="shared" si="96"/>
        <v>-1.1512219892256148E-2</v>
      </c>
      <c r="Q638" s="215">
        <f t="shared" si="91"/>
        <v>1.229773462783168E-2</v>
      </c>
      <c r="R638" s="231">
        <v>792934</v>
      </c>
      <c r="T638" s="230">
        <v>44027</v>
      </c>
      <c r="U638" s="1">
        <v>33.5</v>
      </c>
      <c r="V638" s="1">
        <v>34.2812927964941</v>
      </c>
      <c r="W638" s="1">
        <v>18255</v>
      </c>
      <c r="X638" s="1">
        <v>36051.81</v>
      </c>
      <c r="Y638" s="215">
        <f t="shared" si="97"/>
        <v>-1.1512219892256148E-2</v>
      </c>
      <c r="Z638" s="215">
        <f t="shared" si="92"/>
        <v>2.9940119760478723E-3</v>
      </c>
      <c r="AA638" s="231">
        <v>625805</v>
      </c>
      <c r="AC638" s="230">
        <v>44056</v>
      </c>
      <c r="AD638" s="1">
        <v>31.05</v>
      </c>
      <c r="AE638" s="1">
        <v>31.622292993630499</v>
      </c>
      <c r="AF638" s="1">
        <v>1570</v>
      </c>
      <c r="AG638" s="1">
        <v>38310.49</v>
      </c>
      <c r="AH638" s="215">
        <f t="shared" si="98"/>
        <v>1.1435597114264118E-2</v>
      </c>
      <c r="AI638" s="215">
        <f t="shared" si="93"/>
        <v>1.612903225806539E-3</v>
      </c>
      <c r="AJ638" s="231">
        <v>49647</v>
      </c>
      <c r="AL638" s="254"/>
      <c r="AQ638" s="215" t="str">
        <f t="shared" si="99"/>
        <v>NA</v>
      </c>
      <c r="AR638" s="215" t="str">
        <f t="shared" si="94"/>
        <v>NA</v>
      </c>
    </row>
    <row r="639" spans="2:44">
      <c r="B639" s="230">
        <v>44028</v>
      </c>
      <c r="C639" s="1">
        <v>188</v>
      </c>
      <c r="D639" s="1">
        <v>191.69680547632601</v>
      </c>
      <c r="E639" s="1">
        <v>3506</v>
      </c>
      <c r="F639" s="215">
        <v>36471.68</v>
      </c>
      <c r="G639" s="215">
        <f t="shared" si="95"/>
        <v>-1.4815178980954635E-2</v>
      </c>
      <c r="H639" s="215">
        <f t="shared" si="90"/>
        <v>-4.5685279187817285E-2</v>
      </c>
      <c r="I639" s="231">
        <v>672089</v>
      </c>
      <c r="K639" s="230">
        <v>44028</v>
      </c>
      <c r="L639" s="1">
        <v>154.5</v>
      </c>
      <c r="M639" s="1">
        <v>155.03007670569201</v>
      </c>
      <c r="N639" s="1">
        <v>4954</v>
      </c>
      <c r="O639" s="1">
        <v>36471.68</v>
      </c>
      <c r="P639" s="215">
        <f t="shared" si="96"/>
        <v>-1.4815178980954635E-2</v>
      </c>
      <c r="Q639" s="215">
        <f t="shared" si="91"/>
        <v>-2.9522613065326553E-2</v>
      </c>
      <c r="R639" s="231">
        <v>768019</v>
      </c>
      <c r="T639" s="230">
        <v>44028</v>
      </c>
      <c r="U639" s="1">
        <v>33.4</v>
      </c>
      <c r="V639" s="1">
        <v>33.2020905923344</v>
      </c>
      <c r="W639" s="1">
        <v>19229</v>
      </c>
      <c r="X639" s="1">
        <v>36471.68</v>
      </c>
      <c r="Y639" s="215">
        <f t="shared" si="97"/>
        <v>-1.4815178980954635E-2</v>
      </c>
      <c r="Z639" s="215">
        <f t="shared" si="92"/>
        <v>-3.1884057971014568E-2</v>
      </c>
      <c r="AA639" s="231">
        <v>638443</v>
      </c>
      <c r="AC639" s="230">
        <v>44057</v>
      </c>
      <c r="AD639" s="1">
        <v>31</v>
      </c>
      <c r="AE639" s="1">
        <v>31.106382978723399</v>
      </c>
      <c r="AF639" s="1">
        <v>470</v>
      </c>
      <c r="AG639" s="1">
        <v>37877.339999999997</v>
      </c>
      <c r="AH639" s="215">
        <f t="shared" si="98"/>
        <v>-4.5581194393387037E-3</v>
      </c>
      <c r="AI639" s="215">
        <f t="shared" si="93"/>
        <v>-6.7669172932330879E-2</v>
      </c>
      <c r="AJ639" s="231">
        <v>14620</v>
      </c>
      <c r="AL639" s="254"/>
      <c r="AQ639" s="215" t="str">
        <f t="shared" si="99"/>
        <v>NA</v>
      </c>
      <c r="AR639" s="215" t="str">
        <f t="shared" si="94"/>
        <v>NA</v>
      </c>
    </row>
    <row r="640" spans="2:44">
      <c r="B640" s="230">
        <v>44029</v>
      </c>
      <c r="C640" s="1">
        <v>197</v>
      </c>
      <c r="D640" s="1">
        <v>195.141762452107</v>
      </c>
      <c r="E640" s="1">
        <v>261</v>
      </c>
      <c r="F640" s="215">
        <v>37020.14</v>
      </c>
      <c r="G640" s="215">
        <f t="shared" si="95"/>
        <v>-1.0659026339299826E-2</v>
      </c>
      <c r="H640" s="215">
        <f t="shared" si="90"/>
        <v>9.7385955920041845E-3</v>
      </c>
      <c r="I640" s="231">
        <v>50932</v>
      </c>
      <c r="K640" s="230">
        <v>44029</v>
      </c>
      <c r="L640" s="1">
        <v>159.19999999999999</v>
      </c>
      <c r="M640" s="1">
        <v>160.64021498577301</v>
      </c>
      <c r="N640" s="1">
        <v>6326</v>
      </c>
      <c r="O640" s="1">
        <v>37020.14</v>
      </c>
      <c r="P640" s="215">
        <f t="shared" si="96"/>
        <v>-1.0659026339299826E-2</v>
      </c>
      <c r="Q640" s="215">
        <f t="shared" si="91"/>
        <v>-7.7101449275362333E-2</v>
      </c>
      <c r="R640" s="231">
        <v>1016210</v>
      </c>
      <c r="T640" s="230">
        <v>44029</v>
      </c>
      <c r="U640" s="1">
        <v>34.5</v>
      </c>
      <c r="V640" s="1">
        <v>34.262027417891801</v>
      </c>
      <c r="W640" s="1">
        <v>58429</v>
      </c>
      <c r="X640" s="1">
        <v>37020.14</v>
      </c>
      <c r="Y640" s="215">
        <f t="shared" si="97"/>
        <v>-1.0659026339299826E-2</v>
      </c>
      <c r="Z640" s="215">
        <f t="shared" si="92"/>
        <v>1.7699115044247815E-2</v>
      </c>
      <c r="AA640" s="231">
        <v>2001896</v>
      </c>
      <c r="AC640" s="230">
        <v>44060</v>
      </c>
      <c r="AD640" s="1">
        <v>33.25</v>
      </c>
      <c r="AE640" s="1">
        <v>32.539475799967803</v>
      </c>
      <c r="AF640" s="1">
        <v>6219</v>
      </c>
      <c r="AG640" s="1">
        <v>38050.78</v>
      </c>
      <c r="AH640" s="215">
        <f t="shared" si="98"/>
        <v>-1.2394519148512084E-2</v>
      </c>
      <c r="AI640" s="215">
        <f t="shared" si="93"/>
        <v>7.575757575757569E-3</v>
      </c>
      <c r="AJ640" s="231">
        <v>202363</v>
      </c>
      <c r="AL640" s="254"/>
      <c r="AQ640" s="215" t="str">
        <f t="shared" si="99"/>
        <v>NA</v>
      </c>
      <c r="AR640" s="215" t="str">
        <f t="shared" si="94"/>
        <v>NA</v>
      </c>
    </row>
    <row r="641" spans="2:44">
      <c r="B641" s="230">
        <v>44032</v>
      </c>
      <c r="C641" s="1">
        <v>195.1</v>
      </c>
      <c r="D641" s="1">
        <v>193.73755437409301</v>
      </c>
      <c r="E641" s="1">
        <v>2069</v>
      </c>
      <c r="F641" s="215">
        <v>37418.99</v>
      </c>
      <c r="G641" s="215">
        <f t="shared" si="95"/>
        <v>-1.3481032197716236E-2</v>
      </c>
      <c r="H641" s="215">
        <f t="shared" si="90"/>
        <v>1.0095780481490957E-2</v>
      </c>
      <c r="I641" s="231">
        <v>400843</v>
      </c>
      <c r="K641" s="230">
        <v>44032</v>
      </c>
      <c r="L641" s="1">
        <v>172.5</v>
      </c>
      <c r="M641" s="1">
        <v>169.12519577628399</v>
      </c>
      <c r="N641" s="1">
        <v>19793</v>
      </c>
      <c r="O641" s="1">
        <v>37418.99</v>
      </c>
      <c r="P641" s="215">
        <f t="shared" si="96"/>
        <v>-1.3481032197716236E-2</v>
      </c>
      <c r="Q641" s="215">
        <f t="shared" si="91"/>
        <v>2.2222222222222143E-2</v>
      </c>
      <c r="R641" s="231">
        <v>3347495</v>
      </c>
      <c r="T641" s="230">
        <v>44032</v>
      </c>
      <c r="U641" s="1">
        <v>33.9</v>
      </c>
      <c r="V641" s="1">
        <v>34.538727333582699</v>
      </c>
      <c r="W641" s="1">
        <v>101582</v>
      </c>
      <c r="X641" s="1">
        <v>37418.99</v>
      </c>
      <c r="Y641" s="215">
        <f t="shared" si="97"/>
        <v>-1.3481032197716236E-2</v>
      </c>
      <c r="Z641" s="215">
        <f t="shared" si="92"/>
        <v>-2.9411764705882248E-3</v>
      </c>
      <c r="AA641" s="231">
        <v>3508513</v>
      </c>
      <c r="AC641" s="230">
        <v>44061</v>
      </c>
      <c r="AD641" s="1">
        <v>33</v>
      </c>
      <c r="AE641" s="1">
        <v>32.7926639726453</v>
      </c>
      <c r="AF641" s="1">
        <v>12868</v>
      </c>
      <c r="AG641" s="1">
        <v>38528.32</v>
      </c>
      <c r="AH641" s="215">
        <f t="shared" si="98"/>
        <v>-2.2392974298189872E-3</v>
      </c>
      <c r="AI641" s="215">
        <f t="shared" si="93"/>
        <v>2.9641185647425905E-2</v>
      </c>
      <c r="AJ641" s="231">
        <v>421976</v>
      </c>
      <c r="AL641" s="254"/>
      <c r="AQ641" s="215" t="str">
        <f t="shared" si="99"/>
        <v>NA</v>
      </c>
      <c r="AR641" s="215" t="str">
        <f t="shared" si="94"/>
        <v>NA</v>
      </c>
    </row>
    <row r="642" spans="2:44">
      <c r="B642" s="230">
        <v>44033</v>
      </c>
      <c r="C642" s="1">
        <v>193.15</v>
      </c>
      <c r="D642" s="1">
        <v>194.52</v>
      </c>
      <c r="E642" s="1">
        <v>850</v>
      </c>
      <c r="F642" s="215">
        <v>37930.33</v>
      </c>
      <c r="G642" s="215">
        <f t="shared" si="95"/>
        <v>1.5528819545664874E-3</v>
      </c>
      <c r="H642" s="215">
        <f t="shared" si="90"/>
        <v>5.989583333333437E-3</v>
      </c>
      <c r="I642" s="231">
        <v>165342</v>
      </c>
      <c r="K642" s="230">
        <v>44033</v>
      </c>
      <c r="L642" s="1">
        <v>168.75</v>
      </c>
      <c r="M642" s="1">
        <v>172.35203966644099</v>
      </c>
      <c r="N642" s="1">
        <v>22185</v>
      </c>
      <c r="O642" s="1">
        <v>37930.33</v>
      </c>
      <c r="P642" s="215">
        <f t="shared" si="96"/>
        <v>1.5528819545664874E-3</v>
      </c>
      <c r="Q642" s="215">
        <f t="shared" si="91"/>
        <v>-4.3638424482856264E-2</v>
      </c>
      <c r="R642" s="231">
        <v>3823630</v>
      </c>
      <c r="T642" s="230">
        <v>44033</v>
      </c>
      <c r="U642" s="1">
        <v>34</v>
      </c>
      <c r="V642" s="1">
        <v>34.028326042889098</v>
      </c>
      <c r="W642" s="1">
        <v>18746</v>
      </c>
      <c r="X642" s="1">
        <v>37930.33</v>
      </c>
      <c r="Y642" s="215">
        <f t="shared" si="97"/>
        <v>1.5528819545664874E-3</v>
      </c>
      <c r="Z642" s="215">
        <f t="shared" si="92"/>
        <v>1.7964071856287456E-2</v>
      </c>
      <c r="AA642" s="231">
        <v>637895</v>
      </c>
      <c r="AC642" s="230">
        <v>44062</v>
      </c>
      <c r="AD642" s="1">
        <v>32.049999999999997</v>
      </c>
      <c r="AE642" s="1">
        <v>32.472924187725603</v>
      </c>
      <c r="AF642" s="1">
        <v>277</v>
      </c>
      <c r="AG642" s="1">
        <v>38614.79</v>
      </c>
      <c r="AH642" s="215">
        <f t="shared" si="98"/>
        <v>1.0319099307987134E-2</v>
      </c>
      <c r="AI642" s="215">
        <f t="shared" si="93"/>
        <v>3.1298904538339389E-3</v>
      </c>
      <c r="AJ642" s="231">
        <v>8995</v>
      </c>
      <c r="AL642" s="254"/>
      <c r="AQ642" s="215" t="str">
        <f t="shared" si="99"/>
        <v>NA</v>
      </c>
      <c r="AR642" s="215" t="str">
        <f t="shared" si="94"/>
        <v>NA</v>
      </c>
    </row>
    <row r="643" spans="2:44">
      <c r="B643" s="230">
        <v>44034</v>
      </c>
      <c r="C643" s="1">
        <v>192</v>
      </c>
      <c r="D643" s="1">
        <v>191.13236060448099</v>
      </c>
      <c r="E643" s="1">
        <v>1919</v>
      </c>
      <c r="F643" s="215">
        <v>37871.519999999997</v>
      </c>
      <c r="G643" s="215">
        <f t="shared" si="95"/>
        <v>-7.0515649125457713E-3</v>
      </c>
      <c r="H643" s="215">
        <f t="shared" si="90"/>
        <v>-2.0158203623373283E-2</v>
      </c>
      <c r="I643" s="231">
        <v>366783</v>
      </c>
      <c r="K643" s="230">
        <v>44034</v>
      </c>
      <c r="L643" s="1">
        <v>176.45</v>
      </c>
      <c r="M643" s="1">
        <v>173.94997897294499</v>
      </c>
      <c r="N643" s="1">
        <v>42802</v>
      </c>
      <c r="O643" s="1">
        <v>37871.519999999997</v>
      </c>
      <c r="P643" s="215">
        <f t="shared" si="96"/>
        <v>-7.0515649125457713E-3</v>
      </c>
      <c r="Q643" s="215">
        <f t="shared" si="91"/>
        <v>5.6705415367175327E-4</v>
      </c>
      <c r="R643" s="231">
        <v>7445407</v>
      </c>
      <c r="T643" s="230">
        <v>44034</v>
      </c>
      <c r="U643" s="1">
        <v>33.4</v>
      </c>
      <c r="V643" s="1">
        <v>34.090267045548899</v>
      </c>
      <c r="W643" s="1">
        <v>60177</v>
      </c>
      <c r="X643" s="1">
        <v>37871.519999999997</v>
      </c>
      <c r="Y643" s="215">
        <f t="shared" si="97"/>
        <v>-7.0515649125457713E-3</v>
      </c>
      <c r="Z643" s="215">
        <f t="shared" si="92"/>
        <v>0</v>
      </c>
      <c r="AA643" s="231">
        <v>2051450</v>
      </c>
      <c r="AC643" s="230">
        <v>44063</v>
      </c>
      <c r="AD643" s="1">
        <v>31.95</v>
      </c>
      <c r="AE643" s="1">
        <v>32.058158700259</v>
      </c>
      <c r="AF643" s="1">
        <v>8494</v>
      </c>
      <c r="AG643" s="1">
        <v>38220.39</v>
      </c>
      <c r="AH643" s="215">
        <f t="shared" si="98"/>
        <v>-5.5764683598580334E-3</v>
      </c>
      <c r="AI643" s="215">
        <f t="shared" si="93"/>
        <v>-6.578947368421062E-2</v>
      </c>
      <c r="AJ643" s="231">
        <v>272302</v>
      </c>
      <c r="AL643" s="254"/>
      <c r="AQ643" s="215" t="str">
        <f t="shared" si="99"/>
        <v>NA</v>
      </c>
      <c r="AR643" s="215" t="str">
        <f t="shared" si="94"/>
        <v>NA</v>
      </c>
    </row>
    <row r="644" spans="2:44">
      <c r="B644" s="230">
        <v>44035</v>
      </c>
      <c r="C644" s="1">
        <v>195.95</v>
      </c>
      <c r="D644" s="1">
        <v>198.779532967032</v>
      </c>
      <c r="E644" s="1">
        <v>1456</v>
      </c>
      <c r="F644" s="215">
        <v>38140.47</v>
      </c>
      <c r="G644" s="215">
        <f t="shared" si="95"/>
        <v>3.0344436896956317E-4</v>
      </c>
      <c r="H644" s="215">
        <f t="shared" si="90"/>
        <v>3.8422131147541894E-3</v>
      </c>
      <c r="I644" s="231">
        <v>289423</v>
      </c>
      <c r="K644" s="230">
        <v>44035</v>
      </c>
      <c r="L644" s="1">
        <v>176.35</v>
      </c>
      <c r="M644" s="1">
        <v>177.78422862757901</v>
      </c>
      <c r="N644" s="1">
        <v>12212</v>
      </c>
      <c r="O644" s="1">
        <v>38140.47</v>
      </c>
      <c r="P644" s="215">
        <f t="shared" si="96"/>
        <v>3.0344436896956317E-4</v>
      </c>
      <c r="Q644" s="215">
        <f t="shared" si="91"/>
        <v>2.4694944799535046E-2</v>
      </c>
      <c r="R644" s="231">
        <v>2171101</v>
      </c>
      <c r="T644" s="230">
        <v>44035</v>
      </c>
      <c r="U644" s="1">
        <v>33.4</v>
      </c>
      <c r="V644" s="1">
        <v>33.658901430678902</v>
      </c>
      <c r="W644" s="1">
        <v>29147</v>
      </c>
      <c r="X644" s="1">
        <v>38140.47</v>
      </c>
      <c r="Y644" s="215">
        <f t="shared" si="97"/>
        <v>3.0344436896956317E-4</v>
      </c>
      <c r="Z644" s="215">
        <f t="shared" si="92"/>
        <v>1.4992503748125774E-3</v>
      </c>
      <c r="AA644" s="231">
        <v>981056</v>
      </c>
      <c r="AC644" s="230">
        <v>44064</v>
      </c>
      <c r="AD644" s="1">
        <v>34.200000000000003</v>
      </c>
      <c r="AE644" s="1">
        <v>35.4154223503593</v>
      </c>
      <c r="AF644" s="1">
        <v>23239</v>
      </c>
      <c r="AG644" s="1">
        <v>38434.720000000001</v>
      </c>
      <c r="AH644" s="215">
        <f t="shared" si="98"/>
        <v>-9.3909443213602284E-3</v>
      </c>
      <c r="AI644" s="215">
        <f t="shared" si="93"/>
        <v>5.8823529411764497E-3</v>
      </c>
      <c r="AJ644" s="231">
        <v>823019</v>
      </c>
      <c r="AL644" s="254"/>
      <c r="AQ644" s="215" t="str">
        <f t="shared" si="99"/>
        <v>NA</v>
      </c>
      <c r="AR644" s="215" t="str">
        <f t="shared" si="94"/>
        <v>NA</v>
      </c>
    </row>
    <row r="645" spans="2:44">
      <c r="B645" s="230">
        <v>44036</v>
      </c>
      <c r="C645" s="1">
        <v>195.2</v>
      </c>
      <c r="D645" s="1">
        <v>196.43265306122399</v>
      </c>
      <c r="E645" s="1">
        <v>245</v>
      </c>
      <c r="F645" s="215">
        <v>38128.9</v>
      </c>
      <c r="G645" s="215">
        <f t="shared" si="95"/>
        <v>5.1185285884465248E-3</v>
      </c>
      <c r="H645" s="215">
        <f t="shared" si="90"/>
        <v>2.4940929377789356E-2</v>
      </c>
      <c r="I645" s="231">
        <v>48126</v>
      </c>
      <c r="K645" s="230">
        <v>44036</v>
      </c>
      <c r="L645" s="1">
        <v>172.1</v>
      </c>
      <c r="M645" s="1">
        <v>173.191005471956</v>
      </c>
      <c r="N645" s="1">
        <v>5848</v>
      </c>
      <c r="O645" s="1">
        <v>38128.9</v>
      </c>
      <c r="P645" s="215">
        <f t="shared" si="96"/>
        <v>5.1185285884465248E-3</v>
      </c>
      <c r="Q645" s="215">
        <f t="shared" si="91"/>
        <v>3.2393521295740912E-2</v>
      </c>
      <c r="R645" s="231">
        <v>1012821</v>
      </c>
      <c r="T645" s="230">
        <v>44036</v>
      </c>
      <c r="U645" s="1">
        <v>33.35</v>
      </c>
      <c r="V645" s="1">
        <v>33.119457013574603</v>
      </c>
      <c r="W645" s="1">
        <v>13260</v>
      </c>
      <c r="X645" s="1">
        <v>38128.9</v>
      </c>
      <c r="Y645" s="215">
        <f t="shared" si="97"/>
        <v>5.1185285884465248E-3</v>
      </c>
      <c r="Z645" s="215">
        <f t="shared" si="92"/>
        <v>3.7325038880248851E-2</v>
      </c>
      <c r="AA645" s="231">
        <v>439164</v>
      </c>
      <c r="AC645" s="230">
        <v>44067</v>
      </c>
      <c r="AD645" s="1">
        <v>34</v>
      </c>
      <c r="AE645" s="1">
        <v>34.427580097445698</v>
      </c>
      <c r="AF645" s="1">
        <v>13546</v>
      </c>
      <c r="AG645" s="1">
        <v>38799.08</v>
      </c>
      <c r="AH645" s="215">
        <f t="shared" si="98"/>
        <v>-1.1533348367875895E-3</v>
      </c>
      <c r="AI645" s="215">
        <f t="shared" si="93"/>
        <v>2.5641025641025772E-2</v>
      </c>
      <c r="AJ645" s="231">
        <v>466356</v>
      </c>
      <c r="AL645" s="254"/>
      <c r="AQ645" s="215" t="str">
        <f t="shared" si="99"/>
        <v>NA</v>
      </c>
      <c r="AR645" s="215" t="str">
        <f t="shared" si="94"/>
        <v>NA</v>
      </c>
    </row>
    <row r="646" spans="2:44">
      <c r="B646" s="230">
        <v>44039</v>
      </c>
      <c r="C646" s="1">
        <v>190.45</v>
      </c>
      <c r="D646" s="1">
        <v>193.72410454985399</v>
      </c>
      <c r="E646" s="1">
        <v>1033</v>
      </c>
      <c r="F646" s="215">
        <v>37934.730000000003</v>
      </c>
      <c r="G646" s="215">
        <f t="shared" si="95"/>
        <v>-1.450187631761124E-2</v>
      </c>
      <c r="H646" s="215">
        <f t="shared" si="90"/>
        <v>-2.3833931317273183E-2</v>
      </c>
      <c r="I646" s="231">
        <v>200117</v>
      </c>
      <c r="K646" s="230">
        <v>44039</v>
      </c>
      <c r="L646" s="1">
        <v>166.7</v>
      </c>
      <c r="M646" s="1">
        <v>167.44013683010201</v>
      </c>
      <c r="N646" s="1">
        <v>8770</v>
      </c>
      <c r="O646" s="1">
        <v>37934.730000000003</v>
      </c>
      <c r="P646" s="215">
        <f t="shared" si="96"/>
        <v>-1.450187631761124E-2</v>
      </c>
      <c r="Q646" s="215">
        <f t="shared" si="91"/>
        <v>-1.0682492581602476E-2</v>
      </c>
      <c r="R646" s="231">
        <v>1468450</v>
      </c>
      <c r="T646" s="230">
        <v>44039</v>
      </c>
      <c r="U646" s="1">
        <v>32.15</v>
      </c>
      <c r="V646" s="1">
        <v>32.4947601773478</v>
      </c>
      <c r="W646" s="1">
        <v>24810</v>
      </c>
      <c r="X646" s="1">
        <v>37934.730000000003</v>
      </c>
      <c r="Y646" s="215">
        <f t="shared" si="97"/>
        <v>-1.450187631761124E-2</v>
      </c>
      <c r="Z646" s="215">
        <f t="shared" si="92"/>
        <v>6.2597809076680999E-3</v>
      </c>
      <c r="AA646" s="231">
        <v>806195</v>
      </c>
      <c r="AC646" s="230">
        <v>44068</v>
      </c>
      <c r="AD646" s="1">
        <v>33.15</v>
      </c>
      <c r="AE646" s="1">
        <v>33.148016997167097</v>
      </c>
      <c r="AF646" s="1">
        <v>1412</v>
      </c>
      <c r="AG646" s="1">
        <v>38843.879999999997</v>
      </c>
      <c r="AH646" s="215">
        <f t="shared" si="98"/>
        <v>-5.8873028352415258E-3</v>
      </c>
      <c r="AI646" s="215">
        <f t="shared" si="93"/>
        <v>4.5454545454544082E-3</v>
      </c>
      <c r="AJ646" s="231">
        <v>46805</v>
      </c>
      <c r="AL646" s="254"/>
      <c r="AQ646" s="215" t="str">
        <f t="shared" si="99"/>
        <v>NA</v>
      </c>
      <c r="AR646" s="215" t="str">
        <f t="shared" si="94"/>
        <v>NA</v>
      </c>
    </row>
    <row r="647" spans="2:44">
      <c r="B647" s="230">
        <v>44040</v>
      </c>
      <c r="C647" s="1">
        <v>195.1</v>
      </c>
      <c r="D647" s="1">
        <v>194.30254041570399</v>
      </c>
      <c r="E647" s="1">
        <v>866</v>
      </c>
      <c r="F647" s="215">
        <v>38492.949999999997</v>
      </c>
      <c r="G647" s="215">
        <f t="shared" si="95"/>
        <v>1.1079786704518702E-2</v>
      </c>
      <c r="H647" s="215">
        <f t="shared" si="90"/>
        <v>6.707946336429238E-3</v>
      </c>
      <c r="I647" s="231">
        <v>168266</v>
      </c>
      <c r="K647" s="230">
        <v>44040</v>
      </c>
      <c r="L647" s="1">
        <v>168.5</v>
      </c>
      <c r="M647" s="1">
        <v>169.28591065291999</v>
      </c>
      <c r="N647" s="1">
        <v>2910</v>
      </c>
      <c r="O647" s="1">
        <v>38492.949999999997</v>
      </c>
      <c r="P647" s="215">
        <f t="shared" si="96"/>
        <v>1.1079786704518702E-2</v>
      </c>
      <c r="Q647" s="215">
        <f t="shared" si="91"/>
        <v>-3.1887388681413498E-2</v>
      </c>
      <c r="R647" s="231">
        <v>492622</v>
      </c>
      <c r="T647" s="230">
        <v>44040</v>
      </c>
      <c r="U647" s="1">
        <v>31.95</v>
      </c>
      <c r="V647" s="1">
        <v>31.877327107052</v>
      </c>
      <c r="W647" s="1">
        <v>48397</v>
      </c>
      <c r="X647" s="1">
        <v>38492.949999999997</v>
      </c>
      <c r="Y647" s="215">
        <f t="shared" si="97"/>
        <v>1.1079786704518702E-2</v>
      </c>
      <c r="Z647" s="215">
        <f t="shared" si="92"/>
        <v>-8.8445078459343796E-2</v>
      </c>
      <c r="AA647" s="231">
        <v>1542767</v>
      </c>
      <c r="AC647" s="230">
        <v>44069</v>
      </c>
      <c r="AD647" s="1">
        <v>33</v>
      </c>
      <c r="AE647" s="1">
        <v>33.066012186865201</v>
      </c>
      <c r="AF647" s="1">
        <v>2954</v>
      </c>
      <c r="AG647" s="1">
        <v>39073.919999999998</v>
      </c>
      <c r="AH647" s="215">
        <f t="shared" si="98"/>
        <v>-1.0111606052851663E-3</v>
      </c>
      <c r="AI647" s="215">
        <f t="shared" si="93"/>
        <v>-1.4925373134328401E-2</v>
      </c>
      <c r="AJ647" s="231">
        <v>97677</v>
      </c>
      <c r="AL647" s="254"/>
      <c r="AQ647" s="215" t="str">
        <f t="shared" si="99"/>
        <v>NA</v>
      </c>
      <c r="AR647" s="215" t="str">
        <f t="shared" si="94"/>
        <v>NA</v>
      </c>
    </row>
    <row r="648" spans="2:44">
      <c r="B648" s="230">
        <v>44041</v>
      </c>
      <c r="C648" s="1">
        <v>193.8</v>
      </c>
      <c r="D648" s="1">
        <v>195.0927456382</v>
      </c>
      <c r="E648" s="1">
        <v>1089</v>
      </c>
      <c r="F648" s="215">
        <v>38071.129999999997</v>
      </c>
      <c r="G648" s="215">
        <f t="shared" si="95"/>
        <v>8.8790380132324209E-3</v>
      </c>
      <c r="H648" s="215">
        <f t="shared" si="90"/>
        <v>-1.122448979591828E-2</v>
      </c>
      <c r="I648" s="231">
        <v>212456</v>
      </c>
      <c r="K648" s="230">
        <v>44041</v>
      </c>
      <c r="L648" s="1">
        <v>174.05</v>
      </c>
      <c r="M648" s="1">
        <v>176.82987635629499</v>
      </c>
      <c r="N648" s="1">
        <v>19815</v>
      </c>
      <c r="O648" s="1">
        <v>38071.129999999997</v>
      </c>
      <c r="P648" s="215">
        <f t="shared" si="96"/>
        <v>8.8790380132324209E-3</v>
      </c>
      <c r="Q648" s="215">
        <f t="shared" si="91"/>
        <v>2.0149683362120641E-3</v>
      </c>
      <c r="R648" s="231">
        <v>3503884</v>
      </c>
      <c r="T648" s="230">
        <v>44041</v>
      </c>
      <c r="U648" s="1">
        <v>35.049999999999997</v>
      </c>
      <c r="V648" s="1">
        <v>34.451018656640102</v>
      </c>
      <c r="W648" s="1">
        <v>97874</v>
      </c>
      <c r="X648" s="1">
        <v>38071.129999999997</v>
      </c>
      <c r="Y648" s="215">
        <f t="shared" si="97"/>
        <v>8.8790380132324209E-3</v>
      </c>
      <c r="Z648" s="215">
        <f t="shared" si="92"/>
        <v>2.9368575624082238E-2</v>
      </c>
      <c r="AA648" s="231">
        <v>3371859</v>
      </c>
      <c r="AC648" s="230">
        <v>44070</v>
      </c>
      <c r="AD648" s="1">
        <v>33.5</v>
      </c>
      <c r="AE648" s="1">
        <v>33.665002269632303</v>
      </c>
      <c r="AF648" s="1">
        <v>2203</v>
      </c>
      <c r="AG648" s="1">
        <v>39113.47</v>
      </c>
      <c r="AH648" s="215">
        <f t="shared" si="98"/>
        <v>-8.9653943985540385E-3</v>
      </c>
      <c r="AI648" s="215">
        <f t="shared" si="93"/>
        <v>2.2900763358778553E-2</v>
      </c>
      <c r="AJ648" s="231">
        <v>74164</v>
      </c>
      <c r="AL648" s="254"/>
      <c r="AQ648" s="215" t="str">
        <f t="shared" si="99"/>
        <v>NA</v>
      </c>
      <c r="AR648" s="215" t="str">
        <f t="shared" si="94"/>
        <v>NA</v>
      </c>
    </row>
    <row r="649" spans="2:44">
      <c r="B649" s="230">
        <v>44042</v>
      </c>
      <c r="C649" s="1">
        <v>196</v>
      </c>
      <c r="D649" s="1">
        <v>197.22727272727201</v>
      </c>
      <c r="E649" s="1">
        <v>220</v>
      </c>
      <c r="F649" s="215">
        <v>37736.07</v>
      </c>
      <c r="G649" s="215">
        <f t="shared" si="95"/>
        <v>3.435008850771748E-3</v>
      </c>
      <c r="H649" s="215">
        <f t="shared" si="90"/>
        <v>-1.5075376884422065E-2</v>
      </c>
      <c r="I649" s="231">
        <v>43390</v>
      </c>
      <c r="K649" s="230">
        <v>44042</v>
      </c>
      <c r="L649" s="1">
        <v>173.7</v>
      </c>
      <c r="M649" s="1">
        <v>177.03235399072199</v>
      </c>
      <c r="N649" s="1">
        <v>8407</v>
      </c>
      <c r="O649" s="1">
        <v>37736.07</v>
      </c>
      <c r="P649" s="215">
        <f t="shared" si="96"/>
        <v>3.435008850771748E-3</v>
      </c>
      <c r="Q649" s="215">
        <f t="shared" si="91"/>
        <v>2.1764705882352908E-2</v>
      </c>
      <c r="R649" s="231">
        <v>1488311</v>
      </c>
      <c r="T649" s="230">
        <v>44042</v>
      </c>
      <c r="U649" s="1">
        <v>34.049999999999997</v>
      </c>
      <c r="V649" s="1">
        <v>34.799120037114001</v>
      </c>
      <c r="W649" s="1">
        <v>66821</v>
      </c>
      <c r="X649" s="1">
        <v>37736.07</v>
      </c>
      <c r="Y649" s="215">
        <f t="shared" si="97"/>
        <v>3.435008850771748E-3</v>
      </c>
      <c r="Z649" s="215">
        <f t="shared" si="92"/>
        <v>3.652968036529658E-2</v>
      </c>
      <c r="AA649" s="231">
        <v>2325312</v>
      </c>
      <c r="AC649" s="230">
        <v>44071</v>
      </c>
      <c r="AD649" s="1">
        <v>32.75</v>
      </c>
      <c r="AE649" s="1">
        <v>33.122629582806503</v>
      </c>
      <c r="AF649" s="1">
        <v>791</v>
      </c>
      <c r="AG649" s="1">
        <v>39467.31</v>
      </c>
      <c r="AH649" s="215">
        <f t="shared" si="98"/>
        <v>2.1720350551370338E-2</v>
      </c>
      <c r="AI649" s="215">
        <f t="shared" si="93"/>
        <v>2.9874213836478036E-2</v>
      </c>
      <c r="AJ649" s="231">
        <v>26200</v>
      </c>
      <c r="AL649" s="254"/>
      <c r="AQ649" s="215" t="str">
        <f t="shared" si="99"/>
        <v>NA</v>
      </c>
      <c r="AR649" s="215" t="str">
        <f t="shared" si="94"/>
        <v>NA</v>
      </c>
    </row>
    <row r="650" spans="2:44">
      <c r="B650" s="230">
        <v>44043</v>
      </c>
      <c r="C650" s="1">
        <v>199</v>
      </c>
      <c r="D650" s="1">
        <v>198.15929203539801</v>
      </c>
      <c r="E650" s="1">
        <v>226</v>
      </c>
      <c r="F650" s="215">
        <v>37606.89</v>
      </c>
      <c r="G650" s="215">
        <f t="shared" si="95"/>
        <v>1.8064353701718439E-2</v>
      </c>
      <c r="H650" s="215">
        <f t="shared" si="90"/>
        <v>3.002070393374745E-2</v>
      </c>
      <c r="I650" s="231">
        <v>44784</v>
      </c>
      <c r="K650" s="230">
        <v>44043</v>
      </c>
      <c r="L650" s="1">
        <v>170</v>
      </c>
      <c r="M650" s="1">
        <v>171.483748481166</v>
      </c>
      <c r="N650" s="1">
        <v>6584</v>
      </c>
      <c r="O650" s="1">
        <v>37606.89</v>
      </c>
      <c r="P650" s="215">
        <f t="shared" si="96"/>
        <v>1.8064353701718439E-2</v>
      </c>
      <c r="Q650" s="215">
        <f t="shared" si="91"/>
        <v>-3.0786773090079822E-2</v>
      </c>
      <c r="R650" s="231">
        <v>1129049</v>
      </c>
      <c r="T650" s="230">
        <v>44043</v>
      </c>
      <c r="U650" s="1">
        <v>32.85</v>
      </c>
      <c r="V650" s="1">
        <v>33.091518792790197</v>
      </c>
      <c r="W650" s="1">
        <v>21471</v>
      </c>
      <c r="X650" s="1">
        <v>37606.89</v>
      </c>
      <c r="Y650" s="215">
        <f t="shared" si="97"/>
        <v>1.8064353701718439E-2</v>
      </c>
      <c r="Z650" s="215">
        <f t="shared" si="92"/>
        <v>-3.665689149560114E-2</v>
      </c>
      <c r="AA650" s="231">
        <v>710508</v>
      </c>
      <c r="AC650" s="230">
        <v>44074</v>
      </c>
      <c r="AD650" s="1">
        <v>31.8</v>
      </c>
      <c r="AE650" s="1">
        <v>31.933149552033001</v>
      </c>
      <c r="AF650" s="1">
        <v>1451</v>
      </c>
      <c r="AG650" s="1">
        <v>38628.29</v>
      </c>
      <c r="AH650" s="215">
        <f t="shared" si="98"/>
        <v>-7.0052543906552467E-3</v>
      </c>
      <c r="AI650" s="215">
        <f t="shared" si="93"/>
        <v>4.7393364928911552E-3</v>
      </c>
      <c r="AJ650" s="231">
        <v>46335</v>
      </c>
      <c r="AL650" s="254"/>
      <c r="AQ650" s="215" t="str">
        <f t="shared" si="99"/>
        <v>NA</v>
      </c>
      <c r="AR650" s="215" t="str">
        <f t="shared" si="94"/>
        <v>NA</v>
      </c>
    </row>
    <row r="651" spans="2:44">
      <c r="B651" s="230">
        <v>44046</v>
      </c>
      <c r="C651" s="1">
        <v>193.2</v>
      </c>
      <c r="D651" s="1">
        <v>198.10913705583701</v>
      </c>
      <c r="E651" s="1">
        <v>1182</v>
      </c>
      <c r="F651" s="215">
        <v>36939.599999999999</v>
      </c>
      <c r="G651" s="215">
        <f t="shared" si="95"/>
        <v>-1.9855439051940094E-2</v>
      </c>
      <c r="H651" s="215">
        <f t="shared" si="90"/>
        <v>-3.7369207772795177E-2</v>
      </c>
      <c r="I651" s="231">
        <v>234165</v>
      </c>
      <c r="K651" s="230">
        <v>44046</v>
      </c>
      <c r="L651" s="1">
        <v>175.4</v>
      </c>
      <c r="M651" s="1">
        <v>175.39171405361401</v>
      </c>
      <c r="N651" s="1">
        <v>6155</v>
      </c>
      <c r="O651" s="1">
        <v>36939.599999999999</v>
      </c>
      <c r="P651" s="215">
        <f t="shared" si="96"/>
        <v>-1.9855439051940094E-2</v>
      </c>
      <c r="Q651" s="215">
        <f t="shared" si="91"/>
        <v>-9.0720580611715951E-2</v>
      </c>
      <c r="R651" s="231">
        <v>1079536</v>
      </c>
      <c r="T651" s="230">
        <v>44046</v>
      </c>
      <c r="U651" s="1">
        <v>34.1</v>
      </c>
      <c r="V651" s="1">
        <v>34.031931587334398</v>
      </c>
      <c r="W651" s="1">
        <v>82207</v>
      </c>
      <c r="X651" s="1">
        <v>36939.599999999999</v>
      </c>
      <c r="Y651" s="215">
        <f t="shared" si="97"/>
        <v>-1.9855439051940094E-2</v>
      </c>
      <c r="Z651" s="215">
        <f t="shared" si="92"/>
        <v>-5.8011049723756924E-2</v>
      </c>
      <c r="AA651" s="231">
        <v>2797663</v>
      </c>
      <c r="AC651" s="230">
        <v>44075</v>
      </c>
      <c r="AD651" s="1">
        <v>31.65</v>
      </c>
      <c r="AE651" s="1">
        <v>31</v>
      </c>
      <c r="AF651" s="1">
        <v>1</v>
      </c>
      <c r="AG651" s="1">
        <v>38900.800000000003</v>
      </c>
      <c r="AH651" s="215">
        <f t="shared" si="98"/>
        <v>-4.7390333579541144E-3</v>
      </c>
      <c r="AI651" s="215">
        <f t="shared" si="93"/>
        <v>-1.577287066246047E-3</v>
      </c>
      <c r="AJ651" s="231">
        <v>31</v>
      </c>
      <c r="AL651" s="254"/>
      <c r="AQ651" s="215" t="str">
        <f t="shared" si="99"/>
        <v>NA</v>
      </c>
      <c r="AR651" s="215" t="str">
        <f t="shared" si="94"/>
        <v>NA</v>
      </c>
    </row>
    <row r="652" spans="2:44">
      <c r="B652" s="230">
        <v>44047</v>
      </c>
      <c r="C652" s="1">
        <v>200.7</v>
      </c>
      <c r="D652" s="1">
        <v>199.47202797202701</v>
      </c>
      <c r="E652" s="1">
        <v>286</v>
      </c>
      <c r="F652" s="215">
        <v>37687.910000000003</v>
      </c>
      <c r="G652" s="215">
        <f t="shared" si="95"/>
        <v>6.5262418378830844E-4</v>
      </c>
      <c r="H652" s="215">
        <f t="shared" si="90"/>
        <v>-1.2440905697934657E-3</v>
      </c>
      <c r="I652" s="231">
        <v>57049</v>
      </c>
      <c r="K652" s="230">
        <v>44047</v>
      </c>
      <c r="L652" s="1">
        <v>192.9</v>
      </c>
      <c r="M652" s="1">
        <v>190.30258057569401</v>
      </c>
      <c r="N652" s="1">
        <v>55724</v>
      </c>
      <c r="O652" s="1">
        <v>37687.910000000003</v>
      </c>
      <c r="P652" s="215">
        <f t="shared" si="96"/>
        <v>6.5262418378830844E-4</v>
      </c>
      <c r="Q652" s="215">
        <f t="shared" si="91"/>
        <v>-7.7254245395838361E-2</v>
      </c>
      <c r="R652" s="231">
        <v>10604421</v>
      </c>
      <c r="T652" s="230">
        <v>44047</v>
      </c>
      <c r="U652" s="1">
        <v>36.200000000000003</v>
      </c>
      <c r="V652" s="1">
        <v>35.554240301160704</v>
      </c>
      <c r="W652" s="1">
        <v>47815</v>
      </c>
      <c r="X652" s="1">
        <v>37687.910000000003</v>
      </c>
      <c r="Y652" s="215">
        <f t="shared" si="97"/>
        <v>6.5262418378830844E-4</v>
      </c>
      <c r="Z652" s="215">
        <f t="shared" si="92"/>
        <v>-8.0050825921219815E-2</v>
      </c>
      <c r="AA652" s="231">
        <v>1700026</v>
      </c>
      <c r="AC652" s="230">
        <v>44076</v>
      </c>
      <c r="AD652" s="1">
        <v>31.7</v>
      </c>
      <c r="AE652" s="1">
        <v>31.6123456790123</v>
      </c>
      <c r="AF652" s="1">
        <v>405</v>
      </c>
      <c r="AG652" s="1">
        <v>39086.03</v>
      </c>
      <c r="AH652" s="215">
        <f t="shared" si="98"/>
        <v>2.4387716736244958E-3</v>
      </c>
      <c r="AI652" s="215">
        <f t="shared" si="93"/>
        <v>-1.7054263565891459E-2</v>
      </c>
      <c r="AJ652" s="231">
        <v>12803</v>
      </c>
      <c r="AL652" s="254"/>
      <c r="AQ652" s="215" t="str">
        <f t="shared" si="99"/>
        <v>NA</v>
      </c>
      <c r="AR652" s="215" t="str">
        <f t="shared" si="94"/>
        <v>NA</v>
      </c>
    </row>
    <row r="653" spans="2:44">
      <c r="B653" s="230">
        <v>44048</v>
      </c>
      <c r="C653" s="1">
        <v>200.95</v>
      </c>
      <c r="D653" s="1">
        <v>198.122153209109</v>
      </c>
      <c r="E653" s="1">
        <v>483</v>
      </c>
      <c r="F653" s="215">
        <v>37663.33</v>
      </c>
      <c r="G653" s="215">
        <f t="shared" si="95"/>
        <v>-9.5230957161583918E-3</v>
      </c>
      <c r="H653" s="215">
        <f t="shared" si="90"/>
        <v>-2.2343594836148339E-3</v>
      </c>
      <c r="I653" s="231">
        <v>95693</v>
      </c>
      <c r="K653" s="230">
        <v>44048</v>
      </c>
      <c r="L653" s="1">
        <v>209.05</v>
      </c>
      <c r="M653" s="1">
        <v>206.778955459363</v>
      </c>
      <c r="N653" s="1">
        <v>98876</v>
      </c>
      <c r="O653" s="1">
        <v>37663.33</v>
      </c>
      <c r="P653" s="215">
        <f t="shared" si="96"/>
        <v>-9.5230957161583918E-3</v>
      </c>
      <c r="Q653" s="215">
        <f t="shared" si="91"/>
        <v>-6.6324251898168818E-2</v>
      </c>
      <c r="R653" s="231">
        <v>20445476</v>
      </c>
      <c r="T653" s="230">
        <v>44048</v>
      </c>
      <c r="U653" s="1">
        <v>39.35</v>
      </c>
      <c r="V653" s="1">
        <v>38.289824576471297</v>
      </c>
      <c r="W653" s="1">
        <v>139719</v>
      </c>
      <c r="X653" s="1">
        <v>37663.33</v>
      </c>
      <c r="Y653" s="215">
        <f t="shared" si="97"/>
        <v>-9.5230957161583918E-3</v>
      </c>
      <c r="Z653" s="215">
        <f t="shared" si="92"/>
        <v>-1.9925280199252771E-2</v>
      </c>
      <c r="AA653" s="231">
        <v>5349816</v>
      </c>
      <c r="AC653" s="230">
        <v>44077</v>
      </c>
      <c r="AD653" s="1">
        <v>32.25</v>
      </c>
      <c r="AE653" s="1">
        <v>31.419913419913399</v>
      </c>
      <c r="AF653" s="1">
        <v>1386</v>
      </c>
      <c r="AG653" s="1">
        <v>38990.94</v>
      </c>
      <c r="AH653" s="215">
        <f t="shared" si="98"/>
        <v>1.6522591076820525E-2</v>
      </c>
      <c r="AI653" s="215">
        <f t="shared" si="93"/>
        <v>2.3809523809523725E-2</v>
      </c>
      <c r="AJ653" s="231">
        <v>43548</v>
      </c>
      <c r="AL653" s="254"/>
      <c r="AQ653" s="215" t="str">
        <f t="shared" si="99"/>
        <v>NA</v>
      </c>
      <c r="AR653" s="215" t="str">
        <f t="shared" si="94"/>
        <v>NA</v>
      </c>
    </row>
    <row r="654" spans="2:44">
      <c r="B654" s="230">
        <v>44049</v>
      </c>
      <c r="C654" s="1">
        <v>201.4</v>
      </c>
      <c r="D654" s="1">
        <v>202.597899474868</v>
      </c>
      <c r="E654" s="1">
        <v>1333</v>
      </c>
      <c r="F654" s="215">
        <v>38025.449999999997</v>
      </c>
      <c r="G654" s="215">
        <f t="shared" si="95"/>
        <v>-3.9747038490756115E-4</v>
      </c>
      <c r="H654" s="215">
        <f t="shared" ref="H654:H717" si="100">IF(ISERROR(C654/C655-1),"NA",C654/C655-1)</f>
        <v>-8.7655719139297816E-2</v>
      </c>
      <c r="I654" s="231">
        <v>270063</v>
      </c>
      <c r="K654" s="230">
        <v>44049</v>
      </c>
      <c r="L654" s="1">
        <v>223.9</v>
      </c>
      <c r="M654" s="1">
        <v>220.905180771739</v>
      </c>
      <c r="N654" s="1">
        <v>56729</v>
      </c>
      <c r="O654" s="1">
        <v>38025.449999999997</v>
      </c>
      <c r="P654" s="215">
        <f t="shared" si="96"/>
        <v>-3.9747038490756115E-4</v>
      </c>
      <c r="Q654" s="215">
        <f t="shared" ref="Q654:Q717" si="101">IF(ISERROR(L654/L655-1),"NA",L654/L655-1)</f>
        <v>-2.8422651334345739E-2</v>
      </c>
      <c r="R654" s="231">
        <v>12531730</v>
      </c>
      <c r="T654" s="230">
        <v>44049</v>
      </c>
      <c r="U654" s="1">
        <v>40.15</v>
      </c>
      <c r="V654" s="1">
        <v>39.566625969241301</v>
      </c>
      <c r="W654" s="1">
        <v>93372</v>
      </c>
      <c r="X654" s="1">
        <v>38025.449999999997</v>
      </c>
      <c r="Y654" s="215">
        <f t="shared" si="97"/>
        <v>-3.9747038490756115E-4</v>
      </c>
      <c r="Z654" s="215">
        <f t="shared" ref="Z654:Z717" si="102">IF(ISERROR(U654/U655-1),"NA",U654/U655-1)</f>
        <v>-5.9718969555035195E-2</v>
      </c>
      <c r="AA654" s="231">
        <v>3694415</v>
      </c>
      <c r="AC654" s="230">
        <v>44078</v>
      </c>
      <c r="AD654" s="1">
        <v>31.5</v>
      </c>
      <c r="AE654" s="1">
        <v>31.334776334776301</v>
      </c>
      <c r="AF654" s="1">
        <v>1386</v>
      </c>
      <c r="AG654" s="1">
        <v>38357.18</v>
      </c>
      <c r="AH654" s="215">
        <f t="shared" si="98"/>
        <v>-1.563100723295352E-3</v>
      </c>
      <c r="AI654" s="215">
        <f t="shared" ref="AI654:AI717" si="103">IF(ISERROR(AD654/AD655-1),"NA",AD654/AD655-1)</f>
        <v>2.4390243902439046E-2</v>
      </c>
      <c r="AJ654" s="231">
        <v>43430</v>
      </c>
      <c r="AL654" s="254"/>
      <c r="AQ654" s="215" t="str">
        <f t="shared" si="99"/>
        <v>NA</v>
      </c>
      <c r="AR654" s="215" t="str">
        <f t="shared" ref="AR654:AR717" si="104">IF(ISERROR(AM654/AM655-1),"NA",AM654/AM655-1)</f>
        <v>NA</v>
      </c>
    </row>
    <row r="655" spans="2:44">
      <c r="B655" s="230">
        <v>44050</v>
      </c>
      <c r="C655" s="1">
        <v>220.75</v>
      </c>
      <c r="D655" s="1">
        <v>211.84301675977599</v>
      </c>
      <c r="E655" s="1">
        <v>3580</v>
      </c>
      <c r="F655" s="215">
        <v>38040.57</v>
      </c>
      <c r="G655" s="215">
        <f t="shared" ref="G655:G718" si="105">IF(ISERROR(F655/F656-1),"NA",F655/F656-1)</f>
        <v>-3.7061888718478153E-3</v>
      </c>
      <c r="H655" s="215">
        <f t="shared" si="100"/>
        <v>-1.5388046387154297E-2</v>
      </c>
      <c r="I655" s="231">
        <v>758398</v>
      </c>
      <c r="K655" s="230">
        <v>44050</v>
      </c>
      <c r="L655" s="1">
        <v>230.45</v>
      </c>
      <c r="M655" s="1">
        <v>226.37058134236</v>
      </c>
      <c r="N655" s="1">
        <v>30722</v>
      </c>
      <c r="O655" s="1">
        <v>38040.57</v>
      </c>
      <c r="P655" s="215">
        <f t="shared" ref="P655:P718" si="106">IF(ISERROR(O655/O656-1),"NA",O655/O656-1)</f>
        <v>-3.7061888718478153E-3</v>
      </c>
      <c r="Q655" s="215">
        <f t="shared" si="101"/>
        <v>-2.4962978633382704E-2</v>
      </c>
      <c r="R655" s="231">
        <v>6954557</v>
      </c>
      <c r="T655" s="230">
        <v>44050</v>
      </c>
      <c r="U655" s="1">
        <v>42.7</v>
      </c>
      <c r="V655" s="1">
        <v>42.293759886717297</v>
      </c>
      <c r="W655" s="1">
        <v>313552</v>
      </c>
      <c r="X655" s="1">
        <v>38040.57</v>
      </c>
      <c r="Y655" s="215">
        <f t="shared" ref="Y655:Y718" si="107">IF(ISERROR(X655/X656-1),"NA",X655/X656-1)</f>
        <v>-3.7061888718478153E-3</v>
      </c>
      <c r="Z655" s="215">
        <f t="shared" si="102"/>
        <v>-2.733485193621854E-2</v>
      </c>
      <c r="AA655" s="231">
        <v>13261293</v>
      </c>
      <c r="AC655" s="230">
        <v>44081</v>
      </c>
      <c r="AD655" s="1">
        <v>30.75</v>
      </c>
      <c r="AE655" s="1">
        <v>30.646884272996999</v>
      </c>
      <c r="AF655" s="1">
        <v>1011</v>
      </c>
      <c r="AG655" s="1">
        <v>38417.230000000003</v>
      </c>
      <c r="AH655" s="215">
        <f t="shared" ref="AH655:AH718" si="108">IF(ISERROR(AG655/AG656-1),"NA",AG655/AG656-1)</f>
        <v>1.3522618717149992E-3</v>
      </c>
      <c r="AI655" s="215">
        <f t="shared" si="103"/>
        <v>0</v>
      </c>
      <c r="AJ655" s="231">
        <v>30984</v>
      </c>
      <c r="AL655" s="254"/>
      <c r="AQ655" s="215" t="str">
        <f t="shared" ref="AQ655:AQ718" si="109">IF(ISERROR(AP655/AP656-1),"NA",AP655/AP656-1)</f>
        <v>NA</v>
      </c>
      <c r="AR655" s="215" t="str">
        <f t="shared" si="104"/>
        <v>NA</v>
      </c>
    </row>
    <row r="656" spans="2:44">
      <c r="B656" s="230">
        <v>44053</v>
      </c>
      <c r="C656" s="1">
        <v>224.2</v>
      </c>
      <c r="D656" s="1">
        <v>220.33399668325001</v>
      </c>
      <c r="E656" s="1">
        <v>3015</v>
      </c>
      <c r="F656" s="215">
        <v>38182.080000000002</v>
      </c>
      <c r="G656" s="215">
        <f t="shared" si="105"/>
        <v>-5.8564829701661658E-3</v>
      </c>
      <c r="H656" s="215">
        <f t="shared" si="100"/>
        <v>1.5168666515734675E-2</v>
      </c>
      <c r="I656" s="231">
        <v>664307</v>
      </c>
      <c r="K656" s="230">
        <v>44053</v>
      </c>
      <c r="L656" s="1">
        <v>236.35</v>
      </c>
      <c r="M656" s="1">
        <v>237.13884302768599</v>
      </c>
      <c r="N656" s="1">
        <v>31496</v>
      </c>
      <c r="O656" s="1">
        <v>38182.080000000002</v>
      </c>
      <c r="P656" s="215">
        <f t="shared" si="106"/>
        <v>-5.8564829701661658E-3</v>
      </c>
      <c r="Q656" s="215">
        <f t="shared" si="101"/>
        <v>-4.5436187399030659E-2</v>
      </c>
      <c r="R656" s="231">
        <v>7468925</v>
      </c>
      <c r="T656" s="230">
        <v>44053</v>
      </c>
      <c r="U656" s="1">
        <v>43.9</v>
      </c>
      <c r="V656" s="1">
        <v>43.766106316672598</v>
      </c>
      <c r="W656" s="1">
        <v>66744</v>
      </c>
      <c r="X656" s="1">
        <v>38182.080000000002</v>
      </c>
      <c r="Y656" s="215">
        <f t="shared" si="107"/>
        <v>-5.8564829701661658E-3</v>
      </c>
      <c r="Z656" s="215">
        <f t="shared" si="102"/>
        <v>1.5028901734104094E-2</v>
      </c>
      <c r="AA656" s="231">
        <v>2921125</v>
      </c>
      <c r="AC656" s="230">
        <v>44082</v>
      </c>
      <c r="AD656" s="1">
        <v>30.75</v>
      </c>
      <c r="AE656" s="1">
        <v>30.274599542333998</v>
      </c>
      <c r="AF656" s="1">
        <v>437</v>
      </c>
      <c r="AG656" s="1">
        <v>38365.35</v>
      </c>
      <c r="AH656" s="215">
        <f t="shared" si="108"/>
        <v>4.4884107208686963E-3</v>
      </c>
      <c r="AI656" s="215">
        <f t="shared" si="103"/>
        <v>-9.8240469208211167E-2</v>
      </c>
      <c r="AJ656" s="231">
        <v>13230</v>
      </c>
      <c r="AL656" s="254"/>
      <c r="AQ656" s="215" t="str">
        <f t="shared" si="109"/>
        <v>NA</v>
      </c>
      <c r="AR656" s="215" t="str">
        <f t="shared" si="104"/>
        <v>NA</v>
      </c>
    </row>
    <row r="657" spans="2:44">
      <c r="B657" s="230">
        <v>44054</v>
      </c>
      <c r="C657" s="1">
        <v>220.85</v>
      </c>
      <c r="D657" s="1">
        <v>219.69172932330801</v>
      </c>
      <c r="E657" s="1">
        <v>931</v>
      </c>
      <c r="F657" s="215">
        <v>38407.01</v>
      </c>
      <c r="G657" s="215">
        <f t="shared" si="105"/>
        <v>9.7420798688974131E-4</v>
      </c>
      <c r="H657" s="215">
        <f t="shared" si="100"/>
        <v>-5.3567602314120388E-2</v>
      </c>
      <c r="I657" s="231">
        <v>204533</v>
      </c>
      <c r="K657" s="230">
        <v>44054</v>
      </c>
      <c r="L657" s="1">
        <v>247.6</v>
      </c>
      <c r="M657" s="1">
        <v>245.41908969267001</v>
      </c>
      <c r="N657" s="1">
        <v>47083</v>
      </c>
      <c r="O657" s="1">
        <v>38407.01</v>
      </c>
      <c r="P657" s="215">
        <f t="shared" si="106"/>
        <v>9.7420798688974131E-4</v>
      </c>
      <c r="Q657" s="215">
        <f t="shared" si="101"/>
        <v>-4.7509136372379301E-2</v>
      </c>
      <c r="R657" s="231">
        <v>11555067</v>
      </c>
      <c r="T657" s="230">
        <v>44054</v>
      </c>
      <c r="U657" s="1">
        <v>43.25</v>
      </c>
      <c r="V657" s="1">
        <v>43.974218107885903</v>
      </c>
      <c r="W657" s="1">
        <v>46234</v>
      </c>
      <c r="X657" s="1">
        <v>38407.01</v>
      </c>
      <c r="Y657" s="215">
        <f t="shared" si="107"/>
        <v>9.7420798688974131E-4</v>
      </c>
      <c r="Z657" s="215">
        <f t="shared" si="102"/>
        <v>-4.1019955654101992E-2</v>
      </c>
      <c r="AA657" s="231">
        <v>2033104</v>
      </c>
      <c r="AC657" s="230">
        <v>44083</v>
      </c>
      <c r="AD657" s="1">
        <v>34.1</v>
      </c>
      <c r="AE657" s="1">
        <v>33.088947344955102</v>
      </c>
      <c r="AF657" s="1">
        <v>22429</v>
      </c>
      <c r="AG657" s="1">
        <v>38193.919999999998</v>
      </c>
      <c r="AH657" s="215">
        <f t="shared" si="108"/>
        <v>-1.6642499340891126E-2</v>
      </c>
      <c r="AI657" s="215">
        <f t="shared" si="103"/>
        <v>4.4182621502208974E-3</v>
      </c>
      <c r="AJ657" s="231">
        <v>742152</v>
      </c>
      <c r="AL657" s="254"/>
      <c r="AQ657" s="215" t="str">
        <f t="shared" si="109"/>
        <v>NA</v>
      </c>
      <c r="AR657" s="215" t="str">
        <f t="shared" si="104"/>
        <v>NA</v>
      </c>
    </row>
    <row r="658" spans="2:44">
      <c r="B658" s="230">
        <v>44055</v>
      </c>
      <c r="C658" s="1">
        <v>233.35</v>
      </c>
      <c r="D658" s="1">
        <v>232.805350369335</v>
      </c>
      <c r="E658" s="1">
        <v>5009</v>
      </c>
      <c r="F658" s="215">
        <v>38369.629999999997</v>
      </c>
      <c r="G658" s="215">
        <f t="shared" si="105"/>
        <v>1.5437025211633149E-3</v>
      </c>
      <c r="H658" s="215">
        <f t="shared" si="100"/>
        <v>3.0242825607063928E-2</v>
      </c>
      <c r="I658" s="231">
        <v>1166122</v>
      </c>
      <c r="K658" s="230">
        <v>44055</v>
      </c>
      <c r="L658" s="1">
        <v>259.95</v>
      </c>
      <c r="M658" s="1">
        <v>259.63878643664401</v>
      </c>
      <c r="N658" s="1">
        <v>8405</v>
      </c>
      <c r="O658" s="1">
        <v>38369.629999999997</v>
      </c>
      <c r="P658" s="215">
        <f t="shared" si="106"/>
        <v>1.5437025211633149E-3</v>
      </c>
      <c r="Q658" s="215">
        <f t="shared" si="101"/>
        <v>-4.7453279589593222E-2</v>
      </c>
      <c r="R658" s="231">
        <v>2182264</v>
      </c>
      <c r="T658" s="230">
        <v>44055</v>
      </c>
      <c r="U658" s="1">
        <v>45.1</v>
      </c>
      <c r="V658" s="1">
        <v>44.385945209902303</v>
      </c>
      <c r="W658" s="1">
        <v>284942</v>
      </c>
      <c r="X658" s="1">
        <v>38369.629999999997</v>
      </c>
      <c r="Y658" s="215">
        <f t="shared" si="107"/>
        <v>1.5437025211633149E-3</v>
      </c>
      <c r="Z658" s="215">
        <f t="shared" si="102"/>
        <v>6.6964285714286031E-3</v>
      </c>
      <c r="AA658" s="231">
        <v>12647420</v>
      </c>
      <c r="AC658" s="230">
        <v>44084</v>
      </c>
      <c r="AD658" s="1">
        <v>33.950000000000003</v>
      </c>
      <c r="AE658" s="1">
        <v>34.056986757362999</v>
      </c>
      <c r="AF658" s="1">
        <v>27638</v>
      </c>
      <c r="AG658" s="1">
        <v>38840.32</v>
      </c>
      <c r="AH658" s="215">
        <f t="shared" si="108"/>
        <v>-3.662376735801276E-4</v>
      </c>
      <c r="AI658" s="215">
        <f t="shared" si="103"/>
        <v>3.1914893617021489E-2</v>
      </c>
      <c r="AJ658" s="231">
        <v>941267</v>
      </c>
      <c r="AL658" s="254"/>
      <c r="AQ658" s="215" t="str">
        <f t="shared" si="109"/>
        <v>NA</v>
      </c>
      <c r="AR658" s="215" t="str">
        <f t="shared" si="104"/>
        <v>NA</v>
      </c>
    </row>
    <row r="659" spans="2:44">
      <c r="B659" s="230">
        <v>44056</v>
      </c>
      <c r="C659" s="1">
        <v>226.5</v>
      </c>
      <c r="D659" s="1">
        <v>229.505943536404</v>
      </c>
      <c r="E659" s="1">
        <v>1346</v>
      </c>
      <c r="F659" s="215">
        <v>38310.49</v>
      </c>
      <c r="G659" s="215">
        <f t="shared" si="105"/>
        <v>1.1435597114264118E-2</v>
      </c>
      <c r="H659" s="215">
        <f t="shared" si="100"/>
        <v>9.8082924654478987E-3</v>
      </c>
      <c r="I659" s="231">
        <v>308915</v>
      </c>
      <c r="K659" s="230">
        <v>44056</v>
      </c>
      <c r="L659" s="1">
        <v>272.89999999999998</v>
      </c>
      <c r="M659" s="1">
        <v>272.89968847351997</v>
      </c>
      <c r="N659" s="1">
        <v>1605</v>
      </c>
      <c r="O659" s="1">
        <v>38310.49</v>
      </c>
      <c r="P659" s="215">
        <f t="shared" si="106"/>
        <v>1.1435597114264118E-2</v>
      </c>
      <c r="Q659" s="215">
        <f t="shared" si="101"/>
        <v>-2.1337636722252307E-2</v>
      </c>
      <c r="R659" s="231">
        <v>438004</v>
      </c>
      <c r="T659" s="230">
        <v>44056</v>
      </c>
      <c r="U659" s="1">
        <v>44.8</v>
      </c>
      <c r="V659" s="1">
        <v>45.176184349046601</v>
      </c>
      <c r="W659" s="1">
        <v>42745</v>
      </c>
      <c r="X659" s="1">
        <v>38310.49</v>
      </c>
      <c r="Y659" s="215">
        <f t="shared" si="107"/>
        <v>1.1435597114264118E-2</v>
      </c>
      <c r="Z659" s="215">
        <f t="shared" si="102"/>
        <v>-1.103752759381893E-2</v>
      </c>
      <c r="AA659" s="231">
        <v>1931056</v>
      </c>
      <c r="AC659" s="230">
        <v>44085</v>
      </c>
      <c r="AD659" s="1">
        <v>32.9</v>
      </c>
      <c r="AE659" s="1">
        <v>32.997210167389902</v>
      </c>
      <c r="AF659" s="1">
        <v>3226</v>
      </c>
      <c r="AG659" s="1">
        <v>38854.550000000003</v>
      </c>
      <c r="AH659" s="215">
        <f t="shared" si="108"/>
        <v>2.5265354598684731E-3</v>
      </c>
      <c r="AI659" s="215">
        <f t="shared" si="103"/>
        <v>0</v>
      </c>
      <c r="AJ659" s="231">
        <v>106449</v>
      </c>
      <c r="AL659" s="254"/>
      <c r="AQ659" s="215" t="str">
        <f t="shared" si="109"/>
        <v>NA</v>
      </c>
      <c r="AR659" s="215" t="str">
        <f t="shared" si="104"/>
        <v>NA</v>
      </c>
    </row>
    <row r="660" spans="2:44">
      <c r="B660" s="230">
        <v>44057</v>
      </c>
      <c r="C660" s="1">
        <v>224.3</v>
      </c>
      <c r="D660" s="1">
        <v>232.54003724394701</v>
      </c>
      <c r="E660" s="1">
        <v>1611</v>
      </c>
      <c r="F660" s="215">
        <v>37877.339999999997</v>
      </c>
      <c r="G660" s="215">
        <f t="shared" si="105"/>
        <v>-4.5581194393387037E-3</v>
      </c>
      <c r="H660" s="215">
        <f t="shared" si="100"/>
        <v>1.2184115523465877E-2</v>
      </c>
      <c r="I660" s="231">
        <v>374622</v>
      </c>
      <c r="K660" s="230">
        <v>44057</v>
      </c>
      <c r="L660" s="1">
        <v>278.85000000000002</v>
      </c>
      <c r="M660" s="1">
        <v>281.34960562280298</v>
      </c>
      <c r="N660" s="1">
        <v>128050</v>
      </c>
      <c r="O660" s="1">
        <v>37877.339999999997</v>
      </c>
      <c r="P660" s="215">
        <f t="shared" si="106"/>
        <v>-4.5581194393387037E-3</v>
      </c>
      <c r="Q660" s="215">
        <f t="shared" si="101"/>
        <v>-4.7480785653287727E-2</v>
      </c>
      <c r="R660" s="231">
        <v>36026817</v>
      </c>
      <c r="T660" s="230">
        <v>44057</v>
      </c>
      <c r="U660" s="1">
        <v>45.3</v>
      </c>
      <c r="V660" s="1">
        <v>45.230184201514703</v>
      </c>
      <c r="W660" s="1">
        <v>125569</v>
      </c>
      <c r="X660" s="1">
        <v>37877.339999999997</v>
      </c>
      <c r="Y660" s="215">
        <f t="shared" si="107"/>
        <v>-4.5581194393387037E-3</v>
      </c>
      <c r="Z660" s="215">
        <f t="shared" si="102"/>
        <v>-2.0540540540540553E-2</v>
      </c>
      <c r="AA660" s="231">
        <v>5679509</v>
      </c>
      <c r="AC660" s="230">
        <v>44088</v>
      </c>
      <c r="AD660" s="1">
        <v>32.9</v>
      </c>
      <c r="AE660" s="1">
        <v>33.168038843149603</v>
      </c>
      <c r="AF660" s="1">
        <v>9474</v>
      </c>
      <c r="AG660" s="1">
        <v>38756.629999999997</v>
      </c>
      <c r="AH660" s="215">
        <f t="shared" si="108"/>
        <v>-7.3690559581603976E-3</v>
      </c>
      <c r="AI660" s="215">
        <f t="shared" si="103"/>
        <v>9.2024539877300082E-3</v>
      </c>
      <c r="AJ660" s="231">
        <v>314234</v>
      </c>
      <c r="AL660" s="254"/>
      <c r="AQ660" s="215" t="str">
        <f t="shared" si="109"/>
        <v>NA</v>
      </c>
      <c r="AR660" s="215" t="str">
        <f t="shared" si="104"/>
        <v>NA</v>
      </c>
    </row>
    <row r="661" spans="2:44">
      <c r="B661" s="230">
        <v>44060</v>
      </c>
      <c r="C661" s="1">
        <v>221.6</v>
      </c>
      <c r="D661" s="1">
        <v>221.54355400696801</v>
      </c>
      <c r="E661" s="1">
        <v>2583</v>
      </c>
      <c r="F661" s="215">
        <v>38050.78</v>
      </c>
      <c r="G661" s="215">
        <f t="shared" si="105"/>
        <v>-1.2394519148512084E-2</v>
      </c>
      <c r="H661" s="215">
        <f t="shared" si="100"/>
        <v>-2.184948135069531E-2</v>
      </c>
      <c r="I661" s="231">
        <v>572247</v>
      </c>
      <c r="K661" s="230">
        <v>44060</v>
      </c>
      <c r="L661" s="1">
        <v>292.75</v>
      </c>
      <c r="M661" s="1">
        <v>292.104404093558</v>
      </c>
      <c r="N661" s="1">
        <v>65371</v>
      </c>
      <c r="O661" s="1">
        <v>38050.78</v>
      </c>
      <c r="P661" s="215">
        <f t="shared" si="106"/>
        <v>-1.2394519148512084E-2</v>
      </c>
      <c r="Q661" s="215">
        <f t="shared" si="101"/>
        <v>3.7201062887511016E-2</v>
      </c>
      <c r="R661" s="231">
        <v>19095157</v>
      </c>
      <c r="T661" s="230">
        <v>44060</v>
      </c>
      <c r="U661" s="1">
        <v>46.25</v>
      </c>
      <c r="V661" s="1">
        <v>46.058372253273099</v>
      </c>
      <c r="W661" s="1">
        <v>65305</v>
      </c>
      <c r="X661" s="1">
        <v>38050.78</v>
      </c>
      <c r="Y661" s="215">
        <f t="shared" si="107"/>
        <v>-1.2394519148512084E-2</v>
      </c>
      <c r="Z661" s="215">
        <f t="shared" si="102"/>
        <v>1.4254385964912242E-2</v>
      </c>
      <c r="AA661" s="231">
        <v>3007842</v>
      </c>
      <c r="AC661" s="230">
        <v>44089</v>
      </c>
      <c r="AD661" s="1">
        <v>32.6</v>
      </c>
      <c r="AE661" s="1">
        <v>32.422454804947598</v>
      </c>
      <c r="AF661" s="1">
        <v>1051</v>
      </c>
      <c r="AG661" s="1">
        <v>39044.35</v>
      </c>
      <c r="AH661" s="215">
        <f t="shared" si="108"/>
        <v>-6.5771311749657224E-3</v>
      </c>
      <c r="AI661" s="215">
        <f t="shared" si="103"/>
        <v>-1.0622154779969639E-2</v>
      </c>
      <c r="AJ661" s="231">
        <v>34076</v>
      </c>
      <c r="AL661" s="254"/>
      <c r="AQ661" s="215" t="str">
        <f t="shared" si="109"/>
        <v>NA</v>
      </c>
      <c r="AR661" s="215" t="str">
        <f t="shared" si="104"/>
        <v>NA</v>
      </c>
    </row>
    <row r="662" spans="2:44">
      <c r="B662" s="230">
        <v>44061</v>
      </c>
      <c r="C662" s="1">
        <v>226.55</v>
      </c>
      <c r="D662" s="1">
        <v>224.44251626898</v>
      </c>
      <c r="E662" s="1">
        <v>461</v>
      </c>
      <c r="F662" s="215">
        <v>38528.32</v>
      </c>
      <c r="G662" s="215">
        <f t="shared" si="105"/>
        <v>-2.2392974298189872E-3</v>
      </c>
      <c r="H662" s="215">
        <f t="shared" si="100"/>
        <v>-2.6219643240919854E-2</v>
      </c>
      <c r="I662" s="231">
        <v>103468</v>
      </c>
      <c r="K662" s="230">
        <v>44061</v>
      </c>
      <c r="L662" s="1">
        <v>282.25</v>
      </c>
      <c r="M662" s="1">
        <v>285.33024391876</v>
      </c>
      <c r="N662" s="1">
        <v>29887</v>
      </c>
      <c r="O662" s="1">
        <v>38528.32</v>
      </c>
      <c r="P662" s="215">
        <f t="shared" si="106"/>
        <v>-2.2392974298189872E-3</v>
      </c>
      <c r="Q662" s="215">
        <f t="shared" si="101"/>
        <v>2.9545869049790285E-2</v>
      </c>
      <c r="R662" s="231">
        <v>8527665</v>
      </c>
      <c r="T662" s="230">
        <v>44061</v>
      </c>
      <c r="U662" s="1">
        <v>45.6</v>
      </c>
      <c r="V662" s="1">
        <v>46.372980251346398</v>
      </c>
      <c r="W662" s="1">
        <v>33420</v>
      </c>
      <c r="X662" s="1">
        <v>38528.32</v>
      </c>
      <c r="Y662" s="215">
        <f t="shared" si="107"/>
        <v>-2.2392974298189872E-3</v>
      </c>
      <c r="Z662" s="215">
        <f t="shared" si="102"/>
        <v>-9.7719869706839324E-3</v>
      </c>
      <c r="AA662" s="231">
        <v>1549785</v>
      </c>
      <c r="AC662" s="230">
        <v>44090</v>
      </c>
      <c r="AD662" s="1">
        <v>32.950000000000003</v>
      </c>
      <c r="AE662" s="1">
        <v>32.765430636180497</v>
      </c>
      <c r="AF662" s="1">
        <v>8441</v>
      </c>
      <c r="AG662" s="1">
        <v>39302.85</v>
      </c>
      <c r="AH662" s="215">
        <f t="shared" si="108"/>
        <v>8.2863325538706789E-3</v>
      </c>
      <c r="AI662" s="215">
        <f t="shared" si="103"/>
        <v>2.170542635658923E-2</v>
      </c>
      <c r="AJ662" s="231">
        <v>276573</v>
      </c>
      <c r="AL662" s="254"/>
      <c r="AQ662" s="215" t="str">
        <f t="shared" si="109"/>
        <v>NA</v>
      </c>
      <c r="AR662" s="215" t="str">
        <f t="shared" si="104"/>
        <v>NA</v>
      </c>
    </row>
    <row r="663" spans="2:44">
      <c r="B663" s="230">
        <v>44062</v>
      </c>
      <c r="C663" s="1">
        <v>232.65</v>
      </c>
      <c r="D663" s="1">
        <v>236.62033898305</v>
      </c>
      <c r="E663" s="1">
        <v>1180</v>
      </c>
      <c r="F663" s="215">
        <v>38614.79</v>
      </c>
      <c r="G663" s="215">
        <f t="shared" si="105"/>
        <v>1.0319099307987134E-2</v>
      </c>
      <c r="H663" s="215">
        <f t="shared" si="100"/>
        <v>-1.3149522799575819E-2</v>
      </c>
      <c r="I663" s="231">
        <v>279212</v>
      </c>
      <c r="K663" s="230">
        <v>44062</v>
      </c>
      <c r="L663" s="1">
        <v>274.14999999999998</v>
      </c>
      <c r="M663" s="1">
        <v>277.3911309929</v>
      </c>
      <c r="N663" s="1">
        <v>10283</v>
      </c>
      <c r="O663" s="1">
        <v>38614.79</v>
      </c>
      <c r="P663" s="215">
        <f t="shared" si="106"/>
        <v>1.0319099307987134E-2</v>
      </c>
      <c r="Q663" s="215">
        <f t="shared" si="101"/>
        <v>-4.7594233107521422E-2</v>
      </c>
      <c r="R663" s="231">
        <v>2852413</v>
      </c>
      <c r="T663" s="230">
        <v>44062</v>
      </c>
      <c r="U663" s="1">
        <v>46.05</v>
      </c>
      <c r="V663" s="1">
        <v>46.230096025282599</v>
      </c>
      <c r="W663" s="1">
        <v>32908</v>
      </c>
      <c r="X663" s="1">
        <v>38614.79</v>
      </c>
      <c r="Y663" s="215">
        <f t="shared" si="107"/>
        <v>1.0319099307987134E-2</v>
      </c>
      <c r="Z663" s="215">
        <f t="shared" si="102"/>
        <v>-3.5602094240837712E-2</v>
      </c>
      <c r="AA663" s="231">
        <v>1521340</v>
      </c>
      <c r="AC663" s="230">
        <v>44091</v>
      </c>
      <c r="AD663" s="1">
        <v>32.25</v>
      </c>
      <c r="AE663" s="1">
        <v>31.904942965779401</v>
      </c>
      <c r="AF663" s="1">
        <v>789</v>
      </c>
      <c r="AG663" s="1">
        <v>38979.85</v>
      </c>
      <c r="AH663" s="215">
        <f t="shared" si="108"/>
        <v>3.4503068798650283E-3</v>
      </c>
      <c r="AI663" s="215">
        <f t="shared" si="103"/>
        <v>7.8125E-3</v>
      </c>
      <c r="AJ663" s="231">
        <v>25173</v>
      </c>
      <c r="AL663" s="254"/>
      <c r="AQ663" s="215" t="str">
        <f t="shared" si="109"/>
        <v>NA</v>
      </c>
      <c r="AR663" s="215" t="str">
        <f t="shared" si="104"/>
        <v>NA</v>
      </c>
    </row>
    <row r="664" spans="2:44">
      <c r="B664" s="230">
        <v>44063</v>
      </c>
      <c r="C664" s="1">
        <v>235.75</v>
      </c>
      <c r="D664" s="1">
        <v>234.864116094986</v>
      </c>
      <c r="E664" s="1">
        <v>758</v>
      </c>
      <c r="F664" s="215">
        <v>38220.39</v>
      </c>
      <c r="G664" s="215">
        <f t="shared" si="105"/>
        <v>-5.5764683598580334E-3</v>
      </c>
      <c r="H664" s="215">
        <f t="shared" si="100"/>
        <v>-1.832188215698527E-2</v>
      </c>
      <c r="I664" s="231">
        <v>178027</v>
      </c>
      <c r="K664" s="230">
        <v>44063</v>
      </c>
      <c r="L664" s="1">
        <v>287.85000000000002</v>
      </c>
      <c r="M664" s="1">
        <v>286.335620785402</v>
      </c>
      <c r="N664" s="1">
        <v>25210</v>
      </c>
      <c r="O664" s="1">
        <v>38220.39</v>
      </c>
      <c r="P664" s="215">
        <f t="shared" si="106"/>
        <v>-5.5764683598580334E-3</v>
      </c>
      <c r="Q664" s="215">
        <f t="shared" si="101"/>
        <v>-4.7485109199205677E-2</v>
      </c>
      <c r="R664" s="231">
        <v>7218521</v>
      </c>
      <c r="T664" s="230">
        <v>44063</v>
      </c>
      <c r="U664" s="1">
        <v>47.75</v>
      </c>
      <c r="V664" s="1">
        <v>47.695646686249297</v>
      </c>
      <c r="W664" s="1">
        <v>87152</v>
      </c>
      <c r="X664" s="1">
        <v>38220.39</v>
      </c>
      <c r="Y664" s="215">
        <f t="shared" si="107"/>
        <v>-5.5764683598580334E-3</v>
      </c>
      <c r="Z664" s="215">
        <f t="shared" si="102"/>
        <v>-3.1440162271805239E-2</v>
      </c>
      <c r="AA664" s="231">
        <v>4156771</v>
      </c>
      <c r="AC664" s="230">
        <v>44092</v>
      </c>
      <c r="AD664" s="1">
        <v>32</v>
      </c>
      <c r="AE664" s="1">
        <v>31.914882226980701</v>
      </c>
      <c r="AF664" s="1">
        <v>1868</v>
      </c>
      <c r="AG664" s="1">
        <v>38845.82</v>
      </c>
      <c r="AH664" s="215">
        <f t="shared" si="108"/>
        <v>2.1340826951785852E-2</v>
      </c>
      <c r="AI664" s="215">
        <f t="shared" si="103"/>
        <v>3.2258064516129004E-2</v>
      </c>
      <c r="AJ664" s="231">
        <v>59617</v>
      </c>
      <c r="AL664" s="254"/>
      <c r="AQ664" s="215" t="str">
        <f t="shared" si="109"/>
        <v>NA</v>
      </c>
      <c r="AR664" s="215" t="str">
        <f t="shared" si="104"/>
        <v>NA</v>
      </c>
    </row>
    <row r="665" spans="2:44">
      <c r="B665" s="230">
        <v>44064</v>
      </c>
      <c r="C665" s="1">
        <v>240.15</v>
      </c>
      <c r="D665" s="1">
        <v>238.70428571428499</v>
      </c>
      <c r="E665" s="1">
        <v>1400</v>
      </c>
      <c r="F665" s="215">
        <v>38434.720000000001</v>
      </c>
      <c r="G665" s="215">
        <f t="shared" si="105"/>
        <v>-9.3909443213602284E-3</v>
      </c>
      <c r="H665" s="215">
        <f t="shared" si="100"/>
        <v>1.2223393045310837E-2</v>
      </c>
      <c r="I665" s="231">
        <v>334186</v>
      </c>
      <c r="K665" s="230">
        <v>44064</v>
      </c>
      <c r="L665" s="1">
        <v>302.2</v>
      </c>
      <c r="M665" s="1">
        <v>300.39803873631502</v>
      </c>
      <c r="N665" s="1">
        <v>36813</v>
      </c>
      <c r="O665" s="1">
        <v>38434.720000000001</v>
      </c>
      <c r="P665" s="215">
        <f t="shared" si="106"/>
        <v>-9.3909443213602284E-3</v>
      </c>
      <c r="Q665" s="215">
        <f t="shared" si="101"/>
        <v>-4.7589032461393121E-2</v>
      </c>
      <c r="R665" s="231">
        <v>11058553</v>
      </c>
      <c r="T665" s="230">
        <v>44064</v>
      </c>
      <c r="U665" s="1">
        <v>49.3</v>
      </c>
      <c r="V665" s="1">
        <v>49.756882398819997</v>
      </c>
      <c r="W665" s="1">
        <v>129497</v>
      </c>
      <c r="X665" s="1">
        <v>38434.720000000001</v>
      </c>
      <c r="Y665" s="215">
        <f t="shared" si="107"/>
        <v>-9.3909443213602284E-3</v>
      </c>
      <c r="Z665" s="215">
        <f t="shared" si="102"/>
        <v>3.7894736842105203E-2</v>
      </c>
      <c r="AA665" s="231">
        <v>6443367</v>
      </c>
      <c r="AC665" s="230">
        <v>44095</v>
      </c>
      <c r="AD665" s="1">
        <v>31</v>
      </c>
      <c r="AE665" s="1">
        <v>31.040459965928399</v>
      </c>
      <c r="AF665" s="1">
        <v>2348</v>
      </c>
      <c r="AG665" s="1">
        <v>38034.14</v>
      </c>
      <c r="AH665" s="215">
        <f t="shared" si="108"/>
        <v>7.9519627880153543E-3</v>
      </c>
      <c r="AI665" s="215">
        <f t="shared" si="103"/>
        <v>-4.9079754601227044E-2</v>
      </c>
      <c r="AJ665" s="231">
        <v>72883</v>
      </c>
      <c r="AL665" s="254"/>
      <c r="AQ665" s="215" t="str">
        <f t="shared" si="109"/>
        <v>NA</v>
      </c>
      <c r="AR665" s="215" t="str">
        <f t="shared" si="104"/>
        <v>NA</v>
      </c>
    </row>
    <row r="666" spans="2:44">
      <c r="B666" s="230">
        <v>44067</v>
      </c>
      <c r="C666" s="1">
        <v>237.25</v>
      </c>
      <c r="D666" s="1">
        <v>236.69225449515901</v>
      </c>
      <c r="E666" s="1">
        <v>1446</v>
      </c>
      <c r="F666" s="215">
        <v>38799.08</v>
      </c>
      <c r="G666" s="215">
        <f t="shared" si="105"/>
        <v>-1.1533348367875895E-3</v>
      </c>
      <c r="H666" s="215">
        <f t="shared" si="100"/>
        <v>-1.3513513513513487E-2</v>
      </c>
      <c r="I666" s="231">
        <v>342257</v>
      </c>
      <c r="K666" s="230">
        <v>44067</v>
      </c>
      <c r="L666" s="1">
        <v>317.3</v>
      </c>
      <c r="M666" s="1">
        <v>316.27010982487297</v>
      </c>
      <c r="N666" s="1">
        <v>6738</v>
      </c>
      <c r="O666" s="1">
        <v>38799.08</v>
      </c>
      <c r="P666" s="215">
        <f t="shared" si="106"/>
        <v>-1.1533348367875895E-3</v>
      </c>
      <c r="Q666" s="215">
        <f t="shared" si="101"/>
        <v>-1.3983840894965849E-2</v>
      </c>
      <c r="R666" s="231">
        <v>2131028</v>
      </c>
      <c r="T666" s="230">
        <v>44067</v>
      </c>
      <c r="U666" s="1">
        <v>47.5</v>
      </c>
      <c r="V666" s="1">
        <v>48.106554102639201</v>
      </c>
      <c r="W666" s="1">
        <v>187745</v>
      </c>
      <c r="X666" s="1">
        <v>38799.08</v>
      </c>
      <c r="Y666" s="215">
        <f t="shared" si="107"/>
        <v>-1.1533348367875895E-3</v>
      </c>
      <c r="Z666" s="215">
        <f t="shared" si="102"/>
        <v>2.1097046413502962E-3</v>
      </c>
      <c r="AA666" s="231">
        <v>9031765</v>
      </c>
      <c r="AC666" s="230">
        <v>44096</v>
      </c>
      <c r="AD666" s="1">
        <v>32.6</v>
      </c>
      <c r="AE666" s="1">
        <v>31.5114715189873</v>
      </c>
      <c r="AF666" s="1">
        <v>5056</v>
      </c>
      <c r="AG666" s="1">
        <v>37734.080000000002</v>
      </c>
      <c r="AH666" s="215">
        <f t="shared" si="108"/>
        <v>1.7431047014979661E-3</v>
      </c>
      <c r="AI666" s="215">
        <f t="shared" si="103"/>
        <v>3.4920634920635019E-2</v>
      </c>
      <c r="AJ666" s="231">
        <v>159322</v>
      </c>
      <c r="AL666" s="254"/>
      <c r="AQ666" s="215" t="str">
        <f t="shared" si="109"/>
        <v>NA</v>
      </c>
      <c r="AR666" s="215" t="str">
        <f t="shared" si="104"/>
        <v>NA</v>
      </c>
    </row>
    <row r="667" spans="2:44">
      <c r="B667" s="230">
        <v>44068</v>
      </c>
      <c r="C667" s="1">
        <v>240.5</v>
      </c>
      <c r="D667" s="1">
        <v>238.82536487166499</v>
      </c>
      <c r="E667" s="1">
        <v>3974</v>
      </c>
      <c r="F667" s="215">
        <v>38843.879999999997</v>
      </c>
      <c r="G667" s="215">
        <f t="shared" si="105"/>
        <v>-5.8873028352415258E-3</v>
      </c>
      <c r="H667" s="215">
        <f t="shared" si="100"/>
        <v>5.1136363636363535E-2</v>
      </c>
      <c r="I667" s="231">
        <v>949092</v>
      </c>
      <c r="K667" s="230">
        <v>44068</v>
      </c>
      <c r="L667" s="1">
        <v>321.8</v>
      </c>
      <c r="M667" s="1">
        <v>321.31126823293602</v>
      </c>
      <c r="N667" s="1">
        <v>89810</v>
      </c>
      <c r="O667" s="1">
        <v>38843.879999999997</v>
      </c>
      <c r="P667" s="215">
        <f t="shared" si="106"/>
        <v>-5.8873028352415258E-3</v>
      </c>
      <c r="Q667" s="215">
        <f t="shared" si="101"/>
        <v>-4.7506289773568189E-2</v>
      </c>
      <c r="R667" s="231">
        <v>28856965</v>
      </c>
      <c r="T667" s="230">
        <v>44068</v>
      </c>
      <c r="U667" s="1">
        <v>47.4</v>
      </c>
      <c r="V667" s="1">
        <v>46.944982434702901</v>
      </c>
      <c r="W667" s="1">
        <v>65470</v>
      </c>
      <c r="X667" s="1">
        <v>38843.879999999997</v>
      </c>
      <c r="Y667" s="215">
        <f t="shared" si="107"/>
        <v>-5.8873028352415258E-3</v>
      </c>
      <c r="Z667" s="215">
        <f t="shared" si="102"/>
        <v>-8.3682008368201055E-3</v>
      </c>
      <c r="AA667" s="231">
        <v>3073488</v>
      </c>
      <c r="AC667" s="230">
        <v>44097</v>
      </c>
      <c r="AD667" s="1">
        <v>31.5</v>
      </c>
      <c r="AE667" s="1">
        <v>31.5</v>
      </c>
      <c r="AF667" s="1">
        <v>2</v>
      </c>
      <c r="AG667" s="1">
        <v>37668.42</v>
      </c>
      <c r="AH667" s="215">
        <f t="shared" si="108"/>
        <v>3.0498227260789657E-2</v>
      </c>
      <c r="AI667" s="215">
        <f t="shared" si="103"/>
        <v>4.6511627906976605E-2</v>
      </c>
      <c r="AJ667" s="231">
        <v>63</v>
      </c>
      <c r="AL667" s="254"/>
      <c r="AQ667" s="215" t="str">
        <f t="shared" si="109"/>
        <v>NA</v>
      </c>
      <c r="AR667" s="215" t="str">
        <f t="shared" si="104"/>
        <v>NA</v>
      </c>
    </row>
    <row r="668" spans="2:44">
      <c r="B668" s="230">
        <v>44069</v>
      </c>
      <c r="C668" s="1">
        <v>228.8</v>
      </c>
      <c r="D668" s="1">
        <v>233.499201277955</v>
      </c>
      <c r="E668" s="1">
        <v>2504</v>
      </c>
      <c r="F668" s="215">
        <v>39073.919999999998</v>
      </c>
      <c r="G668" s="215">
        <f t="shared" si="105"/>
        <v>-1.0111606052851663E-3</v>
      </c>
      <c r="H668" s="215">
        <f t="shared" si="100"/>
        <v>-6.2975027144407392E-3</v>
      </c>
      <c r="I668" s="231">
        <v>584682</v>
      </c>
      <c r="K668" s="230">
        <v>44069</v>
      </c>
      <c r="L668" s="1">
        <v>337.85</v>
      </c>
      <c r="M668" s="1">
        <v>335.21271544143502</v>
      </c>
      <c r="N668" s="1">
        <v>34116</v>
      </c>
      <c r="O668" s="1">
        <v>39073.919999999998</v>
      </c>
      <c r="P668" s="215">
        <f t="shared" si="106"/>
        <v>-1.0111606052851663E-3</v>
      </c>
      <c r="Q668" s="215">
        <f t="shared" si="101"/>
        <v>3.9698415140791088E-2</v>
      </c>
      <c r="R668" s="231">
        <v>11436117</v>
      </c>
      <c r="T668" s="230">
        <v>44069</v>
      </c>
      <c r="U668" s="1">
        <v>47.8</v>
      </c>
      <c r="V668" s="1">
        <v>48.117078318407302</v>
      </c>
      <c r="W668" s="1">
        <v>70124</v>
      </c>
      <c r="X668" s="1">
        <v>39073.919999999998</v>
      </c>
      <c r="Y668" s="215">
        <f t="shared" si="107"/>
        <v>-1.0111606052851663E-3</v>
      </c>
      <c r="Z668" s="215">
        <f t="shared" si="102"/>
        <v>1.2711864406779627E-2</v>
      </c>
      <c r="AA668" s="231">
        <v>3374162</v>
      </c>
      <c r="AC668" s="230">
        <v>44098</v>
      </c>
      <c r="AD668" s="1">
        <v>30.1</v>
      </c>
      <c r="AE668" s="1">
        <v>30.355163727959599</v>
      </c>
      <c r="AF668" s="1">
        <v>1191</v>
      </c>
      <c r="AG668" s="1">
        <v>36553.599999999999</v>
      </c>
      <c r="AH668" s="215">
        <f t="shared" si="108"/>
        <v>-2.2334579522240272E-2</v>
      </c>
      <c r="AI668" s="215">
        <f t="shared" si="103"/>
        <v>-6.0842433697347764E-2</v>
      </c>
      <c r="AJ668" s="231">
        <v>36153</v>
      </c>
      <c r="AL668" s="254"/>
      <c r="AQ668" s="215" t="str">
        <f t="shared" si="109"/>
        <v>NA</v>
      </c>
      <c r="AR668" s="215" t="str">
        <f t="shared" si="104"/>
        <v>NA</v>
      </c>
    </row>
    <row r="669" spans="2:44">
      <c r="B669" s="230">
        <v>44070</v>
      </c>
      <c r="C669" s="1">
        <v>230.25</v>
      </c>
      <c r="D669" s="1">
        <v>230.17607187894001</v>
      </c>
      <c r="E669" s="1">
        <v>6344</v>
      </c>
      <c r="F669" s="215">
        <v>39113.47</v>
      </c>
      <c r="G669" s="215">
        <f t="shared" si="105"/>
        <v>-8.9653943985540385E-3</v>
      </c>
      <c r="H669" s="215">
        <f t="shared" si="100"/>
        <v>1.9256308100929598E-2</v>
      </c>
      <c r="I669" s="231">
        <v>1460237</v>
      </c>
      <c r="K669" s="230">
        <v>44070</v>
      </c>
      <c r="L669" s="1">
        <v>324.95</v>
      </c>
      <c r="M669" s="1">
        <v>347.590382286801</v>
      </c>
      <c r="N669" s="1">
        <v>75153</v>
      </c>
      <c r="O669" s="1">
        <v>39113.47</v>
      </c>
      <c r="P669" s="215">
        <f t="shared" si="106"/>
        <v>-8.9653943985540385E-3</v>
      </c>
      <c r="Q669" s="215">
        <f t="shared" si="101"/>
        <v>2.2820270695624867E-2</v>
      </c>
      <c r="R669" s="231">
        <v>26122460</v>
      </c>
      <c r="T669" s="230">
        <v>44070</v>
      </c>
      <c r="U669" s="1">
        <v>47.2</v>
      </c>
      <c r="V669" s="1">
        <v>47.775853705859497</v>
      </c>
      <c r="W669" s="1">
        <v>20616</v>
      </c>
      <c r="X669" s="1">
        <v>39113.47</v>
      </c>
      <c r="Y669" s="215">
        <f t="shared" si="107"/>
        <v>-8.9653943985540385E-3</v>
      </c>
      <c r="Z669" s="215">
        <f t="shared" si="102"/>
        <v>2.1231422505307851E-3</v>
      </c>
      <c r="AA669" s="231">
        <v>984947</v>
      </c>
      <c r="AC669" s="230">
        <v>44099</v>
      </c>
      <c r="AD669" s="1">
        <v>32.049999999999997</v>
      </c>
      <c r="AE669" s="1">
        <v>32.041515308770101</v>
      </c>
      <c r="AF669" s="1">
        <v>3854</v>
      </c>
      <c r="AG669" s="1">
        <v>37388.660000000003</v>
      </c>
      <c r="AH669" s="215">
        <f t="shared" si="108"/>
        <v>-1.5612020863770004E-2</v>
      </c>
      <c r="AI669" s="215">
        <f t="shared" si="103"/>
        <v>-2.286585365853655E-2</v>
      </c>
      <c r="AJ669" s="231">
        <v>123488</v>
      </c>
      <c r="AL669" s="254"/>
      <c r="AQ669" s="215" t="str">
        <f t="shared" si="109"/>
        <v>NA</v>
      </c>
      <c r="AR669" s="215" t="str">
        <f t="shared" si="104"/>
        <v>NA</v>
      </c>
    </row>
    <row r="670" spans="2:44">
      <c r="B670" s="230">
        <v>44071</v>
      </c>
      <c r="C670" s="1">
        <v>225.9</v>
      </c>
      <c r="D670" s="1">
        <v>223.96257119609399</v>
      </c>
      <c r="E670" s="1">
        <v>1229</v>
      </c>
      <c r="F670" s="215">
        <v>39467.31</v>
      </c>
      <c r="G670" s="215">
        <f t="shared" si="105"/>
        <v>2.1720350551370338E-2</v>
      </c>
      <c r="H670" s="215">
        <f t="shared" si="100"/>
        <v>6.6068900424728572E-2</v>
      </c>
      <c r="I670" s="231">
        <v>275250</v>
      </c>
      <c r="K670" s="230">
        <v>44071</v>
      </c>
      <c r="L670" s="1">
        <v>317.7</v>
      </c>
      <c r="M670" s="1">
        <v>323.05961999631</v>
      </c>
      <c r="N670" s="1">
        <v>27105</v>
      </c>
      <c r="O670" s="1">
        <v>39467.31</v>
      </c>
      <c r="P670" s="215">
        <f t="shared" si="106"/>
        <v>2.1720350551370338E-2</v>
      </c>
      <c r="Q670" s="215">
        <f t="shared" si="101"/>
        <v>5.2509524598310264E-2</v>
      </c>
      <c r="R670" s="231">
        <v>8756531</v>
      </c>
      <c r="T670" s="230">
        <v>44071</v>
      </c>
      <c r="U670" s="1">
        <v>47.1</v>
      </c>
      <c r="V670" s="1">
        <v>47.129732289606302</v>
      </c>
      <c r="W670" s="1">
        <v>35897</v>
      </c>
      <c r="X670" s="1">
        <v>39467.31</v>
      </c>
      <c r="Y670" s="215">
        <f t="shared" si="107"/>
        <v>2.1720350551370338E-2</v>
      </c>
      <c r="Z670" s="215">
        <f t="shared" si="102"/>
        <v>4.0883977900552537E-2</v>
      </c>
      <c r="AA670" s="231">
        <v>1691816</v>
      </c>
      <c r="AC670" s="230">
        <v>44102</v>
      </c>
      <c r="AD670" s="1">
        <v>32.799999999999997</v>
      </c>
      <c r="AE670" s="1">
        <v>32.654209815398403</v>
      </c>
      <c r="AF670" s="1">
        <v>2221</v>
      </c>
      <c r="AG670" s="1">
        <v>37981.629999999997</v>
      </c>
      <c r="AH670" s="215">
        <f t="shared" si="108"/>
        <v>2.214718688591244E-4</v>
      </c>
      <c r="AI670" s="215">
        <f t="shared" si="103"/>
        <v>2.4999999999999911E-2</v>
      </c>
      <c r="AJ670" s="231">
        <v>72525</v>
      </c>
      <c r="AL670" s="254"/>
      <c r="AQ670" s="215" t="str">
        <f t="shared" si="109"/>
        <v>NA</v>
      </c>
      <c r="AR670" s="215" t="str">
        <f t="shared" si="104"/>
        <v>NA</v>
      </c>
    </row>
    <row r="671" spans="2:44">
      <c r="B671" s="230">
        <v>44074</v>
      </c>
      <c r="C671" s="1">
        <v>211.9</v>
      </c>
      <c r="D671" s="1">
        <v>217.47799779977899</v>
      </c>
      <c r="E671" s="1">
        <v>1818</v>
      </c>
      <c r="F671" s="215">
        <v>38628.29</v>
      </c>
      <c r="G671" s="215">
        <f t="shared" si="105"/>
        <v>-7.0052543906552467E-3</v>
      </c>
      <c r="H671" s="215">
        <f t="shared" si="100"/>
        <v>-3.681818181818175E-2</v>
      </c>
      <c r="I671" s="231">
        <v>395375</v>
      </c>
      <c r="K671" s="230">
        <v>44074</v>
      </c>
      <c r="L671" s="1">
        <v>301.85000000000002</v>
      </c>
      <c r="M671" s="1">
        <v>307.77271363032099</v>
      </c>
      <c r="N671" s="1">
        <v>23323</v>
      </c>
      <c r="O671" s="1">
        <v>38628.29</v>
      </c>
      <c r="P671" s="215">
        <f t="shared" si="106"/>
        <v>-7.0052543906552467E-3</v>
      </c>
      <c r="Q671" s="215">
        <f t="shared" si="101"/>
        <v>-2.676124455908413E-2</v>
      </c>
      <c r="R671" s="231">
        <v>7178183</v>
      </c>
      <c r="T671" s="230">
        <v>44074</v>
      </c>
      <c r="U671" s="1">
        <v>45.25</v>
      </c>
      <c r="V671" s="1">
        <v>45.5665004242286</v>
      </c>
      <c r="W671" s="1">
        <v>144969</v>
      </c>
      <c r="X671" s="1">
        <v>38628.29</v>
      </c>
      <c r="Y671" s="215">
        <f t="shared" si="107"/>
        <v>-7.0052543906552467E-3</v>
      </c>
      <c r="Z671" s="215">
        <f t="shared" si="102"/>
        <v>-5.494505494505475E-3</v>
      </c>
      <c r="AA671" s="231">
        <v>6605730</v>
      </c>
      <c r="AC671" s="230">
        <v>44103</v>
      </c>
      <c r="AD671" s="1">
        <v>32</v>
      </c>
      <c r="AE671" s="1">
        <v>32.076923076923002</v>
      </c>
      <c r="AF671" s="1">
        <v>65</v>
      </c>
      <c r="AG671" s="1">
        <v>37973.22</v>
      </c>
      <c r="AH671" s="215">
        <f t="shared" si="108"/>
        <v>-2.4879209350232578E-3</v>
      </c>
      <c r="AI671" s="215">
        <f t="shared" si="103"/>
        <v>4.7095761381474865E-3</v>
      </c>
      <c r="AJ671" s="231">
        <v>2085</v>
      </c>
      <c r="AL671" s="254"/>
      <c r="AQ671" s="215" t="str">
        <f t="shared" si="109"/>
        <v>NA</v>
      </c>
      <c r="AR671" s="215" t="str">
        <f t="shared" si="104"/>
        <v>NA</v>
      </c>
    </row>
    <row r="672" spans="2:44">
      <c r="B672" s="230">
        <v>44075</v>
      </c>
      <c r="C672" s="1">
        <v>220</v>
      </c>
      <c r="D672" s="1">
        <v>209.208092485549</v>
      </c>
      <c r="E672" s="1">
        <v>173</v>
      </c>
      <c r="F672" s="215">
        <v>38900.800000000003</v>
      </c>
      <c r="G672" s="215">
        <f t="shared" si="105"/>
        <v>-4.7390333579541144E-3</v>
      </c>
      <c r="H672" s="215">
        <f t="shared" si="100"/>
        <v>4.0435091038070414E-2</v>
      </c>
      <c r="I672" s="231">
        <v>36193</v>
      </c>
      <c r="K672" s="230">
        <v>44075</v>
      </c>
      <c r="L672" s="1">
        <v>310.14999999999998</v>
      </c>
      <c r="M672" s="1">
        <v>298.19621711407501</v>
      </c>
      <c r="N672" s="1">
        <v>18663</v>
      </c>
      <c r="O672" s="1">
        <v>38900.800000000003</v>
      </c>
      <c r="P672" s="215">
        <f t="shared" si="106"/>
        <v>-4.7390333579541144E-3</v>
      </c>
      <c r="Q672" s="215">
        <f t="shared" si="101"/>
        <v>-4.3779867427162111E-2</v>
      </c>
      <c r="R672" s="231">
        <v>5565236</v>
      </c>
      <c r="T672" s="230">
        <v>44075</v>
      </c>
      <c r="U672" s="1">
        <v>45.5</v>
      </c>
      <c r="V672" s="1">
        <v>44.333446404341899</v>
      </c>
      <c r="W672" s="1">
        <v>26532</v>
      </c>
      <c r="X672" s="1">
        <v>38900.800000000003</v>
      </c>
      <c r="Y672" s="215">
        <f t="shared" si="107"/>
        <v>-4.7390333579541144E-3</v>
      </c>
      <c r="Z672" s="215">
        <f t="shared" si="102"/>
        <v>-2.4651661307609873E-2</v>
      </c>
      <c r="AA672" s="231">
        <v>1176255</v>
      </c>
      <c r="AC672" s="230">
        <v>44104</v>
      </c>
      <c r="AD672" s="1">
        <v>31.85</v>
      </c>
      <c r="AE672" s="1">
        <v>31.586820083681999</v>
      </c>
      <c r="AF672" s="1">
        <v>956</v>
      </c>
      <c r="AG672" s="1">
        <v>38067.93</v>
      </c>
      <c r="AH672" s="215">
        <f t="shared" si="108"/>
        <v>-1.6257570021487533E-2</v>
      </c>
      <c r="AI672" s="215">
        <f t="shared" si="103"/>
        <v>7.9113924050633333E-3</v>
      </c>
      <c r="AJ672" s="231">
        <v>30197</v>
      </c>
      <c r="AL672" s="254"/>
      <c r="AQ672" s="215" t="str">
        <f t="shared" si="109"/>
        <v>NA</v>
      </c>
      <c r="AR672" s="215" t="str">
        <f t="shared" si="104"/>
        <v>NA</v>
      </c>
    </row>
    <row r="673" spans="2:44">
      <c r="B673" s="230">
        <v>44076</v>
      </c>
      <c r="C673" s="1">
        <v>211.45</v>
      </c>
      <c r="D673" s="1">
        <v>212.16949152542301</v>
      </c>
      <c r="E673" s="1">
        <v>531</v>
      </c>
      <c r="F673" s="215">
        <v>39086.03</v>
      </c>
      <c r="G673" s="215">
        <f t="shared" si="105"/>
        <v>2.4387716736244958E-3</v>
      </c>
      <c r="H673" s="215">
        <f t="shared" si="100"/>
        <v>-3.8645146624232796E-2</v>
      </c>
      <c r="I673" s="231">
        <v>112662</v>
      </c>
      <c r="K673" s="230">
        <v>44076</v>
      </c>
      <c r="L673" s="1">
        <v>324.35000000000002</v>
      </c>
      <c r="M673" s="1">
        <v>322.75787915723402</v>
      </c>
      <c r="N673" s="1">
        <v>22972</v>
      </c>
      <c r="O673" s="1">
        <v>39086.03</v>
      </c>
      <c r="P673" s="215">
        <f t="shared" si="106"/>
        <v>2.4387716736244958E-3</v>
      </c>
      <c r="Q673" s="215">
        <f t="shared" si="101"/>
        <v>4.0417000801924674E-2</v>
      </c>
      <c r="R673" s="231">
        <v>7414394</v>
      </c>
      <c r="T673" s="230">
        <v>44076</v>
      </c>
      <c r="U673" s="1">
        <v>46.65</v>
      </c>
      <c r="V673" s="1">
        <v>45.885549185411499</v>
      </c>
      <c r="W673" s="1">
        <v>66107</v>
      </c>
      <c r="X673" s="1">
        <v>39086.03</v>
      </c>
      <c r="Y673" s="215">
        <f t="shared" si="107"/>
        <v>2.4387716736244958E-3</v>
      </c>
      <c r="Z673" s="215">
        <f t="shared" si="102"/>
        <v>-1.7894736842105297E-2</v>
      </c>
      <c r="AA673" s="231">
        <v>3033356</v>
      </c>
      <c r="AC673" s="230">
        <v>44105</v>
      </c>
      <c r="AD673" s="1">
        <v>31.6</v>
      </c>
      <c r="AE673" s="1">
        <v>31.286046511627902</v>
      </c>
      <c r="AF673" s="1">
        <v>2150</v>
      </c>
      <c r="AG673" s="1">
        <v>38697.050000000003</v>
      </c>
      <c r="AH673" s="215">
        <f t="shared" si="108"/>
        <v>-7.0983765975515256E-3</v>
      </c>
      <c r="AI673" s="215">
        <f t="shared" si="103"/>
        <v>2.7642276422764178E-2</v>
      </c>
      <c r="AJ673" s="231">
        <v>67265</v>
      </c>
      <c r="AL673" s="254"/>
      <c r="AQ673" s="215" t="str">
        <f t="shared" si="109"/>
        <v>NA</v>
      </c>
      <c r="AR673" s="215" t="str">
        <f t="shared" si="104"/>
        <v>NA</v>
      </c>
    </row>
    <row r="674" spans="2:44">
      <c r="B674" s="230">
        <v>44077</v>
      </c>
      <c r="C674" s="1">
        <v>219.95</v>
      </c>
      <c r="D674" s="1">
        <v>219.461267605633</v>
      </c>
      <c r="E674" s="1">
        <v>284</v>
      </c>
      <c r="F674" s="215">
        <v>38990.94</v>
      </c>
      <c r="G674" s="215">
        <f t="shared" si="105"/>
        <v>1.6522591076820525E-2</v>
      </c>
      <c r="H674" s="215">
        <f t="shared" si="100"/>
        <v>2.0649651972157734E-2</v>
      </c>
      <c r="I674" s="231">
        <v>62327</v>
      </c>
      <c r="K674" s="230">
        <v>44077</v>
      </c>
      <c r="L674" s="1">
        <v>311.75</v>
      </c>
      <c r="M674" s="1">
        <v>320.01853315135401</v>
      </c>
      <c r="N674" s="1">
        <v>13921</v>
      </c>
      <c r="O674" s="1">
        <v>38990.94</v>
      </c>
      <c r="P674" s="215">
        <f t="shared" si="106"/>
        <v>1.6522591076820525E-2</v>
      </c>
      <c r="Q674" s="215">
        <f t="shared" si="101"/>
        <v>3.5886359860441974E-2</v>
      </c>
      <c r="R674" s="231">
        <v>4454978</v>
      </c>
      <c r="T674" s="230">
        <v>44077</v>
      </c>
      <c r="U674" s="1">
        <v>47.5</v>
      </c>
      <c r="V674" s="1">
        <v>46.945556095191797</v>
      </c>
      <c r="W674" s="1">
        <v>61770</v>
      </c>
      <c r="X674" s="1">
        <v>38990.94</v>
      </c>
      <c r="Y674" s="215">
        <f t="shared" si="107"/>
        <v>1.6522591076820525E-2</v>
      </c>
      <c r="Z674" s="215">
        <f t="shared" si="102"/>
        <v>1.4957264957265126E-2</v>
      </c>
      <c r="AA674" s="231">
        <v>2899827</v>
      </c>
      <c r="AC674" s="230">
        <v>44109</v>
      </c>
      <c r="AD674" s="1">
        <v>30.75</v>
      </c>
      <c r="AE674" s="1">
        <v>30.986363636363599</v>
      </c>
      <c r="AF674" s="1">
        <v>220</v>
      </c>
      <c r="AG674" s="1">
        <v>38973.699999999997</v>
      </c>
      <c r="AH674" s="215">
        <f t="shared" si="108"/>
        <v>-2.2699945710706992E-2</v>
      </c>
      <c r="AI674" s="215">
        <f t="shared" si="103"/>
        <v>-1.6233766233766378E-3</v>
      </c>
      <c r="AJ674" s="231">
        <v>6817</v>
      </c>
      <c r="AL674" s="254"/>
      <c r="AQ674" s="215" t="str">
        <f t="shared" si="109"/>
        <v>NA</v>
      </c>
      <c r="AR674" s="215" t="str">
        <f t="shared" si="104"/>
        <v>NA</v>
      </c>
    </row>
    <row r="675" spans="2:44">
      <c r="B675" s="230">
        <v>44078</v>
      </c>
      <c r="C675" s="1">
        <v>215.5</v>
      </c>
      <c r="D675" s="1">
        <v>210.06350482315099</v>
      </c>
      <c r="E675" s="1">
        <v>1244</v>
      </c>
      <c r="F675" s="215">
        <v>38357.18</v>
      </c>
      <c r="G675" s="215">
        <f t="shared" si="105"/>
        <v>-1.563100723295352E-3</v>
      </c>
      <c r="H675" s="215">
        <f t="shared" si="100"/>
        <v>-1.8527095877721722E-3</v>
      </c>
      <c r="I675" s="231">
        <v>261319</v>
      </c>
      <c r="K675" s="230">
        <v>44078</v>
      </c>
      <c r="L675" s="1">
        <v>300.95</v>
      </c>
      <c r="M675" s="1">
        <v>301.692039327624</v>
      </c>
      <c r="N675" s="1">
        <v>9459</v>
      </c>
      <c r="O675" s="1">
        <v>38357.18</v>
      </c>
      <c r="P675" s="215">
        <f t="shared" si="106"/>
        <v>-1.563100723295352E-3</v>
      </c>
      <c r="Q675" s="215">
        <f t="shared" si="101"/>
        <v>4.3383947939263923E-3</v>
      </c>
      <c r="R675" s="231">
        <v>2853705</v>
      </c>
      <c r="T675" s="230">
        <v>44078</v>
      </c>
      <c r="U675" s="1">
        <v>46.8</v>
      </c>
      <c r="V675" s="1">
        <v>46.683664497977801</v>
      </c>
      <c r="W675" s="1">
        <v>22748</v>
      </c>
      <c r="X675" s="1">
        <v>38357.18</v>
      </c>
      <c r="Y675" s="215">
        <f t="shared" si="107"/>
        <v>-1.563100723295352E-3</v>
      </c>
      <c r="Z675" s="215">
        <f t="shared" si="102"/>
        <v>1.0799136069114423E-2</v>
      </c>
      <c r="AA675" s="231">
        <v>1061960</v>
      </c>
      <c r="AC675" s="230">
        <v>44111</v>
      </c>
      <c r="AD675" s="1">
        <v>30.8</v>
      </c>
      <c r="AE675" s="1">
        <v>30.9482758620689</v>
      </c>
      <c r="AF675" s="1">
        <v>174</v>
      </c>
      <c r="AG675" s="1">
        <v>39878.949999999997</v>
      </c>
      <c r="AH675" s="215">
        <f t="shared" si="108"/>
        <v>-7.5584823009521296E-3</v>
      </c>
      <c r="AI675" s="215">
        <f t="shared" si="103"/>
        <v>-2.8391167192428957E-2</v>
      </c>
      <c r="AJ675" s="231">
        <v>5385</v>
      </c>
      <c r="AL675" s="254"/>
      <c r="AQ675" s="215" t="str">
        <f t="shared" si="109"/>
        <v>NA</v>
      </c>
      <c r="AR675" s="215" t="str">
        <f t="shared" si="104"/>
        <v>NA</v>
      </c>
    </row>
    <row r="676" spans="2:44">
      <c r="B676" s="230">
        <v>44081</v>
      </c>
      <c r="C676" s="1">
        <v>215.9</v>
      </c>
      <c r="D676" s="1">
        <v>213.173913043478</v>
      </c>
      <c r="E676" s="1">
        <v>414</v>
      </c>
      <c r="F676" s="215">
        <v>38417.230000000003</v>
      </c>
      <c r="G676" s="215">
        <f t="shared" si="105"/>
        <v>1.3522618717149992E-3</v>
      </c>
      <c r="H676" s="215">
        <f t="shared" si="100"/>
        <v>4.7803931084688056E-2</v>
      </c>
      <c r="I676" s="231">
        <v>88254</v>
      </c>
      <c r="K676" s="230">
        <v>44081</v>
      </c>
      <c r="L676" s="1">
        <v>299.64999999999998</v>
      </c>
      <c r="M676" s="1">
        <v>301.1769327467</v>
      </c>
      <c r="N676" s="1">
        <v>6364</v>
      </c>
      <c r="O676" s="1">
        <v>38417.230000000003</v>
      </c>
      <c r="P676" s="215">
        <f t="shared" si="106"/>
        <v>1.3522618717149992E-3</v>
      </c>
      <c r="Q676" s="215">
        <f t="shared" si="101"/>
        <v>1.0112927692567109E-2</v>
      </c>
      <c r="R676" s="231">
        <v>1916690</v>
      </c>
      <c r="T676" s="230">
        <v>44081</v>
      </c>
      <c r="U676" s="1">
        <v>46.3</v>
      </c>
      <c r="V676" s="1">
        <v>46.434467618002103</v>
      </c>
      <c r="W676" s="1">
        <v>9110</v>
      </c>
      <c r="X676" s="1">
        <v>38417.230000000003</v>
      </c>
      <c r="Y676" s="215">
        <f t="shared" si="107"/>
        <v>1.3522618717149992E-3</v>
      </c>
      <c r="Z676" s="215">
        <f t="shared" si="102"/>
        <v>3.811659192825112E-2</v>
      </c>
      <c r="AA676" s="231">
        <v>423018</v>
      </c>
      <c r="AC676" s="230">
        <v>44112</v>
      </c>
      <c r="AD676" s="1">
        <v>31.7</v>
      </c>
      <c r="AE676" s="1">
        <v>31.771542553191399</v>
      </c>
      <c r="AF676" s="1">
        <v>7520</v>
      </c>
      <c r="AG676" s="1">
        <v>40182.67</v>
      </c>
      <c r="AH676" s="215">
        <f t="shared" si="108"/>
        <v>-8.067739189014711E-3</v>
      </c>
      <c r="AI676" s="215">
        <f t="shared" si="103"/>
        <v>1.4399999999999968E-2</v>
      </c>
      <c r="AJ676" s="231">
        <v>238922</v>
      </c>
      <c r="AL676" s="254"/>
      <c r="AQ676" s="215" t="str">
        <f t="shared" si="109"/>
        <v>NA</v>
      </c>
      <c r="AR676" s="215" t="str">
        <f t="shared" si="104"/>
        <v>NA</v>
      </c>
    </row>
    <row r="677" spans="2:44">
      <c r="B677" s="230">
        <v>44082</v>
      </c>
      <c r="C677" s="1">
        <v>206.05</v>
      </c>
      <c r="D677" s="1">
        <v>207.74280039721901</v>
      </c>
      <c r="E677" s="1">
        <v>1007</v>
      </c>
      <c r="F677" s="215">
        <v>38365.35</v>
      </c>
      <c r="G677" s="215">
        <f t="shared" si="105"/>
        <v>4.4884107208686963E-3</v>
      </c>
      <c r="H677" s="215">
        <f t="shared" si="100"/>
        <v>2.2326966013396232E-2</v>
      </c>
      <c r="I677" s="231">
        <v>209197</v>
      </c>
      <c r="K677" s="230">
        <v>44082</v>
      </c>
      <c r="L677" s="1">
        <v>296.64999999999998</v>
      </c>
      <c r="M677" s="1">
        <v>301.57465189551698</v>
      </c>
      <c r="N677" s="1">
        <v>9839</v>
      </c>
      <c r="O677" s="1">
        <v>38365.35</v>
      </c>
      <c r="P677" s="215">
        <f t="shared" si="106"/>
        <v>4.4884107208686963E-3</v>
      </c>
      <c r="Q677" s="215">
        <f t="shared" si="101"/>
        <v>2.6825891311872629E-2</v>
      </c>
      <c r="R677" s="231">
        <v>2967193</v>
      </c>
      <c r="T677" s="230">
        <v>44082</v>
      </c>
      <c r="U677" s="1">
        <v>44.6</v>
      </c>
      <c r="V677" s="1">
        <v>45.487284789132801</v>
      </c>
      <c r="W677" s="1">
        <v>25324</v>
      </c>
      <c r="X677" s="1">
        <v>38365.35</v>
      </c>
      <c r="Y677" s="215">
        <f t="shared" si="107"/>
        <v>4.4884107208686963E-3</v>
      </c>
      <c r="Z677" s="215">
        <f t="shared" si="102"/>
        <v>7.9096045197739606E-3</v>
      </c>
      <c r="AA677" s="231">
        <v>1151920</v>
      </c>
      <c r="AC677" s="230">
        <v>44113</v>
      </c>
      <c r="AD677" s="1">
        <v>31.25</v>
      </c>
      <c r="AE677" s="1">
        <v>32.554124673385502</v>
      </c>
      <c r="AF677" s="1">
        <v>5358</v>
      </c>
      <c r="AG677" s="1">
        <v>40509.49</v>
      </c>
      <c r="AH677" s="215">
        <f t="shared" si="108"/>
        <v>-2.0769181500625011E-3</v>
      </c>
      <c r="AI677" s="215">
        <f t="shared" si="103"/>
        <v>0</v>
      </c>
      <c r="AJ677" s="231">
        <v>174425</v>
      </c>
      <c r="AL677" s="254"/>
      <c r="AQ677" s="215" t="str">
        <f t="shared" si="109"/>
        <v>NA</v>
      </c>
      <c r="AR677" s="215" t="str">
        <f t="shared" si="104"/>
        <v>NA</v>
      </c>
    </row>
    <row r="678" spans="2:44">
      <c r="B678" s="230">
        <v>44083</v>
      </c>
      <c r="C678" s="1">
        <v>201.55</v>
      </c>
      <c r="D678" s="1">
        <v>198.39919354838699</v>
      </c>
      <c r="E678" s="1">
        <v>1984</v>
      </c>
      <c r="F678" s="215">
        <v>38193.919999999998</v>
      </c>
      <c r="G678" s="215">
        <f t="shared" si="105"/>
        <v>-1.6642499340891126E-2</v>
      </c>
      <c r="H678" s="215">
        <f t="shared" si="100"/>
        <v>-4.9292452830188571E-2</v>
      </c>
      <c r="I678" s="231">
        <v>393624</v>
      </c>
      <c r="K678" s="230">
        <v>44083</v>
      </c>
      <c r="L678" s="1">
        <v>288.89999999999998</v>
      </c>
      <c r="M678" s="1">
        <v>285.27389945298199</v>
      </c>
      <c r="N678" s="1">
        <v>15356</v>
      </c>
      <c r="O678" s="1">
        <v>38193.919999999998</v>
      </c>
      <c r="P678" s="215">
        <f t="shared" si="106"/>
        <v>-1.6642499340891126E-2</v>
      </c>
      <c r="Q678" s="215">
        <f t="shared" si="101"/>
        <v>-3.4602076124579106E-4</v>
      </c>
      <c r="R678" s="231">
        <v>4380666</v>
      </c>
      <c r="T678" s="230">
        <v>44083</v>
      </c>
      <c r="U678" s="1">
        <v>44.25</v>
      </c>
      <c r="V678" s="1">
        <v>43.0734473713377</v>
      </c>
      <c r="W678" s="1">
        <v>27067</v>
      </c>
      <c r="X678" s="1">
        <v>38193.919999999998</v>
      </c>
      <c r="Y678" s="215">
        <f t="shared" si="107"/>
        <v>-1.6642499340891126E-2</v>
      </c>
      <c r="Z678" s="215">
        <f t="shared" si="102"/>
        <v>5.6818181818181213E-3</v>
      </c>
      <c r="AA678" s="231">
        <v>1165869</v>
      </c>
      <c r="AC678" s="230">
        <v>44116</v>
      </c>
      <c r="AD678" s="1">
        <v>31.25</v>
      </c>
      <c r="AE678" s="1">
        <v>31.657657657657602</v>
      </c>
      <c r="AF678" s="1">
        <v>222</v>
      </c>
      <c r="AG678" s="1">
        <v>40593.800000000003</v>
      </c>
      <c r="AH678" s="215">
        <f t="shared" si="108"/>
        <v>-7.805440473239722E-4</v>
      </c>
      <c r="AI678" s="215">
        <f t="shared" si="103"/>
        <v>-6.3593004769475492E-3</v>
      </c>
      <c r="AJ678" s="231">
        <v>7028</v>
      </c>
      <c r="AL678" s="254"/>
      <c r="AQ678" s="215" t="str">
        <f t="shared" si="109"/>
        <v>NA</v>
      </c>
      <c r="AR678" s="215" t="str">
        <f t="shared" si="104"/>
        <v>NA</v>
      </c>
    </row>
    <row r="679" spans="2:44">
      <c r="B679" s="230">
        <v>44084</v>
      </c>
      <c r="C679" s="1">
        <v>212</v>
      </c>
      <c r="D679" s="1">
        <v>219.13046495489201</v>
      </c>
      <c r="E679" s="1">
        <v>1441</v>
      </c>
      <c r="F679" s="215">
        <v>38840.32</v>
      </c>
      <c r="G679" s="215">
        <f t="shared" si="105"/>
        <v>-3.662376735801276E-4</v>
      </c>
      <c r="H679" s="215">
        <f t="shared" si="100"/>
        <v>2.6883022523613631E-2</v>
      </c>
      <c r="I679" s="231">
        <v>315767</v>
      </c>
      <c r="K679" s="230">
        <v>44084</v>
      </c>
      <c r="L679" s="1">
        <v>289</v>
      </c>
      <c r="M679" s="1">
        <v>297.64262140499699</v>
      </c>
      <c r="N679" s="1">
        <v>14847</v>
      </c>
      <c r="O679" s="1">
        <v>38840.32</v>
      </c>
      <c r="P679" s="215">
        <f t="shared" si="106"/>
        <v>-3.662376735801276E-4</v>
      </c>
      <c r="Q679" s="215">
        <f t="shared" si="101"/>
        <v>1.9067429363841537E-3</v>
      </c>
      <c r="R679" s="231">
        <v>4419100</v>
      </c>
      <c r="T679" s="230">
        <v>44084</v>
      </c>
      <c r="U679" s="1">
        <v>44</v>
      </c>
      <c r="V679" s="1">
        <v>44.660453111557203</v>
      </c>
      <c r="W679" s="1">
        <v>6974</v>
      </c>
      <c r="X679" s="1">
        <v>38840.32</v>
      </c>
      <c r="Y679" s="215">
        <f t="shared" si="107"/>
        <v>-3.662376735801276E-4</v>
      </c>
      <c r="Z679" s="215">
        <f t="shared" si="102"/>
        <v>3.420752565564289E-3</v>
      </c>
      <c r="AA679" s="231">
        <v>311462</v>
      </c>
      <c r="AC679" s="230">
        <v>44117</v>
      </c>
      <c r="AD679" s="1">
        <v>31.45</v>
      </c>
      <c r="AE679" s="1">
        <v>31.619429947812101</v>
      </c>
      <c r="AF679" s="1">
        <v>4982</v>
      </c>
      <c r="AG679" s="1">
        <v>40625.51</v>
      </c>
      <c r="AH679" s="215">
        <f t="shared" si="108"/>
        <v>-4.1483289267193468E-3</v>
      </c>
      <c r="AI679" s="215">
        <f t="shared" si="103"/>
        <v>1.5923566878981443E-3</v>
      </c>
      <c r="AJ679" s="231">
        <v>157528</v>
      </c>
      <c r="AL679" s="254"/>
      <c r="AQ679" s="215" t="str">
        <f t="shared" si="109"/>
        <v>NA</v>
      </c>
      <c r="AR679" s="215" t="str">
        <f t="shared" si="104"/>
        <v>NA</v>
      </c>
    </row>
    <row r="680" spans="2:44">
      <c r="B680" s="230">
        <v>44085</v>
      </c>
      <c r="C680" s="1">
        <v>206.45</v>
      </c>
      <c r="D680" s="1">
        <v>207.48144220572601</v>
      </c>
      <c r="E680" s="1">
        <v>1886</v>
      </c>
      <c r="F680" s="215">
        <v>38854.550000000003</v>
      </c>
      <c r="G680" s="215">
        <f t="shared" si="105"/>
        <v>2.5265354598684731E-3</v>
      </c>
      <c r="H680" s="215">
        <f t="shared" si="100"/>
        <v>-2.2259057542031835E-2</v>
      </c>
      <c r="I680" s="231">
        <v>391310</v>
      </c>
      <c r="K680" s="230">
        <v>44085</v>
      </c>
      <c r="L680" s="1">
        <v>288.45</v>
      </c>
      <c r="M680" s="1">
        <v>288.09201015823402</v>
      </c>
      <c r="N680" s="1">
        <v>5119</v>
      </c>
      <c r="O680" s="1">
        <v>38854.550000000003</v>
      </c>
      <c r="P680" s="215">
        <f t="shared" si="106"/>
        <v>2.5265354598684731E-3</v>
      </c>
      <c r="Q680" s="215">
        <f t="shared" si="101"/>
        <v>-4.7548291233283968E-2</v>
      </c>
      <c r="R680" s="231">
        <v>1474743</v>
      </c>
      <c r="T680" s="230">
        <v>44085</v>
      </c>
      <c r="U680" s="1">
        <v>43.85</v>
      </c>
      <c r="V680" s="1">
        <v>43.632581306768202</v>
      </c>
      <c r="W680" s="1">
        <v>20478</v>
      </c>
      <c r="X680" s="1">
        <v>38854.550000000003</v>
      </c>
      <c r="Y680" s="215">
        <f t="shared" si="107"/>
        <v>2.5265354598684731E-3</v>
      </c>
      <c r="Z680" s="215">
        <f t="shared" si="102"/>
        <v>6.8886337543054843E-3</v>
      </c>
      <c r="AA680" s="231">
        <v>893508</v>
      </c>
      <c r="AC680" s="230">
        <v>44118</v>
      </c>
      <c r="AD680" s="1">
        <v>31.4</v>
      </c>
      <c r="AE680" s="1">
        <v>31.2424242424242</v>
      </c>
      <c r="AF680" s="1">
        <v>33</v>
      </c>
      <c r="AG680" s="1">
        <v>40794.74</v>
      </c>
      <c r="AH680" s="215">
        <f t="shared" si="108"/>
        <v>2.6840490218460689E-2</v>
      </c>
      <c r="AI680" s="215">
        <f t="shared" si="103"/>
        <v>-1.5898251192368873E-3</v>
      </c>
      <c r="AJ680" s="231">
        <v>1031</v>
      </c>
      <c r="AL680" s="254"/>
      <c r="AQ680" s="215" t="str">
        <f t="shared" si="109"/>
        <v>NA</v>
      </c>
      <c r="AR680" s="215" t="str">
        <f t="shared" si="104"/>
        <v>NA</v>
      </c>
    </row>
    <row r="681" spans="2:44">
      <c r="B681" s="230">
        <v>44088</v>
      </c>
      <c r="C681" s="1">
        <v>211.15</v>
      </c>
      <c r="D681" s="1">
        <v>212.13793103448199</v>
      </c>
      <c r="E681" s="1">
        <v>145</v>
      </c>
      <c r="F681" s="215">
        <v>38756.629999999997</v>
      </c>
      <c r="G681" s="215">
        <f t="shared" si="105"/>
        <v>-7.3690559581603976E-3</v>
      </c>
      <c r="H681" s="215">
        <f t="shared" si="100"/>
        <v>-1.7906976744186065E-2</v>
      </c>
      <c r="I681" s="231">
        <v>30760</v>
      </c>
      <c r="K681" s="230">
        <v>44088</v>
      </c>
      <c r="L681" s="1">
        <v>302.85000000000002</v>
      </c>
      <c r="M681" s="1">
        <v>301.38896887805902</v>
      </c>
      <c r="N681" s="1">
        <v>18058</v>
      </c>
      <c r="O681" s="1">
        <v>38756.629999999997</v>
      </c>
      <c r="P681" s="215">
        <f t="shared" si="106"/>
        <v>-7.3690559581603976E-3</v>
      </c>
      <c r="Q681" s="215">
        <f t="shared" si="101"/>
        <v>-8.6743044189852014E-3</v>
      </c>
      <c r="R681" s="231">
        <v>5442482</v>
      </c>
      <c r="T681" s="230">
        <v>44088</v>
      </c>
      <c r="U681" s="1">
        <v>43.55</v>
      </c>
      <c r="V681" s="1">
        <v>44.609248837778303</v>
      </c>
      <c r="W681" s="1">
        <v>12261</v>
      </c>
      <c r="X681" s="1">
        <v>38756.629999999997</v>
      </c>
      <c r="Y681" s="215">
        <f t="shared" si="107"/>
        <v>-7.3690559581603976E-3</v>
      </c>
      <c r="Z681" s="215">
        <f t="shared" si="102"/>
        <v>5.7736720554273369E-3</v>
      </c>
      <c r="AA681" s="231">
        <v>546954</v>
      </c>
      <c r="AC681" s="230">
        <v>44119</v>
      </c>
      <c r="AD681" s="1">
        <v>31.45</v>
      </c>
      <c r="AE681" s="1">
        <v>31.2</v>
      </c>
      <c r="AF681" s="1">
        <v>5</v>
      </c>
      <c r="AG681" s="1">
        <v>39728.410000000003</v>
      </c>
      <c r="AH681" s="215">
        <f t="shared" si="108"/>
        <v>-6.3669591411145143E-3</v>
      </c>
      <c r="AI681" s="215">
        <f t="shared" si="103"/>
        <v>-2.782071097372496E-2</v>
      </c>
      <c r="AJ681" s="231">
        <v>156</v>
      </c>
      <c r="AL681" s="254"/>
      <c r="AQ681" s="215" t="str">
        <f t="shared" si="109"/>
        <v>NA</v>
      </c>
      <c r="AR681" s="215" t="str">
        <f t="shared" si="104"/>
        <v>NA</v>
      </c>
    </row>
    <row r="682" spans="2:44">
      <c r="B682" s="230">
        <v>44089</v>
      </c>
      <c r="C682" s="1">
        <v>215</v>
      </c>
      <c r="D682" s="1">
        <v>211.693490054249</v>
      </c>
      <c r="E682" s="1">
        <v>1106</v>
      </c>
      <c r="F682" s="215">
        <v>39044.35</v>
      </c>
      <c r="G682" s="215">
        <f t="shared" si="105"/>
        <v>-6.5771311749657224E-3</v>
      </c>
      <c r="H682" s="215">
        <f t="shared" si="100"/>
        <v>2.8954295285953613E-2</v>
      </c>
      <c r="I682" s="231">
        <v>234133</v>
      </c>
      <c r="K682" s="230">
        <v>44089</v>
      </c>
      <c r="L682" s="1">
        <v>305.5</v>
      </c>
      <c r="M682" s="1">
        <v>307.525574030087</v>
      </c>
      <c r="N682" s="1">
        <v>12630</v>
      </c>
      <c r="O682" s="1">
        <v>39044.35</v>
      </c>
      <c r="P682" s="215">
        <f t="shared" si="106"/>
        <v>-6.5771311749657224E-3</v>
      </c>
      <c r="Q682" s="215">
        <f t="shared" si="101"/>
        <v>5.2648897663705174E-3</v>
      </c>
      <c r="R682" s="231">
        <v>3884048</v>
      </c>
      <c r="T682" s="230">
        <v>44089</v>
      </c>
      <c r="U682" s="1">
        <v>43.3</v>
      </c>
      <c r="V682" s="1">
        <v>43.682287399639499</v>
      </c>
      <c r="W682" s="1">
        <v>12206</v>
      </c>
      <c r="X682" s="1">
        <v>39044.35</v>
      </c>
      <c r="Y682" s="215">
        <f t="shared" si="107"/>
        <v>-6.5771311749657224E-3</v>
      </c>
      <c r="Z682" s="215">
        <f t="shared" si="102"/>
        <v>-1.5909090909090984E-2</v>
      </c>
      <c r="AA682" s="231">
        <v>533186</v>
      </c>
      <c r="AC682" s="230">
        <v>44120</v>
      </c>
      <c r="AD682" s="1">
        <v>32.35</v>
      </c>
      <c r="AE682" s="1">
        <v>31.973511780287101</v>
      </c>
      <c r="AF682" s="1">
        <v>7173</v>
      </c>
      <c r="AG682" s="1">
        <v>39982.980000000003</v>
      </c>
      <c r="AH682" s="215">
        <f t="shared" si="108"/>
        <v>-1.1095776570800964E-2</v>
      </c>
      <c r="AI682" s="215">
        <f t="shared" si="103"/>
        <v>-4.8529411764705821E-2</v>
      </c>
      <c r="AJ682" s="231">
        <v>229346</v>
      </c>
      <c r="AL682" s="254"/>
      <c r="AQ682" s="215" t="str">
        <f t="shared" si="109"/>
        <v>NA</v>
      </c>
      <c r="AR682" s="215" t="str">
        <f t="shared" si="104"/>
        <v>NA</v>
      </c>
    </row>
    <row r="683" spans="2:44">
      <c r="B683" s="230">
        <v>44090</v>
      </c>
      <c r="C683" s="1">
        <v>208.95</v>
      </c>
      <c r="D683" s="1">
        <v>213.00958826847099</v>
      </c>
      <c r="E683" s="1">
        <v>1773</v>
      </c>
      <c r="F683" s="215">
        <v>39302.85</v>
      </c>
      <c r="G683" s="215">
        <f t="shared" si="105"/>
        <v>8.2863325538706789E-3</v>
      </c>
      <c r="H683" s="215">
        <f t="shared" si="100"/>
        <v>-1.4336917562725038E-3</v>
      </c>
      <c r="I683" s="231">
        <v>377666</v>
      </c>
      <c r="K683" s="230">
        <v>44090</v>
      </c>
      <c r="L683" s="1">
        <v>303.89999999999998</v>
      </c>
      <c r="M683" s="1">
        <v>307.25342924054797</v>
      </c>
      <c r="N683" s="1">
        <v>5978</v>
      </c>
      <c r="O683" s="1">
        <v>39302.85</v>
      </c>
      <c r="P683" s="215">
        <f t="shared" si="106"/>
        <v>8.2863325538706789E-3</v>
      </c>
      <c r="Q683" s="215">
        <f t="shared" si="101"/>
        <v>1.2325116588940643E-2</v>
      </c>
      <c r="R683" s="231">
        <v>1836761</v>
      </c>
      <c r="T683" s="230">
        <v>44090</v>
      </c>
      <c r="U683" s="1">
        <v>44</v>
      </c>
      <c r="V683" s="1">
        <v>44.035825957920302</v>
      </c>
      <c r="W683" s="1">
        <v>37738</v>
      </c>
      <c r="X683" s="1">
        <v>39302.85</v>
      </c>
      <c r="Y683" s="215">
        <f t="shared" si="107"/>
        <v>8.2863325538706789E-3</v>
      </c>
      <c r="Z683" s="215">
        <f t="shared" si="102"/>
        <v>-4.5248868778281492E-3</v>
      </c>
      <c r="AA683" s="231">
        <v>1661824</v>
      </c>
      <c r="AC683" s="230">
        <v>44123</v>
      </c>
      <c r="AD683" s="1">
        <v>34</v>
      </c>
      <c r="AE683" s="1">
        <v>33.210094858882698</v>
      </c>
      <c r="AF683" s="1">
        <v>8539</v>
      </c>
      <c r="AG683" s="1">
        <v>40431.599999999999</v>
      </c>
      <c r="AH683" s="215">
        <f t="shared" si="108"/>
        <v>-2.7813972692140032E-3</v>
      </c>
      <c r="AI683" s="215">
        <f t="shared" si="103"/>
        <v>2.1021021021021102E-2</v>
      </c>
      <c r="AJ683" s="231">
        <v>283581</v>
      </c>
      <c r="AL683" s="254"/>
      <c r="AQ683" s="215" t="str">
        <f t="shared" si="109"/>
        <v>NA</v>
      </c>
      <c r="AR683" s="215" t="str">
        <f t="shared" si="104"/>
        <v>NA</v>
      </c>
    </row>
    <row r="684" spans="2:44">
      <c r="B684" s="230">
        <v>44091</v>
      </c>
      <c r="C684" s="1">
        <v>209.25</v>
      </c>
      <c r="D684" s="1">
        <v>209.30820610686999</v>
      </c>
      <c r="E684" s="1">
        <v>1048</v>
      </c>
      <c r="F684" s="215">
        <v>38979.85</v>
      </c>
      <c r="G684" s="215">
        <f t="shared" si="105"/>
        <v>3.4503068798650283E-3</v>
      </c>
      <c r="H684" s="215">
        <f t="shared" si="100"/>
        <v>-3.6602209944751385E-2</v>
      </c>
      <c r="I684" s="231">
        <v>219355</v>
      </c>
      <c r="K684" s="230">
        <v>44091</v>
      </c>
      <c r="L684" s="1">
        <v>300.2</v>
      </c>
      <c r="M684" s="1">
        <v>300.86108979278498</v>
      </c>
      <c r="N684" s="1">
        <v>2606</v>
      </c>
      <c r="O684" s="1">
        <v>38979.85</v>
      </c>
      <c r="P684" s="215">
        <f t="shared" si="106"/>
        <v>3.4503068798650283E-3</v>
      </c>
      <c r="Q684" s="215">
        <f t="shared" si="101"/>
        <v>5.3583389149363114E-3</v>
      </c>
      <c r="R684" s="231">
        <v>784044</v>
      </c>
      <c r="T684" s="230">
        <v>44091</v>
      </c>
      <c r="U684" s="1">
        <v>44.2</v>
      </c>
      <c r="V684" s="1">
        <v>44.099167354286998</v>
      </c>
      <c r="W684" s="1">
        <v>13331</v>
      </c>
      <c r="X684" s="1">
        <v>38979.85</v>
      </c>
      <c r="Y684" s="215">
        <f t="shared" si="107"/>
        <v>3.4503068798650283E-3</v>
      </c>
      <c r="Z684" s="215">
        <f t="shared" si="102"/>
        <v>4.0000000000000036E-2</v>
      </c>
      <c r="AA684" s="231">
        <v>587886</v>
      </c>
      <c r="AC684" s="230">
        <v>44124</v>
      </c>
      <c r="AD684" s="1">
        <v>33.299999999999997</v>
      </c>
      <c r="AE684" s="1">
        <v>33.617556241729098</v>
      </c>
      <c r="AF684" s="1">
        <v>4534</v>
      </c>
      <c r="AG684" s="1">
        <v>40544.370000000003</v>
      </c>
      <c r="AH684" s="215">
        <f t="shared" si="108"/>
        <v>-4.0027208872311926E-3</v>
      </c>
      <c r="AI684" s="215">
        <f t="shared" si="103"/>
        <v>-5.9701492537314049E-3</v>
      </c>
      <c r="AJ684" s="231">
        <v>152422</v>
      </c>
      <c r="AL684" s="254"/>
      <c r="AQ684" s="215" t="str">
        <f t="shared" si="109"/>
        <v>NA</v>
      </c>
      <c r="AR684" s="215" t="str">
        <f t="shared" si="104"/>
        <v>NA</v>
      </c>
    </row>
    <row r="685" spans="2:44">
      <c r="B685" s="230">
        <v>44092</v>
      </c>
      <c r="C685" s="1">
        <v>217.2</v>
      </c>
      <c r="D685" s="1">
        <v>210.99432221433599</v>
      </c>
      <c r="E685" s="1">
        <v>1409</v>
      </c>
      <c r="F685" s="215">
        <v>38845.82</v>
      </c>
      <c r="G685" s="215">
        <f t="shared" si="105"/>
        <v>2.1340826951785852E-2</v>
      </c>
      <c r="H685" s="215">
        <f t="shared" si="100"/>
        <v>2.4045261669024098E-2</v>
      </c>
      <c r="I685" s="231">
        <v>297291</v>
      </c>
      <c r="K685" s="230">
        <v>44092</v>
      </c>
      <c r="L685" s="1">
        <v>298.60000000000002</v>
      </c>
      <c r="M685" s="1">
        <v>299.43117021276498</v>
      </c>
      <c r="N685" s="1">
        <v>9400</v>
      </c>
      <c r="O685" s="1">
        <v>38845.82</v>
      </c>
      <c r="P685" s="215">
        <f t="shared" si="106"/>
        <v>2.1340826951785852E-2</v>
      </c>
      <c r="Q685" s="215">
        <f t="shared" si="101"/>
        <v>5.2520267888614747E-2</v>
      </c>
      <c r="R685" s="231">
        <v>2814653</v>
      </c>
      <c r="T685" s="230">
        <v>44092</v>
      </c>
      <c r="U685" s="1">
        <v>42.5</v>
      </c>
      <c r="V685" s="1">
        <v>42.9047484984984</v>
      </c>
      <c r="W685" s="1">
        <v>31968</v>
      </c>
      <c r="X685" s="1">
        <v>38845.82</v>
      </c>
      <c r="Y685" s="215">
        <f t="shared" si="107"/>
        <v>2.1340826951785852E-2</v>
      </c>
      <c r="Z685" s="215">
        <f t="shared" si="102"/>
        <v>6.5162907268170533E-2</v>
      </c>
      <c r="AA685" s="231">
        <v>1371579</v>
      </c>
      <c r="AC685" s="230">
        <v>44125</v>
      </c>
      <c r="AD685" s="1">
        <v>33.5</v>
      </c>
      <c r="AE685" s="1">
        <v>33.258894536213397</v>
      </c>
      <c r="AF685" s="1">
        <v>3148</v>
      </c>
      <c r="AG685" s="1">
        <v>40707.31</v>
      </c>
      <c r="AH685" s="215">
        <f t="shared" si="108"/>
        <v>3.6692687523622869E-3</v>
      </c>
      <c r="AI685" s="215">
        <f t="shared" si="103"/>
        <v>1.5151515151515138E-2</v>
      </c>
      <c r="AJ685" s="231">
        <v>104699</v>
      </c>
      <c r="AL685" s="254"/>
      <c r="AQ685" s="215" t="str">
        <f t="shared" si="109"/>
        <v>NA</v>
      </c>
      <c r="AR685" s="215" t="str">
        <f t="shared" si="104"/>
        <v>NA</v>
      </c>
    </row>
    <row r="686" spans="2:44">
      <c r="B686" s="230">
        <v>44095</v>
      </c>
      <c r="C686" s="1">
        <v>212.1</v>
      </c>
      <c r="D686" s="1">
        <v>212.749340369393</v>
      </c>
      <c r="E686" s="1">
        <v>1516</v>
      </c>
      <c r="F686" s="215">
        <v>38034.14</v>
      </c>
      <c r="G686" s="215">
        <f t="shared" si="105"/>
        <v>7.9519627880153543E-3</v>
      </c>
      <c r="H686" s="215">
        <f t="shared" si="100"/>
        <v>3.9705882352941257E-2</v>
      </c>
      <c r="I686" s="231">
        <v>322528</v>
      </c>
      <c r="K686" s="230">
        <v>44095</v>
      </c>
      <c r="L686" s="1">
        <v>283.7</v>
      </c>
      <c r="M686" s="1">
        <v>290.05259686727101</v>
      </c>
      <c r="N686" s="1">
        <v>6065</v>
      </c>
      <c r="O686" s="1">
        <v>38034.14</v>
      </c>
      <c r="P686" s="215">
        <f t="shared" si="106"/>
        <v>7.9519627880153543E-3</v>
      </c>
      <c r="Q686" s="215">
        <f t="shared" si="101"/>
        <v>2.3264201983769217E-2</v>
      </c>
      <c r="R686" s="231">
        <v>1759169</v>
      </c>
      <c r="T686" s="230">
        <v>44095</v>
      </c>
      <c r="U686" s="1">
        <v>39.9</v>
      </c>
      <c r="V686" s="1">
        <v>40.911487320401399</v>
      </c>
      <c r="W686" s="1">
        <v>42943</v>
      </c>
      <c r="X686" s="1">
        <v>38034.14</v>
      </c>
      <c r="Y686" s="215">
        <f t="shared" si="107"/>
        <v>7.9519627880153543E-3</v>
      </c>
      <c r="Z686" s="215">
        <f t="shared" si="102"/>
        <v>3.6363636363636376E-2</v>
      </c>
      <c r="AA686" s="231">
        <v>1756862</v>
      </c>
      <c r="AC686" s="230">
        <v>44126</v>
      </c>
      <c r="AD686" s="1">
        <v>33</v>
      </c>
      <c r="AE686" s="1">
        <v>33.104502973661802</v>
      </c>
      <c r="AF686" s="1">
        <v>1177</v>
      </c>
      <c r="AG686" s="1">
        <v>40558.49</v>
      </c>
      <c r="AH686" s="215">
        <f t="shared" si="108"/>
        <v>-3.1217509923683329E-3</v>
      </c>
      <c r="AI686" s="215">
        <f t="shared" si="103"/>
        <v>7.6335877862594437E-3</v>
      </c>
      <c r="AJ686" s="231">
        <v>38964</v>
      </c>
      <c r="AL686" s="254"/>
      <c r="AQ686" s="215" t="str">
        <f t="shared" si="109"/>
        <v>NA</v>
      </c>
      <c r="AR686" s="215" t="str">
        <f t="shared" si="104"/>
        <v>NA</v>
      </c>
    </row>
    <row r="687" spans="2:44">
      <c r="B687" s="230">
        <v>44096</v>
      </c>
      <c r="C687" s="1">
        <v>204</v>
      </c>
      <c r="D687" s="1">
        <v>201.14921090387301</v>
      </c>
      <c r="E687" s="1">
        <v>2788</v>
      </c>
      <c r="F687" s="215">
        <v>37734.080000000002</v>
      </c>
      <c r="G687" s="215">
        <f t="shared" si="105"/>
        <v>1.7431047014979661E-3</v>
      </c>
      <c r="H687" s="215">
        <f t="shared" si="100"/>
        <v>1.7964071856287456E-2</v>
      </c>
      <c r="I687" s="231">
        <v>560804</v>
      </c>
      <c r="K687" s="230">
        <v>44096</v>
      </c>
      <c r="L687" s="1">
        <v>277.25</v>
      </c>
      <c r="M687" s="1">
        <v>272.913523706896</v>
      </c>
      <c r="N687" s="1">
        <v>7424</v>
      </c>
      <c r="O687" s="1">
        <v>37734.080000000002</v>
      </c>
      <c r="P687" s="215">
        <f t="shared" si="106"/>
        <v>1.7431047014979661E-3</v>
      </c>
      <c r="Q687" s="215">
        <f t="shared" si="101"/>
        <v>-3.605552550929314E-4</v>
      </c>
      <c r="R687" s="231">
        <v>2026110</v>
      </c>
      <c r="T687" s="230">
        <v>44096</v>
      </c>
      <c r="U687" s="1">
        <v>38.5</v>
      </c>
      <c r="V687" s="1">
        <v>38.135333224347399</v>
      </c>
      <c r="W687" s="1">
        <v>36702</v>
      </c>
      <c r="X687" s="1">
        <v>37734.080000000002</v>
      </c>
      <c r="Y687" s="215">
        <f t="shared" si="107"/>
        <v>1.7431047014979661E-3</v>
      </c>
      <c r="Z687" s="215">
        <f t="shared" si="102"/>
        <v>1.3003901170349774E-3</v>
      </c>
      <c r="AA687" s="231">
        <v>1399643</v>
      </c>
      <c r="AC687" s="230">
        <v>44127</v>
      </c>
      <c r="AD687" s="1">
        <v>32.75</v>
      </c>
      <c r="AE687" s="1">
        <v>32.9853143643873</v>
      </c>
      <c r="AF687" s="1">
        <v>4358</v>
      </c>
      <c r="AG687" s="1">
        <v>40685.5</v>
      </c>
      <c r="AH687" s="215">
        <f t="shared" si="108"/>
        <v>1.3451071726594543E-2</v>
      </c>
      <c r="AI687" s="215">
        <f t="shared" si="103"/>
        <v>-7.575757575757569E-3</v>
      </c>
      <c r="AJ687" s="231">
        <v>143750</v>
      </c>
      <c r="AL687" s="254"/>
      <c r="AQ687" s="215" t="str">
        <f t="shared" si="109"/>
        <v>NA</v>
      </c>
      <c r="AR687" s="215" t="str">
        <f t="shared" si="104"/>
        <v>NA</v>
      </c>
    </row>
    <row r="688" spans="2:44">
      <c r="B688" s="230">
        <v>44097</v>
      </c>
      <c r="C688" s="1">
        <v>200.4</v>
      </c>
      <c r="D688" s="1">
        <v>203.666666666666</v>
      </c>
      <c r="E688" s="1">
        <v>177</v>
      </c>
      <c r="F688" s="215">
        <v>37668.42</v>
      </c>
      <c r="G688" s="215">
        <f t="shared" si="105"/>
        <v>3.0498227260789657E-2</v>
      </c>
      <c r="H688" s="215">
        <f t="shared" si="100"/>
        <v>2.2448979591836782E-2</v>
      </c>
      <c r="I688" s="231">
        <v>36049</v>
      </c>
      <c r="K688" s="230">
        <v>44097</v>
      </c>
      <c r="L688" s="1">
        <v>277.35000000000002</v>
      </c>
      <c r="M688" s="1">
        <v>278.34293049697402</v>
      </c>
      <c r="N688" s="1">
        <v>5453</v>
      </c>
      <c r="O688" s="1">
        <v>37668.42</v>
      </c>
      <c r="P688" s="215">
        <f t="shared" si="106"/>
        <v>3.0498227260789657E-2</v>
      </c>
      <c r="Q688" s="215">
        <f t="shared" si="101"/>
        <v>3.3153287390575548E-2</v>
      </c>
      <c r="R688" s="231">
        <v>1517804</v>
      </c>
      <c r="T688" s="230">
        <v>44097</v>
      </c>
      <c r="U688" s="1">
        <v>38.450000000000003</v>
      </c>
      <c r="V688" s="1">
        <v>39.058080808080803</v>
      </c>
      <c r="W688" s="1">
        <v>15840</v>
      </c>
      <c r="X688" s="1">
        <v>37668.42</v>
      </c>
      <c r="Y688" s="215">
        <f t="shared" si="107"/>
        <v>3.0498227260789657E-2</v>
      </c>
      <c r="Z688" s="215">
        <f t="shared" si="102"/>
        <v>4.7683923705722053E-2</v>
      </c>
      <c r="AA688" s="231">
        <v>618680</v>
      </c>
      <c r="AC688" s="230">
        <v>44130</v>
      </c>
      <c r="AD688" s="1">
        <v>33</v>
      </c>
      <c r="AE688" s="1">
        <v>33</v>
      </c>
      <c r="AF688" s="1">
        <v>143</v>
      </c>
      <c r="AG688" s="1">
        <v>40145.5</v>
      </c>
      <c r="AH688" s="215">
        <f t="shared" si="108"/>
        <v>-9.2936940583039362E-3</v>
      </c>
      <c r="AI688" s="215">
        <f t="shared" si="103"/>
        <v>2.0092735703245657E-2</v>
      </c>
      <c r="AJ688" s="231">
        <v>4719</v>
      </c>
      <c r="AL688" s="254"/>
      <c r="AQ688" s="215" t="str">
        <f t="shared" si="109"/>
        <v>NA</v>
      </c>
      <c r="AR688" s="215" t="str">
        <f t="shared" si="104"/>
        <v>NA</v>
      </c>
    </row>
    <row r="689" spans="2:44">
      <c r="B689" s="230">
        <v>44098</v>
      </c>
      <c r="C689" s="1">
        <v>196</v>
      </c>
      <c r="D689" s="1">
        <v>195.30775444264901</v>
      </c>
      <c r="E689" s="1">
        <v>1238</v>
      </c>
      <c r="F689" s="215">
        <v>36553.599999999999</v>
      </c>
      <c r="G689" s="215">
        <f t="shared" si="105"/>
        <v>-2.2334579522240272E-2</v>
      </c>
      <c r="H689" s="215">
        <f t="shared" si="100"/>
        <v>1.5329586101175963E-3</v>
      </c>
      <c r="I689" s="231">
        <v>241791</v>
      </c>
      <c r="K689" s="230">
        <v>44098</v>
      </c>
      <c r="L689" s="1">
        <v>268.45</v>
      </c>
      <c r="M689" s="1">
        <v>271.16006847849297</v>
      </c>
      <c r="N689" s="1">
        <v>4673</v>
      </c>
      <c r="O689" s="1">
        <v>36553.599999999999</v>
      </c>
      <c r="P689" s="215">
        <f t="shared" si="106"/>
        <v>-2.2334579522240272E-2</v>
      </c>
      <c r="Q689" s="215">
        <f t="shared" si="101"/>
        <v>-4.7543019336526604E-2</v>
      </c>
      <c r="R689" s="231">
        <v>1267131</v>
      </c>
      <c r="T689" s="230">
        <v>44098</v>
      </c>
      <c r="U689" s="1">
        <v>36.700000000000003</v>
      </c>
      <c r="V689" s="1">
        <v>36.913582148056797</v>
      </c>
      <c r="W689" s="1">
        <v>71432</v>
      </c>
      <c r="X689" s="1">
        <v>36553.599999999999</v>
      </c>
      <c r="Y689" s="215">
        <f t="shared" si="107"/>
        <v>-2.2334579522240272E-2</v>
      </c>
      <c r="Z689" s="215">
        <f t="shared" si="102"/>
        <v>-3.5479632063074806E-2</v>
      </c>
      <c r="AA689" s="231">
        <v>2636811</v>
      </c>
      <c r="AC689" s="230">
        <v>44131</v>
      </c>
      <c r="AD689" s="1">
        <v>32.35</v>
      </c>
      <c r="AE689" s="1">
        <v>32.320189274447898</v>
      </c>
      <c r="AF689" s="1">
        <v>1268</v>
      </c>
      <c r="AG689" s="1">
        <v>40522.1</v>
      </c>
      <c r="AH689" s="215">
        <f t="shared" si="108"/>
        <v>1.502011649582724E-2</v>
      </c>
      <c r="AI689" s="215">
        <f t="shared" si="103"/>
        <v>3.1007751937985883E-3</v>
      </c>
      <c r="AJ689" s="231">
        <v>40982</v>
      </c>
      <c r="AL689" s="254"/>
      <c r="AQ689" s="215" t="str">
        <f t="shared" si="109"/>
        <v>NA</v>
      </c>
      <c r="AR689" s="215" t="str">
        <f t="shared" si="104"/>
        <v>NA</v>
      </c>
    </row>
    <row r="690" spans="2:44">
      <c r="B690" s="230">
        <v>44099</v>
      </c>
      <c r="C690" s="1">
        <v>195.7</v>
      </c>
      <c r="D690" s="1">
        <v>194.64129301355501</v>
      </c>
      <c r="E690" s="1">
        <v>959</v>
      </c>
      <c r="F690" s="215">
        <v>37388.660000000003</v>
      </c>
      <c r="G690" s="215">
        <f t="shared" si="105"/>
        <v>-1.5612020863770004E-2</v>
      </c>
      <c r="H690" s="215">
        <f t="shared" si="100"/>
        <v>-2.2721598002496957E-2</v>
      </c>
      <c r="I690" s="231">
        <v>186661</v>
      </c>
      <c r="K690" s="230">
        <v>44099</v>
      </c>
      <c r="L690" s="1">
        <v>281.85000000000002</v>
      </c>
      <c r="M690" s="1">
        <v>276.58264014466499</v>
      </c>
      <c r="N690" s="1">
        <v>2765</v>
      </c>
      <c r="O690" s="1">
        <v>37388.660000000003</v>
      </c>
      <c r="P690" s="215">
        <f t="shared" si="106"/>
        <v>-1.5612020863770004E-2</v>
      </c>
      <c r="Q690" s="215">
        <f t="shared" si="101"/>
        <v>-4.7482257519432136E-2</v>
      </c>
      <c r="R690" s="231">
        <v>764751</v>
      </c>
      <c r="T690" s="230">
        <v>44099</v>
      </c>
      <c r="U690" s="1">
        <v>38.049999999999997</v>
      </c>
      <c r="V690" s="1">
        <v>37.917125283263097</v>
      </c>
      <c r="W690" s="1">
        <v>30890</v>
      </c>
      <c r="X690" s="1">
        <v>37388.660000000003</v>
      </c>
      <c r="Y690" s="215">
        <f t="shared" si="107"/>
        <v>-1.5612020863770004E-2</v>
      </c>
      <c r="Z690" s="215">
        <f t="shared" si="102"/>
        <v>-4.1561712846347798E-2</v>
      </c>
      <c r="AA690" s="231">
        <v>1171260</v>
      </c>
      <c r="AC690" s="230">
        <v>44132</v>
      </c>
      <c r="AD690" s="1">
        <v>32.25</v>
      </c>
      <c r="AE690" s="1">
        <v>32.579124579124503</v>
      </c>
      <c r="AF690" s="1">
        <v>297</v>
      </c>
      <c r="AG690" s="1">
        <v>39922.46</v>
      </c>
      <c r="AH690" s="215">
        <f t="shared" si="108"/>
        <v>4.3424063235459887E-3</v>
      </c>
      <c r="AI690" s="215">
        <f t="shared" si="103"/>
        <v>1.7350157728706739E-2</v>
      </c>
      <c r="AJ690" s="231">
        <v>9676</v>
      </c>
      <c r="AL690" s="254"/>
      <c r="AQ690" s="215" t="str">
        <f t="shared" si="109"/>
        <v>NA</v>
      </c>
      <c r="AR690" s="215" t="str">
        <f t="shared" si="104"/>
        <v>NA</v>
      </c>
    </row>
    <row r="691" spans="2:44">
      <c r="B691" s="230">
        <v>44102</v>
      </c>
      <c r="C691" s="1">
        <v>200.25</v>
      </c>
      <c r="D691" s="1">
        <v>201.57356608478801</v>
      </c>
      <c r="E691" s="1">
        <v>401</v>
      </c>
      <c r="F691" s="215">
        <v>37981.629999999997</v>
      </c>
      <c r="G691" s="215">
        <f t="shared" si="105"/>
        <v>2.214718688591244E-4</v>
      </c>
      <c r="H691" s="215">
        <f t="shared" si="100"/>
        <v>6.2814070351759899E-3</v>
      </c>
      <c r="I691" s="231">
        <v>80831</v>
      </c>
      <c r="K691" s="230">
        <v>44102</v>
      </c>
      <c r="L691" s="1">
        <v>295.89999999999998</v>
      </c>
      <c r="M691" s="1">
        <v>295.85324675324603</v>
      </c>
      <c r="N691" s="1">
        <v>2310</v>
      </c>
      <c r="O691" s="1">
        <v>37981.629999999997</v>
      </c>
      <c r="P691" s="215">
        <f t="shared" si="106"/>
        <v>2.214718688591244E-4</v>
      </c>
      <c r="Q691" s="215">
        <f t="shared" si="101"/>
        <v>-3.3322443645867561E-2</v>
      </c>
      <c r="R691" s="231">
        <v>683421</v>
      </c>
      <c r="T691" s="230">
        <v>44102</v>
      </c>
      <c r="U691" s="1">
        <v>39.700000000000003</v>
      </c>
      <c r="V691" s="1">
        <v>39.309957069657898</v>
      </c>
      <c r="W691" s="1">
        <v>36105</v>
      </c>
      <c r="X691" s="1">
        <v>37981.629999999997</v>
      </c>
      <c r="Y691" s="215">
        <f t="shared" si="107"/>
        <v>2.214718688591244E-4</v>
      </c>
      <c r="Z691" s="215">
        <f t="shared" si="102"/>
        <v>-1.2578616352200145E-3</v>
      </c>
      <c r="AA691" s="231">
        <v>1419286</v>
      </c>
      <c r="AC691" s="230">
        <v>44133</v>
      </c>
      <c r="AD691" s="1">
        <v>31.7</v>
      </c>
      <c r="AE691" s="1">
        <v>31.887841658812398</v>
      </c>
      <c r="AF691" s="1">
        <v>1061</v>
      </c>
      <c r="AG691" s="1">
        <v>39749.85</v>
      </c>
      <c r="AH691" s="215">
        <f t="shared" si="108"/>
        <v>3.4275700527615083E-3</v>
      </c>
      <c r="AI691" s="215">
        <f t="shared" si="103"/>
        <v>-1.2461059190031265E-2</v>
      </c>
      <c r="AJ691" s="231">
        <v>33833</v>
      </c>
      <c r="AL691" s="254"/>
      <c r="AQ691" s="215" t="str">
        <f t="shared" si="109"/>
        <v>NA</v>
      </c>
      <c r="AR691" s="215" t="str">
        <f t="shared" si="104"/>
        <v>NA</v>
      </c>
    </row>
    <row r="692" spans="2:44">
      <c r="B692" s="230">
        <v>44103</v>
      </c>
      <c r="C692" s="1">
        <v>199</v>
      </c>
      <c r="D692" s="1">
        <v>198.620071684587</v>
      </c>
      <c r="E692" s="1">
        <v>837</v>
      </c>
      <c r="F692" s="215">
        <v>37973.22</v>
      </c>
      <c r="G692" s="215">
        <f t="shared" si="105"/>
        <v>-2.4879209350232578E-3</v>
      </c>
      <c r="H692" s="215">
        <f t="shared" si="100"/>
        <v>-3.7252056119980614E-2</v>
      </c>
      <c r="I692" s="231">
        <v>166245</v>
      </c>
      <c r="K692" s="230">
        <v>44103</v>
      </c>
      <c r="L692" s="1">
        <v>306.10000000000002</v>
      </c>
      <c r="M692" s="1">
        <v>308.80537130497402</v>
      </c>
      <c r="N692" s="1">
        <v>27740</v>
      </c>
      <c r="O692" s="1">
        <v>37973.22</v>
      </c>
      <c r="P692" s="215">
        <f t="shared" si="106"/>
        <v>-2.4879209350232578E-3</v>
      </c>
      <c r="Q692" s="215">
        <f t="shared" si="101"/>
        <v>2.4259662037811713E-2</v>
      </c>
      <c r="R692" s="231">
        <v>8566261</v>
      </c>
      <c r="T692" s="230">
        <v>44103</v>
      </c>
      <c r="U692" s="1">
        <v>39.75</v>
      </c>
      <c r="V692" s="1">
        <v>40.106549364613798</v>
      </c>
      <c r="W692" s="1">
        <v>11253</v>
      </c>
      <c r="X692" s="1">
        <v>37973.22</v>
      </c>
      <c r="Y692" s="215">
        <f t="shared" si="107"/>
        <v>-2.4879209350232578E-3</v>
      </c>
      <c r="Z692" s="215">
        <f t="shared" si="102"/>
        <v>2.5220680958386588E-3</v>
      </c>
      <c r="AA692" s="231">
        <v>451319</v>
      </c>
      <c r="AC692" s="230">
        <v>44134</v>
      </c>
      <c r="AD692" s="1">
        <v>32.1</v>
      </c>
      <c r="AE692" s="1">
        <v>32</v>
      </c>
      <c r="AF692" s="1">
        <v>11</v>
      </c>
      <c r="AG692" s="1">
        <v>39614.07</v>
      </c>
      <c r="AH692" s="215">
        <f t="shared" si="108"/>
        <v>-3.6096261392167817E-3</v>
      </c>
      <c r="AI692" s="215">
        <f t="shared" si="103"/>
        <v>-1.0785824345146411E-2</v>
      </c>
      <c r="AJ692" s="231">
        <v>352</v>
      </c>
      <c r="AL692" s="254"/>
      <c r="AQ692" s="215" t="str">
        <f t="shared" si="109"/>
        <v>NA</v>
      </c>
      <c r="AR692" s="215" t="str">
        <f t="shared" si="104"/>
        <v>NA</v>
      </c>
    </row>
    <row r="693" spans="2:44">
      <c r="B693" s="230">
        <v>44104</v>
      </c>
      <c r="C693" s="1">
        <v>206.7</v>
      </c>
      <c r="D693" s="1">
        <v>206.07692307692301</v>
      </c>
      <c r="E693" s="1">
        <v>13</v>
      </c>
      <c r="F693" s="215">
        <v>38067.93</v>
      </c>
      <c r="G693" s="215">
        <f t="shared" si="105"/>
        <v>-1.6257570021487533E-2</v>
      </c>
      <c r="H693" s="215">
        <f t="shared" si="100"/>
        <v>3.869346733668344E-2</v>
      </c>
      <c r="I693" s="231">
        <v>2679</v>
      </c>
      <c r="K693" s="230">
        <v>44104</v>
      </c>
      <c r="L693" s="1">
        <v>298.85000000000002</v>
      </c>
      <c r="M693" s="1">
        <v>300.85772594752098</v>
      </c>
      <c r="N693" s="1">
        <v>8575</v>
      </c>
      <c r="O693" s="1">
        <v>38067.93</v>
      </c>
      <c r="P693" s="215">
        <f t="shared" si="106"/>
        <v>-1.6257570021487533E-2</v>
      </c>
      <c r="Q693" s="215">
        <f t="shared" si="101"/>
        <v>-2.4481801860616992E-2</v>
      </c>
      <c r="R693" s="231">
        <v>2579855</v>
      </c>
      <c r="T693" s="230">
        <v>44104</v>
      </c>
      <c r="U693" s="1">
        <v>39.65</v>
      </c>
      <c r="V693" s="1">
        <v>39.434473945761702</v>
      </c>
      <c r="W693" s="1">
        <v>14086</v>
      </c>
      <c r="X693" s="1">
        <v>38067.93</v>
      </c>
      <c r="Y693" s="215">
        <f t="shared" si="107"/>
        <v>-1.6257570021487533E-2</v>
      </c>
      <c r="Z693" s="215">
        <f t="shared" si="102"/>
        <v>-5.0188205771644068E-3</v>
      </c>
      <c r="AA693" s="231">
        <v>555474</v>
      </c>
      <c r="AC693" s="230">
        <v>44137</v>
      </c>
      <c r="AD693" s="1">
        <v>32.450000000000003</v>
      </c>
      <c r="AE693" s="1">
        <v>32.4166666666666</v>
      </c>
      <c r="AF693" s="1">
        <v>12</v>
      </c>
      <c r="AG693" s="1">
        <v>39757.58</v>
      </c>
      <c r="AH693" s="215">
        <f t="shared" si="108"/>
        <v>-1.2507100521023551E-2</v>
      </c>
      <c r="AI693" s="215">
        <f t="shared" si="103"/>
        <v>7.763975155279601E-3</v>
      </c>
      <c r="AJ693" s="231">
        <v>389</v>
      </c>
      <c r="AL693" s="254"/>
      <c r="AQ693" s="215" t="str">
        <f t="shared" si="109"/>
        <v>NA</v>
      </c>
      <c r="AR693" s="215" t="str">
        <f t="shared" si="104"/>
        <v>NA</v>
      </c>
    </row>
    <row r="694" spans="2:44">
      <c r="B694" s="230">
        <v>44105</v>
      </c>
      <c r="C694" s="1">
        <v>199</v>
      </c>
      <c r="D694" s="1">
        <v>203.58750000000001</v>
      </c>
      <c r="E694" s="1">
        <v>80</v>
      </c>
      <c r="F694" s="215">
        <v>38697.050000000003</v>
      </c>
      <c r="G694" s="215">
        <f t="shared" si="105"/>
        <v>-7.0983765975515256E-3</v>
      </c>
      <c r="H694" s="215">
        <f t="shared" si="100"/>
        <v>-5.0345979479837766E-2</v>
      </c>
      <c r="I694" s="231">
        <v>16287</v>
      </c>
      <c r="K694" s="230">
        <v>44105</v>
      </c>
      <c r="L694" s="1">
        <v>306.35000000000002</v>
      </c>
      <c r="M694" s="1">
        <v>306.461183496199</v>
      </c>
      <c r="N694" s="1">
        <v>7368</v>
      </c>
      <c r="O694" s="1">
        <v>38697.050000000003</v>
      </c>
      <c r="P694" s="215">
        <f t="shared" si="106"/>
        <v>-7.0983765975515256E-3</v>
      </c>
      <c r="Q694" s="215">
        <f t="shared" si="101"/>
        <v>-2.3118622448979553E-2</v>
      </c>
      <c r="R694" s="231">
        <v>2258006</v>
      </c>
      <c r="T694" s="230">
        <v>44105</v>
      </c>
      <c r="U694" s="1">
        <v>39.85</v>
      </c>
      <c r="V694" s="1">
        <v>39.925514843541002</v>
      </c>
      <c r="W694" s="1">
        <v>22434</v>
      </c>
      <c r="X694" s="1">
        <v>38697.050000000003</v>
      </c>
      <c r="Y694" s="215">
        <f t="shared" si="107"/>
        <v>-7.0983765975515256E-3</v>
      </c>
      <c r="Z694" s="215">
        <f t="shared" si="102"/>
        <v>2.5740025740025763E-2</v>
      </c>
      <c r="AA694" s="231">
        <v>895689</v>
      </c>
      <c r="AC694" s="230">
        <v>44138</v>
      </c>
      <c r="AD694" s="1">
        <v>32.200000000000003</v>
      </c>
      <c r="AE694" s="1">
        <v>32.25</v>
      </c>
      <c r="AF694" s="1">
        <v>12</v>
      </c>
      <c r="AG694" s="1">
        <v>40261.129999999997</v>
      </c>
      <c r="AH694" s="215">
        <f t="shared" si="108"/>
        <v>-8.740613952975429E-3</v>
      </c>
      <c r="AI694" s="215">
        <f t="shared" si="103"/>
        <v>-6.2590975254730674E-2</v>
      </c>
      <c r="AJ694" s="231">
        <v>387</v>
      </c>
      <c r="AL694" s="254"/>
      <c r="AQ694" s="215" t="str">
        <f t="shared" si="109"/>
        <v>NA</v>
      </c>
      <c r="AR694" s="215" t="str">
        <f t="shared" si="104"/>
        <v>NA</v>
      </c>
    </row>
    <row r="695" spans="2:44">
      <c r="B695" s="230">
        <v>44109</v>
      </c>
      <c r="C695" s="1">
        <v>209.55</v>
      </c>
      <c r="D695" s="1">
        <v>209.491228070175</v>
      </c>
      <c r="E695" s="1">
        <v>969</v>
      </c>
      <c r="F695" s="215">
        <v>38973.699999999997</v>
      </c>
      <c r="G695" s="215">
        <f t="shared" si="105"/>
        <v>-1.5183235092636527E-2</v>
      </c>
      <c r="H695" s="215">
        <f t="shared" si="100"/>
        <v>1.3788098693759077E-2</v>
      </c>
      <c r="I695" s="231">
        <v>202997</v>
      </c>
      <c r="K695" s="230">
        <v>44109</v>
      </c>
      <c r="L695" s="1">
        <v>313.60000000000002</v>
      </c>
      <c r="M695" s="1">
        <v>313.493758668515</v>
      </c>
      <c r="N695" s="1">
        <v>1442</v>
      </c>
      <c r="O695" s="1">
        <v>38973.699999999997</v>
      </c>
      <c r="P695" s="215">
        <f t="shared" si="106"/>
        <v>-1.5183235092636527E-2</v>
      </c>
      <c r="Q695" s="215">
        <f t="shared" si="101"/>
        <v>-3.3370411568407476E-3</v>
      </c>
      <c r="R695" s="231">
        <v>452058</v>
      </c>
      <c r="T695" s="230">
        <v>44109</v>
      </c>
      <c r="U695" s="1">
        <v>38.85</v>
      </c>
      <c r="V695" s="1">
        <v>39.284174213022801</v>
      </c>
      <c r="W695" s="1">
        <v>13914</v>
      </c>
      <c r="X695" s="1">
        <v>38973.699999999997</v>
      </c>
      <c r="Y695" s="215">
        <f t="shared" si="107"/>
        <v>-1.5183235092636527E-2</v>
      </c>
      <c r="Z695" s="215">
        <f t="shared" si="102"/>
        <v>-1.6455696202531622E-2</v>
      </c>
      <c r="AA695" s="231">
        <v>546600</v>
      </c>
      <c r="AC695" s="230">
        <v>44139</v>
      </c>
      <c r="AD695" s="1">
        <v>34.35</v>
      </c>
      <c r="AE695" s="1">
        <v>34.309963099630899</v>
      </c>
      <c r="AF695" s="1">
        <v>6233</v>
      </c>
      <c r="AG695" s="1">
        <v>40616.14</v>
      </c>
      <c r="AH695" s="215">
        <f t="shared" si="108"/>
        <v>-1.7513720314580428E-2</v>
      </c>
      <c r="AI695" s="215">
        <f t="shared" si="103"/>
        <v>4.7256097560975707E-2</v>
      </c>
      <c r="AJ695" s="231">
        <v>213854</v>
      </c>
      <c r="AL695" s="254"/>
      <c r="AQ695" s="215" t="str">
        <f t="shared" si="109"/>
        <v>NA</v>
      </c>
      <c r="AR695" s="215" t="str">
        <f t="shared" si="104"/>
        <v>NA</v>
      </c>
    </row>
    <row r="696" spans="2:44">
      <c r="B696" s="230">
        <v>44110</v>
      </c>
      <c r="C696" s="1">
        <v>206.7</v>
      </c>
      <c r="D696" s="1">
        <v>203.80407124681901</v>
      </c>
      <c r="E696" s="1">
        <v>393</v>
      </c>
      <c r="F696" s="215">
        <v>39574.57</v>
      </c>
      <c r="G696" s="215">
        <f t="shared" si="105"/>
        <v>-7.6325981501518259E-3</v>
      </c>
      <c r="H696" s="215">
        <f t="shared" si="100"/>
        <v>3.7129954841946589E-2</v>
      </c>
      <c r="I696" s="231">
        <v>80095</v>
      </c>
      <c r="K696" s="230">
        <v>44110</v>
      </c>
      <c r="L696" s="1">
        <v>314.64999999999998</v>
      </c>
      <c r="M696" s="1">
        <v>315.62111801242202</v>
      </c>
      <c r="N696" s="1">
        <v>6601</v>
      </c>
      <c r="O696" s="1">
        <v>39574.57</v>
      </c>
      <c r="P696" s="215">
        <f t="shared" si="106"/>
        <v>-7.6325981501518259E-3</v>
      </c>
      <c r="Q696" s="215">
        <f t="shared" si="101"/>
        <v>1.5491366790382211E-2</v>
      </c>
      <c r="R696" s="231">
        <v>2083415</v>
      </c>
      <c r="T696" s="230">
        <v>44110</v>
      </c>
      <c r="U696" s="1">
        <v>39.5</v>
      </c>
      <c r="V696" s="1">
        <v>39.5703380588876</v>
      </c>
      <c r="W696" s="1">
        <v>7336</v>
      </c>
      <c r="X696" s="1">
        <v>39574.57</v>
      </c>
      <c r="Y696" s="215">
        <f t="shared" si="107"/>
        <v>-7.6325981501518259E-3</v>
      </c>
      <c r="Z696" s="215">
        <f t="shared" si="102"/>
        <v>-1.3732833957552981E-2</v>
      </c>
      <c r="AA696" s="231">
        <v>290288</v>
      </c>
      <c r="AC696" s="230">
        <v>44140</v>
      </c>
      <c r="AD696" s="1">
        <v>32.799999999999997</v>
      </c>
      <c r="AE696" s="1">
        <v>32.866334991708101</v>
      </c>
      <c r="AF696" s="1">
        <v>3015</v>
      </c>
      <c r="AG696" s="1">
        <v>41340.160000000003</v>
      </c>
      <c r="AH696" s="215">
        <f t="shared" si="108"/>
        <v>-1.3197890056252604E-2</v>
      </c>
      <c r="AI696" s="215">
        <f t="shared" si="103"/>
        <v>3.0581039755350758E-3</v>
      </c>
      <c r="AJ696" s="231">
        <v>99092</v>
      </c>
      <c r="AL696" s="254"/>
      <c r="AQ696" s="215" t="str">
        <f t="shared" si="109"/>
        <v>NA</v>
      </c>
      <c r="AR696" s="215" t="str">
        <f t="shared" si="104"/>
        <v>NA</v>
      </c>
    </row>
    <row r="697" spans="2:44">
      <c r="B697" s="230">
        <v>44111</v>
      </c>
      <c r="C697" s="1">
        <v>199.3</v>
      </c>
      <c r="D697" s="1">
        <v>199.558823529411</v>
      </c>
      <c r="E697" s="1">
        <v>102</v>
      </c>
      <c r="F697" s="215">
        <v>39878.949999999997</v>
      </c>
      <c r="G697" s="215">
        <f t="shared" si="105"/>
        <v>-7.5584823009521296E-3</v>
      </c>
      <c r="H697" s="215">
        <f t="shared" si="100"/>
        <v>-3.0642023346303393E-2</v>
      </c>
      <c r="I697" s="231">
        <v>20355</v>
      </c>
      <c r="K697" s="230">
        <v>44111</v>
      </c>
      <c r="L697" s="1">
        <v>309.85000000000002</v>
      </c>
      <c r="M697" s="1">
        <v>311.332056451612</v>
      </c>
      <c r="N697" s="1">
        <v>4960</v>
      </c>
      <c r="O697" s="1">
        <v>39878.949999999997</v>
      </c>
      <c r="P697" s="215">
        <f t="shared" si="106"/>
        <v>-7.5584823009521296E-3</v>
      </c>
      <c r="Q697" s="215">
        <f t="shared" si="101"/>
        <v>-2.0237154150197556E-2</v>
      </c>
      <c r="R697" s="231">
        <v>1544207</v>
      </c>
      <c r="T697" s="230">
        <v>44111</v>
      </c>
      <c r="U697" s="1">
        <v>40.049999999999997</v>
      </c>
      <c r="V697" s="1">
        <v>39.955773517610297</v>
      </c>
      <c r="W697" s="1">
        <v>11215</v>
      </c>
      <c r="X697" s="1">
        <v>39878.949999999997</v>
      </c>
      <c r="Y697" s="215">
        <f t="shared" si="107"/>
        <v>-7.5584823009521296E-3</v>
      </c>
      <c r="Z697" s="215">
        <f t="shared" si="102"/>
        <v>2.2988505747126409E-2</v>
      </c>
      <c r="AA697" s="231">
        <v>448104</v>
      </c>
      <c r="AC697" s="230">
        <v>44141</v>
      </c>
      <c r="AD697" s="1">
        <v>32.700000000000003</v>
      </c>
      <c r="AE697" s="1">
        <v>32.739087856743097</v>
      </c>
      <c r="AF697" s="1">
        <v>7148</v>
      </c>
      <c r="AG697" s="1">
        <v>41893.06</v>
      </c>
      <c r="AH697" s="215">
        <f t="shared" si="108"/>
        <v>-1.6535504606733364E-2</v>
      </c>
      <c r="AI697" s="215">
        <f t="shared" si="103"/>
        <v>-4.5662100456620447E-3</v>
      </c>
      <c r="AJ697" s="231">
        <v>234019</v>
      </c>
      <c r="AL697" s="254"/>
      <c r="AQ697" s="215" t="str">
        <f t="shared" si="109"/>
        <v>NA</v>
      </c>
      <c r="AR697" s="215" t="str">
        <f t="shared" si="104"/>
        <v>NA</v>
      </c>
    </row>
    <row r="698" spans="2:44">
      <c r="B698" s="230">
        <v>44112</v>
      </c>
      <c r="C698" s="1">
        <v>205.6</v>
      </c>
      <c r="D698" s="1">
        <v>201.95644283121501</v>
      </c>
      <c r="E698" s="1">
        <v>551</v>
      </c>
      <c r="F698" s="215">
        <v>40182.67</v>
      </c>
      <c r="G698" s="215">
        <f t="shared" si="105"/>
        <v>-8.067739189014711E-3</v>
      </c>
      <c r="H698" s="215">
        <f t="shared" si="100"/>
        <v>6.1435209086215803E-2</v>
      </c>
      <c r="I698" s="231">
        <v>111278</v>
      </c>
      <c r="K698" s="230">
        <v>44112</v>
      </c>
      <c r="L698" s="1">
        <v>316.25</v>
      </c>
      <c r="M698" s="1">
        <v>323.08217070712402</v>
      </c>
      <c r="N698" s="1">
        <v>18851</v>
      </c>
      <c r="O698" s="1">
        <v>40182.67</v>
      </c>
      <c r="P698" s="215">
        <f t="shared" si="106"/>
        <v>-8.067739189014711E-3</v>
      </c>
      <c r="Q698" s="215">
        <f t="shared" si="101"/>
        <v>5.0850150961385676E-3</v>
      </c>
      <c r="R698" s="231">
        <v>6090422</v>
      </c>
      <c r="T698" s="230">
        <v>44112</v>
      </c>
      <c r="U698" s="1">
        <v>39.15</v>
      </c>
      <c r="V698" s="1">
        <v>39.646763335059497</v>
      </c>
      <c r="W698" s="1">
        <v>19310</v>
      </c>
      <c r="X698" s="1">
        <v>40182.67</v>
      </c>
      <c r="Y698" s="215">
        <f t="shared" si="107"/>
        <v>-8.067739189014711E-3</v>
      </c>
      <c r="Z698" s="215">
        <f t="shared" si="102"/>
        <v>-2.5477707006369421E-3</v>
      </c>
      <c r="AA698" s="231">
        <v>765579</v>
      </c>
      <c r="AC698" s="230">
        <v>44144</v>
      </c>
      <c r="AD698" s="1">
        <v>32.85</v>
      </c>
      <c r="AE698" s="1">
        <v>32.521934460887898</v>
      </c>
      <c r="AF698" s="1">
        <v>3784</v>
      </c>
      <c r="AG698" s="1">
        <v>42597.43</v>
      </c>
      <c r="AH698" s="215">
        <f t="shared" si="108"/>
        <v>-2.2852859142164395E-2</v>
      </c>
      <c r="AI698" s="215">
        <f t="shared" si="103"/>
        <v>6.1255742725880857E-3</v>
      </c>
      <c r="AJ698" s="231">
        <v>123063</v>
      </c>
      <c r="AL698" s="254"/>
      <c r="AQ698" s="215" t="str">
        <f t="shared" si="109"/>
        <v>NA</v>
      </c>
      <c r="AR698" s="215" t="str">
        <f t="shared" si="104"/>
        <v>NA</v>
      </c>
    </row>
    <row r="699" spans="2:44">
      <c r="B699" s="230">
        <v>44113</v>
      </c>
      <c r="C699" s="1">
        <v>193.7</v>
      </c>
      <c r="D699" s="1">
        <v>195.80712788259899</v>
      </c>
      <c r="E699" s="1">
        <v>954</v>
      </c>
      <c r="F699" s="215">
        <v>40509.49</v>
      </c>
      <c r="G699" s="215">
        <f t="shared" si="105"/>
        <v>-2.0769181500625011E-3</v>
      </c>
      <c r="H699" s="215">
        <f t="shared" si="100"/>
        <v>-2.6143790849673332E-2</v>
      </c>
      <c r="I699" s="231">
        <v>186800</v>
      </c>
      <c r="K699" s="230">
        <v>44113</v>
      </c>
      <c r="L699" s="1">
        <v>314.64999999999998</v>
      </c>
      <c r="M699" s="1">
        <v>315.76110363391598</v>
      </c>
      <c r="N699" s="1">
        <v>2972</v>
      </c>
      <c r="O699" s="1">
        <v>40509.49</v>
      </c>
      <c r="P699" s="215">
        <f t="shared" si="106"/>
        <v>-2.0769181500625011E-3</v>
      </c>
      <c r="Q699" s="215">
        <f t="shared" si="101"/>
        <v>2.7764167891556335E-2</v>
      </c>
      <c r="R699" s="231">
        <v>938442</v>
      </c>
      <c r="T699" s="230">
        <v>44113</v>
      </c>
      <c r="U699" s="1">
        <v>39.25</v>
      </c>
      <c r="V699" s="1">
        <v>39.401703163016997</v>
      </c>
      <c r="W699" s="1">
        <v>4110</v>
      </c>
      <c r="X699" s="1">
        <v>40509.49</v>
      </c>
      <c r="Y699" s="215">
        <f t="shared" si="107"/>
        <v>-2.0769181500625011E-3</v>
      </c>
      <c r="Z699" s="215">
        <f t="shared" si="102"/>
        <v>1.6839378238342029E-2</v>
      </c>
      <c r="AA699" s="231">
        <v>161941</v>
      </c>
      <c r="AC699" s="230">
        <v>44146</v>
      </c>
      <c r="AD699" s="1">
        <v>32.65</v>
      </c>
      <c r="AE699" s="1">
        <v>32.385200974421402</v>
      </c>
      <c r="AF699" s="1">
        <v>3284</v>
      </c>
      <c r="AG699" s="1">
        <v>43593.67</v>
      </c>
      <c r="AH699" s="215">
        <f t="shared" si="108"/>
        <v>5.454228006934958E-3</v>
      </c>
      <c r="AI699" s="215">
        <f t="shared" si="103"/>
        <v>2.6729559748427612E-2</v>
      </c>
      <c r="AJ699" s="231">
        <v>106353</v>
      </c>
      <c r="AL699" s="254"/>
      <c r="AQ699" s="215" t="str">
        <f t="shared" si="109"/>
        <v>NA</v>
      </c>
      <c r="AR699" s="215" t="str">
        <f t="shared" si="104"/>
        <v>NA</v>
      </c>
    </row>
    <row r="700" spans="2:44">
      <c r="B700" s="230">
        <v>44116</v>
      </c>
      <c r="C700" s="1">
        <v>198.9</v>
      </c>
      <c r="D700" s="1">
        <v>198.78571428571399</v>
      </c>
      <c r="E700" s="1">
        <v>42</v>
      </c>
      <c r="F700" s="215">
        <v>40593.800000000003</v>
      </c>
      <c r="G700" s="215">
        <f t="shared" si="105"/>
        <v>-7.805440473239722E-4</v>
      </c>
      <c r="H700" s="215">
        <f t="shared" si="100"/>
        <v>2.0000000000000018E-2</v>
      </c>
      <c r="I700" s="231">
        <v>8349</v>
      </c>
      <c r="K700" s="230">
        <v>44116</v>
      </c>
      <c r="L700" s="1">
        <v>306.14999999999998</v>
      </c>
      <c r="M700" s="1">
        <v>309.05779153766701</v>
      </c>
      <c r="N700" s="1">
        <v>5814</v>
      </c>
      <c r="O700" s="1">
        <v>40593.800000000003</v>
      </c>
      <c r="P700" s="215">
        <f t="shared" si="106"/>
        <v>-7.805440473239722E-4</v>
      </c>
      <c r="Q700" s="215">
        <f t="shared" si="101"/>
        <v>-2.7687296416938345E-3</v>
      </c>
      <c r="R700" s="231">
        <v>1796862</v>
      </c>
      <c r="T700" s="230">
        <v>44116</v>
      </c>
      <c r="U700" s="1">
        <v>38.6</v>
      </c>
      <c r="V700" s="1">
        <v>39.068772328678101</v>
      </c>
      <c r="W700" s="1">
        <v>24632</v>
      </c>
      <c r="X700" s="1">
        <v>40593.800000000003</v>
      </c>
      <c r="Y700" s="215">
        <f t="shared" si="107"/>
        <v>-7.805440473239722E-4</v>
      </c>
      <c r="Z700" s="215">
        <f t="shared" si="102"/>
        <v>-2.5252525252525304E-2</v>
      </c>
      <c r="AA700" s="231">
        <v>962342</v>
      </c>
      <c r="AC700" s="230">
        <v>44147</v>
      </c>
      <c r="AD700" s="1">
        <v>31.8</v>
      </c>
      <c r="AE700" s="1">
        <v>32.178181144656399</v>
      </c>
      <c r="AF700" s="1">
        <v>5399</v>
      </c>
      <c r="AG700" s="1">
        <v>43357.19</v>
      </c>
      <c r="AH700" s="215">
        <f t="shared" si="108"/>
        <v>-1.9752319130814655E-3</v>
      </c>
      <c r="AI700" s="215">
        <f t="shared" si="103"/>
        <v>-7.800312012480437E-3</v>
      </c>
      <c r="AJ700" s="231">
        <v>173730</v>
      </c>
      <c r="AL700" s="254"/>
      <c r="AQ700" s="215" t="str">
        <f t="shared" si="109"/>
        <v>NA</v>
      </c>
      <c r="AR700" s="215" t="str">
        <f t="shared" si="104"/>
        <v>NA</v>
      </c>
    </row>
    <row r="701" spans="2:44">
      <c r="B701" s="230">
        <v>44117</v>
      </c>
      <c r="C701" s="1">
        <v>195</v>
      </c>
      <c r="D701" s="1">
        <v>195.00419580419501</v>
      </c>
      <c r="E701" s="1">
        <v>715</v>
      </c>
      <c r="F701" s="215">
        <v>40625.51</v>
      </c>
      <c r="G701" s="215">
        <f t="shared" si="105"/>
        <v>-4.1483289267193468E-3</v>
      </c>
      <c r="H701" s="215">
        <f t="shared" si="100"/>
        <v>-1.4653865588681203E-2</v>
      </c>
      <c r="I701" s="231">
        <v>139428</v>
      </c>
      <c r="K701" s="230">
        <v>44117</v>
      </c>
      <c r="L701" s="1">
        <v>307</v>
      </c>
      <c r="M701" s="1">
        <v>308.35315101070103</v>
      </c>
      <c r="N701" s="1">
        <v>841</v>
      </c>
      <c r="O701" s="1">
        <v>40625.51</v>
      </c>
      <c r="P701" s="215">
        <f t="shared" si="106"/>
        <v>-4.1483289267193468E-3</v>
      </c>
      <c r="Q701" s="215">
        <f t="shared" si="101"/>
        <v>-2.5087329310892303E-2</v>
      </c>
      <c r="R701" s="231">
        <v>259325</v>
      </c>
      <c r="T701" s="230">
        <v>44117</v>
      </c>
      <c r="U701" s="1">
        <v>39.6</v>
      </c>
      <c r="V701" s="1">
        <v>39.149717890621503</v>
      </c>
      <c r="W701" s="1">
        <v>22509</v>
      </c>
      <c r="X701" s="1">
        <v>40625.51</v>
      </c>
      <c r="Y701" s="215">
        <f t="shared" si="107"/>
        <v>-4.1483289267193468E-3</v>
      </c>
      <c r="Z701" s="215">
        <f t="shared" si="102"/>
        <v>-0.10911136107986508</v>
      </c>
      <c r="AA701" s="231">
        <v>881221</v>
      </c>
      <c r="AC701" s="230">
        <v>44148</v>
      </c>
      <c r="AD701" s="1">
        <v>32.049999999999997</v>
      </c>
      <c r="AE701" s="1">
        <v>32.004545454545401</v>
      </c>
      <c r="AF701" s="1">
        <v>220</v>
      </c>
      <c r="AG701" s="1">
        <v>43443</v>
      </c>
      <c r="AH701" s="215">
        <f t="shared" si="108"/>
        <v>-4.4681261598269462E-3</v>
      </c>
      <c r="AI701" s="215">
        <f t="shared" si="103"/>
        <v>-1.3846153846153952E-2</v>
      </c>
      <c r="AJ701" s="231">
        <v>7041</v>
      </c>
      <c r="AL701" s="254"/>
      <c r="AQ701" s="215" t="str">
        <f t="shared" si="109"/>
        <v>NA</v>
      </c>
      <c r="AR701" s="215" t="str">
        <f t="shared" si="104"/>
        <v>NA</v>
      </c>
    </row>
    <row r="702" spans="2:44">
      <c r="B702" s="230">
        <v>44118</v>
      </c>
      <c r="C702" s="1">
        <v>197.9</v>
      </c>
      <c r="D702" s="1">
        <v>195.884493670886</v>
      </c>
      <c r="E702" s="1">
        <v>632</v>
      </c>
      <c r="F702" s="215">
        <v>40794.74</v>
      </c>
      <c r="G702" s="215">
        <f t="shared" si="105"/>
        <v>2.6840490218460689E-2</v>
      </c>
      <c r="H702" s="215">
        <f t="shared" si="100"/>
        <v>-2.4642681123706267E-2</v>
      </c>
      <c r="I702" s="231">
        <v>123799</v>
      </c>
      <c r="K702" s="230">
        <v>44118</v>
      </c>
      <c r="L702" s="1">
        <v>314.89999999999998</v>
      </c>
      <c r="M702" s="1">
        <v>312.86052502453299</v>
      </c>
      <c r="N702" s="1">
        <v>8152</v>
      </c>
      <c r="O702" s="1">
        <v>40794.74</v>
      </c>
      <c r="P702" s="215">
        <f t="shared" si="106"/>
        <v>2.6840490218460689E-2</v>
      </c>
      <c r="Q702" s="215">
        <f t="shared" si="101"/>
        <v>-3.434529285495258E-2</v>
      </c>
      <c r="R702" s="231">
        <v>2550439</v>
      </c>
      <c r="T702" s="230">
        <v>44118</v>
      </c>
      <c r="U702" s="1">
        <v>44.45</v>
      </c>
      <c r="V702" s="1">
        <v>43.0655148703744</v>
      </c>
      <c r="W702" s="1">
        <v>103259</v>
      </c>
      <c r="X702" s="1">
        <v>40794.74</v>
      </c>
      <c r="Y702" s="215">
        <f t="shared" si="107"/>
        <v>2.6840490218460689E-2</v>
      </c>
      <c r="Z702" s="215">
        <f t="shared" si="102"/>
        <v>4.8349056603773644E-2</v>
      </c>
      <c r="AA702" s="231">
        <v>4446902</v>
      </c>
      <c r="AC702" s="230">
        <v>44149</v>
      </c>
      <c r="AD702" s="1">
        <v>32.5</v>
      </c>
      <c r="AE702" s="1">
        <v>31.688524590163901</v>
      </c>
      <c r="AF702" s="1">
        <v>61</v>
      </c>
      <c r="AG702" s="1">
        <v>43637.98</v>
      </c>
      <c r="AH702" s="215">
        <f t="shared" si="108"/>
        <v>-7.1606506174476392E-3</v>
      </c>
      <c r="AI702" s="215">
        <f t="shared" si="103"/>
        <v>-5.5232558139534871E-2</v>
      </c>
      <c r="AJ702" s="231">
        <v>1933</v>
      </c>
      <c r="AL702" s="254"/>
      <c r="AQ702" s="215" t="str">
        <f t="shared" si="109"/>
        <v>NA</v>
      </c>
      <c r="AR702" s="215" t="str">
        <f t="shared" si="104"/>
        <v>NA</v>
      </c>
    </row>
    <row r="703" spans="2:44">
      <c r="B703" s="230">
        <v>44119</v>
      </c>
      <c r="C703" s="1">
        <v>202.9</v>
      </c>
      <c r="D703" s="1">
        <v>200.62745098039201</v>
      </c>
      <c r="E703" s="1">
        <v>51</v>
      </c>
      <c r="F703" s="215">
        <v>39728.410000000003</v>
      </c>
      <c r="G703" s="215">
        <f t="shared" si="105"/>
        <v>-6.3669591411145143E-3</v>
      </c>
      <c r="H703" s="215">
        <f t="shared" si="100"/>
        <v>4.8578811369509145E-2</v>
      </c>
      <c r="I703" s="231">
        <v>10232</v>
      </c>
      <c r="K703" s="230">
        <v>44119</v>
      </c>
      <c r="L703" s="1">
        <v>326.10000000000002</v>
      </c>
      <c r="M703" s="1">
        <v>329.13220704638297</v>
      </c>
      <c r="N703" s="1">
        <v>65821</v>
      </c>
      <c r="O703" s="1">
        <v>39728.410000000003</v>
      </c>
      <c r="P703" s="215">
        <f t="shared" si="106"/>
        <v>-6.3669591411145143E-3</v>
      </c>
      <c r="Q703" s="215">
        <f t="shared" si="101"/>
        <v>-4.5234958278436488E-2</v>
      </c>
      <c r="R703" s="231">
        <v>21663811</v>
      </c>
      <c r="T703" s="230">
        <v>44119</v>
      </c>
      <c r="U703" s="1">
        <v>42.4</v>
      </c>
      <c r="V703" s="1">
        <v>44.960107509797602</v>
      </c>
      <c r="W703" s="1">
        <v>75528</v>
      </c>
      <c r="X703" s="1">
        <v>39728.410000000003</v>
      </c>
      <c r="Y703" s="215">
        <f t="shared" si="107"/>
        <v>-6.3669591411145143E-3</v>
      </c>
      <c r="Z703" s="215">
        <f t="shared" si="102"/>
        <v>-5.2513966480446927E-2</v>
      </c>
      <c r="AA703" s="231">
        <v>3395747</v>
      </c>
      <c r="AC703" s="230">
        <v>44152</v>
      </c>
      <c r="AD703" s="1">
        <v>34.4</v>
      </c>
      <c r="AE703" s="1">
        <v>33.686320409656098</v>
      </c>
      <c r="AF703" s="1">
        <v>6835</v>
      </c>
      <c r="AG703" s="1">
        <v>43952.71</v>
      </c>
      <c r="AH703" s="215">
        <f t="shared" si="108"/>
        <v>-5.1457614918951622E-3</v>
      </c>
      <c r="AI703" s="215">
        <f t="shared" si="103"/>
        <v>2.8400597907324299E-2</v>
      </c>
      <c r="AJ703" s="231">
        <v>230246</v>
      </c>
      <c r="AL703" s="254"/>
      <c r="AQ703" s="215" t="str">
        <f t="shared" si="109"/>
        <v>NA</v>
      </c>
      <c r="AR703" s="215" t="str">
        <f t="shared" si="104"/>
        <v>NA</v>
      </c>
    </row>
    <row r="704" spans="2:44">
      <c r="B704" s="230">
        <v>44120</v>
      </c>
      <c r="C704" s="1">
        <v>193.5</v>
      </c>
      <c r="D704" s="1">
        <v>194.53333333333299</v>
      </c>
      <c r="E704" s="1">
        <v>75</v>
      </c>
      <c r="F704" s="215">
        <v>39982.980000000003</v>
      </c>
      <c r="G704" s="215">
        <f t="shared" si="105"/>
        <v>-1.1095776570800964E-2</v>
      </c>
      <c r="H704" s="215">
        <f t="shared" si="100"/>
        <v>-4.5857988165680541E-2</v>
      </c>
      <c r="I704" s="231">
        <v>14590</v>
      </c>
      <c r="K704" s="230">
        <v>44120</v>
      </c>
      <c r="L704" s="1">
        <v>341.55</v>
      </c>
      <c r="M704" s="1">
        <v>336.35453796083101</v>
      </c>
      <c r="N704" s="1">
        <v>35181</v>
      </c>
      <c r="O704" s="1">
        <v>39982.980000000003</v>
      </c>
      <c r="P704" s="215">
        <f t="shared" si="106"/>
        <v>-1.1095776570800964E-2</v>
      </c>
      <c r="Q704" s="215">
        <f t="shared" si="101"/>
        <v>-4.7546012269938709E-2</v>
      </c>
      <c r="R704" s="231">
        <v>11833289</v>
      </c>
      <c r="T704" s="230">
        <v>44120</v>
      </c>
      <c r="U704" s="1">
        <v>44.75</v>
      </c>
      <c r="V704" s="1">
        <v>44.883682060170798</v>
      </c>
      <c r="W704" s="1">
        <v>32308</v>
      </c>
      <c r="X704" s="1">
        <v>39982.980000000003</v>
      </c>
      <c r="Y704" s="215">
        <f t="shared" si="107"/>
        <v>-1.1095776570800964E-2</v>
      </c>
      <c r="Z704" s="215">
        <f t="shared" si="102"/>
        <v>-4.482390608324438E-2</v>
      </c>
      <c r="AA704" s="231">
        <v>1450102</v>
      </c>
      <c r="AC704" s="230">
        <v>44153</v>
      </c>
      <c r="AD704" s="1">
        <v>33.450000000000003</v>
      </c>
      <c r="AE704" s="1">
        <v>34.576339522546398</v>
      </c>
      <c r="AF704" s="1">
        <v>9425</v>
      </c>
      <c r="AG704" s="1">
        <v>44180.05</v>
      </c>
      <c r="AH704" s="215">
        <f t="shared" si="108"/>
        <v>1.3304828720026363E-2</v>
      </c>
      <c r="AI704" s="215">
        <f t="shared" si="103"/>
        <v>1.3636363636363669E-2</v>
      </c>
      <c r="AJ704" s="231">
        <v>325882</v>
      </c>
      <c r="AL704" s="254"/>
      <c r="AQ704" s="215" t="str">
        <f t="shared" si="109"/>
        <v>NA</v>
      </c>
      <c r="AR704" s="215" t="str">
        <f t="shared" si="104"/>
        <v>NA</v>
      </c>
    </row>
    <row r="705" spans="2:44">
      <c r="B705" s="230">
        <v>44123</v>
      </c>
      <c r="C705" s="1">
        <v>202.8</v>
      </c>
      <c r="D705" s="1">
        <v>200.94166666666601</v>
      </c>
      <c r="E705" s="1">
        <v>360</v>
      </c>
      <c r="F705" s="215">
        <v>40431.599999999999</v>
      </c>
      <c r="G705" s="215">
        <f t="shared" si="105"/>
        <v>-2.7813972692140032E-3</v>
      </c>
      <c r="H705" s="215">
        <f t="shared" si="100"/>
        <v>2.9441624365482255E-2</v>
      </c>
      <c r="I705" s="231">
        <v>72339</v>
      </c>
      <c r="K705" s="230">
        <v>44123</v>
      </c>
      <c r="L705" s="1">
        <v>358.6</v>
      </c>
      <c r="M705" s="1">
        <v>358.6</v>
      </c>
      <c r="N705" s="1">
        <v>14615</v>
      </c>
      <c r="O705" s="1">
        <v>40431.599999999999</v>
      </c>
      <c r="P705" s="215">
        <f t="shared" si="106"/>
        <v>-2.7813972692140032E-3</v>
      </c>
      <c r="Q705" s="215">
        <f t="shared" si="101"/>
        <v>2.0489470688674016E-2</v>
      </c>
      <c r="R705" s="231">
        <v>5240939</v>
      </c>
      <c r="T705" s="230">
        <v>44123</v>
      </c>
      <c r="U705" s="1">
        <v>46.85</v>
      </c>
      <c r="V705" s="1">
        <v>46.180887767343698</v>
      </c>
      <c r="W705" s="1">
        <v>120865</v>
      </c>
      <c r="X705" s="1">
        <v>40431.599999999999</v>
      </c>
      <c r="Y705" s="215">
        <f t="shared" si="107"/>
        <v>-2.7813972692140032E-3</v>
      </c>
      <c r="Z705" s="215">
        <f t="shared" si="102"/>
        <v>6.4446831364124435E-3</v>
      </c>
      <c r="AA705" s="231">
        <v>5581653</v>
      </c>
      <c r="AC705" s="230">
        <v>44154</v>
      </c>
      <c r="AD705" s="1">
        <v>33</v>
      </c>
      <c r="AE705" s="1">
        <v>33.149376231122702</v>
      </c>
      <c r="AF705" s="1">
        <v>3046</v>
      </c>
      <c r="AG705" s="1">
        <v>43599.96</v>
      </c>
      <c r="AH705" s="215">
        <f t="shared" si="108"/>
        <v>-6.4328971281099045E-3</v>
      </c>
      <c r="AI705" s="215">
        <f t="shared" si="103"/>
        <v>-9.009009009008917E-3</v>
      </c>
      <c r="AJ705" s="231">
        <v>100973</v>
      </c>
      <c r="AL705" s="254"/>
      <c r="AQ705" s="215" t="str">
        <f t="shared" si="109"/>
        <v>NA</v>
      </c>
      <c r="AR705" s="215" t="str">
        <f t="shared" si="104"/>
        <v>NA</v>
      </c>
    </row>
    <row r="706" spans="2:44">
      <c r="B706" s="230">
        <v>44124</v>
      </c>
      <c r="C706" s="1">
        <v>197</v>
      </c>
      <c r="D706" s="1">
        <v>200.82993197278901</v>
      </c>
      <c r="E706" s="1">
        <v>147</v>
      </c>
      <c r="F706" s="215">
        <v>40544.370000000003</v>
      </c>
      <c r="G706" s="215">
        <f t="shared" si="105"/>
        <v>-4.0027208872311926E-3</v>
      </c>
      <c r="H706" s="215">
        <f t="shared" si="100"/>
        <v>7.4149833802095166E-3</v>
      </c>
      <c r="I706" s="231">
        <v>29522</v>
      </c>
      <c r="K706" s="230">
        <v>44124</v>
      </c>
      <c r="L706" s="1">
        <v>351.4</v>
      </c>
      <c r="M706" s="1">
        <v>358.94472906115499</v>
      </c>
      <c r="N706" s="1">
        <v>34159</v>
      </c>
      <c r="O706" s="1">
        <v>40544.370000000003</v>
      </c>
      <c r="P706" s="215">
        <f t="shared" si="106"/>
        <v>-4.0027208872311926E-3</v>
      </c>
      <c r="Q706" s="215">
        <f t="shared" si="101"/>
        <v>-9.7224179230661623E-3</v>
      </c>
      <c r="R706" s="231">
        <v>12261193</v>
      </c>
      <c r="T706" s="230">
        <v>44124</v>
      </c>
      <c r="U706" s="1">
        <v>46.55</v>
      </c>
      <c r="V706" s="1">
        <v>46.900070508300701</v>
      </c>
      <c r="W706" s="1">
        <v>15601</v>
      </c>
      <c r="X706" s="1">
        <v>40544.370000000003</v>
      </c>
      <c r="Y706" s="215">
        <f t="shared" si="107"/>
        <v>-4.0027208872311926E-3</v>
      </c>
      <c r="Z706" s="215">
        <f t="shared" si="102"/>
        <v>4.8423423423423317E-2</v>
      </c>
      <c r="AA706" s="231">
        <v>731688</v>
      </c>
      <c r="AC706" s="230">
        <v>44155</v>
      </c>
      <c r="AD706" s="1">
        <v>33.299999999999997</v>
      </c>
      <c r="AE706" s="1">
        <v>33.047546012269898</v>
      </c>
      <c r="AF706" s="1">
        <v>652</v>
      </c>
      <c r="AG706" s="1">
        <v>43882.25</v>
      </c>
      <c r="AH706" s="215">
        <f t="shared" si="108"/>
        <v>-4.4217922438271051E-3</v>
      </c>
      <c r="AI706" s="215">
        <f t="shared" si="103"/>
        <v>0</v>
      </c>
      <c r="AJ706" s="231">
        <v>21547</v>
      </c>
      <c r="AL706" s="254"/>
      <c r="AQ706" s="215" t="str">
        <f t="shared" si="109"/>
        <v>NA</v>
      </c>
      <c r="AR706" s="215" t="str">
        <f t="shared" si="104"/>
        <v>NA</v>
      </c>
    </row>
    <row r="707" spans="2:44">
      <c r="B707" s="230">
        <v>44125</v>
      </c>
      <c r="C707" s="1">
        <v>195.55</v>
      </c>
      <c r="D707" s="1">
        <v>196.082706766917</v>
      </c>
      <c r="E707" s="1">
        <v>133</v>
      </c>
      <c r="F707" s="215">
        <v>40707.31</v>
      </c>
      <c r="G707" s="215">
        <f t="shared" si="105"/>
        <v>3.6692687523622869E-3</v>
      </c>
      <c r="H707" s="215">
        <f t="shared" si="100"/>
        <v>-2.295918367346883E-3</v>
      </c>
      <c r="I707" s="231">
        <v>26079</v>
      </c>
      <c r="K707" s="230">
        <v>44125</v>
      </c>
      <c r="L707" s="1">
        <v>354.85</v>
      </c>
      <c r="M707" s="1">
        <v>355.88788587986102</v>
      </c>
      <c r="N707" s="1">
        <v>8973</v>
      </c>
      <c r="O707" s="1">
        <v>40707.31</v>
      </c>
      <c r="P707" s="215">
        <f t="shared" si="106"/>
        <v>3.6692687523622869E-3</v>
      </c>
      <c r="Q707" s="215">
        <f t="shared" si="101"/>
        <v>-9.0756771851437934E-3</v>
      </c>
      <c r="R707" s="231">
        <v>3193382</v>
      </c>
      <c r="T707" s="230">
        <v>44125</v>
      </c>
      <c r="U707" s="1">
        <v>44.4</v>
      </c>
      <c r="V707" s="1">
        <v>45.4371072352723</v>
      </c>
      <c r="W707" s="1">
        <v>29757</v>
      </c>
      <c r="X707" s="1">
        <v>40707.31</v>
      </c>
      <c r="Y707" s="215">
        <f t="shared" si="107"/>
        <v>3.6692687523622869E-3</v>
      </c>
      <c r="Z707" s="215">
        <f t="shared" si="102"/>
        <v>-5.7324840764331308E-2</v>
      </c>
      <c r="AA707" s="231">
        <v>1352072</v>
      </c>
      <c r="AC707" s="230">
        <v>44158</v>
      </c>
      <c r="AD707" s="1">
        <v>33.299999999999997</v>
      </c>
      <c r="AE707" s="1">
        <v>32.978426966292098</v>
      </c>
      <c r="AF707" s="1">
        <v>2225</v>
      </c>
      <c r="AG707" s="1">
        <v>44077.15</v>
      </c>
      <c r="AH707" s="215">
        <f t="shared" si="108"/>
        <v>-1.0014370094391545E-2</v>
      </c>
      <c r="AI707" s="215">
        <f t="shared" si="103"/>
        <v>-7.4515648286139768E-3</v>
      </c>
      <c r="AJ707" s="231">
        <v>73377</v>
      </c>
      <c r="AL707" s="254"/>
      <c r="AQ707" s="215" t="str">
        <f t="shared" si="109"/>
        <v>NA</v>
      </c>
      <c r="AR707" s="215" t="str">
        <f t="shared" si="104"/>
        <v>NA</v>
      </c>
    </row>
    <row r="708" spans="2:44">
      <c r="B708" s="230">
        <v>44126</v>
      </c>
      <c r="C708" s="1">
        <v>196</v>
      </c>
      <c r="D708" s="1">
        <v>196</v>
      </c>
      <c r="E708" s="1">
        <v>892</v>
      </c>
      <c r="F708" s="215">
        <v>40558.49</v>
      </c>
      <c r="G708" s="215">
        <f t="shared" si="105"/>
        <v>-3.1217509923683329E-3</v>
      </c>
      <c r="H708" s="215">
        <f t="shared" si="100"/>
        <v>-4.6692607003890996E-2</v>
      </c>
      <c r="I708" s="231">
        <v>174832</v>
      </c>
      <c r="K708" s="230">
        <v>44126</v>
      </c>
      <c r="L708" s="1">
        <v>358.1</v>
      </c>
      <c r="M708" s="1">
        <v>356.82124183006499</v>
      </c>
      <c r="N708" s="1">
        <v>3060</v>
      </c>
      <c r="O708" s="1">
        <v>40558.49</v>
      </c>
      <c r="P708" s="215">
        <f t="shared" si="106"/>
        <v>-3.1217509923683329E-3</v>
      </c>
      <c r="Q708" s="215">
        <f t="shared" si="101"/>
        <v>-4.7606382978723327E-2</v>
      </c>
      <c r="R708" s="231">
        <v>1091873</v>
      </c>
      <c r="T708" s="230">
        <v>44126</v>
      </c>
      <c r="U708" s="1">
        <v>47.1</v>
      </c>
      <c r="V708" s="1">
        <v>46.344882201544202</v>
      </c>
      <c r="W708" s="1">
        <v>35357</v>
      </c>
      <c r="X708" s="1">
        <v>40558.49</v>
      </c>
      <c r="Y708" s="215">
        <f t="shared" si="107"/>
        <v>-3.1217509923683329E-3</v>
      </c>
      <c r="Z708" s="215">
        <f t="shared" si="102"/>
        <v>2.5027203482045568E-2</v>
      </c>
      <c r="AA708" s="231">
        <v>1638616</v>
      </c>
      <c r="AC708" s="230">
        <v>44159</v>
      </c>
      <c r="AD708" s="1">
        <v>33.549999999999997</v>
      </c>
      <c r="AE708" s="1">
        <v>33.573305307409299</v>
      </c>
      <c r="AF708" s="1">
        <v>1903</v>
      </c>
      <c r="AG708" s="1">
        <v>44523.02</v>
      </c>
      <c r="AH708" s="215">
        <f t="shared" si="108"/>
        <v>1.5855581236695171E-2</v>
      </c>
      <c r="AI708" s="215">
        <f t="shared" si="103"/>
        <v>-2.4709302325581439E-2</v>
      </c>
      <c r="AJ708" s="231">
        <v>63890</v>
      </c>
      <c r="AL708" s="254"/>
      <c r="AQ708" s="215" t="str">
        <f t="shared" si="109"/>
        <v>NA</v>
      </c>
      <c r="AR708" s="215" t="str">
        <f t="shared" si="104"/>
        <v>NA</v>
      </c>
    </row>
    <row r="709" spans="2:44">
      <c r="B709" s="230">
        <v>44127</v>
      </c>
      <c r="C709" s="1">
        <v>205.6</v>
      </c>
      <c r="D709" s="1">
        <v>202.35524256650999</v>
      </c>
      <c r="E709" s="1">
        <v>639</v>
      </c>
      <c r="F709" s="215">
        <v>40685.5</v>
      </c>
      <c r="G709" s="215">
        <f t="shared" si="105"/>
        <v>1.3451071726594543E-2</v>
      </c>
      <c r="H709" s="215">
        <f t="shared" si="100"/>
        <v>3.1715052451817272E-3</v>
      </c>
      <c r="I709" s="231">
        <v>129305</v>
      </c>
      <c r="K709" s="230">
        <v>44127</v>
      </c>
      <c r="L709" s="1">
        <v>376</v>
      </c>
      <c r="M709" s="1">
        <v>370.570373250388</v>
      </c>
      <c r="N709" s="1">
        <v>10288</v>
      </c>
      <c r="O709" s="1">
        <v>40685.5</v>
      </c>
      <c r="P709" s="215">
        <f t="shared" si="106"/>
        <v>1.3451071726594543E-2</v>
      </c>
      <c r="Q709" s="215">
        <f t="shared" si="101"/>
        <v>5.2631578947368363E-2</v>
      </c>
      <c r="R709" s="231">
        <v>3812428</v>
      </c>
      <c r="T709" s="230">
        <v>44127</v>
      </c>
      <c r="U709" s="1">
        <v>45.95</v>
      </c>
      <c r="V709" s="1">
        <v>46.499742489270297</v>
      </c>
      <c r="W709" s="1">
        <v>23300</v>
      </c>
      <c r="X709" s="1">
        <v>40685.5</v>
      </c>
      <c r="Y709" s="215">
        <f t="shared" si="107"/>
        <v>1.3451071726594543E-2</v>
      </c>
      <c r="Z709" s="215">
        <f t="shared" si="102"/>
        <v>4.4318181818181923E-2</v>
      </c>
      <c r="AA709" s="231">
        <v>1083444</v>
      </c>
      <c r="AC709" s="230">
        <v>44160</v>
      </c>
      <c r="AD709" s="1">
        <v>34.4</v>
      </c>
      <c r="AE709" s="1">
        <v>34.550982852362999</v>
      </c>
      <c r="AF709" s="1">
        <v>11955</v>
      </c>
      <c r="AG709" s="1">
        <v>43828.1</v>
      </c>
      <c r="AH709" s="215">
        <f t="shared" si="108"/>
        <v>-9.7524296346973571E-3</v>
      </c>
      <c r="AI709" s="215">
        <f t="shared" si="103"/>
        <v>-1.1494252873563204E-2</v>
      </c>
      <c r="AJ709" s="231">
        <v>413057</v>
      </c>
      <c r="AL709" s="254"/>
      <c r="AQ709" s="215" t="str">
        <f t="shared" si="109"/>
        <v>NA</v>
      </c>
      <c r="AR709" s="215" t="str">
        <f t="shared" si="104"/>
        <v>NA</v>
      </c>
    </row>
    <row r="710" spans="2:44">
      <c r="B710" s="230">
        <v>44130</v>
      </c>
      <c r="C710" s="1">
        <v>204.95</v>
      </c>
      <c r="D710" s="1">
        <v>206.19125683060099</v>
      </c>
      <c r="E710" s="1">
        <v>183</v>
      </c>
      <c r="F710" s="215">
        <v>40145.5</v>
      </c>
      <c r="G710" s="215">
        <f t="shared" si="105"/>
        <v>-9.2936940583039362E-3</v>
      </c>
      <c r="H710" s="215">
        <f t="shared" si="100"/>
        <v>-9.9033816425121435E-3</v>
      </c>
      <c r="I710" s="231">
        <v>37733</v>
      </c>
      <c r="K710" s="230">
        <v>44130</v>
      </c>
      <c r="L710" s="1">
        <v>357.2</v>
      </c>
      <c r="M710" s="1">
        <v>371.41249723675401</v>
      </c>
      <c r="N710" s="1">
        <v>13571</v>
      </c>
      <c r="O710" s="1">
        <v>40145.5</v>
      </c>
      <c r="P710" s="215">
        <f t="shared" si="106"/>
        <v>-9.2936940583039362E-3</v>
      </c>
      <c r="Q710" s="215">
        <f t="shared" si="101"/>
        <v>2.666666666666595E-3</v>
      </c>
      <c r="R710" s="231">
        <v>5040439</v>
      </c>
      <c r="T710" s="230">
        <v>44130</v>
      </c>
      <c r="U710" s="1">
        <v>44</v>
      </c>
      <c r="V710" s="1">
        <v>44.591590341382101</v>
      </c>
      <c r="W710" s="1">
        <v>28824</v>
      </c>
      <c r="X710" s="1">
        <v>40145.5</v>
      </c>
      <c r="Y710" s="215">
        <f t="shared" si="107"/>
        <v>-9.2936940583039362E-3</v>
      </c>
      <c r="Z710" s="215">
        <f t="shared" si="102"/>
        <v>-1.2345679012345623E-2</v>
      </c>
      <c r="AA710" s="231">
        <v>1285308</v>
      </c>
      <c r="AC710" s="230">
        <v>44161</v>
      </c>
      <c r="AD710" s="1">
        <v>34.799999999999997</v>
      </c>
      <c r="AE710" s="1">
        <v>35.097516556291303</v>
      </c>
      <c r="AF710" s="1">
        <v>6040</v>
      </c>
      <c r="AG710" s="1">
        <v>44259.74</v>
      </c>
      <c r="AH710" s="215">
        <f t="shared" si="108"/>
        <v>2.4919750340430813E-3</v>
      </c>
      <c r="AI710" s="215">
        <f t="shared" si="103"/>
        <v>2.8818443804032867E-3</v>
      </c>
      <c r="AJ710" s="231">
        <v>211989</v>
      </c>
      <c r="AL710" s="254"/>
      <c r="AQ710" s="215" t="str">
        <f t="shared" si="109"/>
        <v>NA</v>
      </c>
      <c r="AR710" s="215" t="str">
        <f t="shared" si="104"/>
        <v>NA</v>
      </c>
    </row>
    <row r="711" spans="2:44">
      <c r="B711" s="230">
        <v>44131</v>
      </c>
      <c r="C711" s="1">
        <v>207</v>
      </c>
      <c r="D711" s="1">
        <v>204.56233421750599</v>
      </c>
      <c r="E711" s="1">
        <v>377</v>
      </c>
      <c r="F711" s="215">
        <v>40522.1</v>
      </c>
      <c r="G711" s="215">
        <f t="shared" si="105"/>
        <v>1.502011649582724E-2</v>
      </c>
      <c r="H711" s="215">
        <f t="shared" si="100"/>
        <v>-1.3346043851287015E-2</v>
      </c>
      <c r="I711" s="231">
        <v>77120</v>
      </c>
      <c r="K711" s="230">
        <v>44131</v>
      </c>
      <c r="L711" s="1">
        <v>356.25</v>
      </c>
      <c r="M711" s="1">
        <v>353.94926759556898</v>
      </c>
      <c r="N711" s="1">
        <v>5598</v>
      </c>
      <c r="O711" s="1">
        <v>40522.1</v>
      </c>
      <c r="P711" s="215">
        <f t="shared" si="106"/>
        <v>1.502011649582724E-2</v>
      </c>
      <c r="Q711" s="215">
        <f t="shared" si="101"/>
        <v>2.4148339801638663E-2</v>
      </c>
      <c r="R711" s="231">
        <v>1981408</v>
      </c>
      <c r="T711" s="230">
        <v>44131</v>
      </c>
      <c r="U711" s="1">
        <v>44.55</v>
      </c>
      <c r="V711" s="1">
        <v>43.8187831676507</v>
      </c>
      <c r="W711" s="1">
        <v>26758</v>
      </c>
      <c r="X711" s="1">
        <v>40522.1</v>
      </c>
      <c r="Y711" s="215">
        <f t="shared" si="107"/>
        <v>1.502011649582724E-2</v>
      </c>
      <c r="Z711" s="215">
        <f t="shared" si="102"/>
        <v>1.1350737797956922E-2</v>
      </c>
      <c r="AA711" s="231">
        <v>1172503</v>
      </c>
      <c r="AC711" s="230">
        <v>44162</v>
      </c>
      <c r="AD711" s="1">
        <v>34.700000000000003</v>
      </c>
      <c r="AE711" s="1">
        <v>34.701288758453401</v>
      </c>
      <c r="AF711" s="1">
        <v>7837</v>
      </c>
      <c r="AG711" s="1">
        <v>44149.72</v>
      </c>
      <c r="AH711" s="215">
        <f t="shared" si="108"/>
        <v>-1.1324935998839103E-2</v>
      </c>
      <c r="AI711" s="215">
        <f t="shared" si="103"/>
        <v>-6.0893098782138E-2</v>
      </c>
      <c r="AJ711" s="231">
        <v>271954</v>
      </c>
      <c r="AL711" s="254"/>
      <c r="AQ711" s="215" t="str">
        <f t="shared" si="109"/>
        <v>NA</v>
      </c>
      <c r="AR711" s="215" t="str">
        <f t="shared" si="104"/>
        <v>NA</v>
      </c>
    </row>
    <row r="712" spans="2:44">
      <c r="B712" s="230">
        <v>44132</v>
      </c>
      <c r="C712" s="1">
        <v>209.8</v>
      </c>
      <c r="D712" s="1">
        <v>207.729729729729</v>
      </c>
      <c r="E712" s="1">
        <v>74</v>
      </c>
      <c r="F712" s="215">
        <v>39922.46</v>
      </c>
      <c r="G712" s="215">
        <f t="shared" si="105"/>
        <v>4.3424063235459887E-3</v>
      </c>
      <c r="H712" s="215">
        <f t="shared" si="100"/>
        <v>3.7843185753153596E-2</v>
      </c>
      <c r="I712" s="231">
        <v>15372</v>
      </c>
      <c r="K712" s="230">
        <v>44132</v>
      </c>
      <c r="L712" s="1">
        <v>347.85</v>
      </c>
      <c r="M712" s="1">
        <v>352.55714466523199</v>
      </c>
      <c r="N712" s="1">
        <v>7901</v>
      </c>
      <c r="O712" s="1">
        <v>39922.46</v>
      </c>
      <c r="P712" s="215">
        <f t="shared" si="106"/>
        <v>4.3424063235459887E-3</v>
      </c>
      <c r="Q712" s="215">
        <f t="shared" si="101"/>
        <v>-1.3611229264142821E-2</v>
      </c>
      <c r="R712" s="231">
        <v>2785554</v>
      </c>
      <c r="T712" s="230">
        <v>44132</v>
      </c>
      <c r="U712" s="1">
        <v>44.05</v>
      </c>
      <c r="V712" s="1">
        <v>44.433287210911203</v>
      </c>
      <c r="W712" s="1">
        <v>15177</v>
      </c>
      <c r="X712" s="1">
        <v>39922.46</v>
      </c>
      <c r="Y712" s="215">
        <f t="shared" si="107"/>
        <v>4.3424063235459887E-3</v>
      </c>
      <c r="Z712" s="215">
        <f t="shared" si="102"/>
        <v>3.4168564920273869E-3</v>
      </c>
      <c r="AA712" s="231">
        <v>674364</v>
      </c>
      <c r="AC712" s="230">
        <v>44166</v>
      </c>
      <c r="AD712" s="1">
        <v>36.950000000000003</v>
      </c>
      <c r="AE712" s="1">
        <v>36.062454873646203</v>
      </c>
      <c r="AF712" s="1">
        <v>38780</v>
      </c>
      <c r="AG712" s="1">
        <v>44655.44</v>
      </c>
      <c r="AH712" s="215">
        <f t="shared" si="108"/>
        <v>8.3822597317140257E-4</v>
      </c>
      <c r="AI712" s="215">
        <f t="shared" si="103"/>
        <v>-3.2722513089005201E-2</v>
      </c>
      <c r="AJ712" s="231">
        <v>1398502</v>
      </c>
      <c r="AL712" s="254"/>
      <c r="AQ712" s="215" t="str">
        <f t="shared" si="109"/>
        <v>NA</v>
      </c>
      <c r="AR712" s="215" t="str">
        <f t="shared" si="104"/>
        <v>NA</v>
      </c>
    </row>
    <row r="713" spans="2:44">
      <c r="B713" s="230">
        <v>44133</v>
      </c>
      <c r="C713" s="1">
        <v>202.15</v>
      </c>
      <c r="D713" s="1">
        <v>204.09198113207501</v>
      </c>
      <c r="E713" s="1">
        <v>424</v>
      </c>
      <c r="F713" s="215">
        <v>39749.85</v>
      </c>
      <c r="G713" s="215">
        <f t="shared" si="105"/>
        <v>-1.9442833291172246E-4</v>
      </c>
      <c r="H713" s="215">
        <f t="shared" si="100"/>
        <v>1.1255627813906877E-2</v>
      </c>
      <c r="I713" s="231">
        <v>86535</v>
      </c>
      <c r="K713" s="230">
        <v>44133</v>
      </c>
      <c r="L713" s="1">
        <v>352.65</v>
      </c>
      <c r="M713" s="1">
        <v>349.07613147117502</v>
      </c>
      <c r="N713" s="1">
        <v>9523</v>
      </c>
      <c r="O713" s="1">
        <v>39749.85</v>
      </c>
      <c r="P713" s="215">
        <f t="shared" si="106"/>
        <v>3.4275700527615083E-3</v>
      </c>
      <c r="Q713" s="215">
        <f t="shared" si="101"/>
        <v>2.9863481228666888E-3</v>
      </c>
      <c r="R713" s="231">
        <v>3324252</v>
      </c>
      <c r="T713" s="230">
        <v>44133</v>
      </c>
      <c r="U713" s="1">
        <v>43.9</v>
      </c>
      <c r="V713" s="1">
        <v>44.030714584203899</v>
      </c>
      <c r="W713" s="1">
        <v>14358</v>
      </c>
      <c r="X713" s="1">
        <v>39749.85</v>
      </c>
      <c r="Y713" s="215">
        <f t="shared" si="107"/>
        <v>3.4275700527615083E-3</v>
      </c>
      <c r="Z713" s="215">
        <f t="shared" si="102"/>
        <v>2.2831050228311334E-3</v>
      </c>
      <c r="AA713" s="231">
        <v>632193</v>
      </c>
      <c r="AC713" s="230">
        <v>44167</v>
      </c>
      <c r="AD713" s="1">
        <v>38.200000000000003</v>
      </c>
      <c r="AE713" s="1">
        <v>37.6390219167277</v>
      </c>
      <c r="AF713" s="1">
        <v>17749</v>
      </c>
      <c r="AG713" s="1">
        <v>44618.04</v>
      </c>
      <c r="AH713" s="215">
        <f t="shared" si="108"/>
        <v>-3.2733884275304437E-4</v>
      </c>
      <c r="AI713" s="215">
        <f t="shared" si="103"/>
        <v>3.9421813403417438E-3</v>
      </c>
      <c r="AJ713" s="231">
        <v>668055</v>
      </c>
      <c r="AL713" s="254"/>
      <c r="AQ713" s="215" t="str">
        <f t="shared" si="109"/>
        <v>NA</v>
      </c>
      <c r="AR713" s="215" t="str">
        <f t="shared" si="104"/>
        <v>NA</v>
      </c>
    </row>
    <row r="714" spans="2:44">
      <c r="B714" s="230">
        <v>44137</v>
      </c>
      <c r="C714" s="1">
        <v>199.9</v>
      </c>
      <c r="D714" s="1">
        <v>198.112073357106</v>
      </c>
      <c r="E714" s="1">
        <v>1963</v>
      </c>
      <c r="F714" s="215">
        <v>39757.58</v>
      </c>
      <c r="G714" s="215">
        <f t="shared" si="105"/>
        <v>-1.2507100521023551E-2</v>
      </c>
      <c r="H714" s="215">
        <f t="shared" si="100"/>
        <v>0</v>
      </c>
      <c r="I714" s="231">
        <v>388894</v>
      </c>
      <c r="K714" s="230">
        <v>44134</v>
      </c>
      <c r="L714" s="1">
        <v>351.6</v>
      </c>
      <c r="M714" s="1">
        <v>356.54842073897402</v>
      </c>
      <c r="N714" s="1">
        <v>6712</v>
      </c>
      <c r="O714" s="1">
        <v>39614.07</v>
      </c>
      <c r="P714" s="215">
        <f t="shared" si="106"/>
        <v>-3.6096261392167817E-3</v>
      </c>
      <c r="Q714" s="215">
        <f t="shared" si="101"/>
        <v>-4.5213849287168983E-2</v>
      </c>
      <c r="R714" s="231">
        <v>2393153</v>
      </c>
      <c r="T714" s="230">
        <v>44134</v>
      </c>
      <c r="U714" s="1">
        <v>43.8</v>
      </c>
      <c r="V714" s="1">
        <v>44.006719184429997</v>
      </c>
      <c r="W714" s="1">
        <v>8632</v>
      </c>
      <c r="X714" s="1">
        <v>39614.07</v>
      </c>
      <c r="Y714" s="215">
        <f t="shared" si="107"/>
        <v>-3.6096261392167817E-3</v>
      </c>
      <c r="Z714" s="215">
        <f t="shared" si="102"/>
        <v>1.5063731170336103E-2</v>
      </c>
      <c r="AA714" s="231">
        <v>379866</v>
      </c>
      <c r="AC714" s="230">
        <v>44168</v>
      </c>
      <c r="AD714" s="1">
        <v>38.049999999999997</v>
      </c>
      <c r="AE714" s="1">
        <v>38.059567841152401</v>
      </c>
      <c r="AF714" s="1">
        <v>5137</v>
      </c>
      <c r="AG714" s="1">
        <v>44632.65</v>
      </c>
      <c r="AH714" s="215">
        <f t="shared" si="108"/>
        <v>-9.9135860939162379E-3</v>
      </c>
      <c r="AI714" s="215">
        <f t="shared" si="103"/>
        <v>2.5606469002695365E-2</v>
      </c>
      <c r="AJ714" s="231">
        <v>195512</v>
      </c>
      <c r="AL714" s="254"/>
      <c r="AQ714" s="215" t="str">
        <f t="shared" si="109"/>
        <v>NA</v>
      </c>
      <c r="AR714" s="215" t="str">
        <f t="shared" si="104"/>
        <v>NA</v>
      </c>
    </row>
    <row r="715" spans="2:44">
      <c r="B715" s="230">
        <v>44138</v>
      </c>
      <c r="C715" s="1">
        <v>199.9</v>
      </c>
      <c r="D715" s="1">
        <v>199.89189189189099</v>
      </c>
      <c r="E715" s="1">
        <v>74</v>
      </c>
      <c r="F715" s="215">
        <v>40261.129999999997</v>
      </c>
      <c r="G715" s="215">
        <f t="shared" si="105"/>
        <v>-8.740613952975429E-3</v>
      </c>
      <c r="H715" s="215">
        <f t="shared" si="100"/>
        <v>-3.7785800240673906E-2</v>
      </c>
      <c r="I715" s="231">
        <v>14792</v>
      </c>
      <c r="K715" s="230">
        <v>44137</v>
      </c>
      <c r="L715" s="1">
        <v>368.25</v>
      </c>
      <c r="M715" s="1">
        <v>366.09391640356199</v>
      </c>
      <c r="N715" s="1">
        <v>21221</v>
      </c>
      <c r="O715" s="1">
        <v>39757.58</v>
      </c>
      <c r="P715" s="215">
        <f t="shared" si="106"/>
        <v>-1.2507100521023551E-2</v>
      </c>
      <c r="Q715" s="215">
        <f t="shared" si="101"/>
        <v>2.662391971006417E-2</v>
      </c>
      <c r="R715" s="231">
        <v>7768879</v>
      </c>
      <c r="T715" s="230">
        <v>44137</v>
      </c>
      <c r="U715" s="1">
        <v>43.15</v>
      </c>
      <c r="V715" s="1">
        <v>43.387710482911999</v>
      </c>
      <c r="W715" s="1">
        <v>26071</v>
      </c>
      <c r="X715" s="1">
        <v>39757.58</v>
      </c>
      <c r="Y715" s="215">
        <f t="shared" si="107"/>
        <v>-1.2507100521023551E-2</v>
      </c>
      <c r="Z715" s="215">
        <f t="shared" si="102"/>
        <v>9.3567251461987855E-3</v>
      </c>
      <c r="AA715" s="231">
        <v>1131161</v>
      </c>
      <c r="AC715" s="230">
        <v>44169</v>
      </c>
      <c r="AD715" s="1">
        <v>37.1</v>
      </c>
      <c r="AE715" s="1">
        <v>37.3985176738882</v>
      </c>
      <c r="AF715" s="1">
        <v>1754</v>
      </c>
      <c r="AG715" s="1">
        <v>45079.55</v>
      </c>
      <c r="AH715" s="215">
        <f t="shared" si="108"/>
        <v>-7.6478796626761048E-3</v>
      </c>
      <c r="AI715" s="215">
        <f t="shared" si="103"/>
        <v>3.3426183844011303E-2</v>
      </c>
      <c r="AJ715" s="231">
        <v>65597</v>
      </c>
      <c r="AL715" s="254"/>
      <c r="AQ715" s="215" t="str">
        <f t="shared" si="109"/>
        <v>NA</v>
      </c>
      <c r="AR715" s="215" t="str">
        <f t="shared" si="104"/>
        <v>NA</v>
      </c>
    </row>
    <row r="716" spans="2:44">
      <c r="B716" s="230">
        <v>44139</v>
      </c>
      <c r="C716" s="1">
        <v>207.75</v>
      </c>
      <c r="D716" s="1">
        <v>203.102564102564</v>
      </c>
      <c r="E716" s="1">
        <v>234</v>
      </c>
      <c r="F716" s="215">
        <v>40616.14</v>
      </c>
      <c r="G716" s="215">
        <f t="shared" si="105"/>
        <v>-1.7513720314580428E-2</v>
      </c>
      <c r="H716" s="215">
        <f t="shared" si="100"/>
        <v>-9.6176965616734389E-4</v>
      </c>
      <c r="I716" s="231">
        <v>47526</v>
      </c>
      <c r="K716" s="230">
        <v>44138</v>
      </c>
      <c r="L716" s="1">
        <v>358.7</v>
      </c>
      <c r="M716" s="1">
        <v>364.62370423632302</v>
      </c>
      <c r="N716" s="1">
        <v>16689</v>
      </c>
      <c r="O716" s="1">
        <v>40261.129999999997</v>
      </c>
      <c r="P716" s="215">
        <f t="shared" si="106"/>
        <v>-8.740613952975429E-3</v>
      </c>
      <c r="Q716" s="215">
        <f t="shared" si="101"/>
        <v>-4.7404063205417679E-2</v>
      </c>
      <c r="R716" s="231">
        <v>6085205</v>
      </c>
      <c r="T716" s="230">
        <v>44138</v>
      </c>
      <c r="U716" s="1">
        <v>42.75</v>
      </c>
      <c r="V716" s="1">
        <v>43.2972403345847</v>
      </c>
      <c r="W716" s="1">
        <v>15183</v>
      </c>
      <c r="X716" s="1">
        <v>40261.129999999997</v>
      </c>
      <c r="Y716" s="215">
        <f t="shared" si="107"/>
        <v>-8.740613952975429E-3</v>
      </c>
      <c r="Z716" s="215">
        <f t="shared" si="102"/>
        <v>-1.1682242990653791E-3</v>
      </c>
      <c r="AA716" s="231">
        <v>657382</v>
      </c>
      <c r="AC716" s="230">
        <v>44172</v>
      </c>
      <c r="AD716" s="1">
        <v>35.9</v>
      </c>
      <c r="AE716" s="1">
        <v>35.893026743314103</v>
      </c>
      <c r="AF716" s="1">
        <v>8002</v>
      </c>
      <c r="AG716" s="1">
        <v>45426.97</v>
      </c>
      <c r="AH716" s="215">
        <f t="shared" si="108"/>
        <v>-3.9803975179193429E-3</v>
      </c>
      <c r="AI716" s="215">
        <f t="shared" si="103"/>
        <v>-8.2872928176797034E-3</v>
      </c>
      <c r="AJ716" s="231">
        <v>287216</v>
      </c>
      <c r="AL716" s="254"/>
      <c r="AQ716" s="215" t="str">
        <f t="shared" si="109"/>
        <v>NA</v>
      </c>
      <c r="AR716" s="215" t="str">
        <f t="shared" si="104"/>
        <v>NA</v>
      </c>
    </row>
    <row r="717" spans="2:44">
      <c r="B717" s="230">
        <v>44140</v>
      </c>
      <c r="C717" s="1">
        <v>207.95</v>
      </c>
      <c r="D717" s="1">
        <v>208.543859649122</v>
      </c>
      <c r="E717" s="1">
        <v>285</v>
      </c>
      <c r="F717" s="215">
        <v>41340.160000000003</v>
      </c>
      <c r="G717" s="215">
        <f t="shared" si="105"/>
        <v>-1.3197890056252604E-2</v>
      </c>
      <c r="H717" s="215">
        <f t="shared" si="100"/>
        <v>-2.7816736792893981E-2</v>
      </c>
      <c r="I717" s="231">
        <v>59435</v>
      </c>
      <c r="K717" s="230">
        <v>44139</v>
      </c>
      <c r="L717" s="1">
        <v>376.55</v>
      </c>
      <c r="M717" s="1">
        <v>373.24696594791999</v>
      </c>
      <c r="N717" s="1">
        <v>16974</v>
      </c>
      <c r="O717" s="1">
        <v>40616.14</v>
      </c>
      <c r="P717" s="215">
        <f t="shared" si="106"/>
        <v>-1.7513720314580428E-2</v>
      </c>
      <c r="Q717" s="215">
        <f t="shared" si="101"/>
        <v>-1.2198321091290598E-2</v>
      </c>
      <c r="R717" s="231">
        <v>6335494</v>
      </c>
      <c r="T717" s="230">
        <v>44139</v>
      </c>
      <c r="U717" s="1">
        <v>42.8</v>
      </c>
      <c r="V717" s="1">
        <v>42.6902871105681</v>
      </c>
      <c r="W717" s="1">
        <v>1637</v>
      </c>
      <c r="X717" s="1">
        <v>40616.14</v>
      </c>
      <c r="Y717" s="215">
        <f t="shared" si="107"/>
        <v>-1.7513720314580428E-2</v>
      </c>
      <c r="Z717" s="215">
        <f t="shared" si="102"/>
        <v>-6.8552774755168744E-2</v>
      </c>
      <c r="AA717" s="231">
        <v>69884</v>
      </c>
      <c r="AC717" s="230">
        <v>44173</v>
      </c>
      <c r="AD717" s="1">
        <v>36.200000000000003</v>
      </c>
      <c r="AE717" s="1">
        <v>36.018495684340301</v>
      </c>
      <c r="AF717" s="1">
        <v>811</v>
      </c>
      <c r="AG717" s="1">
        <v>45608.51</v>
      </c>
      <c r="AH717" s="215">
        <f t="shared" si="108"/>
        <v>-1.073649506002794E-2</v>
      </c>
      <c r="AI717" s="215">
        <f t="shared" si="103"/>
        <v>1.6853932584269593E-2</v>
      </c>
      <c r="AJ717" s="231">
        <v>29211</v>
      </c>
      <c r="AL717" s="254"/>
      <c r="AQ717" s="215" t="str">
        <f t="shared" si="109"/>
        <v>NA</v>
      </c>
      <c r="AR717" s="215" t="str">
        <f t="shared" si="104"/>
        <v>NA</v>
      </c>
    </row>
    <row r="718" spans="2:44">
      <c r="B718" s="230">
        <v>44141</v>
      </c>
      <c r="C718" s="1">
        <v>213.9</v>
      </c>
      <c r="D718" s="1">
        <v>210.71176470588199</v>
      </c>
      <c r="E718" s="1">
        <v>1360</v>
      </c>
      <c r="F718" s="215">
        <v>41893.06</v>
      </c>
      <c r="G718" s="215">
        <f t="shared" si="105"/>
        <v>-1.6535504606733364E-2</v>
      </c>
      <c r="H718" s="215">
        <f t="shared" ref="H718:H781" si="110">IF(ISERROR(C718/C719-1),"NA",C718/C719-1)</f>
        <v>1.8571428571428683E-2</v>
      </c>
      <c r="I718" s="231">
        <v>286568</v>
      </c>
      <c r="K718" s="230">
        <v>44140</v>
      </c>
      <c r="L718" s="1">
        <v>381.2</v>
      </c>
      <c r="M718" s="1">
        <v>383.89556563366</v>
      </c>
      <c r="N718" s="1">
        <v>15876</v>
      </c>
      <c r="O718" s="1">
        <v>41340.160000000003</v>
      </c>
      <c r="P718" s="215">
        <f t="shared" si="106"/>
        <v>-1.3197890056252604E-2</v>
      </c>
      <c r="Q718" s="215">
        <f t="shared" ref="Q718:Q781" si="111">IF(ISERROR(L718/L719-1),"NA",L718/L719-1)</f>
        <v>1.952393688151921E-2</v>
      </c>
      <c r="R718" s="231">
        <v>6094726</v>
      </c>
      <c r="T718" s="230">
        <v>44140</v>
      </c>
      <c r="U718" s="1">
        <v>45.95</v>
      </c>
      <c r="V718" s="1">
        <v>45.122135543637199</v>
      </c>
      <c r="W718" s="1">
        <v>65632</v>
      </c>
      <c r="X718" s="1">
        <v>41340.160000000003</v>
      </c>
      <c r="Y718" s="215">
        <f t="shared" si="107"/>
        <v>-1.3197890056252604E-2</v>
      </c>
      <c r="Z718" s="215">
        <f t="shared" ref="Z718:Z781" si="112">IF(ISERROR(U718/U719-1),"NA",U718/U719-1)</f>
        <v>1.5469613259668558E-2</v>
      </c>
      <c r="AA718" s="231">
        <v>2961456</v>
      </c>
      <c r="AC718" s="230">
        <v>44174</v>
      </c>
      <c r="AD718" s="1">
        <v>35.6</v>
      </c>
      <c r="AE718" s="1">
        <v>35.624380952380903</v>
      </c>
      <c r="AF718" s="1">
        <v>2625</v>
      </c>
      <c r="AG718" s="1">
        <v>46103.5</v>
      </c>
      <c r="AH718" s="215">
        <f t="shared" si="108"/>
        <v>3.1248993687538196E-3</v>
      </c>
      <c r="AI718" s="215">
        <f t="shared" ref="AI718:AI781" si="113">IF(ISERROR(AD718/AD719-1),"NA",AD718/AD719-1)</f>
        <v>9.9290780141845225E-3</v>
      </c>
      <c r="AJ718" s="231">
        <v>93514</v>
      </c>
      <c r="AL718" s="254"/>
      <c r="AQ718" s="215" t="str">
        <f t="shared" si="109"/>
        <v>NA</v>
      </c>
      <c r="AR718" s="215" t="str">
        <f t="shared" ref="AR718:AR781" si="114">IF(ISERROR(AM718/AM719-1),"NA",AM718/AM719-1)</f>
        <v>NA</v>
      </c>
    </row>
    <row r="719" spans="2:44">
      <c r="B719" s="230">
        <v>44144</v>
      </c>
      <c r="C719" s="1">
        <v>210</v>
      </c>
      <c r="D719" s="1">
        <v>213.135004042037</v>
      </c>
      <c r="E719" s="1">
        <v>1237</v>
      </c>
      <c r="F719" s="215">
        <v>42597.43</v>
      </c>
      <c r="G719" s="215">
        <f t="shared" ref="G719:G782" si="115">IF(ISERROR(F719/F720-1),"NA",F719/F720-1)</f>
        <v>-1.5717581707879291E-2</v>
      </c>
      <c r="H719" s="215">
        <f t="shared" si="110"/>
        <v>2.3142509135200884E-2</v>
      </c>
      <c r="I719" s="231">
        <v>263648</v>
      </c>
      <c r="K719" s="230">
        <v>44141</v>
      </c>
      <c r="L719" s="1">
        <v>373.9</v>
      </c>
      <c r="M719" s="1">
        <v>391.41408656368998</v>
      </c>
      <c r="N719" s="1">
        <v>43829</v>
      </c>
      <c r="O719" s="1">
        <v>41893.06</v>
      </c>
      <c r="P719" s="215">
        <f t="shared" ref="P719:P782" si="116">IF(ISERROR(O719/O720-1),"NA",O719/O720-1)</f>
        <v>-1.6535504606733364E-2</v>
      </c>
      <c r="Q719" s="215">
        <f t="shared" si="111"/>
        <v>3.3015609890868935E-2</v>
      </c>
      <c r="R719" s="231">
        <v>17155288</v>
      </c>
      <c r="T719" s="230">
        <v>44141</v>
      </c>
      <c r="U719" s="1">
        <v>45.25</v>
      </c>
      <c r="V719" s="1">
        <v>45.941850787940602</v>
      </c>
      <c r="W719" s="1">
        <v>37249</v>
      </c>
      <c r="X719" s="1">
        <v>41893.06</v>
      </c>
      <c r="Y719" s="215">
        <f t="shared" ref="Y719:Y782" si="117">IF(ISERROR(X719/X720-1),"NA",X719/X720-1)</f>
        <v>-1.6535504606733364E-2</v>
      </c>
      <c r="Z719" s="215">
        <f t="shared" si="112"/>
        <v>-2.1621621621621623E-2</v>
      </c>
      <c r="AA719" s="231">
        <v>1711288</v>
      </c>
      <c r="AC719" s="230">
        <v>44175</v>
      </c>
      <c r="AD719" s="1">
        <v>35.25</v>
      </c>
      <c r="AE719" s="1">
        <v>34.858600583090301</v>
      </c>
      <c r="AF719" s="1">
        <v>1372</v>
      </c>
      <c r="AG719" s="1">
        <v>45959.88</v>
      </c>
      <c r="AH719" s="215">
        <f t="shared" ref="AH719:AH782" si="118">IF(ISERROR(AG719/AG720-1),"NA",AG719/AG720-1)</f>
        <v>-3.0180691515936386E-3</v>
      </c>
      <c r="AI719" s="215">
        <f t="shared" si="113"/>
        <v>5.7061340941513272E-3</v>
      </c>
      <c r="AJ719" s="231">
        <v>47826</v>
      </c>
      <c r="AL719" s="254"/>
      <c r="AQ719" s="215" t="str">
        <f t="shared" ref="AQ719:AQ782" si="119">IF(ISERROR(AP719/AP720-1),"NA",AP719/AP720-1)</f>
        <v>NA</v>
      </c>
      <c r="AR719" s="215" t="str">
        <f t="shared" si="114"/>
        <v>NA</v>
      </c>
    </row>
    <row r="720" spans="2:44">
      <c r="B720" s="230">
        <v>44145</v>
      </c>
      <c r="C720" s="1">
        <v>205.25</v>
      </c>
      <c r="D720" s="1">
        <v>207.504672897196</v>
      </c>
      <c r="E720" s="1">
        <v>107</v>
      </c>
      <c r="F720" s="215">
        <v>43277.65</v>
      </c>
      <c r="G720" s="215">
        <f t="shared" si="115"/>
        <v>-7.2492176042988632E-3</v>
      </c>
      <c r="H720" s="215">
        <f t="shared" si="110"/>
        <v>6.1274509803921351E-3</v>
      </c>
      <c r="I720" s="231">
        <v>22203</v>
      </c>
      <c r="K720" s="230">
        <v>44144</v>
      </c>
      <c r="L720" s="1">
        <v>361.95</v>
      </c>
      <c r="M720" s="1">
        <v>362.55103907161498</v>
      </c>
      <c r="N720" s="1">
        <v>31711</v>
      </c>
      <c r="O720" s="1">
        <v>42597.43</v>
      </c>
      <c r="P720" s="215">
        <f t="shared" si="116"/>
        <v>-1.5717581707879291E-2</v>
      </c>
      <c r="Q720" s="215">
        <f t="shared" si="111"/>
        <v>4.0235666043971774E-2</v>
      </c>
      <c r="R720" s="231">
        <v>11496856</v>
      </c>
      <c r="T720" s="230">
        <v>44144</v>
      </c>
      <c r="U720" s="1">
        <v>46.25</v>
      </c>
      <c r="V720" s="1">
        <v>46.667132186652402</v>
      </c>
      <c r="W720" s="1">
        <v>110987</v>
      </c>
      <c r="X720" s="1">
        <v>42597.43</v>
      </c>
      <c r="Y720" s="215">
        <f t="shared" si="117"/>
        <v>-1.5717581707879291E-2</v>
      </c>
      <c r="Z720" s="215">
        <f t="shared" si="112"/>
        <v>0.1212121212121211</v>
      </c>
      <c r="AA720" s="231">
        <v>5179445</v>
      </c>
      <c r="AC720" s="230">
        <v>44176</v>
      </c>
      <c r="AD720" s="1">
        <v>35.049999999999997</v>
      </c>
      <c r="AE720" s="1">
        <v>35.379816513761398</v>
      </c>
      <c r="AF720" s="1">
        <v>1635</v>
      </c>
      <c r="AG720" s="1">
        <v>46099.01</v>
      </c>
      <c r="AH720" s="215">
        <f t="shared" si="118"/>
        <v>-3.3392096504779589E-3</v>
      </c>
      <c r="AI720" s="215">
        <f t="shared" si="113"/>
        <v>-1.406469760900142E-2</v>
      </c>
      <c r="AJ720" s="231">
        <v>57846</v>
      </c>
      <c r="AL720" s="254"/>
      <c r="AQ720" s="215" t="str">
        <f t="shared" si="119"/>
        <v>NA</v>
      </c>
      <c r="AR720" s="215" t="str">
        <f t="shared" si="114"/>
        <v>NA</v>
      </c>
    </row>
    <row r="721" spans="2:44">
      <c r="B721" s="230">
        <v>44146</v>
      </c>
      <c r="C721" s="1">
        <v>204</v>
      </c>
      <c r="D721" s="1">
        <v>203.271356783919</v>
      </c>
      <c r="E721" s="1">
        <v>995</v>
      </c>
      <c r="F721" s="215">
        <v>43593.67</v>
      </c>
      <c r="G721" s="215">
        <f t="shared" si="115"/>
        <v>5.454228006934958E-3</v>
      </c>
      <c r="H721" s="215">
        <f t="shared" si="110"/>
        <v>-2.8571428571428581E-2</v>
      </c>
      <c r="I721" s="231">
        <v>202255</v>
      </c>
      <c r="K721" s="230">
        <v>44145</v>
      </c>
      <c r="L721" s="1">
        <v>347.95</v>
      </c>
      <c r="M721" s="1">
        <v>354.792327729102</v>
      </c>
      <c r="N721" s="1">
        <v>12669</v>
      </c>
      <c r="O721" s="1">
        <v>43277.65</v>
      </c>
      <c r="P721" s="215">
        <f t="shared" si="116"/>
        <v>-7.2492176042988632E-3</v>
      </c>
      <c r="Q721" s="215">
        <f t="shared" si="111"/>
        <v>-1.3747165532879912E-2</v>
      </c>
      <c r="R721" s="231">
        <v>4494864</v>
      </c>
      <c r="T721" s="230">
        <v>44145</v>
      </c>
      <c r="U721" s="1">
        <v>41.25</v>
      </c>
      <c r="V721" s="1">
        <v>42.853553016514297</v>
      </c>
      <c r="W721" s="1">
        <v>104939</v>
      </c>
      <c r="X721" s="1">
        <v>43277.65</v>
      </c>
      <c r="Y721" s="215">
        <f t="shared" si="117"/>
        <v>-7.2492176042988632E-3</v>
      </c>
      <c r="Z721" s="215">
        <f t="shared" si="112"/>
        <v>-1.3157894736842035E-2</v>
      </c>
      <c r="AA721" s="231">
        <v>4497009</v>
      </c>
      <c r="AC721" s="230">
        <v>44179</v>
      </c>
      <c r="AD721" s="1">
        <v>35.549999999999997</v>
      </c>
      <c r="AE721" s="1">
        <v>35.421775380088199</v>
      </c>
      <c r="AF721" s="1">
        <v>2039</v>
      </c>
      <c r="AG721" s="1">
        <v>46253.46</v>
      </c>
      <c r="AH721" s="215">
        <f t="shared" si="118"/>
        <v>-2.09886179438179E-4</v>
      </c>
      <c r="AI721" s="215">
        <f t="shared" si="113"/>
        <v>3.1930333817126177E-2</v>
      </c>
      <c r="AJ721" s="231">
        <v>72225</v>
      </c>
      <c r="AL721" s="254"/>
      <c r="AQ721" s="215" t="str">
        <f t="shared" si="119"/>
        <v>NA</v>
      </c>
      <c r="AR721" s="215" t="str">
        <f t="shared" si="114"/>
        <v>NA</v>
      </c>
    </row>
    <row r="722" spans="2:44">
      <c r="B722" s="230">
        <v>44147</v>
      </c>
      <c r="C722" s="1">
        <v>210</v>
      </c>
      <c r="D722" s="1">
        <v>208.760902255639</v>
      </c>
      <c r="E722" s="1">
        <v>665</v>
      </c>
      <c r="F722" s="215">
        <v>43357.19</v>
      </c>
      <c r="G722" s="215">
        <f t="shared" si="115"/>
        <v>-1.9752319130814655E-3</v>
      </c>
      <c r="H722" s="215">
        <f t="shared" si="110"/>
        <v>0</v>
      </c>
      <c r="I722" s="231">
        <v>138826</v>
      </c>
      <c r="K722" s="230">
        <v>44146</v>
      </c>
      <c r="L722" s="1">
        <v>352.8</v>
      </c>
      <c r="M722" s="1">
        <v>353.45132680065802</v>
      </c>
      <c r="N722" s="1">
        <v>13981</v>
      </c>
      <c r="O722" s="1">
        <v>43593.67</v>
      </c>
      <c r="P722" s="215">
        <f t="shared" si="116"/>
        <v>5.454228006934958E-3</v>
      </c>
      <c r="Q722" s="215">
        <f t="shared" si="111"/>
        <v>-4.7516198704103618E-2</v>
      </c>
      <c r="R722" s="231">
        <v>4941603</v>
      </c>
      <c r="T722" s="230">
        <v>44146</v>
      </c>
      <c r="U722" s="1">
        <v>41.8</v>
      </c>
      <c r="V722" s="1">
        <v>41.954924926795798</v>
      </c>
      <c r="W722" s="1">
        <v>64204</v>
      </c>
      <c r="X722" s="1">
        <v>43593.67</v>
      </c>
      <c r="Y722" s="215">
        <f t="shared" si="117"/>
        <v>5.454228006934958E-3</v>
      </c>
      <c r="Z722" s="215">
        <f t="shared" si="112"/>
        <v>1.9512195121951237E-2</v>
      </c>
      <c r="AA722" s="231">
        <v>2693674</v>
      </c>
      <c r="AC722" s="230">
        <v>44180</v>
      </c>
      <c r="AD722" s="1">
        <v>34.450000000000003</v>
      </c>
      <c r="AE722" s="1">
        <v>34.481798715203396</v>
      </c>
      <c r="AF722" s="1">
        <v>934</v>
      </c>
      <c r="AG722" s="1">
        <v>46263.17</v>
      </c>
      <c r="AH722" s="215">
        <f t="shared" si="118"/>
        <v>-8.6419668429960073E-3</v>
      </c>
      <c r="AI722" s="215">
        <f t="shared" si="113"/>
        <v>-7.2678331090174852E-2</v>
      </c>
      <c r="AJ722" s="231">
        <v>32206</v>
      </c>
      <c r="AL722" s="254"/>
      <c r="AQ722" s="215" t="str">
        <f t="shared" si="119"/>
        <v>NA</v>
      </c>
      <c r="AR722" s="215" t="str">
        <f t="shared" si="114"/>
        <v>NA</v>
      </c>
    </row>
    <row r="723" spans="2:44">
      <c r="B723" s="230">
        <v>44148</v>
      </c>
      <c r="C723" s="1">
        <v>210</v>
      </c>
      <c r="D723" s="1">
        <v>211.04198473282401</v>
      </c>
      <c r="E723" s="1">
        <v>1310</v>
      </c>
      <c r="F723" s="215">
        <v>43443</v>
      </c>
      <c r="G723" s="215">
        <f t="shared" si="115"/>
        <v>-4.4681261598269462E-3</v>
      </c>
      <c r="H723" s="215">
        <f t="shared" si="110"/>
        <v>-3.3149171270718147E-2</v>
      </c>
      <c r="I723" s="231">
        <v>276465</v>
      </c>
      <c r="K723" s="230">
        <v>44147</v>
      </c>
      <c r="L723" s="1">
        <v>370.4</v>
      </c>
      <c r="M723" s="1">
        <v>368.10772128060199</v>
      </c>
      <c r="N723" s="1">
        <v>10620</v>
      </c>
      <c r="O723" s="1">
        <v>43357.19</v>
      </c>
      <c r="P723" s="215">
        <f t="shared" si="116"/>
        <v>-1.9752319130814655E-3</v>
      </c>
      <c r="Q723" s="215">
        <f t="shared" si="111"/>
        <v>-6.9705093833780651E-3</v>
      </c>
      <c r="R723" s="231">
        <v>3909304</v>
      </c>
      <c r="T723" s="230">
        <v>44147</v>
      </c>
      <c r="U723" s="1">
        <v>41</v>
      </c>
      <c r="V723" s="1">
        <v>41.545111880204203</v>
      </c>
      <c r="W723" s="1">
        <v>58366</v>
      </c>
      <c r="X723" s="1">
        <v>43357.19</v>
      </c>
      <c r="Y723" s="215">
        <f t="shared" si="117"/>
        <v>-1.9752319130814655E-3</v>
      </c>
      <c r="Z723" s="215">
        <f t="shared" si="112"/>
        <v>-4.54016298020955E-2</v>
      </c>
      <c r="AA723" s="231">
        <v>2424822</v>
      </c>
      <c r="AC723" s="230">
        <v>44181</v>
      </c>
      <c r="AD723" s="1">
        <v>37.15</v>
      </c>
      <c r="AE723" s="1">
        <v>36.884558129782903</v>
      </c>
      <c r="AF723" s="1">
        <v>47695</v>
      </c>
      <c r="AG723" s="1">
        <v>46666.46</v>
      </c>
      <c r="AH723" s="215">
        <f t="shared" si="118"/>
        <v>-4.7745441811681832E-3</v>
      </c>
      <c r="AI723" s="215">
        <f t="shared" si="113"/>
        <v>1.9204389574759784E-2</v>
      </c>
      <c r="AJ723" s="231">
        <v>1759209</v>
      </c>
      <c r="AL723" s="254"/>
      <c r="AQ723" s="215" t="str">
        <f t="shared" si="119"/>
        <v>NA</v>
      </c>
      <c r="AR723" s="215" t="str">
        <f t="shared" si="114"/>
        <v>NA</v>
      </c>
    </row>
    <row r="724" spans="2:44">
      <c r="B724" s="230">
        <v>44149</v>
      </c>
      <c r="C724" s="1">
        <v>217.2</v>
      </c>
      <c r="D724" s="1">
        <v>217.17171717171701</v>
      </c>
      <c r="E724" s="1">
        <v>99</v>
      </c>
      <c r="F724" s="215">
        <v>43637.98</v>
      </c>
      <c r="G724" s="215">
        <f t="shared" si="115"/>
        <v>-7.1606506174476392E-3</v>
      </c>
      <c r="H724" s="215">
        <f t="shared" si="110"/>
        <v>9.2936802973977439E-3</v>
      </c>
      <c r="I724" s="231">
        <v>21500</v>
      </c>
      <c r="K724" s="230">
        <v>44148</v>
      </c>
      <c r="L724" s="1">
        <v>373</v>
      </c>
      <c r="M724" s="1">
        <v>378.40075542965002</v>
      </c>
      <c r="N724" s="1">
        <v>10590</v>
      </c>
      <c r="O724" s="1">
        <v>43443</v>
      </c>
      <c r="P724" s="215">
        <f t="shared" si="116"/>
        <v>-4.4681261598269462E-3</v>
      </c>
      <c r="Q724" s="215">
        <f t="shared" si="111"/>
        <v>-1.0216266418999642E-2</v>
      </c>
      <c r="R724" s="231">
        <v>4007264</v>
      </c>
      <c r="T724" s="230">
        <v>44148</v>
      </c>
      <c r="U724" s="1">
        <v>42.95</v>
      </c>
      <c r="V724" s="1">
        <v>44.1177486894331</v>
      </c>
      <c r="W724" s="1">
        <v>219943</v>
      </c>
      <c r="X724" s="1">
        <v>43443</v>
      </c>
      <c r="Y724" s="215">
        <f t="shared" si="117"/>
        <v>-4.4681261598269462E-3</v>
      </c>
      <c r="Z724" s="215">
        <f t="shared" si="112"/>
        <v>-1.7162471395881007E-2</v>
      </c>
      <c r="AA724" s="231">
        <v>9703390</v>
      </c>
      <c r="AC724" s="230">
        <v>44182</v>
      </c>
      <c r="AD724" s="1">
        <v>36.450000000000003</v>
      </c>
      <c r="AE724" s="1">
        <v>36.613549618320597</v>
      </c>
      <c r="AF724" s="1">
        <v>2096</v>
      </c>
      <c r="AG724" s="1">
        <v>46890.34</v>
      </c>
      <c r="AH724" s="215">
        <f t="shared" si="118"/>
        <v>-1.4980614637477574E-3</v>
      </c>
      <c r="AI724" s="215">
        <f t="shared" si="113"/>
        <v>-9.5108695652171837E-3</v>
      </c>
      <c r="AJ724" s="231">
        <v>76742</v>
      </c>
      <c r="AL724" s="254"/>
      <c r="AQ724" s="215" t="str">
        <f t="shared" si="119"/>
        <v>NA</v>
      </c>
      <c r="AR724" s="215" t="str">
        <f t="shared" si="114"/>
        <v>NA</v>
      </c>
    </row>
    <row r="725" spans="2:44">
      <c r="B725" s="230">
        <v>44152</v>
      </c>
      <c r="C725" s="1">
        <v>215.2</v>
      </c>
      <c r="D725" s="1">
        <v>216.747710241465</v>
      </c>
      <c r="E725" s="1">
        <v>2402</v>
      </c>
      <c r="F725" s="215">
        <v>43952.71</v>
      </c>
      <c r="G725" s="215">
        <f t="shared" si="115"/>
        <v>-5.1457614918951622E-3</v>
      </c>
      <c r="H725" s="215">
        <f t="shared" si="110"/>
        <v>-2.1818181818181848E-2</v>
      </c>
      <c r="I725" s="231">
        <v>520628</v>
      </c>
      <c r="K725" s="230">
        <v>44149</v>
      </c>
      <c r="L725" s="1">
        <v>376.85</v>
      </c>
      <c r="M725" s="1">
        <v>378.749589939857</v>
      </c>
      <c r="N725" s="1">
        <v>1829</v>
      </c>
      <c r="O725" s="1">
        <v>43637.98</v>
      </c>
      <c r="P725" s="215">
        <f t="shared" si="116"/>
        <v>-7.1606506174476392E-3</v>
      </c>
      <c r="Q725" s="215">
        <f t="shared" si="111"/>
        <v>-2.6227390180878496E-2</v>
      </c>
      <c r="R725" s="231">
        <v>692733</v>
      </c>
      <c r="T725" s="230">
        <v>44149</v>
      </c>
      <c r="U725" s="1">
        <v>43.7</v>
      </c>
      <c r="V725" s="1">
        <v>43.710354156964399</v>
      </c>
      <c r="W725" s="1">
        <v>45093</v>
      </c>
      <c r="X725" s="1">
        <v>43637.98</v>
      </c>
      <c r="Y725" s="215">
        <f t="shared" si="117"/>
        <v>-7.1606506174476392E-3</v>
      </c>
      <c r="Z725" s="215">
        <f t="shared" si="112"/>
        <v>1.3921113689095099E-2</v>
      </c>
      <c r="AA725" s="231">
        <v>1971031</v>
      </c>
      <c r="AC725" s="230">
        <v>44183</v>
      </c>
      <c r="AD725" s="1">
        <v>36.799999999999997</v>
      </c>
      <c r="AE725" s="1">
        <v>36.235714285714202</v>
      </c>
      <c r="AF725" s="1">
        <v>2520</v>
      </c>
      <c r="AG725" s="1">
        <v>46960.69</v>
      </c>
      <c r="AH725" s="215">
        <f t="shared" si="118"/>
        <v>3.0880520595794492E-2</v>
      </c>
      <c r="AI725" s="215">
        <f t="shared" si="113"/>
        <v>3.9548022598870025E-2</v>
      </c>
      <c r="AJ725" s="231">
        <v>91314</v>
      </c>
      <c r="AL725" s="254"/>
      <c r="AQ725" s="215" t="str">
        <f t="shared" si="119"/>
        <v>NA</v>
      </c>
      <c r="AR725" s="215" t="str">
        <f t="shared" si="114"/>
        <v>NA</v>
      </c>
    </row>
    <row r="726" spans="2:44">
      <c r="B726" s="230">
        <v>44153</v>
      </c>
      <c r="C726" s="1">
        <v>220</v>
      </c>
      <c r="D726" s="1">
        <v>220.68541300527201</v>
      </c>
      <c r="E726" s="1">
        <v>569</v>
      </c>
      <c r="F726" s="215">
        <v>44180.05</v>
      </c>
      <c r="G726" s="215">
        <f t="shared" si="115"/>
        <v>1.3304828720026363E-2</v>
      </c>
      <c r="H726" s="215">
        <f t="shared" si="110"/>
        <v>1.1029411764705843E-2</v>
      </c>
      <c r="I726" s="231">
        <v>125570</v>
      </c>
      <c r="K726" s="230">
        <v>44152</v>
      </c>
      <c r="L726" s="1">
        <v>387</v>
      </c>
      <c r="M726" s="1">
        <v>388.14983812221698</v>
      </c>
      <c r="N726" s="1">
        <v>9884</v>
      </c>
      <c r="O726" s="1">
        <v>43952.71</v>
      </c>
      <c r="P726" s="215">
        <f t="shared" si="116"/>
        <v>-5.1457614918951622E-3</v>
      </c>
      <c r="Q726" s="215">
        <f t="shared" si="111"/>
        <v>-1.8264840182648401E-2</v>
      </c>
      <c r="R726" s="231">
        <v>3836473</v>
      </c>
      <c r="T726" s="230">
        <v>44152</v>
      </c>
      <c r="U726" s="1">
        <v>43.1</v>
      </c>
      <c r="V726" s="1">
        <v>43.706339891199001</v>
      </c>
      <c r="W726" s="1">
        <v>107352</v>
      </c>
      <c r="X726" s="1">
        <v>43952.71</v>
      </c>
      <c r="Y726" s="215">
        <f t="shared" si="117"/>
        <v>-5.1457614918951622E-3</v>
      </c>
      <c r="Z726" s="215">
        <f t="shared" si="112"/>
        <v>-1.3729977116704872E-2</v>
      </c>
      <c r="AA726" s="231">
        <v>4691963</v>
      </c>
      <c r="AC726" s="230">
        <v>44186</v>
      </c>
      <c r="AD726" s="1">
        <v>35.4</v>
      </c>
      <c r="AE726" s="1">
        <v>36.662067324848302</v>
      </c>
      <c r="AF726" s="1">
        <v>8407</v>
      </c>
      <c r="AG726" s="1">
        <v>45553.96</v>
      </c>
      <c r="AH726" s="215">
        <f t="shared" si="118"/>
        <v>-9.8405253670716952E-3</v>
      </c>
      <c r="AI726" s="215">
        <f t="shared" si="113"/>
        <v>-5.6179775280900124E-3</v>
      </c>
      <c r="AJ726" s="231">
        <v>308218</v>
      </c>
      <c r="AL726" s="254"/>
      <c r="AQ726" s="215" t="str">
        <f t="shared" si="119"/>
        <v>NA</v>
      </c>
      <c r="AR726" s="215" t="str">
        <f t="shared" si="114"/>
        <v>NA</v>
      </c>
    </row>
    <row r="727" spans="2:44">
      <c r="B727" s="230">
        <v>44154</v>
      </c>
      <c r="C727" s="1">
        <v>217.6</v>
      </c>
      <c r="D727" s="1">
        <v>222.64300285597699</v>
      </c>
      <c r="E727" s="1">
        <v>2451</v>
      </c>
      <c r="F727" s="215">
        <v>43599.96</v>
      </c>
      <c r="G727" s="215">
        <f t="shared" si="115"/>
        <v>-6.4328971281099045E-3</v>
      </c>
      <c r="H727" s="215">
        <f t="shared" si="110"/>
        <v>-2.0040531411844253E-2</v>
      </c>
      <c r="I727" s="231">
        <v>545698</v>
      </c>
      <c r="K727" s="230">
        <v>44153</v>
      </c>
      <c r="L727" s="1">
        <v>394.2</v>
      </c>
      <c r="M727" s="1">
        <v>400.066402446707</v>
      </c>
      <c r="N727" s="1">
        <v>87301</v>
      </c>
      <c r="O727" s="1">
        <v>44180.05</v>
      </c>
      <c r="P727" s="215">
        <f t="shared" si="116"/>
        <v>1.3304828720026363E-2</v>
      </c>
      <c r="Q727" s="215">
        <f t="shared" si="111"/>
        <v>2.9108471478919151E-2</v>
      </c>
      <c r="R727" s="231">
        <v>34926197</v>
      </c>
      <c r="T727" s="230">
        <v>44153</v>
      </c>
      <c r="U727" s="1">
        <v>43.7</v>
      </c>
      <c r="V727" s="1">
        <v>43.599442995446701</v>
      </c>
      <c r="W727" s="1">
        <v>22621</v>
      </c>
      <c r="X727" s="1">
        <v>44180.05</v>
      </c>
      <c r="Y727" s="215">
        <f t="shared" si="117"/>
        <v>1.3304828720026363E-2</v>
      </c>
      <c r="Z727" s="215">
        <f t="shared" si="112"/>
        <v>2.2935779816513069E-3</v>
      </c>
      <c r="AA727" s="231">
        <v>986263</v>
      </c>
      <c r="AC727" s="230">
        <v>44187</v>
      </c>
      <c r="AD727" s="1">
        <v>35.6</v>
      </c>
      <c r="AE727" s="1">
        <v>34.939641864773002</v>
      </c>
      <c r="AF727" s="1">
        <v>6478</v>
      </c>
      <c r="AG727" s="1">
        <v>46006.69</v>
      </c>
      <c r="AH727" s="215">
        <f t="shared" si="118"/>
        <v>-9.4196947819941146E-3</v>
      </c>
      <c r="AI727" s="215">
        <f t="shared" si="113"/>
        <v>-4.6854082998661339E-2</v>
      </c>
      <c r="AJ727" s="231">
        <v>226339</v>
      </c>
      <c r="AL727" s="254"/>
      <c r="AQ727" s="215" t="str">
        <f t="shared" si="119"/>
        <v>NA</v>
      </c>
      <c r="AR727" s="215" t="str">
        <f t="shared" si="114"/>
        <v>NA</v>
      </c>
    </row>
    <row r="728" spans="2:44">
      <c r="B728" s="230">
        <v>44155</v>
      </c>
      <c r="C728" s="1">
        <v>222.05</v>
      </c>
      <c r="D728" s="1">
        <v>225.946483180428</v>
      </c>
      <c r="E728" s="1">
        <v>1962</v>
      </c>
      <c r="F728" s="215">
        <v>43882.25</v>
      </c>
      <c r="G728" s="215">
        <f t="shared" si="115"/>
        <v>-4.4217922438271051E-3</v>
      </c>
      <c r="H728" s="215">
        <f t="shared" si="110"/>
        <v>-1.3111111111111073E-2</v>
      </c>
      <c r="I728" s="231">
        <v>443307</v>
      </c>
      <c r="K728" s="230">
        <v>44154</v>
      </c>
      <c r="L728" s="1">
        <v>383.05</v>
      </c>
      <c r="M728" s="1">
        <v>389.76696888017602</v>
      </c>
      <c r="N728" s="1">
        <v>12243</v>
      </c>
      <c r="O728" s="1">
        <v>43599.96</v>
      </c>
      <c r="P728" s="215">
        <f t="shared" si="116"/>
        <v>-6.4328971281099045E-3</v>
      </c>
      <c r="Q728" s="215">
        <f t="shared" si="111"/>
        <v>-2.1833503575076629E-2</v>
      </c>
      <c r="R728" s="231">
        <v>4771917</v>
      </c>
      <c r="T728" s="230">
        <v>44154</v>
      </c>
      <c r="U728" s="1">
        <v>43.6</v>
      </c>
      <c r="V728" s="1">
        <v>43.823326729261701</v>
      </c>
      <c r="W728" s="1">
        <v>46436</v>
      </c>
      <c r="X728" s="1">
        <v>43599.96</v>
      </c>
      <c r="Y728" s="215">
        <f t="shared" si="117"/>
        <v>-6.4328971281099045E-3</v>
      </c>
      <c r="Z728" s="215">
        <f t="shared" si="112"/>
        <v>-1.5801354401805745E-2</v>
      </c>
      <c r="AA728" s="231">
        <v>2034980</v>
      </c>
      <c r="AC728" s="230">
        <v>44188</v>
      </c>
      <c r="AD728" s="1">
        <v>37.35</v>
      </c>
      <c r="AE728" s="1">
        <v>37.7643875157856</v>
      </c>
      <c r="AF728" s="1">
        <v>11086</v>
      </c>
      <c r="AG728" s="1">
        <v>46444.18</v>
      </c>
      <c r="AH728" s="215">
        <f t="shared" si="118"/>
        <v>-1.1269323112543805E-2</v>
      </c>
      <c r="AI728" s="215">
        <f t="shared" si="113"/>
        <v>1.3568521031207537E-2</v>
      </c>
      <c r="AJ728" s="231">
        <v>418656</v>
      </c>
      <c r="AL728" s="254"/>
      <c r="AQ728" s="215" t="str">
        <f t="shared" si="119"/>
        <v>NA</v>
      </c>
      <c r="AR728" s="215" t="str">
        <f t="shared" si="114"/>
        <v>NA</v>
      </c>
    </row>
    <row r="729" spans="2:44">
      <c r="B729" s="230">
        <v>44158</v>
      </c>
      <c r="C729" s="1">
        <v>225</v>
      </c>
      <c r="D729" s="1">
        <v>223.845651528643</v>
      </c>
      <c r="E729" s="1">
        <v>3369</v>
      </c>
      <c r="F729" s="215">
        <v>44077.15</v>
      </c>
      <c r="G729" s="215">
        <f t="shared" si="115"/>
        <v>-1.0014370094391545E-2</v>
      </c>
      <c r="H729" s="215">
        <f t="shared" si="110"/>
        <v>-1.3157894736842146E-2</v>
      </c>
      <c r="I729" s="231">
        <v>754136</v>
      </c>
      <c r="K729" s="230">
        <v>44155</v>
      </c>
      <c r="L729" s="1">
        <v>391.6</v>
      </c>
      <c r="M729" s="1">
        <v>391.96458213493298</v>
      </c>
      <c r="N729" s="1">
        <v>12169</v>
      </c>
      <c r="O729" s="1">
        <v>43882.25</v>
      </c>
      <c r="P729" s="215">
        <f t="shared" si="116"/>
        <v>-4.4217922438271051E-3</v>
      </c>
      <c r="Q729" s="215">
        <f t="shared" si="111"/>
        <v>2.0470829068577334E-3</v>
      </c>
      <c r="R729" s="231">
        <v>4769817</v>
      </c>
      <c r="T729" s="230">
        <v>44155</v>
      </c>
      <c r="U729" s="1">
        <v>44.3</v>
      </c>
      <c r="V729" s="1">
        <v>44.182097697836099</v>
      </c>
      <c r="W729" s="1">
        <v>130095</v>
      </c>
      <c r="X729" s="1">
        <v>43882.25</v>
      </c>
      <c r="Y729" s="215">
        <f t="shared" si="117"/>
        <v>-4.4217922438271051E-3</v>
      </c>
      <c r="Z729" s="215">
        <f t="shared" si="112"/>
        <v>2.0737327188940169E-2</v>
      </c>
      <c r="AA729" s="231">
        <v>5747870</v>
      </c>
      <c r="AC729" s="230">
        <v>44189</v>
      </c>
      <c r="AD729" s="1">
        <v>36.85</v>
      </c>
      <c r="AE729" s="1">
        <v>37.775940084256497</v>
      </c>
      <c r="AF729" s="1">
        <v>6409</v>
      </c>
      <c r="AG729" s="1">
        <v>46973.54</v>
      </c>
      <c r="AH729" s="215">
        <f t="shared" si="118"/>
        <v>-8.0291423593695788E-3</v>
      </c>
      <c r="AI729" s="215">
        <f t="shared" si="113"/>
        <v>-3.6601307189542465E-2</v>
      </c>
      <c r="AJ729" s="231">
        <v>242106</v>
      </c>
      <c r="AL729" s="254"/>
      <c r="AQ729" s="215" t="str">
        <f t="shared" si="119"/>
        <v>NA</v>
      </c>
      <c r="AR729" s="215" t="str">
        <f t="shared" si="114"/>
        <v>NA</v>
      </c>
    </row>
    <row r="730" spans="2:44">
      <c r="B730" s="230">
        <v>44159</v>
      </c>
      <c r="C730" s="1">
        <v>228</v>
      </c>
      <c r="D730" s="1">
        <v>227.91968286797601</v>
      </c>
      <c r="E730" s="1">
        <v>2901</v>
      </c>
      <c r="F730" s="215">
        <v>44523.02</v>
      </c>
      <c r="G730" s="215">
        <f t="shared" si="115"/>
        <v>1.5855581236695171E-2</v>
      </c>
      <c r="H730" s="215">
        <f t="shared" si="110"/>
        <v>-9.126466753585416E-3</v>
      </c>
      <c r="I730" s="231">
        <v>661195</v>
      </c>
      <c r="K730" s="230">
        <v>44158</v>
      </c>
      <c r="L730" s="1">
        <v>390.8</v>
      </c>
      <c r="M730" s="1">
        <v>389.07640380484798</v>
      </c>
      <c r="N730" s="1">
        <v>13036</v>
      </c>
      <c r="O730" s="1">
        <v>44077.15</v>
      </c>
      <c r="P730" s="215">
        <f t="shared" si="116"/>
        <v>-1.0014370094391545E-2</v>
      </c>
      <c r="Q730" s="215">
        <f t="shared" si="111"/>
        <v>2.3082841754296091E-3</v>
      </c>
      <c r="R730" s="231">
        <v>5072000</v>
      </c>
      <c r="T730" s="230">
        <v>44158</v>
      </c>
      <c r="U730" s="1">
        <v>43.4</v>
      </c>
      <c r="V730" s="1">
        <v>43.755217545100798</v>
      </c>
      <c r="W730" s="1">
        <v>67848</v>
      </c>
      <c r="X730" s="1">
        <v>44077.15</v>
      </c>
      <c r="Y730" s="215">
        <f t="shared" si="117"/>
        <v>-1.0014370094391545E-2</v>
      </c>
      <c r="Z730" s="215">
        <f t="shared" si="112"/>
        <v>-4.5871559633028358E-3</v>
      </c>
      <c r="AA730" s="231">
        <v>2968704</v>
      </c>
      <c r="AC730" s="230">
        <v>44193</v>
      </c>
      <c r="AD730" s="1">
        <v>38.25</v>
      </c>
      <c r="AE730" s="1">
        <v>38.235339347959801</v>
      </c>
      <c r="AF730" s="1">
        <v>19508</v>
      </c>
      <c r="AG730" s="1">
        <v>47353.75</v>
      </c>
      <c r="AH730" s="215">
        <f t="shared" si="118"/>
        <v>-5.446612569487197E-3</v>
      </c>
      <c r="AI730" s="215">
        <f t="shared" si="113"/>
        <v>-2.6717557251908275E-2</v>
      </c>
      <c r="AJ730" s="231">
        <v>745895</v>
      </c>
      <c r="AL730" s="254"/>
      <c r="AQ730" s="215" t="str">
        <f t="shared" si="119"/>
        <v>NA</v>
      </c>
      <c r="AR730" s="215" t="str">
        <f t="shared" si="114"/>
        <v>NA</v>
      </c>
    </row>
    <row r="731" spans="2:44">
      <c r="B731" s="230">
        <v>44160</v>
      </c>
      <c r="C731" s="1">
        <v>230.1</v>
      </c>
      <c r="D731" s="1">
        <v>230.75764705882301</v>
      </c>
      <c r="E731" s="1">
        <v>1275</v>
      </c>
      <c r="F731" s="215">
        <v>43828.1</v>
      </c>
      <c r="G731" s="215">
        <f t="shared" si="115"/>
        <v>-9.7524296346973571E-3</v>
      </c>
      <c r="H731" s="215">
        <f t="shared" si="110"/>
        <v>3.4157303370786485E-2</v>
      </c>
      <c r="I731" s="231">
        <v>294216</v>
      </c>
      <c r="K731" s="230">
        <v>44159</v>
      </c>
      <c r="L731" s="1">
        <v>389.9</v>
      </c>
      <c r="M731" s="1">
        <v>390.71077867280297</v>
      </c>
      <c r="N731" s="1">
        <v>7821</v>
      </c>
      <c r="O731" s="1">
        <v>44523.02</v>
      </c>
      <c r="P731" s="215">
        <f t="shared" si="116"/>
        <v>1.5855581236695171E-2</v>
      </c>
      <c r="Q731" s="215">
        <f t="shared" si="111"/>
        <v>-1.216113503927041E-2</v>
      </c>
      <c r="R731" s="231">
        <v>3055749</v>
      </c>
      <c r="T731" s="230">
        <v>44159</v>
      </c>
      <c r="U731" s="1">
        <v>43.6</v>
      </c>
      <c r="V731" s="1">
        <v>43.515226337448503</v>
      </c>
      <c r="W731" s="1">
        <v>9720</v>
      </c>
      <c r="X731" s="1">
        <v>44523.02</v>
      </c>
      <c r="Y731" s="215">
        <f t="shared" si="117"/>
        <v>1.5855581236695171E-2</v>
      </c>
      <c r="Z731" s="215">
        <f t="shared" si="112"/>
        <v>-1.4689265536723117E-2</v>
      </c>
      <c r="AA731" s="231">
        <v>422968</v>
      </c>
      <c r="AC731" s="230">
        <v>44194</v>
      </c>
      <c r="AD731" s="1">
        <v>39.299999999999997</v>
      </c>
      <c r="AE731" s="1">
        <v>39.0824514991181</v>
      </c>
      <c r="AF731" s="1">
        <v>4536</v>
      </c>
      <c r="AG731" s="1">
        <v>47613.08</v>
      </c>
      <c r="AH731" s="215">
        <f t="shared" si="118"/>
        <v>-2.7884929948380766E-3</v>
      </c>
      <c r="AI731" s="215">
        <f t="shared" si="113"/>
        <v>7.692307692307665E-3</v>
      </c>
      <c r="AJ731" s="231">
        <v>177278</v>
      </c>
      <c r="AL731" s="254"/>
      <c r="AQ731" s="215" t="str">
        <f t="shared" si="119"/>
        <v>NA</v>
      </c>
      <c r="AR731" s="215" t="str">
        <f t="shared" si="114"/>
        <v>NA</v>
      </c>
    </row>
    <row r="732" spans="2:44">
      <c r="B732" s="230">
        <v>44161</v>
      </c>
      <c r="C732" s="1">
        <v>222.5</v>
      </c>
      <c r="D732" s="1">
        <v>224.885218827415</v>
      </c>
      <c r="E732" s="1">
        <v>1211</v>
      </c>
      <c r="F732" s="215">
        <v>44259.74</v>
      </c>
      <c r="G732" s="215">
        <f t="shared" si="115"/>
        <v>2.4919750340430813E-3</v>
      </c>
      <c r="H732" s="215">
        <f t="shared" si="110"/>
        <v>-2.6893769610040197E-3</v>
      </c>
      <c r="I732" s="231">
        <v>272336</v>
      </c>
      <c r="K732" s="230">
        <v>44160</v>
      </c>
      <c r="L732" s="1">
        <v>394.7</v>
      </c>
      <c r="M732" s="1">
        <v>401.85222291797101</v>
      </c>
      <c r="N732" s="1">
        <v>15970</v>
      </c>
      <c r="O732" s="1">
        <v>43828.1</v>
      </c>
      <c r="P732" s="215">
        <f t="shared" si="116"/>
        <v>-9.7524296346973571E-3</v>
      </c>
      <c r="Q732" s="215">
        <f t="shared" si="111"/>
        <v>-2.1202727836329816E-2</v>
      </c>
      <c r="R732" s="231">
        <v>6417580</v>
      </c>
      <c r="T732" s="230">
        <v>44160</v>
      </c>
      <c r="U732" s="1">
        <v>44.25</v>
      </c>
      <c r="V732" s="1">
        <v>44.196742631733002</v>
      </c>
      <c r="W732" s="1">
        <v>116106</v>
      </c>
      <c r="X732" s="1">
        <v>43828.1</v>
      </c>
      <c r="Y732" s="215">
        <f t="shared" si="117"/>
        <v>-9.7524296346973571E-3</v>
      </c>
      <c r="Z732" s="215">
        <f t="shared" si="112"/>
        <v>-3.3842794759825212E-2</v>
      </c>
      <c r="AA732" s="231">
        <v>5131507</v>
      </c>
      <c r="AC732" s="230">
        <v>44195</v>
      </c>
      <c r="AD732" s="1">
        <v>39</v>
      </c>
      <c r="AE732" s="1">
        <v>38.7957117331745</v>
      </c>
      <c r="AF732" s="1">
        <v>3358</v>
      </c>
      <c r="AG732" s="1">
        <v>47746.22</v>
      </c>
      <c r="AH732" s="215">
        <f t="shared" si="118"/>
        <v>-1.0701272613766744E-4</v>
      </c>
      <c r="AI732" s="215">
        <f t="shared" si="113"/>
        <v>-1.280409731113874E-3</v>
      </c>
      <c r="AJ732" s="231">
        <v>130276</v>
      </c>
      <c r="AL732" s="254"/>
      <c r="AQ732" s="215" t="str">
        <f t="shared" si="119"/>
        <v>NA</v>
      </c>
      <c r="AR732" s="215" t="str">
        <f t="shared" si="114"/>
        <v>NA</v>
      </c>
    </row>
    <row r="733" spans="2:44">
      <c r="B733" s="230">
        <v>44162</v>
      </c>
      <c r="C733" s="1">
        <v>223.1</v>
      </c>
      <c r="D733" s="1">
        <v>224.96517412935299</v>
      </c>
      <c r="E733" s="1">
        <v>402</v>
      </c>
      <c r="F733" s="215">
        <v>44149.72</v>
      </c>
      <c r="G733" s="215">
        <f t="shared" si="115"/>
        <v>-1.1324935998839103E-2</v>
      </c>
      <c r="H733" s="215">
        <f t="shared" si="110"/>
        <v>-2.2562979189485244E-2</v>
      </c>
      <c r="I733" s="231">
        <v>90436</v>
      </c>
      <c r="K733" s="230">
        <v>44161</v>
      </c>
      <c r="L733" s="1">
        <v>403.25</v>
      </c>
      <c r="M733" s="1">
        <v>402.74310928433198</v>
      </c>
      <c r="N733" s="1">
        <v>8272</v>
      </c>
      <c r="O733" s="1">
        <v>44259.74</v>
      </c>
      <c r="P733" s="215">
        <f t="shared" si="116"/>
        <v>2.4919750340430813E-3</v>
      </c>
      <c r="Q733" s="215">
        <f t="shared" si="111"/>
        <v>-3.5863717872086087E-2</v>
      </c>
      <c r="R733" s="231">
        <v>3331491</v>
      </c>
      <c r="T733" s="230">
        <v>44161</v>
      </c>
      <c r="U733" s="1">
        <v>45.8</v>
      </c>
      <c r="V733" s="1">
        <v>45.498965267478297</v>
      </c>
      <c r="W733" s="1">
        <v>115972</v>
      </c>
      <c r="X733" s="1">
        <v>44259.74</v>
      </c>
      <c r="Y733" s="215">
        <f t="shared" si="117"/>
        <v>2.4919750340430813E-3</v>
      </c>
      <c r="Z733" s="215">
        <f t="shared" si="112"/>
        <v>-5.4288816503800241E-3</v>
      </c>
      <c r="AA733" s="231">
        <v>5276606</v>
      </c>
      <c r="AC733" s="230">
        <v>44196</v>
      </c>
      <c r="AD733" s="1">
        <v>39.049999999999997</v>
      </c>
      <c r="AE733" s="1">
        <v>38.851511169513699</v>
      </c>
      <c r="AF733" s="1">
        <v>4566</v>
      </c>
      <c r="AG733" s="1">
        <v>47751.33</v>
      </c>
      <c r="AH733" s="215">
        <f t="shared" si="118"/>
        <v>-2.457750300925543E-3</v>
      </c>
      <c r="AI733" s="215">
        <f t="shared" si="113"/>
        <v>1.2820512820512775E-3</v>
      </c>
      <c r="AJ733" s="231">
        <v>177396</v>
      </c>
      <c r="AL733" s="254"/>
      <c r="AQ733" s="215" t="str">
        <f t="shared" si="119"/>
        <v>NA</v>
      </c>
      <c r="AR733" s="215" t="str">
        <f t="shared" si="114"/>
        <v>NA</v>
      </c>
    </row>
    <row r="734" spans="2:44">
      <c r="B734" s="230">
        <v>44166</v>
      </c>
      <c r="C734" s="1">
        <v>228.25</v>
      </c>
      <c r="D734" s="1">
        <v>223.78689458689399</v>
      </c>
      <c r="E734" s="1">
        <v>1755</v>
      </c>
      <c r="F734" s="215">
        <v>44655.44</v>
      </c>
      <c r="G734" s="215">
        <f t="shared" si="115"/>
        <v>8.3822597317140257E-4</v>
      </c>
      <c r="H734" s="215">
        <f t="shared" si="110"/>
        <v>-2.3320496362858267E-2</v>
      </c>
      <c r="I734" s="231">
        <v>392746</v>
      </c>
      <c r="K734" s="230">
        <v>44162</v>
      </c>
      <c r="L734" s="1">
        <v>418.25</v>
      </c>
      <c r="M734" s="1">
        <v>417.12986223662801</v>
      </c>
      <c r="N734" s="1">
        <v>9872</v>
      </c>
      <c r="O734" s="1">
        <v>44149.72</v>
      </c>
      <c r="P734" s="215">
        <f t="shared" si="116"/>
        <v>-1.1324935998839103E-2</v>
      </c>
      <c r="Q734" s="215">
        <f t="shared" si="111"/>
        <v>-1.6923257727112451E-2</v>
      </c>
      <c r="R734" s="231">
        <v>4117906</v>
      </c>
      <c r="T734" s="230">
        <v>44162</v>
      </c>
      <c r="U734" s="1">
        <v>46.05</v>
      </c>
      <c r="V734" s="1">
        <v>46.606897189715603</v>
      </c>
      <c r="W734" s="1">
        <v>151337</v>
      </c>
      <c r="X734" s="1">
        <v>44149.72</v>
      </c>
      <c r="Y734" s="215">
        <f t="shared" si="117"/>
        <v>-1.1324935998839103E-2</v>
      </c>
      <c r="Z734" s="215">
        <f t="shared" si="112"/>
        <v>-3.4591194968553562E-2</v>
      </c>
      <c r="AA734" s="231">
        <v>7053348</v>
      </c>
      <c r="AC734" s="230">
        <v>44197</v>
      </c>
      <c r="AD734" s="1">
        <v>39</v>
      </c>
      <c r="AE734" s="1">
        <v>38.4537356321839</v>
      </c>
      <c r="AF734" s="1">
        <v>6960</v>
      </c>
      <c r="AG734" s="1">
        <v>47868.98</v>
      </c>
      <c r="AH734" s="215">
        <f t="shared" si="118"/>
        <v>-6.3893824413410183E-3</v>
      </c>
      <c r="AI734" s="215">
        <f t="shared" si="113"/>
        <v>-7.6335877862594437E-3</v>
      </c>
      <c r="AJ734" s="231">
        <v>267638</v>
      </c>
      <c r="AL734" s="254"/>
      <c r="AQ734" s="215" t="str">
        <f t="shared" si="119"/>
        <v>NA</v>
      </c>
      <c r="AR734" s="215" t="str">
        <f t="shared" si="114"/>
        <v>NA</v>
      </c>
    </row>
    <row r="735" spans="2:44">
      <c r="B735" s="230">
        <v>44167</v>
      </c>
      <c r="C735" s="1">
        <v>233.7</v>
      </c>
      <c r="D735" s="1">
        <v>234.58640776698999</v>
      </c>
      <c r="E735" s="1">
        <v>1030</v>
      </c>
      <c r="F735" s="215">
        <v>44618.04</v>
      </c>
      <c r="G735" s="215">
        <f t="shared" si="115"/>
        <v>-3.2733884275304437E-4</v>
      </c>
      <c r="H735" s="215">
        <f t="shared" si="110"/>
        <v>-2.5844101709045497E-2</v>
      </c>
      <c r="I735" s="231">
        <v>241624</v>
      </c>
      <c r="K735" s="230">
        <v>44166</v>
      </c>
      <c r="L735" s="1">
        <v>425.45</v>
      </c>
      <c r="M735" s="1">
        <v>426.64388652912601</v>
      </c>
      <c r="N735" s="1">
        <v>13184</v>
      </c>
      <c r="O735" s="1">
        <v>44655.44</v>
      </c>
      <c r="P735" s="215">
        <f t="shared" si="116"/>
        <v>8.3822597317140257E-4</v>
      </c>
      <c r="Q735" s="215">
        <f t="shared" si="111"/>
        <v>-3.613502492070686E-2</v>
      </c>
      <c r="R735" s="231">
        <v>5624873</v>
      </c>
      <c r="T735" s="230">
        <v>44166</v>
      </c>
      <c r="U735" s="1">
        <v>47.7</v>
      </c>
      <c r="V735" s="1">
        <v>47.526534510612699</v>
      </c>
      <c r="W735" s="1">
        <v>98419</v>
      </c>
      <c r="X735" s="1">
        <v>44655.44</v>
      </c>
      <c r="Y735" s="215">
        <f t="shared" si="117"/>
        <v>8.3822597317140257E-4</v>
      </c>
      <c r="Z735" s="215">
        <f t="shared" si="112"/>
        <v>-7.6476282671829487E-2</v>
      </c>
      <c r="AA735" s="231">
        <v>4677514</v>
      </c>
      <c r="AC735" s="230">
        <v>44200</v>
      </c>
      <c r="AD735" s="1">
        <v>39.299999999999997</v>
      </c>
      <c r="AE735" s="1">
        <v>39.1983212405747</v>
      </c>
      <c r="AF735" s="1">
        <v>7029</v>
      </c>
      <c r="AG735" s="1">
        <v>48176.800000000003</v>
      </c>
      <c r="AH735" s="215">
        <f t="shared" si="118"/>
        <v>-5.3879430477613566E-3</v>
      </c>
      <c r="AI735" s="215">
        <f t="shared" si="113"/>
        <v>-4.1463414634146378E-2</v>
      </c>
      <c r="AJ735" s="231">
        <v>275525</v>
      </c>
      <c r="AL735" s="254"/>
      <c r="AQ735" s="215" t="str">
        <f t="shared" si="119"/>
        <v>NA</v>
      </c>
      <c r="AR735" s="215" t="str">
        <f t="shared" si="114"/>
        <v>NA</v>
      </c>
    </row>
    <row r="736" spans="2:44">
      <c r="B736" s="230">
        <v>44168</v>
      </c>
      <c r="C736" s="1">
        <v>239.9</v>
      </c>
      <c r="D736" s="1">
        <v>237.56987295825701</v>
      </c>
      <c r="E736" s="1">
        <v>4408</v>
      </c>
      <c r="F736" s="215">
        <v>44632.65</v>
      </c>
      <c r="G736" s="215">
        <f t="shared" si="115"/>
        <v>-9.9135860939162379E-3</v>
      </c>
      <c r="H736" s="215">
        <f t="shared" si="110"/>
        <v>2.3245894647046406E-2</v>
      </c>
      <c r="I736" s="231">
        <v>1047208</v>
      </c>
      <c r="K736" s="230">
        <v>44167</v>
      </c>
      <c r="L736" s="1">
        <v>441.4</v>
      </c>
      <c r="M736" s="1">
        <v>434.88331638682001</v>
      </c>
      <c r="N736" s="1">
        <v>36389</v>
      </c>
      <c r="O736" s="1">
        <v>44618.04</v>
      </c>
      <c r="P736" s="215">
        <f t="shared" si="116"/>
        <v>-3.2733884275304437E-4</v>
      </c>
      <c r="Q736" s="215">
        <f t="shared" si="111"/>
        <v>-2.3235229032971927E-2</v>
      </c>
      <c r="R736" s="231">
        <v>15824969</v>
      </c>
      <c r="T736" s="230">
        <v>44167</v>
      </c>
      <c r="U736" s="1">
        <v>51.65</v>
      </c>
      <c r="V736" s="1">
        <v>50.301306706742402</v>
      </c>
      <c r="W736" s="1">
        <v>196295</v>
      </c>
      <c r="X736" s="1">
        <v>44618.04</v>
      </c>
      <c r="Y736" s="215">
        <f t="shared" si="117"/>
        <v>-3.2733884275304437E-4</v>
      </c>
      <c r="Z736" s="215">
        <f t="shared" si="112"/>
        <v>-4.4403330249768724E-2</v>
      </c>
      <c r="AA736" s="231">
        <v>9873895</v>
      </c>
      <c r="AC736" s="230">
        <v>44201</v>
      </c>
      <c r="AD736" s="1">
        <v>41</v>
      </c>
      <c r="AE736" s="1">
        <v>40.617765475591298</v>
      </c>
      <c r="AF736" s="1">
        <v>3974</v>
      </c>
      <c r="AG736" s="1">
        <v>48437.78</v>
      </c>
      <c r="AH736" s="215">
        <f t="shared" si="118"/>
        <v>5.4743154303373842E-3</v>
      </c>
      <c r="AI736" s="215">
        <f t="shared" si="113"/>
        <v>1.3597033374536327E-2</v>
      </c>
      <c r="AJ736" s="231">
        <v>161415</v>
      </c>
      <c r="AL736" s="254"/>
      <c r="AQ736" s="215" t="str">
        <f t="shared" si="119"/>
        <v>NA</v>
      </c>
      <c r="AR736" s="215" t="str">
        <f t="shared" si="114"/>
        <v>NA</v>
      </c>
    </row>
    <row r="737" spans="2:44">
      <c r="B737" s="230">
        <v>44169</v>
      </c>
      <c r="C737" s="1">
        <v>234.45</v>
      </c>
      <c r="D737" s="1">
        <v>238.11706629055001</v>
      </c>
      <c r="E737" s="1">
        <v>3545</v>
      </c>
      <c r="F737" s="215">
        <v>45079.55</v>
      </c>
      <c r="G737" s="215">
        <f t="shared" si="115"/>
        <v>-7.6478796626761048E-3</v>
      </c>
      <c r="H737" s="215">
        <f t="shared" si="110"/>
        <v>-4.4426329733034509E-2</v>
      </c>
      <c r="I737" s="231">
        <v>844125</v>
      </c>
      <c r="K737" s="230">
        <v>44168</v>
      </c>
      <c r="L737" s="1">
        <v>451.9</v>
      </c>
      <c r="M737" s="1">
        <v>450.76599568655598</v>
      </c>
      <c r="N737" s="1">
        <v>22256</v>
      </c>
      <c r="O737" s="1">
        <v>44632.65</v>
      </c>
      <c r="P737" s="215">
        <f t="shared" si="116"/>
        <v>-9.9135860939162379E-3</v>
      </c>
      <c r="Q737" s="215">
        <f t="shared" si="111"/>
        <v>-2.8380993334766846E-2</v>
      </c>
      <c r="R737" s="231">
        <v>10032248</v>
      </c>
      <c r="T737" s="230">
        <v>44168</v>
      </c>
      <c r="U737" s="1">
        <v>54.05</v>
      </c>
      <c r="V737" s="1">
        <v>54.257133108977797</v>
      </c>
      <c r="W737" s="1">
        <v>322405</v>
      </c>
      <c r="X737" s="1">
        <v>44632.65</v>
      </c>
      <c r="Y737" s="215">
        <f t="shared" si="117"/>
        <v>-9.9135860939162379E-3</v>
      </c>
      <c r="Z737" s="215">
        <f t="shared" si="112"/>
        <v>1.3120899718837675E-2</v>
      </c>
      <c r="AA737" s="231">
        <v>17492771</v>
      </c>
      <c r="AC737" s="230">
        <v>44202</v>
      </c>
      <c r="AD737" s="1">
        <v>40.450000000000003</v>
      </c>
      <c r="AE737" s="1">
        <v>40.258654602675001</v>
      </c>
      <c r="AF737" s="1">
        <v>10168</v>
      </c>
      <c r="AG737" s="1">
        <v>48174.06</v>
      </c>
      <c r="AH737" s="215">
        <f t="shared" si="118"/>
        <v>1.6788194285608515E-3</v>
      </c>
      <c r="AI737" s="215">
        <f t="shared" si="113"/>
        <v>7.4719800747198306E-3</v>
      </c>
      <c r="AJ737" s="231">
        <v>409350</v>
      </c>
      <c r="AL737" s="254"/>
      <c r="AQ737" s="215" t="str">
        <f t="shared" si="119"/>
        <v>NA</v>
      </c>
      <c r="AR737" s="215" t="str">
        <f t="shared" si="114"/>
        <v>NA</v>
      </c>
    </row>
    <row r="738" spans="2:44">
      <c r="B738" s="230">
        <v>44172</v>
      </c>
      <c r="C738" s="1">
        <v>245.35</v>
      </c>
      <c r="D738" s="1">
        <v>241.776320391745</v>
      </c>
      <c r="E738" s="1">
        <v>5718</v>
      </c>
      <c r="F738" s="215">
        <v>45426.97</v>
      </c>
      <c r="G738" s="215">
        <f t="shared" si="115"/>
        <v>-3.9803975179193429E-3</v>
      </c>
      <c r="H738" s="215">
        <f t="shared" si="110"/>
        <v>-8.1430175964058549E-2</v>
      </c>
      <c r="I738" s="231">
        <v>1382477</v>
      </c>
      <c r="K738" s="230">
        <v>44169</v>
      </c>
      <c r="L738" s="1">
        <v>465.1</v>
      </c>
      <c r="M738" s="1">
        <v>453.31682107518702</v>
      </c>
      <c r="N738" s="1">
        <v>31734</v>
      </c>
      <c r="O738" s="1">
        <v>45079.55</v>
      </c>
      <c r="P738" s="215">
        <f t="shared" si="116"/>
        <v>-7.6478796626761048E-3</v>
      </c>
      <c r="Q738" s="215">
        <f t="shared" si="111"/>
        <v>-3.3558441558441565E-2</v>
      </c>
      <c r="R738" s="231">
        <v>14385556</v>
      </c>
      <c r="T738" s="230">
        <v>44169</v>
      </c>
      <c r="U738" s="1">
        <v>53.35</v>
      </c>
      <c r="V738" s="1">
        <v>53.572716912489803</v>
      </c>
      <c r="W738" s="1">
        <v>182516</v>
      </c>
      <c r="X738" s="1">
        <v>45079.55</v>
      </c>
      <c r="Y738" s="215">
        <f t="shared" si="117"/>
        <v>-7.6478796626761048E-3</v>
      </c>
      <c r="Z738" s="215">
        <f t="shared" si="112"/>
        <v>-2.9117379435850799E-2</v>
      </c>
      <c r="AA738" s="231">
        <v>9777878</v>
      </c>
      <c r="AC738" s="230">
        <v>44203</v>
      </c>
      <c r="AD738" s="1">
        <v>40.15</v>
      </c>
      <c r="AE738" s="1">
        <v>40.482855768569998</v>
      </c>
      <c r="AF738" s="1">
        <v>14553</v>
      </c>
      <c r="AG738" s="1">
        <v>48093.32</v>
      </c>
      <c r="AH738" s="215">
        <f t="shared" si="118"/>
        <v>-1.4127809331664243E-2</v>
      </c>
      <c r="AI738" s="215">
        <f t="shared" si="113"/>
        <v>-0.16614745586708202</v>
      </c>
      <c r="AJ738" s="231">
        <v>589147</v>
      </c>
      <c r="AL738" s="254"/>
      <c r="AQ738" s="215" t="str">
        <f t="shared" si="119"/>
        <v>NA</v>
      </c>
      <c r="AR738" s="215" t="str">
        <f t="shared" si="114"/>
        <v>NA</v>
      </c>
    </row>
    <row r="739" spans="2:44">
      <c r="B739" s="230">
        <v>44173</v>
      </c>
      <c r="C739" s="1">
        <v>267.10000000000002</v>
      </c>
      <c r="D739" s="1">
        <v>259.55227454110099</v>
      </c>
      <c r="E739" s="1">
        <v>2506</v>
      </c>
      <c r="F739" s="215">
        <v>45608.51</v>
      </c>
      <c r="G739" s="215">
        <f t="shared" si="115"/>
        <v>-1.073649506002794E-2</v>
      </c>
      <c r="H739" s="215">
        <f t="shared" si="110"/>
        <v>-4.4364937388193137E-2</v>
      </c>
      <c r="I739" s="231">
        <v>650438</v>
      </c>
      <c r="K739" s="230">
        <v>44172</v>
      </c>
      <c r="L739" s="1">
        <v>481.25</v>
      </c>
      <c r="M739" s="1">
        <v>475.77205959500498</v>
      </c>
      <c r="N739" s="1">
        <v>19062</v>
      </c>
      <c r="O739" s="1">
        <v>45426.97</v>
      </c>
      <c r="P739" s="215">
        <f t="shared" si="116"/>
        <v>-3.9803975179193429E-3</v>
      </c>
      <c r="Q739" s="215">
        <f t="shared" si="111"/>
        <v>1.8949820029642073E-2</v>
      </c>
      <c r="R739" s="231">
        <v>9069167</v>
      </c>
      <c r="T739" s="230">
        <v>44172</v>
      </c>
      <c r="U739" s="1">
        <v>54.95</v>
      </c>
      <c r="V739" s="1">
        <v>55.0135826708294</v>
      </c>
      <c r="W739" s="1">
        <v>186414</v>
      </c>
      <c r="X739" s="1">
        <v>45426.97</v>
      </c>
      <c r="Y739" s="215">
        <f t="shared" si="117"/>
        <v>-3.9803975179193429E-3</v>
      </c>
      <c r="Z739" s="215">
        <f t="shared" si="112"/>
        <v>-1.3464991023339312E-2</v>
      </c>
      <c r="AA739" s="231">
        <v>10255302</v>
      </c>
      <c r="AC739" s="230">
        <v>44204</v>
      </c>
      <c r="AD739" s="1">
        <v>48.15</v>
      </c>
      <c r="AE739" s="1">
        <v>47.280077619663601</v>
      </c>
      <c r="AF739" s="1">
        <v>98944</v>
      </c>
      <c r="AG739" s="1">
        <v>48782.51</v>
      </c>
      <c r="AH739" s="215">
        <f t="shared" si="118"/>
        <v>-9.880591004706285E-3</v>
      </c>
      <c r="AI739" s="215">
        <f t="shared" si="113"/>
        <v>7.9596412556053764E-2</v>
      </c>
      <c r="AJ739" s="231">
        <v>4678080</v>
      </c>
      <c r="AL739" s="254"/>
      <c r="AQ739" s="215" t="str">
        <f t="shared" si="119"/>
        <v>NA</v>
      </c>
      <c r="AR739" s="215" t="str">
        <f t="shared" si="114"/>
        <v>NA</v>
      </c>
    </row>
    <row r="740" spans="2:44">
      <c r="B740" s="230">
        <v>44174</v>
      </c>
      <c r="C740" s="1">
        <v>279.5</v>
      </c>
      <c r="D740" s="1">
        <v>272.25107449856699</v>
      </c>
      <c r="E740" s="1">
        <v>2792</v>
      </c>
      <c r="F740" s="215">
        <v>46103.5</v>
      </c>
      <c r="G740" s="215">
        <f t="shared" si="115"/>
        <v>3.1248993687538196E-3</v>
      </c>
      <c r="H740" s="215">
        <f t="shared" si="110"/>
        <v>3.7875974749350227E-2</v>
      </c>
      <c r="I740" s="231">
        <v>760125</v>
      </c>
      <c r="K740" s="230">
        <v>44173</v>
      </c>
      <c r="L740" s="1">
        <v>472.3</v>
      </c>
      <c r="M740" s="1">
        <v>481.62518539444801</v>
      </c>
      <c r="N740" s="1">
        <v>14159</v>
      </c>
      <c r="O740" s="1">
        <v>45608.51</v>
      </c>
      <c r="P740" s="215">
        <f t="shared" si="116"/>
        <v>-1.073649506002794E-2</v>
      </c>
      <c r="Q740" s="215">
        <f t="shared" si="111"/>
        <v>-5.1606108478146062E-3</v>
      </c>
      <c r="R740" s="231">
        <v>6819331</v>
      </c>
      <c r="T740" s="230">
        <v>44173</v>
      </c>
      <c r="U740" s="1">
        <v>55.7</v>
      </c>
      <c r="V740" s="1">
        <v>56.140567674005702</v>
      </c>
      <c r="W740" s="1">
        <v>245035</v>
      </c>
      <c r="X740" s="1">
        <v>45608.51</v>
      </c>
      <c r="Y740" s="215">
        <f t="shared" si="117"/>
        <v>-1.073649506002794E-2</v>
      </c>
      <c r="Z740" s="215">
        <f t="shared" si="112"/>
        <v>-3.2986111111111049E-2</v>
      </c>
      <c r="AA740" s="231">
        <v>13756404</v>
      </c>
      <c r="AC740" s="230">
        <v>44207</v>
      </c>
      <c r="AD740" s="1">
        <v>44.6</v>
      </c>
      <c r="AE740" s="1">
        <v>47.442664684861299</v>
      </c>
      <c r="AF740" s="1">
        <v>63242</v>
      </c>
      <c r="AG740" s="1">
        <v>49269.32</v>
      </c>
      <c r="AH740" s="215">
        <f t="shared" si="118"/>
        <v>-5.0041288758572167E-3</v>
      </c>
      <c r="AI740" s="215">
        <f t="shared" si="113"/>
        <v>-8.8888888888888351E-3</v>
      </c>
      <c r="AJ740" s="231">
        <v>3000369</v>
      </c>
      <c r="AL740" s="254"/>
      <c r="AQ740" s="215" t="str">
        <f t="shared" si="119"/>
        <v>NA</v>
      </c>
      <c r="AR740" s="215" t="str">
        <f t="shared" si="114"/>
        <v>NA</v>
      </c>
    </row>
    <row r="741" spans="2:44">
      <c r="B741" s="230">
        <v>44175</v>
      </c>
      <c r="C741" s="1">
        <v>269.3</v>
      </c>
      <c r="D741" s="1">
        <v>265.84565525622799</v>
      </c>
      <c r="E741" s="1">
        <v>4937</v>
      </c>
      <c r="F741" s="215">
        <v>45959.88</v>
      </c>
      <c r="G741" s="215">
        <f t="shared" si="115"/>
        <v>-3.0180691515936386E-3</v>
      </c>
      <c r="H741" s="215">
        <f t="shared" si="110"/>
        <v>2.9795158286778367E-3</v>
      </c>
      <c r="I741" s="231">
        <v>1312480</v>
      </c>
      <c r="K741" s="230">
        <v>44174</v>
      </c>
      <c r="L741" s="1">
        <v>474.75</v>
      </c>
      <c r="M741" s="1">
        <v>479.60198973042299</v>
      </c>
      <c r="N741" s="1">
        <v>15580</v>
      </c>
      <c r="O741" s="1">
        <v>46103.5</v>
      </c>
      <c r="P741" s="215">
        <f t="shared" si="116"/>
        <v>3.1248993687538196E-3</v>
      </c>
      <c r="Q741" s="215">
        <f t="shared" si="111"/>
        <v>-2.835538752362976E-3</v>
      </c>
      <c r="R741" s="231">
        <v>7472199</v>
      </c>
      <c r="T741" s="230">
        <v>44174</v>
      </c>
      <c r="U741" s="1">
        <v>57.6</v>
      </c>
      <c r="V741" s="1">
        <v>57.241062654233303</v>
      </c>
      <c r="W741" s="1">
        <v>183164</v>
      </c>
      <c r="X741" s="1">
        <v>46103.5</v>
      </c>
      <c r="Y741" s="215">
        <f t="shared" si="117"/>
        <v>3.1248993687538196E-3</v>
      </c>
      <c r="Z741" s="215">
        <f t="shared" si="112"/>
        <v>2.8571428571428692E-2</v>
      </c>
      <c r="AA741" s="231">
        <v>10484502</v>
      </c>
      <c r="AC741" s="230">
        <v>44208</v>
      </c>
      <c r="AD741" s="1">
        <v>45</v>
      </c>
      <c r="AE741" s="1">
        <v>45.124519600307401</v>
      </c>
      <c r="AF741" s="1">
        <v>18214</v>
      </c>
      <c r="AG741" s="1">
        <v>49517.11</v>
      </c>
      <c r="AH741" s="215">
        <f t="shared" si="118"/>
        <v>5.0088579399787392E-4</v>
      </c>
      <c r="AI741" s="215">
        <f t="shared" si="113"/>
        <v>1.5801354401805856E-2</v>
      </c>
      <c r="AJ741" s="231">
        <v>821898</v>
      </c>
      <c r="AL741" s="254"/>
      <c r="AQ741" s="215" t="str">
        <f t="shared" si="119"/>
        <v>NA</v>
      </c>
      <c r="AR741" s="215" t="str">
        <f t="shared" si="114"/>
        <v>NA</v>
      </c>
    </row>
    <row r="742" spans="2:44">
      <c r="B742" s="230">
        <v>44176</v>
      </c>
      <c r="C742" s="1">
        <v>268.5</v>
      </c>
      <c r="D742" s="1">
        <v>272.62193362193301</v>
      </c>
      <c r="E742" s="1">
        <v>1386</v>
      </c>
      <c r="F742" s="215">
        <v>46099.01</v>
      </c>
      <c r="G742" s="215">
        <f t="shared" si="115"/>
        <v>-3.3392096504779589E-3</v>
      </c>
      <c r="H742" s="215">
        <f t="shared" si="110"/>
        <v>1.8782014797950941E-2</v>
      </c>
      <c r="I742" s="231">
        <v>377854</v>
      </c>
      <c r="K742" s="230">
        <v>44175</v>
      </c>
      <c r="L742" s="1">
        <v>476.1</v>
      </c>
      <c r="M742" s="1">
        <v>469.55491750242601</v>
      </c>
      <c r="N742" s="1">
        <v>12364</v>
      </c>
      <c r="O742" s="1">
        <v>45959.88</v>
      </c>
      <c r="P742" s="215">
        <f t="shared" si="116"/>
        <v>-3.0180691515936386E-3</v>
      </c>
      <c r="Q742" s="215">
        <f t="shared" si="111"/>
        <v>1.2440191387559807E-2</v>
      </c>
      <c r="R742" s="231">
        <v>5805577</v>
      </c>
      <c r="T742" s="230">
        <v>44175</v>
      </c>
      <c r="U742" s="1">
        <v>56</v>
      </c>
      <c r="V742" s="1">
        <v>55.600458684880103</v>
      </c>
      <c r="W742" s="1">
        <v>59736</v>
      </c>
      <c r="X742" s="1">
        <v>45959.88</v>
      </c>
      <c r="Y742" s="215">
        <f t="shared" si="117"/>
        <v>-3.0180691515936386E-3</v>
      </c>
      <c r="Z742" s="215">
        <f t="shared" si="112"/>
        <v>0</v>
      </c>
      <c r="AA742" s="231">
        <v>3321349</v>
      </c>
      <c r="AC742" s="230">
        <v>44209</v>
      </c>
      <c r="AD742" s="1">
        <v>44.3</v>
      </c>
      <c r="AE742" s="1">
        <v>44.484445644105499</v>
      </c>
      <c r="AF742" s="1">
        <v>14819</v>
      </c>
      <c r="AG742" s="1">
        <v>49492.32</v>
      </c>
      <c r="AH742" s="215">
        <f t="shared" si="118"/>
        <v>-1.8522044136676241E-3</v>
      </c>
      <c r="AI742" s="215">
        <f t="shared" si="113"/>
        <v>3.7470725995315979E-2</v>
      </c>
      <c r="AJ742" s="231">
        <v>659215</v>
      </c>
      <c r="AL742" s="254"/>
      <c r="AQ742" s="215" t="str">
        <f t="shared" si="119"/>
        <v>NA</v>
      </c>
      <c r="AR742" s="215" t="str">
        <f t="shared" si="114"/>
        <v>NA</v>
      </c>
    </row>
    <row r="743" spans="2:44">
      <c r="B743" s="230">
        <v>44179</v>
      </c>
      <c r="C743" s="1">
        <v>263.55</v>
      </c>
      <c r="D743" s="1">
        <v>269.06666666666598</v>
      </c>
      <c r="E743" s="1">
        <v>840</v>
      </c>
      <c r="F743" s="215">
        <v>46253.46</v>
      </c>
      <c r="G743" s="215">
        <f t="shared" si="115"/>
        <v>-2.09886179438179E-4</v>
      </c>
      <c r="H743" s="215">
        <f t="shared" si="110"/>
        <v>-1.8070044709388888E-2</v>
      </c>
      <c r="I743" s="231">
        <v>226016</v>
      </c>
      <c r="K743" s="230">
        <v>44176</v>
      </c>
      <c r="L743" s="1">
        <v>470.25</v>
      </c>
      <c r="M743" s="1">
        <v>477.30695443644998</v>
      </c>
      <c r="N743" s="1">
        <v>6255</v>
      </c>
      <c r="O743" s="1">
        <v>46099.01</v>
      </c>
      <c r="P743" s="215">
        <f t="shared" si="116"/>
        <v>-3.3392096504779589E-3</v>
      </c>
      <c r="Q743" s="215">
        <f t="shared" si="111"/>
        <v>-2.1942595673876908E-2</v>
      </c>
      <c r="R743" s="231">
        <v>2985555</v>
      </c>
      <c r="T743" s="230">
        <v>44176</v>
      </c>
      <c r="U743" s="1">
        <v>56</v>
      </c>
      <c r="V743" s="1">
        <v>56.761938688270902</v>
      </c>
      <c r="W743" s="1">
        <v>49126</v>
      </c>
      <c r="X743" s="1">
        <v>46099.01</v>
      </c>
      <c r="Y743" s="215">
        <f t="shared" si="117"/>
        <v>-3.3392096504779589E-3</v>
      </c>
      <c r="Z743" s="215">
        <f t="shared" si="112"/>
        <v>1.0830324909747224E-2</v>
      </c>
      <c r="AA743" s="231">
        <v>2788487</v>
      </c>
      <c r="AC743" s="230">
        <v>44210</v>
      </c>
      <c r="AD743" s="1">
        <v>42.7</v>
      </c>
      <c r="AE743" s="1">
        <v>43.169320192064603</v>
      </c>
      <c r="AF743" s="1">
        <v>15828</v>
      </c>
      <c r="AG743" s="1">
        <v>49584.160000000003</v>
      </c>
      <c r="AH743" s="215">
        <f t="shared" si="118"/>
        <v>1.1206152707869954E-2</v>
      </c>
      <c r="AI743" s="215">
        <f t="shared" si="113"/>
        <v>1.1848341232227444E-2</v>
      </c>
      <c r="AJ743" s="231">
        <v>683284</v>
      </c>
      <c r="AL743" s="254"/>
      <c r="AQ743" s="215" t="str">
        <f t="shared" si="119"/>
        <v>NA</v>
      </c>
      <c r="AR743" s="215" t="str">
        <f t="shared" si="114"/>
        <v>NA</v>
      </c>
    </row>
    <row r="744" spans="2:44">
      <c r="B744" s="230">
        <v>44180</v>
      </c>
      <c r="C744" s="1">
        <v>268.39999999999998</v>
      </c>
      <c r="D744" s="1">
        <v>268.38940375167402</v>
      </c>
      <c r="E744" s="1">
        <v>17912</v>
      </c>
      <c r="F744" s="215">
        <v>46263.17</v>
      </c>
      <c r="G744" s="215">
        <f t="shared" si="115"/>
        <v>-8.6419668429960073E-3</v>
      </c>
      <c r="H744" s="215">
        <f t="shared" si="110"/>
        <v>-6.3503140265178115E-2</v>
      </c>
      <c r="I744" s="231">
        <v>4807391</v>
      </c>
      <c r="K744" s="230">
        <v>44179</v>
      </c>
      <c r="L744" s="1">
        <v>480.8</v>
      </c>
      <c r="M744" s="1">
        <v>479.65320409262199</v>
      </c>
      <c r="N744" s="1">
        <v>5571</v>
      </c>
      <c r="O744" s="1">
        <v>46253.46</v>
      </c>
      <c r="P744" s="215">
        <f t="shared" si="116"/>
        <v>-2.09886179438179E-4</v>
      </c>
      <c r="Q744" s="215">
        <f t="shared" si="111"/>
        <v>5.7525363455706024E-3</v>
      </c>
      <c r="R744" s="231">
        <v>2672148</v>
      </c>
      <c r="T744" s="230">
        <v>44179</v>
      </c>
      <c r="U744" s="1">
        <v>55.4</v>
      </c>
      <c r="V744" s="1">
        <v>56.297835450430703</v>
      </c>
      <c r="W744" s="1">
        <v>54792</v>
      </c>
      <c r="X744" s="1">
        <v>46253.46</v>
      </c>
      <c r="Y744" s="215">
        <f t="shared" si="117"/>
        <v>-2.09886179438179E-4</v>
      </c>
      <c r="Z744" s="215">
        <f t="shared" si="112"/>
        <v>1.0948905109489093E-2</v>
      </c>
      <c r="AA744" s="231">
        <v>3084671</v>
      </c>
      <c r="AC744" s="230">
        <v>44211</v>
      </c>
      <c r="AD744" s="1">
        <v>42.2</v>
      </c>
      <c r="AE744" s="1">
        <v>42.604143828107802</v>
      </c>
      <c r="AF744" s="1">
        <v>9122</v>
      </c>
      <c r="AG744" s="1">
        <v>49034.67</v>
      </c>
      <c r="AH744" s="215">
        <f t="shared" si="118"/>
        <v>9.686133447491363E-3</v>
      </c>
      <c r="AI744" s="215">
        <f t="shared" si="113"/>
        <v>4.3263288009888656E-2</v>
      </c>
      <c r="AJ744" s="231">
        <v>388635</v>
      </c>
      <c r="AL744" s="254"/>
      <c r="AQ744" s="215" t="str">
        <f t="shared" si="119"/>
        <v>NA</v>
      </c>
      <c r="AR744" s="215" t="str">
        <f t="shared" si="114"/>
        <v>NA</v>
      </c>
    </row>
    <row r="745" spans="2:44">
      <c r="B745" s="230">
        <v>44181</v>
      </c>
      <c r="C745" s="1">
        <v>286.60000000000002</v>
      </c>
      <c r="D745" s="1">
        <v>280.23951434878501</v>
      </c>
      <c r="E745" s="1">
        <v>2718</v>
      </c>
      <c r="F745" s="215">
        <v>46666.46</v>
      </c>
      <c r="G745" s="215">
        <f t="shared" si="115"/>
        <v>-4.7745441811681832E-3</v>
      </c>
      <c r="H745" s="215">
        <f t="shared" si="110"/>
        <v>3.6340625564997397E-2</v>
      </c>
      <c r="I745" s="231">
        <v>761691</v>
      </c>
      <c r="K745" s="230">
        <v>44180</v>
      </c>
      <c r="L745" s="1">
        <v>478.05</v>
      </c>
      <c r="M745" s="1">
        <v>481.392486124946</v>
      </c>
      <c r="N745" s="1">
        <v>7027</v>
      </c>
      <c r="O745" s="1">
        <v>46263.17</v>
      </c>
      <c r="P745" s="215">
        <f t="shared" si="116"/>
        <v>-8.6419668429960073E-3</v>
      </c>
      <c r="Q745" s="215">
        <f t="shared" si="111"/>
        <v>-1.5664160401002158E-3</v>
      </c>
      <c r="R745" s="231">
        <v>3382745</v>
      </c>
      <c r="T745" s="230">
        <v>44180</v>
      </c>
      <c r="U745" s="1">
        <v>54.8</v>
      </c>
      <c r="V745" s="1">
        <v>54.9401599794815</v>
      </c>
      <c r="W745" s="1">
        <v>62383</v>
      </c>
      <c r="X745" s="1">
        <v>46263.17</v>
      </c>
      <c r="Y745" s="215">
        <f t="shared" si="117"/>
        <v>-8.6419668429960073E-3</v>
      </c>
      <c r="Z745" s="215">
        <f t="shared" si="112"/>
        <v>-9.0415913200723175E-3</v>
      </c>
      <c r="AA745" s="231">
        <v>3427332</v>
      </c>
      <c r="AC745" s="230">
        <v>44214</v>
      </c>
      <c r="AD745" s="1">
        <v>40.450000000000003</v>
      </c>
      <c r="AE745" s="1">
        <v>42.0976303317535</v>
      </c>
      <c r="AF745" s="1">
        <v>8440</v>
      </c>
      <c r="AG745" s="1">
        <v>48564.27</v>
      </c>
      <c r="AH745" s="215">
        <f t="shared" si="118"/>
        <v>-1.6883580383045715E-2</v>
      </c>
      <c r="AI745" s="215">
        <f t="shared" si="113"/>
        <v>-9.7098214285714191E-2</v>
      </c>
      <c r="AJ745" s="231">
        <v>355304</v>
      </c>
      <c r="AL745" s="254"/>
      <c r="AQ745" s="215" t="str">
        <f t="shared" si="119"/>
        <v>NA</v>
      </c>
      <c r="AR745" s="215" t="str">
        <f t="shared" si="114"/>
        <v>NA</v>
      </c>
    </row>
    <row r="746" spans="2:44">
      <c r="B746" s="230">
        <v>44182</v>
      </c>
      <c r="C746" s="1">
        <v>276.55</v>
      </c>
      <c r="D746" s="1">
        <v>282.694181326116</v>
      </c>
      <c r="E746" s="1">
        <v>16997</v>
      </c>
      <c r="F746" s="215">
        <v>46890.34</v>
      </c>
      <c r="G746" s="215">
        <f t="shared" si="115"/>
        <v>-1.4980614637477574E-3</v>
      </c>
      <c r="H746" s="215">
        <f t="shared" si="110"/>
        <v>4.175744371822887E-3</v>
      </c>
      <c r="I746" s="231">
        <v>4804953</v>
      </c>
      <c r="K746" s="230">
        <v>44181</v>
      </c>
      <c r="L746" s="1">
        <v>478.8</v>
      </c>
      <c r="M746" s="1">
        <v>484.46633472897997</v>
      </c>
      <c r="N746" s="1">
        <v>8837</v>
      </c>
      <c r="O746" s="1">
        <v>46666.46</v>
      </c>
      <c r="P746" s="215">
        <f t="shared" si="116"/>
        <v>-4.7745441811681832E-3</v>
      </c>
      <c r="Q746" s="215">
        <f t="shared" si="111"/>
        <v>1.0453690152623096E-3</v>
      </c>
      <c r="R746" s="231">
        <v>4281229</v>
      </c>
      <c r="T746" s="230">
        <v>44181</v>
      </c>
      <c r="U746" s="1">
        <v>55.3</v>
      </c>
      <c r="V746" s="1">
        <v>55.494992846924099</v>
      </c>
      <c r="W746" s="1">
        <v>34251</v>
      </c>
      <c r="X746" s="1">
        <v>46666.46</v>
      </c>
      <c r="Y746" s="215">
        <f t="shared" si="117"/>
        <v>-4.7745441811681832E-3</v>
      </c>
      <c r="Z746" s="215">
        <f t="shared" si="112"/>
        <v>2.0295202952029356E-2</v>
      </c>
      <c r="AA746" s="231">
        <v>1900759</v>
      </c>
      <c r="AC746" s="230">
        <v>44215</v>
      </c>
      <c r="AD746" s="1">
        <v>44.8</v>
      </c>
      <c r="AE746" s="1">
        <v>45.612086907964802</v>
      </c>
      <c r="AF746" s="1">
        <v>39398</v>
      </c>
      <c r="AG746" s="1">
        <v>49398.29</v>
      </c>
      <c r="AH746" s="215">
        <f t="shared" si="118"/>
        <v>-7.9094844726435021E-3</v>
      </c>
      <c r="AI746" s="215">
        <f t="shared" si="113"/>
        <v>5.6116722783390305E-3</v>
      </c>
      <c r="AJ746" s="231">
        <v>1797025</v>
      </c>
      <c r="AL746" s="254"/>
      <c r="AQ746" s="215" t="str">
        <f t="shared" si="119"/>
        <v>NA</v>
      </c>
      <c r="AR746" s="215" t="str">
        <f t="shared" si="114"/>
        <v>NA</v>
      </c>
    </row>
    <row r="747" spans="2:44">
      <c r="B747" s="230">
        <v>44183</v>
      </c>
      <c r="C747" s="1">
        <v>275.39999999999998</v>
      </c>
      <c r="D747" s="1">
        <v>282.60776805251601</v>
      </c>
      <c r="E747" s="1">
        <v>1828</v>
      </c>
      <c r="F747" s="215">
        <v>46960.69</v>
      </c>
      <c r="G747" s="215">
        <f t="shared" si="115"/>
        <v>3.0880520595794492E-2</v>
      </c>
      <c r="H747" s="215">
        <f t="shared" si="110"/>
        <v>7.5151278547725964E-2</v>
      </c>
      <c r="I747" s="231">
        <v>516607</v>
      </c>
      <c r="K747" s="230">
        <v>44182</v>
      </c>
      <c r="L747" s="1">
        <v>478.3</v>
      </c>
      <c r="M747" s="1">
        <v>481.29028021015699</v>
      </c>
      <c r="N747" s="1">
        <v>6852</v>
      </c>
      <c r="O747" s="1">
        <v>46890.34</v>
      </c>
      <c r="P747" s="215">
        <f t="shared" si="116"/>
        <v>-1.4980614637477574E-3</v>
      </c>
      <c r="Q747" s="215">
        <f t="shared" si="111"/>
        <v>2.1571977787270491E-2</v>
      </c>
      <c r="R747" s="231">
        <v>3297801</v>
      </c>
      <c r="T747" s="230">
        <v>44182</v>
      </c>
      <c r="U747" s="1">
        <v>54.2</v>
      </c>
      <c r="V747" s="1">
        <v>54.970562113456097</v>
      </c>
      <c r="W747" s="1">
        <v>61927</v>
      </c>
      <c r="X747" s="1">
        <v>46890.34</v>
      </c>
      <c r="Y747" s="215">
        <f t="shared" si="117"/>
        <v>-1.4980614637477574E-3</v>
      </c>
      <c r="Z747" s="215">
        <f t="shared" si="112"/>
        <v>4.3310875842155871E-2</v>
      </c>
      <c r="AA747" s="231">
        <v>3404162</v>
      </c>
      <c r="AC747" s="230">
        <v>44216</v>
      </c>
      <c r="AD747" s="1">
        <v>44.55</v>
      </c>
      <c r="AE747" s="1">
        <v>44.832162557163699</v>
      </c>
      <c r="AF747" s="1">
        <v>42422</v>
      </c>
      <c r="AG747" s="1">
        <v>49792.12</v>
      </c>
      <c r="AH747" s="215">
        <f t="shared" si="118"/>
        <v>3.3725100131467567E-3</v>
      </c>
      <c r="AI747" s="215">
        <f t="shared" si="113"/>
        <v>3.7252619324796177E-2</v>
      </c>
      <c r="AJ747" s="231">
        <v>1901870</v>
      </c>
      <c r="AL747" s="254"/>
      <c r="AQ747" s="215" t="str">
        <f t="shared" si="119"/>
        <v>NA</v>
      </c>
      <c r="AR747" s="215" t="str">
        <f t="shared" si="114"/>
        <v>NA</v>
      </c>
    </row>
    <row r="748" spans="2:44">
      <c r="B748" s="230">
        <v>44186</v>
      </c>
      <c r="C748" s="1">
        <v>256.14999999999998</v>
      </c>
      <c r="D748" s="1">
        <v>272.359797498511</v>
      </c>
      <c r="E748" s="1">
        <v>16790</v>
      </c>
      <c r="F748" s="215">
        <v>45553.96</v>
      </c>
      <c r="G748" s="215">
        <f t="shared" si="115"/>
        <v>-9.8405253670716952E-3</v>
      </c>
      <c r="H748" s="215">
        <f t="shared" si="110"/>
        <v>-8.7074303405573206E-3</v>
      </c>
      <c r="I748" s="231">
        <v>4572921</v>
      </c>
      <c r="K748" s="230">
        <v>44183</v>
      </c>
      <c r="L748" s="1">
        <v>468.2</v>
      </c>
      <c r="M748" s="1">
        <v>471.244663905702</v>
      </c>
      <c r="N748" s="1">
        <v>6278</v>
      </c>
      <c r="O748" s="1">
        <v>46960.69</v>
      </c>
      <c r="P748" s="215">
        <f t="shared" si="116"/>
        <v>3.0880520595794492E-2</v>
      </c>
      <c r="Q748" s="215">
        <f t="shared" si="111"/>
        <v>5.2607913669064699E-2</v>
      </c>
      <c r="R748" s="231">
        <v>2958474</v>
      </c>
      <c r="T748" s="230">
        <v>44183</v>
      </c>
      <c r="U748" s="1">
        <v>51.95</v>
      </c>
      <c r="V748" s="1">
        <v>52.1725452944398</v>
      </c>
      <c r="W748" s="1">
        <v>144223</v>
      </c>
      <c r="X748" s="1">
        <v>46960.69</v>
      </c>
      <c r="Y748" s="215">
        <f t="shared" si="117"/>
        <v>3.0880520595794492E-2</v>
      </c>
      <c r="Z748" s="215">
        <f t="shared" si="112"/>
        <v>8.1165452653486181E-2</v>
      </c>
      <c r="AA748" s="231">
        <v>7524481</v>
      </c>
      <c r="AC748" s="230">
        <v>44217</v>
      </c>
      <c r="AD748" s="1">
        <v>42.95</v>
      </c>
      <c r="AE748" s="1">
        <v>43.647397966924501</v>
      </c>
      <c r="AF748" s="1">
        <v>13182</v>
      </c>
      <c r="AG748" s="1">
        <v>49624.76</v>
      </c>
      <c r="AH748" s="215">
        <f t="shared" si="118"/>
        <v>1.5266822617860498E-2</v>
      </c>
      <c r="AI748" s="215">
        <f t="shared" si="113"/>
        <v>1.7772511848341166E-2</v>
      </c>
      <c r="AJ748" s="231">
        <v>575360</v>
      </c>
      <c r="AL748" s="254"/>
      <c r="AQ748" s="215" t="str">
        <f t="shared" si="119"/>
        <v>NA</v>
      </c>
      <c r="AR748" s="215" t="str">
        <f t="shared" si="114"/>
        <v>NA</v>
      </c>
    </row>
    <row r="749" spans="2:44">
      <c r="B749" s="230">
        <v>44187</v>
      </c>
      <c r="C749" s="1">
        <v>258.39999999999998</v>
      </c>
      <c r="D749" s="1">
        <v>257.88389328063198</v>
      </c>
      <c r="E749" s="1">
        <v>12144</v>
      </c>
      <c r="F749" s="215">
        <v>46006.69</v>
      </c>
      <c r="G749" s="215">
        <f t="shared" si="115"/>
        <v>-9.4196947819941146E-3</v>
      </c>
      <c r="H749" s="215">
        <f t="shared" si="110"/>
        <v>-5.0349136346931389E-2</v>
      </c>
      <c r="I749" s="231">
        <v>3131742</v>
      </c>
      <c r="K749" s="230">
        <v>44186</v>
      </c>
      <c r="L749" s="1">
        <v>444.8</v>
      </c>
      <c r="M749" s="1">
        <v>456.56773958901601</v>
      </c>
      <c r="N749" s="1">
        <v>10998</v>
      </c>
      <c r="O749" s="1">
        <v>45553.96</v>
      </c>
      <c r="P749" s="215">
        <f t="shared" si="116"/>
        <v>-9.8405253670716952E-3</v>
      </c>
      <c r="Q749" s="215">
        <f t="shared" si="111"/>
        <v>2.382322476694676E-2</v>
      </c>
      <c r="R749" s="231">
        <v>5021332</v>
      </c>
      <c r="T749" s="230">
        <v>44186</v>
      </c>
      <c r="U749" s="1">
        <v>48.05</v>
      </c>
      <c r="V749" s="1">
        <v>50.603911195483001</v>
      </c>
      <c r="W749" s="1">
        <v>143281</v>
      </c>
      <c r="X749" s="1">
        <v>45553.96</v>
      </c>
      <c r="Y749" s="215">
        <f t="shared" si="117"/>
        <v>-9.8405253670716952E-3</v>
      </c>
      <c r="Z749" s="215">
        <f t="shared" si="112"/>
        <v>-1.9387755102040827E-2</v>
      </c>
      <c r="AA749" s="231">
        <v>7250579</v>
      </c>
      <c r="AC749" s="230">
        <v>44218</v>
      </c>
      <c r="AD749" s="1">
        <v>42.2</v>
      </c>
      <c r="AE749" s="1">
        <v>42.6504813435457</v>
      </c>
      <c r="AF749" s="1">
        <v>14231</v>
      </c>
      <c r="AG749" s="1">
        <v>48878.54</v>
      </c>
      <c r="AH749" s="215">
        <f t="shared" si="118"/>
        <v>1.0981933122209409E-2</v>
      </c>
      <c r="AI749" s="215">
        <f t="shared" si="113"/>
        <v>2.1791767554479646E-2</v>
      </c>
      <c r="AJ749" s="231">
        <v>606959</v>
      </c>
      <c r="AL749" s="254"/>
      <c r="AQ749" s="215" t="str">
        <f t="shared" si="119"/>
        <v>NA</v>
      </c>
      <c r="AR749" s="215" t="str">
        <f t="shared" si="114"/>
        <v>NA</v>
      </c>
    </row>
    <row r="750" spans="2:44">
      <c r="B750" s="230">
        <v>44188</v>
      </c>
      <c r="C750" s="1">
        <v>272.10000000000002</v>
      </c>
      <c r="D750" s="1">
        <v>263.207196578675</v>
      </c>
      <c r="E750" s="1">
        <v>13562</v>
      </c>
      <c r="F750" s="215">
        <v>46444.18</v>
      </c>
      <c r="G750" s="215">
        <f t="shared" si="115"/>
        <v>-1.1269323112543805E-2</v>
      </c>
      <c r="H750" s="215">
        <f t="shared" si="110"/>
        <v>7.4046649389114538E-3</v>
      </c>
      <c r="I750" s="231">
        <v>3569616</v>
      </c>
      <c r="K750" s="230">
        <v>44187</v>
      </c>
      <c r="L750" s="1">
        <v>434.45</v>
      </c>
      <c r="M750" s="1">
        <v>430.09755487774299</v>
      </c>
      <c r="N750" s="1">
        <v>19999</v>
      </c>
      <c r="O750" s="1">
        <v>46006.69</v>
      </c>
      <c r="P750" s="215">
        <f t="shared" si="116"/>
        <v>-9.4196947819941146E-3</v>
      </c>
      <c r="Q750" s="215">
        <f t="shared" si="111"/>
        <v>-2.9704075935231722E-2</v>
      </c>
      <c r="R750" s="231">
        <v>8601521</v>
      </c>
      <c r="T750" s="230">
        <v>44187</v>
      </c>
      <c r="U750" s="1">
        <v>49</v>
      </c>
      <c r="V750" s="1">
        <v>47.5868921170905</v>
      </c>
      <c r="W750" s="1">
        <v>118814</v>
      </c>
      <c r="X750" s="1">
        <v>46006.69</v>
      </c>
      <c r="Y750" s="215">
        <f t="shared" si="117"/>
        <v>-9.4196947819941146E-3</v>
      </c>
      <c r="Z750" s="215">
        <f t="shared" si="112"/>
        <v>-7.4598677998111484E-2</v>
      </c>
      <c r="AA750" s="231">
        <v>5653989</v>
      </c>
      <c r="AC750" s="230">
        <v>44221</v>
      </c>
      <c r="AD750" s="1">
        <v>41.3</v>
      </c>
      <c r="AE750" s="1">
        <v>42.409523809523797</v>
      </c>
      <c r="AF750" s="1">
        <v>9240</v>
      </c>
      <c r="AG750" s="1">
        <v>48347.59</v>
      </c>
      <c r="AH750" s="215">
        <f t="shared" si="118"/>
        <v>1.977771323433708E-2</v>
      </c>
      <c r="AI750" s="215">
        <f t="shared" si="113"/>
        <v>-4.8192771084337727E-3</v>
      </c>
      <c r="AJ750" s="231">
        <v>391864</v>
      </c>
      <c r="AL750" s="254"/>
      <c r="AQ750" s="215" t="str">
        <f t="shared" si="119"/>
        <v>NA</v>
      </c>
      <c r="AR750" s="215" t="str">
        <f t="shared" si="114"/>
        <v>NA</v>
      </c>
    </row>
    <row r="751" spans="2:44">
      <c r="B751" s="230">
        <v>44189</v>
      </c>
      <c r="C751" s="1">
        <v>270.10000000000002</v>
      </c>
      <c r="D751" s="1">
        <v>270.940463724756</v>
      </c>
      <c r="E751" s="1">
        <v>6685</v>
      </c>
      <c r="F751" s="215">
        <v>46973.54</v>
      </c>
      <c r="G751" s="215">
        <f t="shared" si="115"/>
        <v>-8.0291423593695788E-3</v>
      </c>
      <c r="H751" s="215">
        <f t="shared" si="110"/>
        <v>-4.3385868602797917E-2</v>
      </c>
      <c r="I751" s="231">
        <v>1811237</v>
      </c>
      <c r="K751" s="230">
        <v>44188</v>
      </c>
      <c r="L751" s="1">
        <v>447.75</v>
      </c>
      <c r="M751" s="1">
        <v>444.66110471806599</v>
      </c>
      <c r="N751" s="1">
        <v>6952</v>
      </c>
      <c r="O751" s="1">
        <v>46444.18</v>
      </c>
      <c r="P751" s="215">
        <f t="shared" si="116"/>
        <v>-1.1269323112543805E-2</v>
      </c>
      <c r="Q751" s="215">
        <f t="shared" si="111"/>
        <v>-1.5284803166923266E-2</v>
      </c>
      <c r="R751" s="231">
        <v>3091284</v>
      </c>
      <c r="T751" s="230">
        <v>44188</v>
      </c>
      <c r="U751" s="1">
        <v>52.95</v>
      </c>
      <c r="V751" s="1">
        <v>51.660181785035199</v>
      </c>
      <c r="W751" s="1">
        <v>38397</v>
      </c>
      <c r="X751" s="1">
        <v>46444.18</v>
      </c>
      <c r="Y751" s="215">
        <f t="shared" si="117"/>
        <v>-1.1269323112543805E-2</v>
      </c>
      <c r="Z751" s="215">
        <f t="shared" si="112"/>
        <v>-1.8850141376058893E-3</v>
      </c>
      <c r="AA751" s="231">
        <v>1983596</v>
      </c>
      <c r="AC751" s="230">
        <v>44223</v>
      </c>
      <c r="AD751" s="1">
        <v>41.5</v>
      </c>
      <c r="AE751" s="1">
        <v>41.252022244691602</v>
      </c>
      <c r="AF751" s="1">
        <v>3956</v>
      </c>
      <c r="AG751" s="1">
        <v>47409.93</v>
      </c>
      <c r="AH751" s="215">
        <f t="shared" si="118"/>
        <v>1.1425649331532117E-2</v>
      </c>
      <c r="AI751" s="215">
        <f t="shared" si="113"/>
        <v>1.3431013431013383E-2</v>
      </c>
      <c r="AJ751" s="231">
        <v>163193</v>
      </c>
      <c r="AL751" s="254"/>
      <c r="AQ751" s="215" t="str">
        <f t="shared" si="119"/>
        <v>NA</v>
      </c>
      <c r="AR751" s="215" t="str">
        <f t="shared" si="114"/>
        <v>NA</v>
      </c>
    </row>
    <row r="752" spans="2:44">
      <c r="B752" s="230">
        <v>44193</v>
      </c>
      <c r="C752" s="1">
        <v>282.35000000000002</v>
      </c>
      <c r="D752" s="1">
        <v>277.38741911343902</v>
      </c>
      <c r="E752" s="1">
        <v>22717</v>
      </c>
      <c r="F752" s="215">
        <v>47353.75</v>
      </c>
      <c r="G752" s="215">
        <f t="shared" si="115"/>
        <v>-5.446612569487197E-3</v>
      </c>
      <c r="H752" s="215">
        <f t="shared" si="110"/>
        <v>8.3928571428573129E-3</v>
      </c>
      <c r="I752" s="231">
        <v>6301410</v>
      </c>
      <c r="K752" s="230">
        <v>44189</v>
      </c>
      <c r="L752" s="1">
        <v>454.7</v>
      </c>
      <c r="M752" s="1">
        <v>462.72152241636098</v>
      </c>
      <c r="N752" s="1">
        <v>22149</v>
      </c>
      <c r="O752" s="1">
        <v>46973.54</v>
      </c>
      <c r="P752" s="215">
        <f t="shared" si="116"/>
        <v>-8.0291423593695788E-3</v>
      </c>
      <c r="Q752" s="215">
        <f t="shared" si="111"/>
        <v>-1.0661444734551884E-2</v>
      </c>
      <c r="R752" s="231">
        <v>10248819</v>
      </c>
      <c r="T752" s="230">
        <v>44189</v>
      </c>
      <c r="U752" s="1">
        <v>53.05</v>
      </c>
      <c r="V752" s="1">
        <v>53.095537655882403</v>
      </c>
      <c r="W752" s="1">
        <v>90132</v>
      </c>
      <c r="X752" s="1">
        <v>46973.54</v>
      </c>
      <c r="Y752" s="215">
        <f t="shared" si="117"/>
        <v>-8.0291423593695788E-3</v>
      </c>
      <c r="Z752" s="215">
        <f t="shared" si="112"/>
        <v>0</v>
      </c>
      <c r="AA752" s="231">
        <v>4785607</v>
      </c>
      <c r="AC752" s="230">
        <v>44224</v>
      </c>
      <c r="AD752" s="1">
        <v>40.950000000000003</v>
      </c>
      <c r="AE752" s="1">
        <v>40.835804503020299</v>
      </c>
      <c r="AF752" s="1">
        <v>1821</v>
      </c>
      <c r="AG752" s="1">
        <v>46874.36</v>
      </c>
      <c r="AH752" s="215">
        <f t="shared" si="118"/>
        <v>1.2716435310463847E-2</v>
      </c>
      <c r="AI752" s="215">
        <f t="shared" si="113"/>
        <v>-1.7985611510791366E-2</v>
      </c>
      <c r="AJ752" s="231">
        <v>74362</v>
      </c>
      <c r="AL752" s="254"/>
      <c r="AQ752" s="215" t="str">
        <f t="shared" si="119"/>
        <v>NA</v>
      </c>
      <c r="AR752" s="215" t="str">
        <f t="shared" si="114"/>
        <v>NA</v>
      </c>
    </row>
    <row r="753" spans="2:44">
      <c r="B753" s="230">
        <v>44194</v>
      </c>
      <c r="C753" s="1">
        <v>280</v>
      </c>
      <c r="D753" s="1">
        <v>280.93472944053798</v>
      </c>
      <c r="E753" s="1">
        <v>6542</v>
      </c>
      <c r="F753" s="215">
        <v>47613.08</v>
      </c>
      <c r="G753" s="215">
        <f t="shared" si="115"/>
        <v>-2.7884929948380766E-3</v>
      </c>
      <c r="H753" s="215">
        <f t="shared" si="110"/>
        <v>-2.4220247429865838E-2</v>
      </c>
      <c r="I753" s="231">
        <v>1837875</v>
      </c>
      <c r="K753" s="230">
        <v>44193</v>
      </c>
      <c r="L753" s="1">
        <v>459.6</v>
      </c>
      <c r="M753" s="1">
        <v>460.47465124191899</v>
      </c>
      <c r="N753" s="1">
        <v>5878</v>
      </c>
      <c r="O753" s="1">
        <v>47353.75</v>
      </c>
      <c r="P753" s="215">
        <f t="shared" si="116"/>
        <v>-5.446612569487197E-3</v>
      </c>
      <c r="Q753" s="215">
        <f t="shared" si="111"/>
        <v>2.7498323272971081E-2</v>
      </c>
      <c r="R753" s="231">
        <v>2706670</v>
      </c>
      <c r="T753" s="230">
        <v>44193</v>
      </c>
      <c r="U753" s="1">
        <v>53.05</v>
      </c>
      <c r="V753" s="1">
        <v>53.463784342433797</v>
      </c>
      <c r="W753" s="1">
        <v>34833</v>
      </c>
      <c r="X753" s="1">
        <v>47353.75</v>
      </c>
      <c r="Y753" s="215">
        <f t="shared" si="117"/>
        <v>-5.446612569487197E-3</v>
      </c>
      <c r="Z753" s="215">
        <f t="shared" si="112"/>
        <v>-6.5543071161049404E-3</v>
      </c>
      <c r="AA753" s="231">
        <v>1862304</v>
      </c>
      <c r="AC753" s="230">
        <v>44225</v>
      </c>
      <c r="AD753" s="1">
        <v>41.7</v>
      </c>
      <c r="AE753" s="1">
        <v>43.625395785566099</v>
      </c>
      <c r="AF753" s="1">
        <v>27477</v>
      </c>
      <c r="AG753" s="1">
        <v>46285.77</v>
      </c>
      <c r="AH753" s="215">
        <f t="shared" si="118"/>
        <v>-4.7629854851616082E-2</v>
      </c>
      <c r="AI753" s="215">
        <f t="shared" si="113"/>
        <v>2.4038461538462563E-3</v>
      </c>
      <c r="AJ753" s="231">
        <v>1198695</v>
      </c>
      <c r="AL753" s="254"/>
      <c r="AQ753" s="215" t="str">
        <f t="shared" si="119"/>
        <v>NA</v>
      </c>
      <c r="AR753" s="215" t="str">
        <f t="shared" si="114"/>
        <v>NA</v>
      </c>
    </row>
    <row r="754" spans="2:44">
      <c r="B754" s="230">
        <v>44195</v>
      </c>
      <c r="C754" s="1">
        <v>286.95</v>
      </c>
      <c r="D754" s="1">
        <v>279.88743093922602</v>
      </c>
      <c r="E754" s="1">
        <v>1448</v>
      </c>
      <c r="F754" s="215">
        <v>47746.22</v>
      </c>
      <c r="G754" s="215">
        <f t="shared" si="115"/>
        <v>-1.0701272613766744E-4</v>
      </c>
      <c r="H754" s="215">
        <f t="shared" si="110"/>
        <v>3.7981551817688475E-2</v>
      </c>
      <c r="I754" s="231">
        <v>405277</v>
      </c>
      <c r="K754" s="230">
        <v>44194</v>
      </c>
      <c r="L754" s="1">
        <v>447.3</v>
      </c>
      <c r="M754" s="1">
        <v>449.282248378573</v>
      </c>
      <c r="N754" s="1">
        <v>4163</v>
      </c>
      <c r="O754" s="1">
        <v>47613.08</v>
      </c>
      <c r="P754" s="215">
        <f t="shared" si="116"/>
        <v>-2.7884929948380766E-3</v>
      </c>
      <c r="Q754" s="215">
        <f t="shared" si="111"/>
        <v>-2.4427480916030531E-2</v>
      </c>
      <c r="R754" s="231">
        <v>1870362</v>
      </c>
      <c r="T754" s="230">
        <v>44194</v>
      </c>
      <c r="U754" s="1">
        <v>53.4</v>
      </c>
      <c r="V754" s="1">
        <v>53.980142390620799</v>
      </c>
      <c r="W754" s="1">
        <v>49301</v>
      </c>
      <c r="X754" s="1">
        <v>47613.08</v>
      </c>
      <c r="Y754" s="215">
        <f t="shared" si="117"/>
        <v>-2.7884929948380766E-3</v>
      </c>
      <c r="Z754" s="215">
        <f t="shared" si="112"/>
        <v>-1.1111111111111183E-2</v>
      </c>
      <c r="AA754" s="231">
        <v>2661275</v>
      </c>
      <c r="AC754" s="230">
        <v>44228</v>
      </c>
      <c r="AD754" s="1">
        <v>41.6</v>
      </c>
      <c r="AE754" s="1">
        <v>41.545713471945298</v>
      </c>
      <c r="AF754" s="1">
        <v>3511</v>
      </c>
      <c r="AG754" s="1">
        <v>48600.61</v>
      </c>
      <c r="AH754" s="215">
        <f t="shared" si="118"/>
        <v>-2.4039454015163719E-2</v>
      </c>
      <c r="AI754" s="215">
        <f t="shared" si="113"/>
        <v>-1.2004801920767472E-3</v>
      </c>
      <c r="AJ754" s="231">
        <v>145867</v>
      </c>
      <c r="AL754" s="254"/>
      <c r="AQ754" s="215" t="str">
        <f t="shared" si="119"/>
        <v>NA</v>
      </c>
      <c r="AR754" s="215" t="str">
        <f t="shared" si="114"/>
        <v>NA</v>
      </c>
    </row>
    <row r="755" spans="2:44">
      <c r="B755" s="230">
        <v>44196</v>
      </c>
      <c r="C755" s="1">
        <v>276.45</v>
      </c>
      <c r="D755" s="1">
        <v>278.09780351874099</v>
      </c>
      <c r="E755" s="1">
        <v>9151</v>
      </c>
      <c r="F755" s="215">
        <v>47751.33</v>
      </c>
      <c r="G755" s="215">
        <f t="shared" si="115"/>
        <v>-2.457750300925543E-3</v>
      </c>
      <c r="H755" s="215">
        <f t="shared" si="110"/>
        <v>-5.341551104262976E-2</v>
      </c>
      <c r="I755" s="231">
        <v>2544873</v>
      </c>
      <c r="K755" s="230">
        <v>44195</v>
      </c>
      <c r="L755" s="1">
        <v>458.5</v>
      </c>
      <c r="M755" s="1">
        <v>458.02577689958599</v>
      </c>
      <c r="N755" s="1">
        <v>11134</v>
      </c>
      <c r="O755" s="1">
        <v>47746.22</v>
      </c>
      <c r="P755" s="215">
        <f t="shared" si="116"/>
        <v>-1.0701272613766744E-4</v>
      </c>
      <c r="Q755" s="215">
        <f t="shared" si="111"/>
        <v>-3.6055923473142015E-2</v>
      </c>
      <c r="R755" s="231">
        <v>5099659</v>
      </c>
      <c r="T755" s="230">
        <v>44195</v>
      </c>
      <c r="U755" s="1">
        <v>54</v>
      </c>
      <c r="V755" s="1">
        <v>54.068496119998201</v>
      </c>
      <c r="W755" s="1">
        <v>46134</v>
      </c>
      <c r="X755" s="1">
        <v>47746.22</v>
      </c>
      <c r="Y755" s="215">
        <f t="shared" si="117"/>
        <v>-1.0701272613766744E-4</v>
      </c>
      <c r="Z755" s="215">
        <f t="shared" si="112"/>
        <v>-1.9073569482288777E-2</v>
      </c>
      <c r="AA755" s="231">
        <v>2494396</v>
      </c>
      <c r="AC755" s="230">
        <v>44229</v>
      </c>
      <c r="AD755" s="1">
        <v>41.65</v>
      </c>
      <c r="AE755" s="1">
        <v>41.730002402113797</v>
      </c>
      <c r="AF755" s="1">
        <v>4163</v>
      </c>
      <c r="AG755" s="1">
        <v>49797.72</v>
      </c>
      <c r="AH755" s="215">
        <f t="shared" si="118"/>
        <v>-9.1139819821611789E-3</v>
      </c>
      <c r="AI755" s="215">
        <f t="shared" si="113"/>
        <v>-4.7789725209080869E-3</v>
      </c>
      <c r="AJ755" s="231">
        <v>173722</v>
      </c>
      <c r="AL755" s="254"/>
      <c r="AQ755" s="215" t="str">
        <f t="shared" si="119"/>
        <v>NA</v>
      </c>
      <c r="AR755" s="215" t="str">
        <f t="shared" si="114"/>
        <v>NA</v>
      </c>
    </row>
    <row r="756" spans="2:44">
      <c r="B756" s="230">
        <v>44197</v>
      </c>
      <c r="C756" s="1">
        <v>292.05</v>
      </c>
      <c r="D756" s="1">
        <v>289.85419824189103</v>
      </c>
      <c r="E756" s="1">
        <v>3299</v>
      </c>
      <c r="F756" s="215">
        <v>47868.98</v>
      </c>
      <c r="G756" s="215">
        <f t="shared" si="115"/>
        <v>-6.3893824413410183E-3</v>
      </c>
      <c r="H756" s="215">
        <f t="shared" si="110"/>
        <v>4.1258380608559797E-3</v>
      </c>
      <c r="I756" s="231">
        <v>956229</v>
      </c>
      <c r="K756" s="230">
        <v>44196</v>
      </c>
      <c r="L756" s="1">
        <v>475.65</v>
      </c>
      <c r="M756" s="1">
        <v>474.44272945623402</v>
      </c>
      <c r="N756" s="1">
        <v>25397</v>
      </c>
      <c r="O756" s="1">
        <v>47751.33</v>
      </c>
      <c r="P756" s="215">
        <f t="shared" si="116"/>
        <v>-2.457750300925543E-3</v>
      </c>
      <c r="Q756" s="215">
        <f t="shared" si="111"/>
        <v>-4.6984572230014066E-2</v>
      </c>
      <c r="R756" s="231">
        <v>12049422</v>
      </c>
      <c r="T756" s="230">
        <v>44196</v>
      </c>
      <c r="U756" s="1">
        <v>55.05</v>
      </c>
      <c r="V756" s="1">
        <v>55.048036292461603</v>
      </c>
      <c r="W756" s="1">
        <v>109334</v>
      </c>
      <c r="X756" s="1">
        <v>47751.33</v>
      </c>
      <c r="Y756" s="215">
        <f t="shared" si="117"/>
        <v>-2.457750300925543E-3</v>
      </c>
      <c r="Z756" s="215">
        <f t="shared" si="112"/>
        <v>-4.427083333333337E-2</v>
      </c>
      <c r="AA756" s="231">
        <v>6018622</v>
      </c>
      <c r="AC756" s="230">
        <v>44230</v>
      </c>
      <c r="AD756" s="1">
        <v>41.85</v>
      </c>
      <c r="AE756" s="1">
        <v>41.8535880356918</v>
      </c>
      <c r="AF756" s="1">
        <v>7957</v>
      </c>
      <c r="AG756" s="1">
        <v>50255.75</v>
      </c>
      <c r="AH756" s="215">
        <f t="shared" si="118"/>
        <v>-7.0837702158816906E-3</v>
      </c>
      <c r="AI756" s="215">
        <f t="shared" si="113"/>
        <v>-7.1174377224199059E-3</v>
      </c>
      <c r="AJ756" s="231">
        <v>333029</v>
      </c>
      <c r="AL756" s="254"/>
      <c r="AQ756" s="215" t="str">
        <f t="shared" si="119"/>
        <v>NA</v>
      </c>
      <c r="AR756" s="215" t="str">
        <f t="shared" si="114"/>
        <v>NA</v>
      </c>
    </row>
    <row r="757" spans="2:44">
      <c r="B757" s="230">
        <v>44200</v>
      </c>
      <c r="C757" s="1">
        <v>290.85000000000002</v>
      </c>
      <c r="D757" s="1">
        <v>291.72674418604601</v>
      </c>
      <c r="E757" s="1">
        <v>14792</v>
      </c>
      <c r="F757" s="215">
        <v>48176.800000000003</v>
      </c>
      <c r="G757" s="215">
        <f t="shared" si="115"/>
        <v>-5.3879430477613566E-3</v>
      </c>
      <c r="H757" s="215">
        <f t="shared" si="110"/>
        <v>1.3771733516958484E-3</v>
      </c>
      <c r="I757" s="231">
        <v>4315222</v>
      </c>
      <c r="K757" s="230">
        <v>44197</v>
      </c>
      <c r="L757" s="1">
        <v>499.1</v>
      </c>
      <c r="M757" s="1">
        <v>493.83651634488001</v>
      </c>
      <c r="N757" s="1">
        <v>28694</v>
      </c>
      <c r="O757" s="1">
        <v>47868.98</v>
      </c>
      <c r="P757" s="215">
        <f t="shared" si="116"/>
        <v>-6.3893824413410183E-3</v>
      </c>
      <c r="Q757" s="215">
        <f t="shared" si="111"/>
        <v>-4.7609960881595192E-2</v>
      </c>
      <c r="R757" s="231">
        <v>14170145</v>
      </c>
      <c r="T757" s="230">
        <v>44197</v>
      </c>
      <c r="U757" s="1">
        <v>57.6</v>
      </c>
      <c r="V757" s="1">
        <v>57.141842772612002</v>
      </c>
      <c r="W757" s="1">
        <v>260260</v>
      </c>
      <c r="X757" s="1">
        <v>47868.98</v>
      </c>
      <c r="Y757" s="215">
        <f t="shared" si="117"/>
        <v>-6.3893824413410183E-3</v>
      </c>
      <c r="Z757" s="215">
        <f t="shared" si="112"/>
        <v>-9.148264984227128E-2</v>
      </c>
      <c r="AA757" s="231">
        <v>14871736</v>
      </c>
      <c r="AC757" s="230">
        <v>44231</v>
      </c>
      <c r="AD757" s="1">
        <v>42.15</v>
      </c>
      <c r="AE757" s="1">
        <v>42.146387385267097</v>
      </c>
      <c r="AF757" s="1">
        <v>4249</v>
      </c>
      <c r="AG757" s="1">
        <v>50614.29</v>
      </c>
      <c r="AH757" s="215">
        <f t="shared" si="118"/>
        <v>-2.3129554481099435E-3</v>
      </c>
      <c r="AI757" s="215">
        <f t="shared" si="113"/>
        <v>1.3221153846153744E-2</v>
      </c>
      <c r="AJ757" s="231">
        <v>179080</v>
      </c>
      <c r="AL757" s="254"/>
      <c r="AQ757" s="215" t="str">
        <f t="shared" si="119"/>
        <v>NA</v>
      </c>
      <c r="AR757" s="215" t="str">
        <f t="shared" si="114"/>
        <v>NA</v>
      </c>
    </row>
    <row r="758" spans="2:44">
      <c r="B758" s="230">
        <v>44201</v>
      </c>
      <c r="C758" s="1">
        <v>290.45</v>
      </c>
      <c r="D758" s="1">
        <v>291.585714285714</v>
      </c>
      <c r="E758" s="1">
        <v>980</v>
      </c>
      <c r="F758" s="215">
        <v>48437.78</v>
      </c>
      <c r="G758" s="215">
        <f t="shared" si="115"/>
        <v>5.4743154303373842E-3</v>
      </c>
      <c r="H758" s="215">
        <f t="shared" si="110"/>
        <v>-2.875773282059868E-2</v>
      </c>
      <c r="I758" s="231">
        <v>285754</v>
      </c>
      <c r="K758" s="230">
        <v>44200</v>
      </c>
      <c r="L758" s="1">
        <v>524.04999999999995</v>
      </c>
      <c r="M758" s="1">
        <v>523.00104481984101</v>
      </c>
      <c r="N758" s="1">
        <v>102410</v>
      </c>
      <c r="O758" s="1">
        <v>48176.800000000003</v>
      </c>
      <c r="P758" s="215">
        <f t="shared" si="116"/>
        <v>-5.3879430477613566E-3</v>
      </c>
      <c r="Q758" s="215">
        <f t="shared" si="111"/>
        <v>-2.3296990028888298E-2</v>
      </c>
      <c r="R758" s="231">
        <v>53560537</v>
      </c>
      <c r="T758" s="230">
        <v>44200</v>
      </c>
      <c r="U758" s="1">
        <v>63.4</v>
      </c>
      <c r="V758" s="1">
        <v>61.266589255991299</v>
      </c>
      <c r="W758" s="1">
        <v>427159</v>
      </c>
      <c r="X758" s="1">
        <v>48176.800000000003</v>
      </c>
      <c r="Y758" s="215">
        <f t="shared" si="117"/>
        <v>-5.3879430477613566E-3</v>
      </c>
      <c r="Z758" s="215">
        <f t="shared" si="112"/>
        <v>4.6204620462046098E-2</v>
      </c>
      <c r="AA758" s="231">
        <v>26170575</v>
      </c>
      <c r="AC758" s="230">
        <v>44232</v>
      </c>
      <c r="AD758" s="1">
        <v>41.6</v>
      </c>
      <c r="AE758" s="1">
        <v>41.944176706827299</v>
      </c>
      <c r="AF758" s="1">
        <v>2490</v>
      </c>
      <c r="AG758" s="1">
        <v>50731.63</v>
      </c>
      <c r="AH758" s="215">
        <f t="shared" si="118"/>
        <v>-1.2018593629409269E-2</v>
      </c>
      <c r="AI758" s="215">
        <f t="shared" si="113"/>
        <v>-1.538461538461533E-2</v>
      </c>
      <c r="AJ758" s="231">
        <v>104441</v>
      </c>
      <c r="AL758" s="254"/>
      <c r="AQ758" s="215" t="str">
        <f t="shared" si="119"/>
        <v>NA</v>
      </c>
      <c r="AR758" s="215" t="str">
        <f t="shared" si="114"/>
        <v>NA</v>
      </c>
    </row>
    <row r="759" spans="2:44">
      <c r="B759" s="230">
        <v>44202</v>
      </c>
      <c r="C759" s="1">
        <v>299.05</v>
      </c>
      <c r="D759" s="1">
        <v>298.119674670797</v>
      </c>
      <c r="E759" s="1">
        <v>2582</v>
      </c>
      <c r="F759" s="215">
        <v>48174.06</v>
      </c>
      <c r="G759" s="215">
        <f t="shared" si="115"/>
        <v>1.6788194285608515E-3</v>
      </c>
      <c r="H759" s="215">
        <f t="shared" si="110"/>
        <v>2.890073972131435E-2</v>
      </c>
      <c r="I759" s="231">
        <v>769745</v>
      </c>
      <c r="K759" s="230">
        <v>44201</v>
      </c>
      <c r="L759" s="1">
        <v>536.54999999999995</v>
      </c>
      <c r="M759" s="1">
        <v>545.78009928484403</v>
      </c>
      <c r="N759" s="1">
        <v>105152</v>
      </c>
      <c r="O759" s="1">
        <v>48437.78</v>
      </c>
      <c r="P759" s="215">
        <f t="shared" si="116"/>
        <v>5.4743154303373842E-3</v>
      </c>
      <c r="Q759" s="215">
        <f t="shared" si="111"/>
        <v>3.7112206436648254E-2</v>
      </c>
      <c r="R759" s="231">
        <v>57389869</v>
      </c>
      <c r="T759" s="230">
        <v>44201</v>
      </c>
      <c r="U759" s="1">
        <v>60.6</v>
      </c>
      <c r="V759" s="1">
        <v>62.798728917401398</v>
      </c>
      <c r="W759" s="1">
        <v>367246</v>
      </c>
      <c r="X759" s="1">
        <v>48437.78</v>
      </c>
      <c r="Y759" s="215">
        <f t="shared" si="117"/>
        <v>5.4743154303373842E-3</v>
      </c>
      <c r="Z759" s="215">
        <f t="shared" si="112"/>
        <v>4.1425020712511085E-3</v>
      </c>
      <c r="AA759" s="231">
        <v>23062582</v>
      </c>
      <c r="AC759" s="230">
        <v>44235</v>
      </c>
      <c r="AD759" s="1">
        <v>42.25</v>
      </c>
      <c r="AE759" s="1">
        <v>41.972906403940797</v>
      </c>
      <c r="AF759" s="1">
        <v>1218</v>
      </c>
      <c r="AG759" s="1">
        <v>51348.77</v>
      </c>
      <c r="AH759" s="215">
        <f t="shared" si="118"/>
        <v>3.8360321283748E-4</v>
      </c>
      <c r="AI759" s="215">
        <f t="shared" si="113"/>
        <v>1.318944844124692E-2</v>
      </c>
      <c r="AJ759" s="231">
        <v>51123</v>
      </c>
      <c r="AL759" s="254"/>
      <c r="AQ759" s="215" t="str">
        <f t="shared" si="119"/>
        <v>NA</v>
      </c>
      <c r="AR759" s="215" t="str">
        <f t="shared" si="114"/>
        <v>NA</v>
      </c>
    </row>
    <row r="760" spans="2:44">
      <c r="B760" s="230">
        <v>44203</v>
      </c>
      <c r="C760" s="1">
        <v>290.64999999999998</v>
      </c>
      <c r="D760" s="1">
        <v>291.92165242165203</v>
      </c>
      <c r="E760" s="1">
        <v>4914</v>
      </c>
      <c r="F760" s="215">
        <v>48093.32</v>
      </c>
      <c r="G760" s="215">
        <f t="shared" si="115"/>
        <v>-1.4127809331664243E-2</v>
      </c>
      <c r="H760" s="215">
        <f t="shared" si="110"/>
        <v>-5.1558166095611035E-2</v>
      </c>
      <c r="I760" s="231">
        <v>1434503</v>
      </c>
      <c r="K760" s="230">
        <v>44202</v>
      </c>
      <c r="L760" s="1">
        <v>517.35</v>
      </c>
      <c r="M760" s="1">
        <v>524.40803339263698</v>
      </c>
      <c r="N760" s="1">
        <v>14614</v>
      </c>
      <c r="O760" s="1">
        <v>48174.06</v>
      </c>
      <c r="P760" s="215">
        <f t="shared" si="116"/>
        <v>1.6788194285608515E-3</v>
      </c>
      <c r="Q760" s="215">
        <f t="shared" si="111"/>
        <v>-3.1995509402189204E-2</v>
      </c>
      <c r="R760" s="231">
        <v>7663699</v>
      </c>
      <c r="T760" s="230">
        <v>44202</v>
      </c>
      <c r="U760" s="1">
        <v>60.35</v>
      </c>
      <c r="V760" s="1">
        <v>60.953420335714299</v>
      </c>
      <c r="W760" s="1">
        <v>213634</v>
      </c>
      <c r="X760" s="1">
        <v>48174.06</v>
      </c>
      <c r="Y760" s="215">
        <f t="shared" si="117"/>
        <v>1.6788194285608515E-3</v>
      </c>
      <c r="Z760" s="215">
        <f t="shared" si="112"/>
        <v>-2.1086780210867739E-2</v>
      </c>
      <c r="AA760" s="231">
        <v>13021723</v>
      </c>
      <c r="AC760" s="230">
        <v>44236</v>
      </c>
      <c r="AD760" s="1">
        <v>41.7</v>
      </c>
      <c r="AE760" s="1">
        <v>41.8357697578803</v>
      </c>
      <c r="AF760" s="1">
        <v>4378</v>
      </c>
      <c r="AG760" s="1">
        <v>51329.08</v>
      </c>
      <c r="AH760" s="215">
        <f t="shared" si="118"/>
        <v>3.8375042073202081E-4</v>
      </c>
      <c r="AI760" s="215">
        <f t="shared" si="113"/>
        <v>4.8192771084338837E-3</v>
      </c>
      <c r="AJ760" s="231">
        <v>183157</v>
      </c>
      <c r="AL760" s="254"/>
      <c r="AQ760" s="215" t="str">
        <f t="shared" si="119"/>
        <v>NA</v>
      </c>
      <c r="AR760" s="215" t="str">
        <f t="shared" si="114"/>
        <v>NA</v>
      </c>
    </row>
    <row r="761" spans="2:44">
      <c r="B761" s="230">
        <v>44204</v>
      </c>
      <c r="C761" s="1">
        <v>306.45</v>
      </c>
      <c r="D761" s="1">
        <v>306.63370139222201</v>
      </c>
      <c r="E761" s="1">
        <v>12498</v>
      </c>
      <c r="F761" s="215">
        <v>48782.51</v>
      </c>
      <c r="G761" s="215">
        <f t="shared" si="115"/>
        <v>-9.880591004706285E-3</v>
      </c>
      <c r="H761" s="215">
        <f t="shared" si="110"/>
        <v>4.918839153959631E-3</v>
      </c>
      <c r="I761" s="231">
        <v>3832308</v>
      </c>
      <c r="K761" s="230">
        <v>44203</v>
      </c>
      <c r="L761" s="1">
        <v>534.45000000000005</v>
      </c>
      <c r="M761" s="1">
        <v>534.66675749318802</v>
      </c>
      <c r="N761" s="1">
        <v>14680</v>
      </c>
      <c r="O761" s="1">
        <v>48093.32</v>
      </c>
      <c r="P761" s="215">
        <f t="shared" si="116"/>
        <v>-1.4127809331664243E-2</v>
      </c>
      <c r="Q761" s="215">
        <f t="shared" si="111"/>
        <v>1.0301554598239893E-3</v>
      </c>
      <c r="R761" s="231">
        <v>7848908</v>
      </c>
      <c r="T761" s="230">
        <v>44203</v>
      </c>
      <c r="U761" s="1">
        <v>61.65</v>
      </c>
      <c r="V761" s="1">
        <v>61.496637420763101</v>
      </c>
      <c r="W761" s="1">
        <v>119105</v>
      </c>
      <c r="X761" s="1">
        <v>48093.32</v>
      </c>
      <c r="Y761" s="215">
        <f t="shared" si="117"/>
        <v>-1.4127809331664243E-2</v>
      </c>
      <c r="Z761" s="215">
        <f t="shared" si="112"/>
        <v>4.8899755501221609E-3</v>
      </c>
      <c r="AA761" s="231">
        <v>7324557</v>
      </c>
      <c r="AC761" s="230">
        <v>44237</v>
      </c>
      <c r="AD761" s="1">
        <v>41.5</v>
      </c>
      <c r="AE761" s="1">
        <v>41.710244648318003</v>
      </c>
      <c r="AF761" s="1">
        <v>1308</v>
      </c>
      <c r="AG761" s="1">
        <v>51309.39</v>
      </c>
      <c r="AH761" s="215">
        <f t="shared" si="118"/>
        <v>-4.31056564991672E-3</v>
      </c>
      <c r="AI761" s="215">
        <f t="shared" si="113"/>
        <v>-7.1588366890380395E-2</v>
      </c>
      <c r="AJ761" s="231">
        <v>54557</v>
      </c>
      <c r="AL761" s="254"/>
      <c r="AQ761" s="215" t="str">
        <f t="shared" si="119"/>
        <v>NA</v>
      </c>
      <c r="AR761" s="215" t="str">
        <f t="shared" si="114"/>
        <v>NA</v>
      </c>
    </row>
    <row r="762" spans="2:44">
      <c r="B762" s="230">
        <v>44207</v>
      </c>
      <c r="C762" s="1">
        <v>304.95</v>
      </c>
      <c r="D762" s="1">
        <v>303.67529288337101</v>
      </c>
      <c r="E762" s="1">
        <v>5719</v>
      </c>
      <c r="F762" s="215">
        <v>49269.32</v>
      </c>
      <c r="G762" s="215">
        <f t="shared" si="115"/>
        <v>-5.0041288758572167E-3</v>
      </c>
      <c r="H762" s="215">
        <f t="shared" si="110"/>
        <v>-3.3745247148289081E-2</v>
      </c>
      <c r="I762" s="231">
        <v>1736719</v>
      </c>
      <c r="K762" s="230">
        <v>44204</v>
      </c>
      <c r="L762" s="1">
        <v>533.9</v>
      </c>
      <c r="M762" s="1">
        <v>546.156280653164</v>
      </c>
      <c r="N762" s="1">
        <v>34662</v>
      </c>
      <c r="O762" s="1">
        <v>48782.51</v>
      </c>
      <c r="P762" s="215">
        <f t="shared" si="116"/>
        <v>-9.880591004706285E-3</v>
      </c>
      <c r="Q762" s="215">
        <f t="shared" si="111"/>
        <v>-9.0942835931699939E-3</v>
      </c>
      <c r="R762" s="231">
        <v>18930869</v>
      </c>
      <c r="T762" s="230">
        <v>44204</v>
      </c>
      <c r="U762" s="1">
        <v>61.35</v>
      </c>
      <c r="V762" s="1">
        <v>62.383238708098702</v>
      </c>
      <c r="W762" s="1">
        <v>384147</v>
      </c>
      <c r="X762" s="1">
        <v>48782.51</v>
      </c>
      <c r="Y762" s="215">
        <f t="shared" si="117"/>
        <v>-9.880591004706285E-3</v>
      </c>
      <c r="Z762" s="215">
        <f t="shared" si="112"/>
        <v>3.8071065989847774E-2</v>
      </c>
      <c r="AA762" s="231">
        <v>23964334</v>
      </c>
      <c r="AC762" s="230">
        <v>44238</v>
      </c>
      <c r="AD762" s="1">
        <v>44.7</v>
      </c>
      <c r="AE762" s="1">
        <v>44.595301327885501</v>
      </c>
      <c r="AF762" s="1">
        <v>19580</v>
      </c>
      <c r="AG762" s="1">
        <v>51531.519999999997</v>
      </c>
      <c r="AH762" s="215">
        <f t="shared" si="118"/>
        <v>-2.4794206148892606E-4</v>
      </c>
      <c r="AI762" s="215">
        <f t="shared" si="113"/>
        <v>-6.0924369747899165E-2</v>
      </c>
      <c r="AJ762" s="231">
        <v>873176</v>
      </c>
      <c r="AL762" s="254"/>
      <c r="AQ762" s="215" t="str">
        <f t="shared" si="119"/>
        <v>NA</v>
      </c>
      <c r="AR762" s="215" t="str">
        <f t="shared" si="114"/>
        <v>NA</v>
      </c>
    </row>
    <row r="763" spans="2:44">
      <c r="B763" s="230">
        <v>44208</v>
      </c>
      <c r="C763" s="1">
        <v>315.60000000000002</v>
      </c>
      <c r="D763" s="1">
        <v>317.51133684019499</v>
      </c>
      <c r="E763" s="1">
        <v>5513</v>
      </c>
      <c r="F763" s="215">
        <v>49517.11</v>
      </c>
      <c r="G763" s="215">
        <f t="shared" si="115"/>
        <v>5.0088579399787392E-4</v>
      </c>
      <c r="H763" s="215">
        <f t="shared" si="110"/>
        <v>3.3398821218074914E-2</v>
      </c>
      <c r="I763" s="231">
        <v>1750440</v>
      </c>
      <c r="K763" s="230">
        <v>44207</v>
      </c>
      <c r="L763" s="1">
        <v>538.79999999999995</v>
      </c>
      <c r="M763" s="1">
        <v>535.32869320403495</v>
      </c>
      <c r="N763" s="1">
        <v>12787</v>
      </c>
      <c r="O763" s="1">
        <v>49269.32</v>
      </c>
      <c r="P763" s="215">
        <f t="shared" si="116"/>
        <v>-5.0041288758572167E-3</v>
      </c>
      <c r="Q763" s="215">
        <f t="shared" si="111"/>
        <v>2.4186046511627257E-3</v>
      </c>
      <c r="R763" s="231">
        <v>6845248</v>
      </c>
      <c r="T763" s="230">
        <v>44207</v>
      </c>
      <c r="U763" s="1">
        <v>59.1</v>
      </c>
      <c r="V763" s="1">
        <v>59.463786672192697</v>
      </c>
      <c r="W763" s="1">
        <v>135116</v>
      </c>
      <c r="X763" s="1">
        <v>49269.32</v>
      </c>
      <c r="Y763" s="215">
        <f t="shared" si="117"/>
        <v>-5.0041288758572167E-3</v>
      </c>
      <c r="Z763" s="215">
        <f t="shared" si="112"/>
        <v>0</v>
      </c>
      <c r="AA763" s="231">
        <v>8034509</v>
      </c>
      <c r="AC763" s="230">
        <v>44239</v>
      </c>
      <c r="AD763" s="1">
        <v>47.6</v>
      </c>
      <c r="AE763" s="1">
        <v>46.502985606701998</v>
      </c>
      <c r="AF763" s="1">
        <v>44882</v>
      </c>
      <c r="AG763" s="1">
        <v>51544.3</v>
      </c>
      <c r="AH763" s="215">
        <f t="shared" si="118"/>
        <v>-1.1692841966685963E-2</v>
      </c>
      <c r="AI763" s="215">
        <f t="shared" si="113"/>
        <v>4.2716319824753546E-2</v>
      </c>
      <c r="AJ763" s="231">
        <v>2087147</v>
      </c>
      <c r="AL763" s="254"/>
      <c r="AQ763" s="215" t="str">
        <f t="shared" si="119"/>
        <v>NA</v>
      </c>
      <c r="AR763" s="215" t="str">
        <f t="shared" si="114"/>
        <v>NA</v>
      </c>
    </row>
    <row r="764" spans="2:44">
      <c r="B764" s="230">
        <v>44209</v>
      </c>
      <c r="C764" s="1">
        <v>305.39999999999998</v>
      </c>
      <c r="D764" s="1">
        <v>306.70761365206499</v>
      </c>
      <c r="E764" s="1">
        <v>7237</v>
      </c>
      <c r="F764" s="215">
        <v>49492.32</v>
      </c>
      <c r="G764" s="215">
        <f t="shared" si="115"/>
        <v>-1.8522044136676241E-3</v>
      </c>
      <c r="H764" s="215">
        <f t="shared" si="110"/>
        <v>1.8339446482160682E-2</v>
      </c>
      <c r="I764" s="231">
        <v>2219643</v>
      </c>
      <c r="K764" s="230">
        <v>44208</v>
      </c>
      <c r="L764" s="1">
        <v>537.5</v>
      </c>
      <c r="M764" s="1">
        <v>547.86419404879405</v>
      </c>
      <c r="N764" s="1">
        <v>7091</v>
      </c>
      <c r="O764" s="1">
        <v>49517.11</v>
      </c>
      <c r="P764" s="215">
        <f t="shared" si="116"/>
        <v>5.0088579399787392E-4</v>
      </c>
      <c r="Q764" s="215">
        <f t="shared" si="111"/>
        <v>-1.8601190476197349E-4</v>
      </c>
      <c r="R764" s="231">
        <v>3884905</v>
      </c>
      <c r="T764" s="230">
        <v>44208</v>
      </c>
      <c r="U764" s="1">
        <v>59.1</v>
      </c>
      <c r="V764" s="1">
        <v>59.588044405352001</v>
      </c>
      <c r="W764" s="1">
        <v>150072</v>
      </c>
      <c r="X764" s="1">
        <v>49517.11</v>
      </c>
      <c r="Y764" s="215">
        <f t="shared" si="117"/>
        <v>5.0088579399787392E-4</v>
      </c>
      <c r="Z764" s="215">
        <f t="shared" si="112"/>
        <v>7.6726342710997653E-3</v>
      </c>
      <c r="AA764" s="231">
        <v>8942497</v>
      </c>
      <c r="AC764" s="230">
        <v>44242</v>
      </c>
      <c r="AD764" s="1">
        <v>45.65</v>
      </c>
      <c r="AE764" s="1">
        <v>45.922532947605198</v>
      </c>
      <c r="AF764" s="1">
        <v>18666</v>
      </c>
      <c r="AG764" s="1">
        <v>52154.13</v>
      </c>
      <c r="AH764" s="215">
        <f t="shared" si="118"/>
        <v>9.5884839927395937E-4</v>
      </c>
      <c r="AI764" s="215">
        <f t="shared" si="113"/>
        <v>-4.362050163576936E-3</v>
      </c>
      <c r="AJ764" s="231">
        <v>857190</v>
      </c>
      <c r="AL764" s="254"/>
      <c r="AQ764" s="215" t="str">
        <f t="shared" si="119"/>
        <v>NA</v>
      </c>
      <c r="AR764" s="215" t="str">
        <f t="shared" si="114"/>
        <v>NA</v>
      </c>
    </row>
    <row r="765" spans="2:44">
      <c r="B765" s="230">
        <v>44210</v>
      </c>
      <c r="C765" s="1">
        <v>299.89999999999998</v>
      </c>
      <c r="D765" s="1">
        <v>299.045253225495</v>
      </c>
      <c r="E765" s="1">
        <v>5193</v>
      </c>
      <c r="F765" s="215">
        <v>49584.160000000003</v>
      </c>
      <c r="G765" s="215">
        <f t="shared" si="115"/>
        <v>1.1206152707869954E-2</v>
      </c>
      <c r="H765" s="215">
        <f t="shared" si="110"/>
        <v>1.0104412260020235E-2</v>
      </c>
      <c r="I765" s="231">
        <v>1552942</v>
      </c>
      <c r="K765" s="230">
        <v>44209</v>
      </c>
      <c r="L765" s="1">
        <v>537.6</v>
      </c>
      <c r="M765" s="1">
        <v>541.27911126974197</v>
      </c>
      <c r="N765" s="1">
        <v>11207</v>
      </c>
      <c r="O765" s="1">
        <v>49492.32</v>
      </c>
      <c r="P765" s="215">
        <f t="shared" si="116"/>
        <v>-1.8522044136676241E-3</v>
      </c>
      <c r="Q765" s="215">
        <f t="shared" si="111"/>
        <v>2.6836023302454493E-2</v>
      </c>
      <c r="R765" s="231">
        <v>6066115</v>
      </c>
      <c r="T765" s="230">
        <v>44209</v>
      </c>
      <c r="U765" s="1">
        <v>58.65</v>
      </c>
      <c r="V765" s="1">
        <v>59.008813257389299</v>
      </c>
      <c r="W765" s="1">
        <v>42663</v>
      </c>
      <c r="X765" s="1">
        <v>49492.32</v>
      </c>
      <c r="Y765" s="215">
        <f t="shared" si="117"/>
        <v>-1.8522044136676241E-3</v>
      </c>
      <c r="Z765" s="215">
        <f t="shared" si="112"/>
        <v>-7.6142131979696215E-3</v>
      </c>
      <c r="AA765" s="231">
        <v>2517493</v>
      </c>
      <c r="AC765" s="230">
        <v>44243</v>
      </c>
      <c r="AD765" s="1">
        <v>45.85</v>
      </c>
      <c r="AE765" s="1">
        <v>45.498322580645102</v>
      </c>
      <c r="AF765" s="1">
        <v>3875</v>
      </c>
      <c r="AG765" s="1">
        <v>52104.17</v>
      </c>
      <c r="AH765" s="215">
        <f t="shared" si="118"/>
        <v>7.7429467024008325E-3</v>
      </c>
      <c r="AI765" s="215">
        <f t="shared" si="113"/>
        <v>-4.3431053203039083E-3</v>
      </c>
      <c r="AJ765" s="231">
        <v>176306</v>
      </c>
      <c r="AL765" s="254"/>
      <c r="AQ765" s="215" t="str">
        <f t="shared" si="119"/>
        <v>NA</v>
      </c>
      <c r="AR765" s="215" t="str">
        <f t="shared" si="114"/>
        <v>NA</v>
      </c>
    </row>
    <row r="766" spans="2:44">
      <c r="B766" s="230">
        <v>44211</v>
      </c>
      <c r="C766" s="1">
        <v>296.89999999999998</v>
      </c>
      <c r="D766" s="1">
        <v>297.75127272727201</v>
      </c>
      <c r="E766" s="1">
        <v>2750</v>
      </c>
      <c r="F766" s="215">
        <v>49034.67</v>
      </c>
      <c r="G766" s="215">
        <f t="shared" si="115"/>
        <v>9.686133447491363E-3</v>
      </c>
      <c r="H766" s="215">
        <f t="shared" si="110"/>
        <v>-7.8529657477026671E-3</v>
      </c>
      <c r="I766" s="231">
        <v>818816</v>
      </c>
      <c r="K766" s="230">
        <v>44210</v>
      </c>
      <c r="L766" s="1">
        <v>523.54999999999995</v>
      </c>
      <c r="M766" s="1">
        <v>531.90872739916495</v>
      </c>
      <c r="N766" s="1">
        <v>5752</v>
      </c>
      <c r="O766" s="1">
        <v>49584.160000000003</v>
      </c>
      <c r="P766" s="215">
        <f t="shared" si="116"/>
        <v>1.1206152707869954E-2</v>
      </c>
      <c r="Q766" s="215">
        <f t="shared" si="111"/>
        <v>-4.4093481833120451E-2</v>
      </c>
      <c r="R766" s="231">
        <v>3059539</v>
      </c>
      <c r="T766" s="230">
        <v>44210</v>
      </c>
      <c r="U766" s="1">
        <v>59.1</v>
      </c>
      <c r="V766" s="1">
        <v>59.558758633429399</v>
      </c>
      <c r="W766" s="1">
        <v>97441</v>
      </c>
      <c r="X766" s="1">
        <v>49584.160000000003</v>
      </c>
      <c r="Y766" s="215">
        <f t="shared" si="117"/>
        <v>1.1206152707869954E-2</v>
      </c>
      <c r="Z766" s="215">
        <f t="shared" si="112"/>
        <v>-1.0050251256281451E-2</v>
      </c>
      <c r="AA766" s="231">
        <v>5803465</v>
      </c>
      <c r="AC766" s="230">
        <v>44244</v>
      </c>
      <c r="AD766" s="1">
        <v>46.05</v>
      </c>
      <c r="AE766" s="1">
        <v>46.3603079233946</v>
      </c>
      <c r="AF766" s="1">
        <v>10652</v>
      </c>
      <c r="AG766" s="1">
        <v>51703.83</v>
      </c>
      <c r="AH766" s="215">
        <f t="shared" si="118"/>
        <v>7.3870879687729651E-3</v>
      </c>
      <c r="AI766" s="215">
        <f t="shared" si="113"/>
        <v>1.655629139072845E-2</v>
      </c>
      <c r="AJ766" s="231">
        <v>493830</v>
      </c>
      <c r="AL766" s="254"/>
      <c r="AQ766" s="215" t="str">
        <f t="shared" si="119"/>
        <v>NA</v>
      </c>
      <c r="AR766" s="215" t="str">
        <f t="shared" si="114"/>
        <v>NA</v>
      </c>
    </row>
    <row r="767" spans="2:44">
      <c r="B767" s="230">
        <v>44214</v>
      </c>
      <c r="C767" s="1">
        <v>299.25</v>
      </c>
      <c r="D767" s="1">
        <v>293.14744311781902</v>
      </c>
      <c r="E767" s="1">
        <v>17756</v>
      </c>
      <c r="F767" s="215">
        <v>48564.27</v>
      </c>
      <c r="G767" s="215">
        <f t="shared" si="115"/>
        <v>-1.6883580383045715E-2</v>
      </c>
      <c r="H767" s="215">
        <f t="shared" si="110"/>
        <v>9.6153846153848033E-3</v>
      </c>
      <c r="I767" s="231">
        <v>5205126</v>
      </c>
      <c r="K767" s="230">
        <v>44211</v>
      </c>
      <c r="L767" s="1">
        <v>547.70000000000005</v>
      </c>
      <c r="M767" s="1">
        <v>539.19690929451201</v>
      </c>
      <c r="N767" s="1">
        <v>22325</v>
      </c>
      <c r="O767" s="1">
        <v>49034.67</v>
      </c>
      <c r="P767" s="215">
        <f t="shared" si="116"/>
        <v>9.686133447491363E-3</v>
      </c>
      <c r="Q767" s="215">
        <f t="shared" si="111"/>
        <v>3.73106060606061E-2</v>
      </c>
      <c r="R767" s="231">
        <v>12037571</v>
      </c>
      <c r="T767" s="230">
        <v>44211</v>
      </c>
      <c r="U767" s="1">
        <v>59.7</v>
      </c>
      <c r="V767" s="1">
        <v>60.045358202628201</v>
      </c>
      <c r="W767" s="1">
        <v>92001</v>
      </c>
      <c r="X767" s="1">
        <v>49034.67</v>
      </c>
      <c r="Y767" s="215">
        <f t="shared" si="117"/>
        <v>9.686133447491363E-3</v>
      </c>
      <c r="Z767" s="215">
        <f t="shared" si="112"/>
        <v>5.9449866903283022E-2</v>
      </c>
      <c r="AA767" s="231">
        <v>5524233</v>
      </c>
      <c r="AC767" s="230">
        <v>44245</v>
      </c>
      <c r="AD767" s="1">
        <v>45.3</v>
      </c>
      <c r="AE767" s="1">
        <v>46.088740458015202</v>
      </c>
      <c r="AF767" s="1">
        <v>4192</v>
      </c>
      <c r="AG767" s="1">
        <v>51324.69</v>
      </c>
      <c r="AH767" s="215">
        <f t="shared" si="118"/>
        <v>8.5465130902562247E-3</v>
      </c>
      <c r="AI767" s="215">
        <f t="shared" si="113"/>
        <v>-3.2051282051282048E-2</v>
      </c>
      <c r="AJ767" s="231">
        <v>193204</v>
      </c>
      <c r="AL767" s="254"/>
      <c r="AQ767" s="215" t="str">
        <f t="shared" si="119"/>
        <v>NA</v>
      </c>
      <c r="AR767" s="215" t="str">
        <f t="shared" si="114"/>
        <v>NA</v>
      </c>
    </row>
    <row r="768" spans="2:44">
      <c r="B768" s="230">
        <v>44215</v>
      </c>
      <c r="C768" s="1">
        <v>296.39999999999998</v>
      </c>
      <c r="D768" s="1">
        <v>299.52848068311903</v>
      </c>
      <c r="E768" s="1">
        <v>9603</v>
      </c>
      <c r="F768" s="215">
        <v>49398.29</v>
      </c>
      <c r="G768" s="215">
        <f t="shared" si="115"/>
        <v>-7.9094844726435021E-3</v>
      </c>
      <c r="H768" s="215">
        <f t="shared" si="110"/>
        <v>-2.210491586935015E-2</v>
      </c>
      <c r="I768" s="231">
        <v>2876372</v>
      </c>
      <c r="K768" s="230">
        <v>44214</v>
      </c>
      <c r="L768" s="1">
        <v>528</v>
      </c>
      <c r="M768" s="1">
        <v>534.03810045046896</v>
      </c>
      <c r="N768" s="1">
        <v>23753</v>
      </c>
      <c r="O768" s="1">
        <v>48564.27</v>
      </c>
      <c r="P768" s="215">
        <f t="shared" si="116"/>
        <v>-1.6883580383045715E-2</v>
      </c>
      <c r="Q768" s="215">
        <f t="shared" si="111"/>
        <v>-1.5935141179759471E-2</v>
      </c>
      <c r="R768" s="231">
        <v>12685007</v>
      </c>
      <c r="T768" s="230">
        <v>44214</v>
      </c>
      <c r="U768" s="1">
        <v>56.35</v>
      </c>
      <c r="V768" s="1">
        <v>57.1014808312718</v>
      </c>
      <c r="W768" s="1">
        <v>87721</v>
      </c>
      <c r="X768" s="1">
        <v>48564.27</v>
      </c>
      <c r="Y768" s="215">
        <f t="shared" si="117"/>
        <v>-1.6883580383045715E-2</v>
      </c>
      <c r="Z768" s="215">
        <f t="shared" si="112"/>
        <v>-1.4860139860139898E-2</v>
      </c>
      <c r="AA768" s="231">
        <v>5008999</v>
      </c>
      <c r="AC768" s="230">
        <v>44246</v>
      </c>
      <c r="AD768" s="1">
        <v>46.8</v>
      </c>
      <c r="AE768" s="1">
        <v>47.609531429065598</v>
      </c>
      <c r="AF768" s="1">
        <v>46247</v>
      </c>
      <c r="AG768" s="1">
        <v>50889.760000000002</v>
      </c>
      <c r="AH768" s="215">
        <f t="shared" si="118"/>
        <v>2.3026548558709781E-2</v>
      </c>
      <c r="AI768" s="215">
        <f t="shared" si="113"/>
        <v>-3.5051546391752675E-2</v>
      </c>
      <c r="AJ768" s="231">
        <v>2201798</v>
      </c>
      <c r="AL768" s="254"/>
      <c r="AQ768" s="215" t="str">
        <f t="shared" si="119"/>
        <v>NA</v>
      </c>
      <c r="AR768" s="215" t="str">
        <f t="shared" si="114"/>
        <v>NA</v>
      </c>
    </row>
    <row r="769" spans="2:44">
      <c r="B769" s="230">
        <v>44216</v>
      </c>
      <c r="C769" s="1">
        <v>303.10000000000002</v>
      </c>
      <c r="D769" s="1">
        <v>301.50188972876799</v>
      </c>
      <c r="E769" s="1">
        <v>8996</v>
      </c>
      <c r="F769" s="215">
        <v>49792.12</v>
      </c>
      <c r="G769" s="215">
        <f t="shared" si="115"/>
        <v>3.3725100131467567E-3</v>
      </c>
      <c r="H769" s="215">
        <f t="shared" si="110"/>
        <v>1.7797179314976486E-2</v>
      </c>
      <c r="I769" s="231">
        <v>2712311</v>
      </c>
      <c r="K769" s="230">
        <v>44215</v>
      </c>
      <c r="L769" s="1">
        <v>536.54999999999995</v>
      </c>
      <c r="M769" s="1">
        <v>538.94864690847305</v>
      </c>
      <c r="N769" s="1">
        <v>51253</v>
      </c>
      <c r="O769" s="1">
        <v>49398.29</v>
      </c>
      <c r="P769" s="215">
        <f t="shared" si="116"/>
        <v>-7.9094844726435021E-3</v>
      </c>
      <c r="Q769" s="215">
        <f t="shared" si="111"/>
        <v>-2.5097601784719314E-3</v>
      </c>
      <c r="R769" s="231">
        <v>27622735</v>
      </c>
      <c r="T769" s="230">
        <v>44215</v>
      </c>
      <c r="U769" s="1">
        <v>57.2</v>
      </c>
      <c r="V769" s="1">
        <v>57.545819493894697</v>
      </c>
      <c r="W769" s="1">
        <v>41849</v>
      </c>
      <c r="X769" s="1">
        <v>49398.29</v>
      </c>
      <c r="Y769" s="215">
        <f t="shared" si="117"/>
        <v>-7.9094844726435021E-3</v>
      </c>
      <c r="Z769" s="215">
        <f t="shared" si="112"/>
        <v>-7.8057241977449454E-3</v>
      </c>
      <c r="AA769" s="231">
        <v>2408235</v>
      </c>
      <c r="AC769" s="230">
        <v>44249</v>
      </c>
      <c r="AD769" s="1">
        <v>48.5</v>
      </c>
      <c r="AE769" s="1">
        <v>48.511393080323103</v>
      </c>
      <c r="AF769" s="1">
        <v>26244</v>
      </c>
      <c r="AG769" s="1">
        <v>49744.32</v>
      </c>
      <c r="AH769" s="215">
        <f t="shared" si="118"/>
        <v>-1.4250852387909241E-4</v>
      </c>
      <c r="AI769" s="215">
        <f t="shared" si="113"/>
        <v>4.1407867494824835E-3</v>
      </c>
      <c r="AJ769" s="231">
        <v>1273133</v>
      </c>
      <c r="AL769" s="254"/>
      <c r="AQ769" s="215" t="str">
        <f t="shared" si="119"/>
        <v>NA</v>
      </c>
      <c r="AR769" s="215" t="str">
        <f t="shared" si="114"/>
        <v>NA</v>
      </c>
    </row>
    <row r="770" spans="2:44">
      <c r="B770" s="230">
        <v>44217</v>
      </c>
      <c r="C770" s="1">
        <v>297.8</v>
      </c>
      <c r="D770" s="1">
        <v>301.714991762767</v>
      </c>
      <c r="E770" s="1">
        <v>1214</v>
      </c>
      <c r="F770" s="215">
        <v>49624.76</v>
      </c>
      <c r="G770" s="215">
        <f t="shared" si="115"/>
        <v>1.5266822617860498E-2</v>
      </c>
      <c r="H770" s="215">
        <f t="shared" si="110"/>
        <v>9.6626546872351504E-3</v>
      </c>
      <c r="I770" s="231">
        <v>366282</v>
      </c>
      <c r="K770" s="230">
        <v>44216</v>
      </c>
      <c r="L770" s="1">
        <v>537.9</v>
      </c>
      <c r="M770" s="1">
        <v>538.69713580923599</v>
      </c>
      <c r="N770" s="1">
        <v>14594</v>
      </c>
      <c r="O770" s="1">
        <v>49792.12</v>
      </c>
      <c r="P770" s="215">
        <f t="shared" si="116"/>
        <v>3.3725100131467567E-3</v>
      </c>
      <c r="Q770" s="215">
        <f t="shared" si="111"/>
        <v>4.1937046004842493E-2</v>
      </c>
      <c r="R770" s="231">
        <v>7861746</v>
      </c>
      <c r="T770" s="230">
        <v>44216</v>
      </c>
      <c r="U770" s="1">
        <v>57.65</v>
      </c>
      <c r="V770" s="1">
        <v>57.861668101857497</v>
      </c>
      <c r="W770" s="1">
        <v>32516</v>
      </c>
      <c r="X770" s="1">
        <v>49792.12</v>
      </c>
      <c r="Y770" s="215">
        <f t="shared" si="117"/>
        <v>3.3725100131467567E-3</v>
      </c>
      <c r="Z770" s="215">
        <f t="shared" si="112"/>
        <v>3.4080717488789158E-2</v>
      </c>
      <c r="AA770" s="231">
        <v>1881430</v>
      </c>
      <c r="AC770" s="230">
        <v>44250</v>
      </c>
      <c r="AD770" s="1">
        <v>48.3</v>
      </c>
      <c r="AE770" s="1">
        <v>48.794800523217702</v>
      </c>
      <c r="AF770" s="1">
        <v>12232</v>
      </c>
      <c r="AG770" s="1">
        <v>49751.41</v>
      </c>
      <c r="AH770" s="215">
        <f t="shared" si="118"/>
        <v>-2.0288414977918223E-2</v>
      </c>
      <c r="AI770" s="215">
        <f t="shared" si="113"/>
        <v>1.6842105263157769E-2</v>
      </c>
      <c r="AJ770" s="231">
        <v>596858</v>
      </c>
      <c r="AL770" s="254"/>
      <c r="AQ770" s="215" t="str">
        <f t="shared" si="119"/>
        <v>NA</v>
      </c>
      <c r="AR770" s="215" t="str">
        <f t="shared" si="114"/>
        <v>NA</v>
      </c>
    </row>
    <row r="771" spans="2:44">
      <c r="B771" s="230">
        <v>44218</v>
      </c>
      <c r="C771" s="1">
        <v>294.95</v>
      </c>
      <c r="D771" s="1">
        <v>296.18236472945802</v>
      </c>
      <c r="E771" s="1">
        <v>998</v>
      </c>
      <c r="F771" s="215">
        <v>48878.54</v>
      </c>
      <c r="G771" s="215">
        <f t="shared" si="115"/>
        <v>1.0981933122209409E-2</v>
      </c>
      <c r="H771" s="215">
        <f t="shared" si="110"/>
        <v>2.4131944444444331E-2</v>
      </c>
      <c r="I771" s="231">
        <v>295590</v>
      </c>
      <c r="K771" s="230">
        <v>44217</v>
      </c>
      <c r="L771" s="1">
        <v>516.25</v>
      </c>
      <c r="M771" s="1">
        <v>529.14590337993195</v>
      </c>
      <c r="N771" s="1">
        <v>22604</v>
      </c>
      <c r="O771" s="1">
        <v>49624.76</v>
      </c>
      <c r="P771" s="215">
        <f t="shared" si="116"/>
        <v>1.5266822617860498E-2</v>
      </c>
      <c r="Q771" s="215">
        <f t="shared" si="111"/>
        <v>5.2068473609129917E-2</v>
      </c>
      <c r="R771" s="231">
        <v>11960814</v>
      </c>
      <c r="T771" s="230">
        <v>44217</v>
      </c>
      <c r="U771" s="1">
        <v>55.75</v>
      </c>
      <c r="V771" s="1">
        <v>57.082777513101398</v>
      </c>
      <c r="W771" s="1">
        <v>33584</v>
      </c>
      <c r="X771" s="1">
        <v>49624.76</v>
      </c>
      <c r="Y771" s="215">
        <f t="shared" si="117"/>
        <v>1.5266822617860498E-2</v>
      </c>
      <c r="Z771" s="215">
        <f t="shared" si="112"/>
        <v>4.3030869971936392E-2</v>
      </c>
      <c r="AA771" s="231">
        <v>1917068</v>
      </c>
      <c r="AC771" s="230">
        <v>44251</v>
      </c>
      <c r="AD771" s="1">
        <v>47.5</v>
      </c>
      <c r="AE771" s="1">
        <v>47.953189536484601</v>
      </c>
      <c r="AF771" s="1">
        <v>6537</v>
      </c>
      <c r="AG771" s="1">
        <v>50781.69</v>
      </c>
      <c r="AH771" s="215">
        <f t="shared" si="118"/>
        <v>-5.0474820290477007E-3</v>
      </c>
      <c r="AI771" s="215">
        <f t="shared" si="113"/>
        <v>-1.041666666666663E-2</v>
      </c>
      <c r="AJ771" s="231">
        <v>313470</v>
      </c>
      <c r="AL771" s="254"/>
      <c r="AQ771" s="215" t="str">
        <f t="shared" si="119"/>
        <v>NA</v>
      </c>
      <c r="AR771" s="215" t="str">
        <f t="shared" si="114"/>
        <v>NA</v>
      </c>
    </row>
    <row r="772" spans="2:44">
      <c r="B772" s="230">
        <v>44221</v>
      </c>
      <c r="C772" s="1">
        <v>288</v>
      </c>
      <c r="D772" s="1">
        <v>292.758875739644</v>
      </c>
      <c r="E772" s="1">
        <v>9464</v>
      </c>
      <c r="F772" s="215">
        <v>48347.59</v>
      </c>
      <c r="G772" s="215">
        <f t="shared" si="115"/>
        <v>1.977771323433708E-2</v>
      </c>
      <c r="H772" s="215">
        <f t="shared" si="110"/>
        <v>2.4000000000000021E-2</v>
      </c>
      <c r="I772" s="231">
        <v>2770670</v>
      </c>
      <c r="K772" s="230">
        <v>44218</v>
      </c>
      <c r="L772" s="1">
        <v>490.7</v>
      </c>
      <c r="M772" s="1">
        <v>499.19023450048098</v>
      </c>
      <c r="N772" s="1">
        <v>15565</v>
      </c>
      <c r="O772" s="1">
        <v>48878.54</v>
      </c>
      <c r="P772" s="215">
        <f t="shared" si="116"/>
        <v>1.0981933122209409E-2</v>
      </c>
      <c r="Q772" s="215">
        <f t="shared" si="111"/>
        <v>3.6544148711449065E-2</v>
      </c>
      <c r="R772" s="231">
        <v>7769896</v>
      </c>
      <c r="T772" s="230">
        <v>44218</v>
      </c>
      <c r="U772" s="1">
        <v>53.45</v>
      </c>
      <c r="V772" s="1">
        <v>53.9809533659108</v>
      </c>
      <c r="W772" s="1">
        <v>116031</v>
      </c>
      <c r="X772" s="1">
        <v>48878.54</v>
      </c>
      <c r="Y772" s="215">
        <f t="shared" si="117"/>
        <v>1.0981933122209409E-2</v>
      </c>
      <c r="Z772" s="215">
        <f t="shared" si="112"/>
        <v>3.1853281853281956E-2</v>
      </c>
      <c r="AA772" s="231">
        <v>6263464</v>
      </c>
      <c r="AC772" s="230">
        <v>44252</v>
      </c>
      <c r="AD772" s="1">
        <v>48</v>
      </c>
      <c r="AE772" s="1">
        <v>48.676517530762403</v>
      </c>
      <c r="AF772" s="1">
        <v>19423</v>
      </c>
      <c r="AG772" s="1">
        <v>51039.31</v>
      </c>
      <c r="AH772" s="215">
        <f t="shared" si="118"/>
        <v>3.9497360386427705E-2</v>
      </c>
      <c r="AI772" s="215">
        <f t="shared" si="113"/>
        <v>-1.6393442622950727E-2</v>
      </c>
      <c r="AJ772" s="231">
        <v>945444</v>
      </c>
      <c r="AL772" s="254"/>
      <c r="AQ772" s="215" t="str">
        <f t="shared" si="119"/>
        <v>NA</v>
      </c>
      <c r="AR772" s="215" t="str">
        <f t="shared" si="114"/>
        <v>NA</v>
      </c>
    </row>
    <row r="773" spans="2:44">
      <c r="B773" s="230">
        <v>44223</v>
      </c>
      <c r="C773" s="1">
        <v>281.25</v>
      </c>
      <c r="D773" s="1">
        <v>282.961338718984</v>
      </c>
      <c r="E773" s="1">
        <v>1733</v>
      </c>
      <c r="F773" s="215">
        <v>47409.93</v>
      </c>
      <c r="G773" s="215">
        <f t="shared" si="115"/>
        <v>1.1425649331532117E-2</v>
      </c>
      <c r="H773" s="215">
        <f t="shared" si="110"/>
        <v>-4.8545331529093461E-2</v>
      </c>
      <c r="I773" s="231">
        <v>490372</v>
      </c>
      <c r="K773" s="230">
        <v>44221</v>
      </c>
      <c r="L773" s="1">
        <v>473.4</v>
      </c>
      <c r="M773" s="1">
        <v>478.21965763996002</v>
      </c>
      <c r="N773" s="1">
        <v>14254</v>
      </c>
      <c r="O773" s="1">
        <v>48347.59</v>
      </c>
      <c r="P773" s="215">
        <f t="shared" si="116"/>
        <v>1.977771323433708E-2</v>
      </c>
      <c r="Q773" s="215">
        <f t="shared" si="111"/>
        <v>4.4456701599558723E-2</v>
      </c>
      <c r="R773" s="231">
        <v>6816543</v>
      </c>
      <c r="T773" s="230">
        <v>44221</v>
      </c>
      <c r="U773" s="1">
        <v>51.8</v>
      </c>
      <c r="V773" s="1">
        <v>51.757281267050999</v>
      </c>
      <c r="W773" s="1">
        <v>67811</v>
      </c>
      <c r="X773" s="1">
        <v>48347.59</v>
      </c>
      <c r="Y773" s="215">
        <f t="shared" si="117"/>
        <v>1.977771323433708E-2</v>
      </c>
      <c r="Z773" s="215">
        <f t="shared" si="112"/>
        <v>1.4691478942213454E-2</v>
      </c>
      <c r="AA773" s="231">
        <v>3509713</v>
      </c>
      <c r="AC773" s="230">
        <v>44253</v>
      </c>
      <c r="AD773" s="1">
        <v>48.8</v>
      </c>
      <c r="AE773" s="1">
        <v>49.320083215692101</v>
      </c>
      <c r="AF773" s="1">
        <v>13459</v>
      </c>
      <c r="AG773" s="1">
        <v>49099.99</v>
      </c>
      <c r="AH773" s="215">
        <f t="shared" si="118"/>
        <v>-1.5042174658935648E-2</v>
      </c>
      <c r="AI773" s="215">
        <f t="shared" si="113"/>
        <v>-3.2705649157581895E-2</v>
      </c>
      <c r="AJ773" s="231">
        <v>663799</v>
      </c>
      <c r="AL773" s="254"/>
      <c r="AQ773" s="215" t="str">
        <f t="shared" si="119"/>
        <v>NA</v>
      </c>
      <c r="AR773" s="215" t="str">
        <f t="shared" si="114"/>
        <v>NA</v>
      </c>
    </row>
    <row r="774" spans="2:44">
      <c r="B774" s="230">
        <v>44224</v>
      </c>
      <c r="C774" s="1">
        <v>295.60000000000002</v>
      </c>
      <c r="D774" s="1">
        <v>286.82352941176401</v>
      </c>
      <c r="E774" s="1">
        <v>1734</v>
      </c>
      <c r="F774" s="215">
        <v>46874.36</v>
      </c>
      <c r="G774" s="215">
        <f t="shared" si="115"/>
        <v>1.2716435310463847E-2</v>
      </c>
      <c r="H774" s="215">
        <f t="shared" si="110"/>
        <v>2.0365895754228536E-2</v>
      </c>
      <c r="I774" s="231">
        <v>497352</v>
      </c>
      <c r="K774" s="230">
        <v>44223</v>
      </c>
      <c r="L774" s="1">
        <v>453.25</v>
      </c>
      <c r="M774" s="1">
        <v>457.80232842708801</v>
      </c>
      <c r="N774" s="1">
        <v>28603</v>
      </c>
      <c r="O774" s="1">
        <v>47409.93</v>
      </c>
      <c r="P774" s="215">
        <f t="shared" si="116"/>
        <v>1.1425649331532117E-2</v>
      </c>
      <c r="Q774" s="215">
        <f t="shared" si="111"/>
        <v>1.104362230811784E-3</v>
      </c>
      <c r="R774" s="231">
        <v>13094520</v>
      </c>
      <c r="T774" s="230">
        <v>44223</v>
      </c>
      <c r="U774" s="1">
        <v>51.05</v>
      </c>
      <c r="V774" s="1">
        <v>50.954180350009203</v>
      </c>
      <c r="W774" s="1">
        <v>70341</v>
      </c>
      <c r="X774" s="1">
        <v>47409.93</v>
      </c>
      <c r="Y774" s="215">
        <f t="shared" si="117"/>
        <v>1.1425649331532117E-2</v>
      </c>
      <c r="Z774" s="215">
        <f t="shared" si="112"/>
        <v>-3.130929791271353E-2</v>
      </c>
      <c r="AA774" s="231">
        <v>3584168</v>
      </c>
      <c r="AC774" s="230">
        <v>44256</v>
      </c>
      <c r="AD774" s="1">
        <v>50.45</v>
      </c>
      <c r="AE774" s="1">
        <v>51.349830957443103</v>
      </c>
      <c r="AF774" s="1">
        <v>28691</v>
      </c>
      <c r="AG774" s="1">
        <v>49849.84</v>
      </c>
      <c r="AH774" s="215">
        <f t="shared" si="118"/>
        <v>-8.8882235064633441E-3</v>
      </c>
      <c r="AI774" s="215">
        <f t="shared" si="113"/>
        <v>2.3326572008113722E-2</v>
      </c>
      <c r="AJ774" s="231">
        <v>1473278</v>
      </c>
      <c r="AL774" s="254"/>
      <c r="AQ774" s="215" t="str">
        <f t="shared" si="119"/>
        <v>NA</v>
      </c>
      <c r="AR774" s="215" t="str">
        <f t="shared" si="114"/>
        <v>NA</v>
      </c>
    </row>
    <row r="775" spans="2:44">
      <c r="B775" s="230">
        <v>44225</v>
      </c>
      <c r="C775" s="1">
        <v>289.7</v>
      </c>
      <c r="D775" s="1">
        <v>290.30678466076603</v>
      </c>
      <c r="E775" s="1">
        <v>1017</v>
      </c>
      <c r="F775" s="215">
        <v>46285.77</v>
      </c>
      <c r="G775" s="215">
        <f t="shared" si="115"/>
        <v>-4.7629854851616082E-2</v>
      </c>
      <c r="H775" s="215">
        <f t="shared" si="110"/>
        <v>-1.1937244201910002E-2</v>
      </c>
      <c r="I775" s="231">
        <v>295242</v>
      </c>
      <c r="K775" s="230">
        <v>44224</v>
      </c>
      <c r="L775" s="1">
        <v>452.75</v>
      </c>
      <c r="M775" s="1">
        <v>451.17490714604003</v>
      </c>
      <c r="N775" s="1">
        <v>67310</v>
      </c>
      <c r="O775" s="1">
        <v>46874.36</v>
      </c>
      <c r="P775" s="215">
        <f t="shared" si="116"/>
        <v>1.2716435310463847E-2</v>
      </c>
      <c r="Q775" s="215">
        <f t="shared" si="111"/>
        <v>-4.7543915009992666E-2</v>
      </c>
      <c r="R775" s="231">
        <v>30368583</v>
      </c>
      <c r="T775" s="230">
        <v>44224</v>
      </c>
      <c r="U775" s="1">
        <v>52.7</v>
      </c>
      <c r="V775" s="1">
        <v>51.616187989556103</v>
      </c>
      <c r="W775" s="1">
        <v>27959</v>
      </c>
      <c r="X775" s="1">
        <v>46874.36</v>
      </c>
      <c r="Y775" s="215">
        <f t="shared" si="117"/>
        <v>1.2716435310463847E-2</v>
      </c>
      <c r="Z775" s="215">
        <f t="shared" si="112"/>
        <v>2.8292682926829293E-2</v>
      </c>
      <c r="AA775" s="231">
        <v>1443137</v>
      </c>
      <c r="AC775" s="230">
        <v>44257</v>
      </c>
      <c r="AD775" s="1">
        <v>49.3</v>
      </c>
      <c r="AE775" s="1">
        <v>49.954182330827003</v>
      </c>
      <c r="AF775" s="1">
        <v>8512</v>
      </c>
      <c r="AG775" s="1">
        <v>50296.89</v>
      </c>
      <c r="AH775" s="215">
        <f t="shared" si="118"/>
        <v>-2.2310580400488722E-2</v>
      </c>
      <c r="AI775" s="215">
        <f t="shared" si="113"/>
        <v>1.6494845360824684E-2</v>
      </c>
      <c r="AJ775" s="231">
        <v>425210</v>
      </c>
      <c r="AL775" s="254"/>
      <c r="AQ775" s="215" t="str">
        <f t="shared" si="119"/>
        <v>NA</v>
      </c>
      <c r="AR775" s="215" t="str">
        <f t="shared" si="114"/>
        <v>NA</v>
      </c>
    </row>
    <row r="776" spans="2:44">
      <c r="B776" s="230">
        <v>44228</v>
      </c>
      <c r="C776" s="1">
        <v>293.2</v>
      </c>
      <c r="D776" s="1">
        <v>293.16347731000502</v>
      </c>
      <c r="E776" s="1">
        <v>7316</v>
      </c>
      <c r="F776" s="215">
        <v>48600.61</v>
      </c>
      <c r="G776" s="215">
        <f t="shared" si="115"/>
        <v>-2.4039454015163719E-2</v>
      </c>
      <c r="H776" s="215">
        <f t="shared" si="110"/>
        <v>-2.2992335888037396E-2</v>
      </c>
      <c r="I776" s="231">
        <v>2144784</v>
      </c>
      <c r="K776" s="230">
        <v>44225</v>
      </c>
      <c r="L776" s="1">
        <v>475.35</v>
      </c>
      <c r="M776" s="1">
        <v>473.63204158067703</v>
      </c>
      <c r="N776" s="1">
        <v>13083</v>
      </c>
      <c r="O776" s="1">
        <v>46285.77</v>
      </c>
      <c r="P776" s="215">
        <f t="shared" si="116"/>
        <v>-4.7629854851616082E-2</v>
      </c>
      <c r="Q776" s="215">
        <f t="shared" si="111"/>
        <v>-4.634366536262402E-2</v>
      </c>
      <c r="R776" s="231">
        <v>6196528</v>
      </c>
      <c r="T776" s="230">
        <v>44225</v>
      </c>
      <c r="U776" s="1">
        <v>51.25</v>
      </c>
      <c r="V776" s="1">
        <v>52.125876086346999</v>
      </c>
      <c r="W776" s="1">
        <v>14268</v>
      </c>
      <c r="X776" s="1">
        <v>46285.77</v>
      </c>
      <c r="Y776" s="215">
        <f t="shared" si="117"/>
        <v>-4.7629854851616082E-2</v>
      </c>
      <c r="Z776" s="215">
        <f t="shared" si="112"/>
        <v>-4.0262172284644127E-2</v>
      </c>
      <c r="AA776" s="231">
        <v>743732</v>
      </c>
      <c r="AC776" s="230">
        <v>44258</v>
      </c>
      <c r="AD776" s="1">
        <v>48.5</v>
      </c>
      <c r="AE776" s="1">
        <v>48.782614197140298</v>
      </c>
      <c r="AF776" s="1">
        <v>7903</v>
      </c>
      <c r="AG776" s="1">
        <v>51444.65</v>
      </c>
      <c r="AH776" s="215">
        <f t="shared" si="118"/>
        <v>1.1772195614686565E-2</v>
      </c>
      <c r="AI776" s="215">
        <f t="shared" si="113"/>
        <v>-1.1213047910295537E-2</v>
      </c>
      <c r="AJ776" s="231">
        <v>385529</v>
      </c>
      <c r="AL776" s="254"/>
      <c r="AQ776" s="215" t="str">
        <f t="shared" si="119"/>
        <v>NA</v>
      </c>
      <c r="AR776" s="215" t="str">
        <f t="shared" si="114"/>
        <v>NA</v>
      </c>
    </row>
    <row r="777" spans="2:44">
      <c r="B777" s="230">
        <v>44229</v>
      </c>
      <c r="C777" s="1">
        <v>300.10000000000002</v>
      </c>
      <c r="D777" s="1">
        <v>295.56830238726701</v>
      </c>
      <c r="E777" s="1">
        <v>1508</v>
      </c>
      <c r="F777" s="215">
        <v>49797.72</v>
      </c>
      <c r="G777" s="215">
        <f t="shared" si="115"/>
        <v>-9.1139819821611789E-3</v>
      </c>
      <c r="H777" s="215">
        <f t="shared" si="110"/>
        <v>1.0607846438794422E-2</v>
      </c>
      <c r="I777" s="231">
        <v>445717</v>
      </c>
      <c r="K777" s="230">
        <v>44228</v>
      </c>
      <c r="L777" s="1">
        <v>498.45</v>
      </c>
      <c r="M777" s="1">
        <v>487.53573562938499</v>
      </c>
      <c r="N777" s="1">
        <v>90358</v>
      </c>
      <c r="O777" s="1">
        <v>48600.61</v>
      </c>
      <c r="P777" s="215">
        <f t="shared" si="116"/>
        <v>-2.4039454015163719E-2</v>
      </c>
      <c r="Q777" s="215">
        <f t="shared" si="111"/>
        <v>-2.4750538055175131E-2</v>
      </c>
      <c r="R777" s="231">
        <v>44052754</v>
      </c>
      <c r="T777" s="230">
        <v>44228</v>
      </c>
      <c r="U777" s="1">
        <v>53.4</v>
      </c>
      <c r="V777" s="1">
        <v>51.953916902495401</v>
      </c>
      <c r="W777" s="1">
        <v>62192</v>
      </c>
      <c r="X777" s="1">
        <v>48600.61</v>
      </c>
      <c r="Y777" s="215">
        <f t="shared" si="117"/>
        <v>-2.4039454015163719E-2</v>
      </c>
      <c r="Z777" s="215">
        <f t="shared" si="112"/>
        <v>2.2988505747126409E-2</v>
      </c>
      <c r="AA777" s="231">
        <v>3231118</v>
      </c>
      <c r="AC777" s="230">
        <v>44259</v>
      </c>
      <c r="AD777" s="1">
        <v>49.05</v>
      </c>
      <c r="AE777" s="1">
        <v>48.722049151955602</v>
      </c>
      <c r="AF777" s="1">
        <v>2889</v>
      </c>
      <c r="AG777" s="1">
        <v>50846.080000000002</v>
      </c>
      <c r="AH777" s="215">
        <f t="shared" si="118"/>
        <v>8.7443150842014816E-3</v>
      </c>
      <c r="AI777" s="215">
        <f t="shared" si="113"/>
        <v>3.1545741324921162E-2</v>
      </c>
      <c r="AJ777" s="231">
        <v>140758</v>
      </c>
      <c r="AL777" s="254"/>
      <c r="AQ777" s="215" t="str">
        <f t="shared" si="119"/>
        <v>NA</v>
      </c>
      <c r="AR777" s="215" t="str">
        <f t="shared" si="114"/>
        <v>NA</v>
      </c>
    </row>
    <row r="778" spans="2:44">
      <c r="B778" s="230">
        <v>44230</v>
      </c>
      <c r="C778" s="1">
        <v>296.95</v>
      </c>
      <c r="D778" s="1">
        <v>301.52813852813802</v>
      </c>
      <c r="E778" s="1">
        <v>4620</v>
      </c>
      <c r="F778" s="215">
        <v>50255.75</v>
      </c>
      <c r="G778" s="215">
        <f t="shared" si="115"/>
        <v>-7.0837702158816906E-3</v>
      </c>
      <c r="H778" s="215">
        <f t="shared" si="110"/>
        <v>-1.2963270732923471E-2</v>
      </c>
      <c r="I778" s="231">
        <v>1393060</v>
      </c>
      <c r="K778" s="230">
        <v>44229</v>
      </c>
      <c r="L778" s="1">
        <v>511.1</v>
      </c>
      <c r="M778" s="1">
        <v>499.87599194598999</v>
      </c>
      <c r="N778" s="1">
        <v>16886</v>
      </c>
      <c r="O778" s="1">
        <v>49797.72</v>
      </c>
      <c r="P778" s="215">
        <f t="shared" si="116"/>
        <v>-9.1139819821611789E-3</v>
      </c>
      <c r="Q778" s="215">
        <f t="shared" si="111"/>
        <v>-4.7610174229013258E-2</v>
      </c>
      <c r="R778" s="231">
        <v>8440906</v>
      </c>
      <c r="T778" s="230">
        <v>44229</v>
      </c>
      <c r="U778" s="1">
        <v>52.2</v>
      </c>
      <c r="V778" s="1">
        <v>52.849296473229401</v>
      </c>
      <c r="W778" s="1">
        <v>38307</v>
      </c>
      <c r="X778" s="1">
        <v>49797.72</v>
      </c>
      <c r="Y778" s="215">
        <f t="shared" si="117"/>
        <v>-9.1139819821611789E-3</v>
      </c>
      <c r="Z778" s="215">
        <f t="shared" si="112"/>
        <v>-6.3677130044842989E-2</v>
      </c>
      <c r="AA778" s="231">
        <v>2024498</v>
      </c>
      <c r="AC778" s="230">
        <v>44260</v>
      </c>
      <c r="AD778" s="1">
        <v>47.55</v>
      </c>
      <c r="AE778" s="1">
        <v>49.110616580618299</v>
      </c>
      <c r="AF778" s="1">
        <v>16851</v>
      </c>
      <c r="AG778" s="1">
        <v>50405.32</v>
      </c>
      <c r="AH778" s="215">
        <f t="shared" si="118"/>
        <v>-7.0874785170105259E-4</v>
      </c>
      <c r="AI778" s="215">
        <f t="shared" si="113"/>
        <v>-4.1884816753927634E-3</v>
      </c>
      <c r="AJ778" s="231">
        <v>827563</v>
      </c>
      <c r="AL778" s="254"/>
      <c r="AQ778" s="215" t="str">
        <f t="shared" si="119"/>
        <v>NA</v>
      </c>
      <c r="AR778" s="215" t="str">
        <f t="shared" si="114"/>
        <v>NA</v>
      </c>
    </row>
    <row r="779" spans="2:44">
      <c r="B779" s="230">
        <v>44231</v>
      </c>
      <c r="C779" s="1">
        <v>300.85000000000002</v>
      </c>
      <c r="D779" s="1">
        <v>295.20674418604602</v>
      </c>
      <c r="E779" s="1">
        <v>4300</v>
      </c>
      <c r="F779" s="215">
        <v>50614.29</v>
      </c>
      <c r="G779" s="215">
        <f t="shared" si="115"/>
        <v>-2.3129554481099435E-3</v>
      </c>
      <c r="H779" s="215">
        <f t="shared" si="110"/>
        <v>2.8333333333334654E-3</v>
      </c>
      <c r="I779" s="231">
        <v>1269389</v>
      </c>
      <c r="K779" s="230">
        <v>44230</v>
      </c>
      <c r="L779" s="1">
        <v>536.65</v>
      </c>
      <c r="M779" s="1">
        <v>528.71939160999898</v>
      </c>
      <c r="N779" s="1">
        <v>30441</v>
      </c>
      <c r="O779" s="1">
        <v>50255.75</v>
      </c>
      <c r="P779" s="215">
        <f t="shared" si="116"/>
        <v>-7.0837702158816906E-3</v>
      </c>
      <c r="Q779" s="215">
        <f t="shared" si="111"/>
        <v>6.2816426026626182E-3</v>
      </c>
      <c r="R779" s="231">
        <v>16094747</v>
      </c>
      <c r="T779" s="230">
        <v>44230</v>
      </c>
      <c r="U779" s="1">
        <v>55.75</v>
      </c>
      <c r="V779" s="1">
        <v>55.423594723528502</v>
      </c>
      <c r="W779" s="1">
        <v>58903</v>
      </c>
      <c r="X779" s="1">
        <v>50255.75</v>
      </c>
      <c r="Y779" s="215">
        <f t="shared" si="117"/>
        <v>-7.0837702158816906E-3</v>
      </c>
      <c r="Z779" s="215">
        <f t="shared" si="112"/>
        <v>3.6003600360037247E-3</v>
      </c>
      <c r="AA779" s="231">
        <v>3264616</v>
      </c>
      <c r="AC779" s="230">
        <v>44263</v>
      </c>
      <c r="AD779" s="1">
        <v>47.75</v>
      </c>
      <c r="AE779" s="1">
        <v>48.870220900594703</v>
      </c>
      <c r="AF779" s="1">
        <v>9416</v>
      </c>
      <c r="AG779" s="1">
        <v>50441.07</v>
      </c>
      <c r="AH779" s="215">
        <f t="shared" si="118"/>
        <v>-1.1453297450607081E-2</v>
      </c>
      <c r="AI779" s="215">
        <f t="shared" si="113"/>
        <v>-7.2765072765073047E-3</v>
      </c>
      <c r="AJ779" s="231">
        <v>460162</v>
      </c>
      <c r="AL779" s="254"/>
      <c r="AQ779" s="215" t="str">
        <f t="shared" si="119"/>
        <v>NA</v>
      </c>
      <c r="AR779" s="215" t="str">
        <f t="shared" si="114"/>
        <v>NA</v>
      </c>
    </row>
    <row r="780" spans="2:44">
      <c r="B780" s="230">
        <v>44232</v>
      </c>
      <c r="C780" s="1">
        <v>300</v>
      </c>
      <c r="D780" s="1">
        <v>297.89175257731898</v>
      </c>
      <c r="E780" s="1">
        <v>194</v>
      </c>
      <c r="F780" s="215">
        <v>50731.63</v>
      </c>
      <c r="G780" s="215">
        <f t="shared" si="115"/>
        <v>-1.2018593629409269E-2</v>
      </c>
      <c r="H780" s="215">
        <f t="shared" si="110"/>
        <v>3.3444816053511683E-3</v>
      </c>
      <c r="I780" s="231">
        <v>57791</v>
      </c>
      <c r="K780" s="230">
        <v>44231</v>
      </c>
      <c r="L780" s="1">
        <v>533.29999999999995</v>
      </c>
      <c r="M780" s="1">
        <v>535.31742870460596</v>
      </c>
      <c r="N780" s="1">
        <v>23599</v>
      </c>
      <c r="O780" s="1">
        <v>50614.29</v>
      </c>
      <c r="P780" s="215">
        <f t="shared" si="116"/>
        <v>-2.3129554481099435E-3</v>
      </c>
      <c r="Q780" s="215">
        <f t="shared" si="111"/>
        <v>2.9834894274403556E-2</v>
      </c>
      <c r="R780" s="231">
        <v>12632956</v>
      </c>
      <c r="T780" s="230">
        <v>44231</v>
      </c>
      <c r="U780" s="1">
        <v>55.55</v>
      </c>
      <c r="V780" s="1">
        <v>55.953675471143598</v>
      </c>
      <c r="W780" s="1">
        <v>27221</v>
      </c>
      <c r="X780" s="1">
        <v>50614.29</v>
      </c>
      <c r="Y780" s="215">
        <f t="shared" si="117"/>
        <v>-2.3129554481099435E-3</v>
      </c>
      <c r="Z780" s="215">
        <f t="shared" si="112"/>
        <v>-1.7969451931716396E-3</v>
      </c>
      <c r="AA780" s="231">
        <v>1523115</v>
      </c>
      <c r="AC780" s="230">
        <v>44264</v>
      </c>
      <c r="AD780" s="1">
        <v>48.1</v>
      </c>
      <c r="AE780" s="1">
        <v>48.450157397691498</v>
      </c>
      <c r="AF780" s="1">
        <v>3812</v>
      </c>
      <c r="AG780" s="1">
        <v>51025.48</v>
      </c>
      <c r="AH780" s="215">
        <f t="shared" si="118"/>
        <v>-4.9538304870697658E-3</v>
      </c>
      <c r="AI780" s="215">
        <f t="shared" si="113"/>
        <v>2.083333333333437E-3</v>
      </c>
      <c r="AJ780" s="231">
        <v>184692</v>
      </c>
      <c r="AL780" s="254"/>
      <c r="AQ780" s="215" t="str">
        <f t="shared" si="119"/>
        <v>NA</v>
      </c>
      <c r="AR780" s="215" t="str">
        <f t="shared" si="114"/>
        <v>NA</v>
      </c>
    </row>
    <row r="781" spans="2:44">
      <c r="B781" s="230">
        <v>44235</v>
      </c>
      <c r="C781" s="1">
        <v>299</v>
      </c>
      <c r="D781" s="1">
        <v>300.09886013334199</v>
      </c>
      <c r="E781" s="1">
        <v>13949</v>
      </c>
      <c r="F781" s="215">
        <v>51348.77</v>
      </c>
      <c r="G781" s="215">
        <f t="shared" si="115"/>
        <v>3.8360321283748E-4</v>
      </c>
      <c r="H781" s="215">
        <f t="shared" si="110"/>
        <v>4.0295500335796319E-3</v>
      </c>
      <c r="I781" s="231">
        <v>4186079</v>
      </c>
      <c r="K781" s="230">
        <v>44232</v>
      </c>
      <c r="L781" s="1">
        <v>517.85</v>
      </c>
      <c r="M781" s="1">
        <v>524.51876724931003</v>
      </c>
      <c r="N781" s="1">
        <v>21740</v>
      </c>
      <c r="O781" s="1">
        <v>50731.63</v>
      </c>
      <c r="P781" s="215">
        <f t="shared" si="116"/>
        <v>-1.2018593629409269E-2</v>
      </c>
      <c r="Q781" s="215">
        <f t="shared" si="111"/>
        <v>5.1258627689809266E-2</v>
      </c>
      <c r="R781" s="231">
        <v>11403038</v>
      </c>
      <c r="T781" s="230">
        <v>44232</v>
      </c>
      <c r="U781" s="1">
        <v>55.65</v>
      </c>
      <c r="V781" s="1">
        <v>55.759775429326197</v>
      </c>
      <c r="W781" s="1">
        <v>45420</v>
      </c>
      <c r="X781" s="1">
        <v>50731.63</v>
      </c>
      <c r="Y781" s="215">
        <f t="shared" si="117"/>
        <v>-1.2018593629409269E-2</v>
      </c>
      <c r="Z781" s="215">
        <f t="shared" si="112"/>
        <v>0.13109756097560976</v>
      </c>
      <c r="AA781" s="231">
        <v>2532609</v>
      </c>
      <c r="AC781" s="230">
        <v>44265</v>
      </c>
      <c r="AD781" s="1">
        <v>48</v>
      </c>
      <c r="AE781" s="1">
        <v>47.909043112513103</v>
      </c>
      <c r="AF781" s="1">
        <v>3804</v>
      </c>
      <c r="AG781" s="1">
        <v>51279.51</v>
      </c>
      <c r="AH781" s="215">
        <f t="shared" si="118"/>
        <v>9.5965748990787247E-3</v>
      </c>
      <c r="AI781" s="215">
        <f t="shared" si="113"/>
        <v>2.0191285866099973E-2</v>
      </c>
      <c r="AJ781" s="231">
        <v>182246</v>
      </c>
      <c r="AL781" s="254"/>
      <c r="AQ781" s="215" t="str">
        <f t="shared" si="119"/>
        <v>NA</v>
      </c>
      <c r="AR781" s="215" t="str">
        <f t="shared" si="114"/>
        <v>NA</v>
      </c>
    </row>
    <row r="782" spans="2:44">
      <c r="B782" s="230">
        <v>44236</v>
      </c>
      <c r="C782" s="1">
        <v>297.8</v>
      </c>
      <c r="D782" s="1">
        <v>297.30524344569199</v>
      </c>
      <c r="E782" s="1">
        <v>534</v>
      </c>
      <c r="F782" s="215">
        <v>51329.08</v>
      </c>
      <c r="G782" s="215">
        <f t="shared" si="115"/>
        <v>3.8375042073202081E-4</v>
      </c>
      <c r="H782" s="215">
        <f t="shared" ref="H782:H845" si="120">IF(ISERROR(C782/C783-1),"NA",C782/C783-1)</f>
        <v>-4.0133779264213132E-3</v>
      </c>
      <c r="I782" s="231">
        <v>158761</v>
      </c>
      <c r="K782" s="230">
        <v>44235</v>
      </c>
      <c r="L782" s="1">
        <v>492.6</v>
      </c>
      <c r="M782" s="1">
        <v>499.75745459474098</v>
      </c>
      <c r="N782" s="1">
        <v>14756</v>
      </c>
      <c r="O782" s="1">
        <v>51348.77</v>
      </c>
      <c r="P782" s="215">
        <f t="shared" si="116"/>
        <v>3.8360321283748E-4</v>
      </c>
      <c r="Q782" s="215">
        <f t="shared" ref="Q782:Q845" si="121">IF(ISERROR(L782/L783-1),"NA",L782/L783-1)</f>
        <v>2.7480916030535596E-3</v>
      </c>
      <c r="R782" s="231">
        <v>7374421</v>
      </c>
      <c r="T782" s="230">
        <v>44235</v>
      </c>
      <c r="U782" s="1">
        <v>49.2</v>
      </c>
      <c r="V782" s="1">
        <v>51.8763434330222</v>
      </c>
      <c r="W782" s="1">
        <v>321099</v>
      </c>
      <c r="X782" s="1">
        <v>51348.77</v>
      </c>
      <c r="Y782" s="215">
        <f t="shared" si="117"/>
        <v>3.8360321283748E-4</v>
      </c>
      <c r="Z782" s="215">
        <f t="shared" ref="Z782:Z845" si="122">IF(ISERROR(U782/U783-1),"NA",U782/U783-1)</f>
        <v>-1.7964071856287345E-2</v>
      </c>
      <c r="AA782" s="231">
        <v>16657442</v>
      </c>
      <c r="AC782" s="230">
        <v>44267</v>
      </c>
      <c r="AD782" s="1">
        <v>47.05</v>
      </c>
      <c r="AE782" s="1">
        <v>47.296920626493197</v>
      </c>
      <c r="AF782" s="1">
        <v>7534</v>
      </c>
      <c r="AG782" s="1">
        <v>50792.08</v>
      </c>
      <c r="AH782" s="215">
        <f t="shared" si="118"/>
        <v>7.8777531457436822E-3</v>
      </c>
      <c r="AI782" s="215">
        <f t="shared" ref="AI782:AI845" si="123">IF(ISERROR(AD782/AD783-1),"NA",AD782/AD783-1)</f>
        <v>1.4008620689655249E-2</v>
      </c>
      <c r="AJ782" s="231">
        <v>356335</v>
      </c>
      <c r="AL782" s="254"/>
      <c r="AQ782" s="215" t="str">
        <f t="shared" si="119"/>
        <v>NA</v>
      </c>
      <c r="AR782" s="215" t="str">
        <f t="shared" ref="AR782:AR845" si="124">IF(ISERROR(AM782/AM783-1),"NA",AM782/AM783-1)</f>
        <v>NA</v>
      </c>
    </row>
    <row r="783" spans="2:44">
      <c r="B783" s="230">
        <v>44237</v>
      </c>
      <c r="C783" s="1">
        <v>299</v>
      </c>
      <c r="D783" s="1">
        <v>299.08503167697103</v>
      </c>
      <c r="E783" s="1">
        <v>13101</v>
      </c>
      <c r="F783" s="215">
        <v>51309.39</v>
      </c>
      <c r="G783" s="215">
        <f t="shared" ref="G783:G846" si="125">IF(ISERROR(F783/F784-1),"NA",F783/F784-1)</f>
        <v>-4.31056564991672E-3</v>
      </c>
      <c r="H783" s="215">
        <f t="shared" si="120"/>
        <v>9.793988517392771E-3</v>
      </c>
      <c r="I783" s="231">
        <v>3918313</v>
      </c>
      <c r="K783" s="230">
        <v>44236</v>
      </c>
      <c r="L783" s="1">
        <v>491.25</v>
      </c>
      <c r="M783" s="1">
        <v>497.852277528944</v>
      </c>
      <c r="N783" s="1">
        <v>11833</v>
      </c>
      <c r="O783" s="1">
        <v>51329.08</v>
      </c>
      <c r="P783" s="215">
        <f t="shared" ref="P783:P846" si="126">IF(ISERROR(O783/O784-1),"NA",O783/O784-1)</f>
        <v>3.8375042073202081E-4</v>
      </c>
      <c r="Q783" s="215">
        <f t="shared" si="121"/>
        <v>-7.6759923240077299E-3</v>
      </c>
      <c r="R783" s="231">
        <v>5891086</v>
      </c>
      <c r="T783" s="230">
        <v>44236</v>
      </c>
      <c r="U783" s="1">
        <v>50.1</v>
      </c>
      <c r="V783" s="1">
        <v>50.666477542949103</v>
      </c>
      <c r="W783" s="1">
        <v>119851</v>
      </c>
      <c r="X783" s="1">
        <v>51329.08</v>
      </c>
      <c r="Y783" s="215">
        <f t="shared" ref="Y783:Y846" si="127">IF(ISERROR(X783/X784-1),"NA",X783/X784-1)</f>
        <v>3.8375042073202081E-4</v>
      </c>
      <c r="Z783" s="215">
        <f t="shared" si="122"/>
        <v>1.6227180527383478E-2</v>
      </c>
      <c r="AA783" s="231">
        <v>6072428</v>
      </c>
      <c r="AC783" s="230">
        <v>44270</v>
      </c>
      <c r="AD783" s="1">
        <v>46.4</v>
      </c>
      <c r="AE783" s="1">
        <v>46.033540606745802</v>
      </c>
      <c r="AF783" s="1">
        <v>5307</v>
      </c>
      <c r="AG783" s="1">
        <v>50395.08</v>
      </c>
      <c r="AH783" s="215">
        <f t="shared" ref="AH783:AH846" si="128">IF(ISERROR(AG783/AG784-1),"NA",AG783/AG784-1)</f>
        <v>6.1790216654933339E-4</v>
      </c>
      <c r="AI783" s="215">
        <f t="shared" si="123"/>
        <v>2.1598272138230179E-3</v>
      </c>
      <c r="AJ783" s="231">
        <v>244300</v>
      </c>
      <c r="AL783" s="254"/>
      <c r="AQ783" s="215" t="str">
        <f t="shared" ref="AQ783:AQ846" si="129">IF(ISERROR(AP783/AP784-1),"NA",AP783/AP784-1)</f>
        <v>NA</v>
      </c>
      <c r="AR783" s="215" t="str">
        <f t="shared" si="124"/>
        <v>NA</v>
      </c>
    </row>
    <row r="784" spans="2:44">
      <c r="B784" s="230">
        <v>44238</v>
      </c>
      <c r="C784" s="1">
        <v>296.10000000000002</v>
      </c>
      <c r="D784" s="1">
        <v>295.67453775896598</v>
      </c>
      <c r="E784" s="1">
        <v>13467</v>
      </c>
      <c r="F784" s="215">
        <v>51531.519999999997</v>
      </c>
      <c r="G784" s="215">
        <f t="shared" si="125"/>
        <v>-2.4794206148892606E-4</v>
      </c>
      <c r="H784" s="215">
        <f t="shared" si="120"/>
        <v>-1.4150158148826364E-2</v>
      </c>
      <c r="I784" s="231">
        <v>3981849</v>
      </c>
      <c r="K784" s="230">
        <v>44237</v>
      </c>
      <c r="L784" s="1">
        <v>495.05</v>
      </c>
      <c r="M784" s="1">
        <v>495.67249571393501</v>
      </c>
      <c r="N784" s="1">
        <v>20415</v>
      </c>
      <c r="O784" s="1">
        <v>51309.39</v>
      </c>
      <c r="P784" s="215">
        <f t="shared" si="126"/>
        <v>-4.31056564991672E-3</v>
      </c>
      <c r="Q784" s="215">
        <f t="shared" si="121"/>
        <v>-1.7952787145407711E-2</v>
      </c>
      <c r="R784" s="231">
        <v>10119154</v>
      </c>
      <c r="T784" s="230">
        <v>44237</v>
      </c>
      <c r="U784" s="1">
        <v>49.3</v>
      </c>
      <c r="V784" s="1">
        <v>49.665412403727501</v>
      </c>
      <c r="W784" s="1">
        <v>96471</v>
      </c>
      <c r="X784" s="1">
        <v>51309.39</v>
      </c>
      <c r="Y784" s="215">
        <f t="shared" si="127"/>
        <v>-4.31056564991672E-3</v>
      </c>
      <c r="Z784" s="215">
        <f t="shared" si="122"/>
        <v>-5.0096339113680166E-2</v>
      </c>
      <c r="AA784" s="231">
        <v>4791272</v>
      </c>
      <c r="AC784" s="230">
        <v>44271</v>
      </c>
      <c r="AD784" s="1">
        <v>46.3</v>
      </c>
      <c r="AE784" s="1">
        <v>45.468252958391602</v>
      </c>
      <c r="AF784" s="1">
        <v>7859</v>
      </c>
      <c r="AG784" s="1">
        <v>50363.96</v>
      </c>
      <c r="AH784" s="215">
        <f t="shared" si="128"/>
        <v>1.1291600554359515E-2</v>
      </c>
      <c r="AI784" s="215">
        <f t="shared" si="123"/>
        <v>-4.6343975283213212E-2</v>
      </c>
      <c r="AJ784" s="231">
        <v>357335</v>
      </c>
      <c r="AL784" s="254"/>
      <c r="AQ784" s="215" t="str">
        <f t="shared" si="129"/>
        <v>NA</v>
      </c>
      <c r="AR784" s="215" t="str">
        <f t="shared" si="124"/>
        <v>NA</v>
      </c>
    </row>
    <row r="785" spans="2:44">
      <c r="B785" s="230">
        <v>44239</v>
      </c>
      <c r="C785" s="1">
        <v>300.35000000000002</v>
      </c>
      <c r="D785" s="1">
        <v>299.20018501387602</v>
      </c>
      <c r="E785" s="1">
        <v>10810</v>
      </c>
      <c r="F785" s="215">
        <v>51544.3</v>
      </c>
      <c r="G785" s="215">
        <f t="shared" si="125"/>
        <v>-1.1692841966685963E-2</v>
      </c>
      <c r="H785" s="215">
        <f t="shared" si="120"/>
        <v>-1.200657894736834E-2</v>
      </c>
      <c r="I785" s="231">
        <v>3234354</v>
      </c>
      <c r="K785" s="230">
        <v>44238</v>
      </c>
      <c r="L785" s="1">
        <v>504.1</v>
      </c>
      <c r="M785" s="1">
        <v>495.74513130456199</v>
      </c>
      <c r="N785" s="1">
        <v>28293</v>
      </c>
      <c r="O785" s="1">
        <v>51531.519999999997</v>
      </c>
      <c r="P785" s="215">
        <f t="shared" si="126"/>
        <v>-2.4794206148892606E-4</v>
      </c>
      <c r="Q785" s="215">
        <f t="shared" si="121"/>
        <v>3.2839088466514177E-3</v>
      </c>
      <c r="R785" s="231">
        <v>14026117</v>
      </c>
      <c r="T785" s="230">
        <v>44238</v>
      </c>
      <c r="U785" s="1">
        <v>51.9</v>
      </c>
      <c r="V785" s="1">
        <v>51.651452636657403</v>
      </c>
      <c r="W785" s="1">
        <v>198983</v>
      </c>
      <c r="X785" s="1">
        <v>51531.519999999997</v>
      </c>
      <c r="Y785" s="215">
        <f t="shared" si="127"/>
        <v>-2.4794206148892606E-4</v>
      </c>
      <c r="Z785" s="215">
        <f t="shared" si="122"/>
        <v>1.0710808179162479E-2</v>
      </c>
      <c r="AA785" s="231">
        <v>10277761</v>
      </c>
      <c r="AC785" s="230">
        <v>44272</v>
      </c>
      <c r="AD785" s="1">
        <v>48.55</v>
      </c>
      <c r="AE785" s="1">
        <v>48.019609627371501</v>
      </c>
      <c r="AF785" s="1">
        <v>21979</v>
      </c>
      <c r="AG785" s="1">
        <v>49801.62</v>
      </c>
      <c r="AH785" s="215">
        <f t="shared" si="128"/>
        <v>1.1888284665392934E-2</v>
      </c>
      <c r="AI785" s="215">
        <f t="shared" si="123"/>
        <v>5.2004333694474436E-2</v>
      </c>
      <c r="AJ785" s="231">
        <v>1055423</v>
      </c>
      <c r="AL785" s="254"/>
      <c r="AQ785" s="215" t="str">
        <f t="shared" si="129"/>
        <v>NA</v>
      </c>
      <c r="AR785" s="215" t="str">
        <f t="shared" si="124"/>
        <v>NA</v>
      </c>
    </row>
    <row r="786" spans="2:44">
      <c r="B786" s="230">
        <v>44242</v>
      </c>
      <c r="C786" s="1">
        <v>304</v>
      </c>
      <c r="D786" s="1">
        <v>308.68991989318999</v>
      </c>
      <c r="E786" s="1">
        <v>2996</v>
      </c>
      <c r="F786" s="215">
        <v>52154.13</v>
      </c>
      <c r="G786" s="215">
        <f t="shared" si="125"/>
        <v>9.5884839927395937E-4</v>
      </c>
      <c r="H786" s="215">
        <f t="shared" si="120"/>
        <v>-9.7719869706840434E-3</v>
      </c>
      <c r="I786" s="231">
        <v>924835</v>
      </c>
      <c r="K786" s="230">
        <v>44239</v>
      </c>
      <c r="L786" s="1">
        <v>502.45</v>
      </c>
      <c r="M786" s="1">
        <v>502.47774389462597</v>
      </c>
      <c r="N786" s="1">
        <v>39023</v>
      </c>
      <c r="O786" s="1">
        <v>51544.3</v>
      </c>
      <c r="P786" s="215">
        <f t="shared" si="126"/>
        <v>-1.1692841966685963E-2</v>
      </c>
      <c r="Q786" s="215">
        <f t="shared" si="121"/>
        <v>1.4845485760452304E-2</v>
      </c>
      <c r="R786" s="231">
        <v>19608189</v>
      </c>
      <c r="T786" s="230">
        <v>44239</v>
      </c>
      <c r="U786" s="1">
        <v>51.35</v>
      </c>
      <c r="V786" s="1">
        <v>51.572791230366398</v>
      </c>
      <c r="W786" s="1">
        <v>61120</v>
      </c>
      <c r="X786" s="1">
        <v>51544.3</v>
      </c>
      <c r="Y786" s="215">
        <f t="shared" si="127"/>
        <v>-1.1692841966685963E-2</v>
      </c>
      <c r="Z786" s="215">
        <f t="shared" si="122"/>
        <v>3.4239677744209551E-2</v>
      </c>
      <c r="AA786" s="231">
        <v>3152129</v>
      </c>
      <c r="AC786" s="230">
        <v>44273</v>
      </c>
      <c r="AD786" s="1">
        <v>46.15</v>
      </c>
      <c r="AE786" s="1">
        <v>48.538788332086703</v>
      </c>
      <c r="AF786" s="1">
        <v>33425</v>
      </c>
      <c r="AG786" s="1">
        <v>49216.52</v>
      </c>
      <c r="AH786" s="215">
        <f t="shared" si="128"/>
        <v>-1.2870891551727492E-2</v>
      </c>
      <c r="AI786" s="215">
        <f t="shared" si="123"/>
        <v>1.8763796909492259E-2</v>
      </c>
      <c r="AJ786" s="231">
        <v>1622409</v>
      </c>
      <c r="AL786" s="254"/>
      <c r="AQ786" s="215" t="str">
        <f t="shared" si="129"/>
        <v>NA</v>
      </c>
      <c r="AR786" s="215" t="str">
        <f t="shared" si="124"/>
        <v>NA</v>
      </c>
    </row>
    <row r="787" spans="2:44">
      <c r="B787" s="230">
        <v>44243</v>
      </c>
      <c r="C787" s="1">
        <v>307</v>
      </c>
      <c r="D787" s="1">
        <v>307.19976147883102</v>
      </c>
      <c r="E787" s="1">
        <v>1677</v>
      </c>
      <c r="F787" s="215">
        <v>52104.17</v>
      </c>
      <c r="G787" s="215">
        <f t="shared" si="125"/>
        <v>7.7429467024008325E-3</v>
      </c>
      <c r="H787" s="215">
        <f t="shared" si="120"/>
        <v>1.8411013435063905E-2</v>
      </c>
      <c r="I787" s="231">
        <v>515174</v>
      </c>
      <c r="K787" s="230">
        <v>44242</v>
      </c>
      <c r="L787" s="1">
        <v>495.1</v>
      </c>
      <c r="M787" s="1">
        <v>497.39933008844901</v>
      </c>
      <c r="N787" s="1">
        <v>19107</v>
      </c>
      <c r="O787" s="1">
        <v>52154.13</v>
      </c>
      <c r="P787" s="215">
        <f t="shared" si="126"/>
        <v>9.5884839927395937E-4</v>
      </c>
      <c r="Q787" s="215">
        <f t="shared" si="121"/>
        <v>-1.3111447302066592E-3</v>
      </c>
      <c r="R787" s="231">
        <v>9503809</v>
      </c>
      <c r="T787" s="230">
        <v>44242</v>
      </c>
      <c r="U787" s="1">
        <v>49.65</v>
      </c>
      <c r="V787" s="1">
        <v>50.1801600888354</v>
      </c>
      <c r="W787" s="1">
        <v>108065</v>
      </c>
      <c r="X787" s="1">
        <v>52154.13</v>
      </c>
      <c r="Y787" s="215">
        <f t="shared" si="127"/>
        <v>9.5884839927395937E-4</v>
      </c>
      <c r="Z787" s="215">
        <f t="shared" si="122"/>
        <v>-5.0100200400801098E-3</v>
      </c>
      <c r="AA787" s="231">
        <v>5422719</v>
      </c>
      <c r="AC787" s="230">
        <v>44274</v>
      </c>
      <c r="AD787" s="1">
        <v>45.3</v>
      </c>
      <c r="AE787" s="1">
        <v>44.629027249437101</v>
      </c>
      <c r="AF787" s="1">
        <v>25762</v>
      </c>
      <c r="AG787" s="1">
        <v>49858.239999999998</v>
      </c>
      <c r="AH787" s="215">
        <f t="shared" si="128"/>
        <v>1.7469910866283467E-3</v>
      </c>
      <c r="AI787" s="215">
        <f t="shared" si="123"/>
        <v>1.1160714285714191E-2</v>
      </c>
      <c r="AJ787" s="231">
        <v>1149733</v>
      </c>
      <c r="AL787" s="254"/>
      <c r="AQ787" s="215" t="str">
        <f t="shared" si="129"/>
        <v>NA</v>
      </c>
      <c r="AR787" s="215" t="str">
        <f t="shared" si="124"/>
        <v>NA</v>
      </c>
    </row>
    <row r="788" spans="2:44">
      <c r="B788" s="230">
        <v>44244</v>
      </c>
      <c r="C788" s="1">
        <v>301.45</v>
      </c>
      <c r="D788" s="1">
        <v>301.32383665716901</v>
      </c>
      <c r="E788" s="1">
        <v>1053</v>
      </c>
      <c r="F788" s="215">
        <v>51703.83</v>
      </c>
      <c r="G788" s="215">
        <f t="shared" si="125"/>
        <v>7.3870879687729651E-3</v>
      </c>
      <c r="H788" s="215">
        <f t="shared" si="120"/>
        <v>1.327731092436979E-2</v>
      </c>
      <c r="I788" s="231">
        <v>317294</v>
      </c>
      <c r="K788" s="230">
        <v>44243</v>
      </c>
      <c r="L788" s="1">
        <v>495.75</v>
      </c>
      <c r="M788" s="1">
        <v>502.24422292704998</v>
      </c>
      <c r="N788" s="1">
        <v>19863</v>
      </c>
      <c r="O788" s="1">
        <v>52104.17</v>
      </c>
      <c r="P788" s="215">
        <f t="shared" si="126"/>
        <v>7.7429467024008325E-3</v>
      </c>
      <c r="Q788" s="215">
        <f t="shared" si="121"/>
        <v>-4.6180102399357992E-3</v>
      </c>
      <c r="R788" s="231">
        <v>9976077</v>
      </c>
      <c r="T788" s="230">
        <v>44243</v>
      </c>
      <c r="U788" s="1">
        <v>49.9</v>
      </c>
      <c r="V788" s="1">
        <v>49.839143767304698</v>
      </c>
      <c r="W788" s="1">
        <v>100767</v>
      </c>
      <c r="X788" s="1">
        <v>52104.17</v>
      </c>
      <c r="Y788" s="215">
        <f t="shared" si="127"/>
        <v>7.7429467024008325E-3</v>
      </c>
      <c r="Z788" s="215">
        <f t="shared" si="122"/>
        <v>-2.0000000000000018E-3</v>
      </c>
      <c r="AA788" s="231">
        <v>5022141</v>
      </c>
      <c r="AC788" s="230">
        <v>44277</v>
      </c>
      <c r="AD788" s="1">
        <v>44.8</v>
      </c>
      <c r="AE788" s="1">
        <v>44.902654867256601</v>
      </c>
      <c r="AF788" s="1">
        <v>1469</v>
      </c>
      <c r="AG788" s="1">
        <v>49771.29</v>
      </c>
      <c r="AH788" s="215">
        <f t="shared" si="128"/>
        <v>-5.5972415578853241E-3</v>
      </c>
      <c r="AI788" s="215">
        <f t="shared" si="123"/>
        <v>-8.8495575221240186E-3</v>
      </c>
      <c r="AJ788" s="231">
        <v>65962</v>
      </c>
      <c r="AL788" s="254"/>
      <c r="AQ788" s="215" t="str">
        <f t="shared" si="129"/>
        <v>NA</v>
      </c>
      <c r="AR788" s="215" t="str">
        <f t="shared" si="124"/>
        <v>NA</v>
      </c>
    </row>
    <row r="789" spans="2:44">
      <c r="B789" s="230">
        <v>44245</v>
      </c>
      <c r="C789" s="1">
        <v>297.5</v>
      </c>
      <c r="D789" s="1">
        <v>301.21883656509601</v>
      </c>
      <c r="E789" s="1">
        <v>1083</v>
      </c>
      <c r="F789" s="215">
        <v>51324.69</v>
      </c>
      <c r="G789" s="215">
        <f t="shared" si="125"/>
        <v>8.5465130902562247E-3</v>
      </c>
      <c r="H789" s="215">
        <f t="shared" si="120"/>
        <v>2.0408163265306145E-2</v>
      </c>
      <c r="I789" s="231">
        <v>326220</v>
      </c>
      <c r="K789" s="230">
        <v>44244</v>
      </c>
      <c r="L789" s="1">
        <v>498.05</v>
      </c>
      <c r="M789" s="1">
        <v>502.81651646345</v>
      </c>
      <c r="N789" s="1">
        <v>16977</v>
      </c>
      <c r="O789" s="1">
        <v>51703.83</v>
      </c>
      <c r="P789" s="215">
        <f t="shared" si="126"/>
        <v>7.3870879687729651E-3</v>
      </c>
      <c r="Q789" s="215">
        <f t="shared" si="121"/>
        <v>-4.165864922070428E-2</v>
      </c>
      <c r="R789" s="231">
        <v>8536316</v>
      </c>
      <c r="T789" s="230">
        <v>44244</v>
      </c>
      <c r="U789" s="1">
        <v>50</v>
      </c>
      <c r="V789" s="1">
        <v>49.969881038368797</v>
      </c>
      <c r="W789" s="1">
        <v>114911</v>
      </c>
      <c r="X789" s="1">
        <v>51703.83</v>
      </c>
      <c r="Y789" s="215">
        <f t="shared" si="127"/>
        <v>7.3870879687729651E-3</v>
      </c>
      <c r="Z789" s="215">
        <f t="shared" si="122"/>
        <v>-4.9751243781094301E-3</v>
      </c>
      <c r="AA789" s="231">
        <v>5742089</v>
      </c>
      <c r="AC789" s="230">
        <v>44278</v>
      </c>
      <c r="AD789" s="1">
        <v>45.2</v>
      </c>
      <c r="AE789" s="1">
        <v>45.288524105294201</v>
      </c>
      <c r="AF789" s="1">
        <v>6762</v>
      </c>
      <c r="AG789" s="1">
        <v>50051.44</v>
      </c>
      <c r="AH789" s="215">
        <f t="shared" si="128"/>
        <v>1.7712983102383895E-2</v>
      </c>
      <c r="AI789" s="215">
        <f t="shared" si="123"/>
        <v>1.3452914798206317E-2</v>
      </c>
      <c r="AJ789" s="231">
        <v>306241</v>
      </c>
      <c r="AL789" s="254"/>
      <c r="AQ789" s="215" t="str">
        <f t="shared" si="129"/>
        <v>NA</v>
      </c>
      <c r="AR789" s="215" t="str">
        <f t="shared" si="124"/>
        <v>NA</v>
      </c>
    </row>
    <row r="790" spans="2:44">
      <c r="B790" s="230">
        <v>44246</v>
      </c>
      <c r="C790" s="1">
        <v>291.55</v>
      </c>
      <c r="D790" s="1">
        <v>295.332331730769</v>
      </c>
      <c r="E790" s="1">
        <v>1664</v>
      </c>
      <c r="F790" s="215">
        <v>50889.760000000002</v>
      </c>
      <c r="G790" s="215">
        <f t="shared" si="125"/>
        <v>2.3026548558709781E-2</v>
      </c>
      <c r="H790" s="215">
        <f t="shared" si="120"/>
        <v>9.6969696969697594E-3</v>
      </c>
      <c r="I790" s="231">
        <v>491433</v>
      </c>
      <c r="K790" s="230">
        <v>44245</v>
      </c>
      <c r="L790" s="1">
        <v>519.70000000000005</v>
      </c>
      <c r="M790" s="1">
        <v>519.85825562566299</v>
      </c>
      <c r="N790" s="1">
        <v>35818</v>
      </c>
      <c r="O790" s="1">
        <v>51324.69</v>
      </c>
      <c r="P790" s="215">
        <f t="shared" si="126"/>
        <v>8.5465130902562247E-3</v>
      </c>
      <c r="Q790" s="215">
        <f t="shared" si="121"/>
        <v>1.444466133125144E-2</v>
      </c>
      <c r="R790" s="231">
        <v>18620283</v>
      </c>
      <c r="T790" s="230">
        <v>44245</v>
      </c>
      <c r="U790" s="1">
        <v>50.25</v>
      </c>
      <c r="V790" s="1">
        <v>50.171407611462101</v>
      </c>
      <c r="W790" s="1">
        <v>66794</v>
      </c>
      <c r="X790" s="1">
        <v>51324.69</v>
      </c>
      <c r="Y790" s="215">
        <f t="shared" si="127"/>
        <v>8.5465130902562247E-3</v>
      </c>
      <c r="Z790" s="215">
        <f t="shared" si="122"/>
        <v>-6.8582020389249321E-2</v>
      </c>
      <c r="AA790" s="231">
        <v>3351149</v>
      </c>
      <c r="AC790" s="230">
        <v>44279</v>
      </c>
      <c r="AD790" s="1">
        <v>44.6</v>
      </c>
      <c r="AE790" s="1">
        <v>44.957711442786</v>
      </c>
      <c r="AF790" s="1">
        <v>6030</v>
      </c>
      <c r="AG790" s="1">
        <v>49180.31</v>
      </c>
      <c r="AH790" s="215">
        <f t="shared" si="128"/>
        <v>1.5280515407476214E-2</v>
      </c>
      <c r="AI790" s="215">
        <f t="shared" si="123"/>
        <v>1.0192525481313774E-2</v>
      </c>
      <c r="AJ790" s="231">
        <v>271095</v>
      </c>
      <c r="AL790" s="254"/>
      <c r="AQ790" s="215" t="str">
        <f t="shared" si="129"/>
        <v>NA</v>
      </c>
      <c r="AR790" s="215" t="str">
        <f t="shared" si="124"/>
        <v>NA</v>
      </c>
    </row>
    <row r="791" spans="2:44">
      <c r="B791" s="230">
        <v>44249</v>
      </c>
      <c r="C791" s="1">
        <v>288.75</v>
      </c>
      <c r="D791" s="1">
        <v>290.067191283292</v>
      </c>
      <c r="E791" s="1">
        <v>1652</v>
      </c>
      <c r="F791" s="215">
        <v>49744.32</v>
      </c>
      <c r="G791" s="215">
        <f t="shared" si="125"/>
        <v>-1.4250852387909241E-4</v>
      </c>
      <c r="H791" s="215">
        <f t="shared" si="120"/>
        <v>-5.9446254071661264E-2</v>
      </c>
      <c r="I791" s="231">
        <v>479191</v>
      </c>
      <c r="K791" s="230">
        <v>44246</v>
      </c>
      <c r="L791" s="1">
        <v>512.29999999999995</v>
      </c>
      <c r="M791" s="1">
        <v>520.86137566137495</v>
      </c>
      <c r="N791" s="1">
        <v>6615</v>
      </c>
      <c r="O791" s="1">
        <v>50889.760000000002</v>
      </c>
      <c r="P791" s="215">
        <f t="shared" si="126"/>
        <v>2.3026548558709781E-2</v>
      </c>
      <c r="Q791" s="215">
        <f t="shared" si="121"/>
        <v>-1.0335168550178686E-2</v>
      </c>
      <c r="R791" s="231">
        <v>3445498</v>
      </c>
      <c r="T791" s="230">
        <v>44246</v>
      </c>
      <c r="U791" s="1">
        <v>53.95</v>
      </c>
      <c r="V791" s="1">
        <v>53.934561633549599</v>
      </c>
      <c r="W791" s="1">
        <v>267687</v>
      </c>
      <c r="X791" s="1">
        <v>50889.760000000002</v>
      </c>
      <c r="Y791" s="215">
        <f t="shared" si="127"/>
        <v>2.3026548558709781E-2</v>
      </c>
      <c r="Z791" s="215">
        <f t="shared" si="122"/>
        <v>3.0563514804202496E-2</v>
      </c>
      <c r="AA791" s="231">
        <v>14437581</v>
      </c>
      <c r="AC791" s="230">
        <v>44280</v>
      </c>
      <c r="AD791" s="1">
        <v>44.15</v>
      </c>
      <c r="AE791" s="1">
        <v>43.734678044996102</v>
      </c>
      <c r="AF791" s="1">
        <v>1289</v>
      </c>
      <c r="AG791" s="1">
        <v>48440.12</v>
      </c>
      <c r="AH791" s="215">
        <f t="shared" si="128"/>
        <v>-1.1597580011630582E-2</v>
      </c>
      <c r="AI791" s="215">
        <f t="shared" si="123"/>
        <v>1.1337868480725266E-3</v>
      </c>
      <c r="AJ791" s="231">
        <v>56374</v>
      </c>
      <c r="AL791" s="254"/>
      <c r="AQ791" s="215" t="str">
        <f t="shared" si="129"/>
        <v>NA</v>
      </c>
      <c r="AR791" s="215" t="str">
        <f t="shared" si="124"/>
        <v>NA</v>
      </c>
    </row>
    <row r="792" spans="2:44">
      <c r="B792" s="230">
        <v>44250</v>
      </c>
      <c r="C792" s="1">
        <v>307</v>
      </c>
      <c r="D792" s="1">
        <v>295.45921787709398</v>
      </c>
      <c r="E792" s="1">
        <v>2685</v>
      </c>
      <c r="F792" s="215">
        <v>49751.41</v>
      </c>
      <c r="G792" s="215">
        <f t="shared" si="125"/>
        <v>-2.0288414977918223E-2</v>
      </c>
      <c r="H792" s="215">
        <f t="shared" si="120"/>
        <v>3.6636839439473379E-2</v>
      </c>
      <c r="I792" s="231">
        <v>793308</v>
      </c>
      <c r="K792" s="230">
        <v>44249</v>
      </c>
      <c r="L792" s="1">
        <v>517.65</v>
      </c>
      <c r="M792" s="1">
        <v>519.77537085001097</v>
      </c>
      <c r="N792" s="1">
        <v>12741</v>
      </c>
      <c r="O792" s="1">
        <v>49744.32</v>
      </c>
      <c r="P792" s="215">
        <f t="shared" si="126"/>
        <v>-1.4250852387909241E-4</v>
      </c>
      <c r="Q792" s="215">
        <f t="shared" si="121"/>
        <v>-8.038728015633323E-2</v>
      </c>
      <c r="R792" s="231">
        <v>6622458</v>
      </c>
      <c r="T792" s="230">
        <v>44249</v>
      </c>
      <c r="U792" s="1">
        <v>52.35</v>
      </c>
      <c r="V792" s="1">
        <v>54.049022968803499</v>
      </c>
      <c r="W792" s="1">
        <v>67091</v>
      </c>
      <c r="X792" s="1">
        <v>49744.32</v>
      </c>
      <c r="Y792" s="215">
        <f t="shared" si="127"/>
        <v>-1.4250852387909241E-4</v>
      </c>
      <c r="Z792" s="215">
        <f t="shared" si="122"/>
        <v>-2.1495327102803663E-2</v>
      </c>
      <c r="AA792" s="231">
        <v>3626203</v>
      </c>
      <c r="AC792" s="230">
        <v>44281</v>
      </c>
      <c r="AD792" s="1">
        <v>44.1</v>
      </c>
      <c r="AE792" s="1">
        <v>44.528380634390601</v>
      </c>
      <c r="AF792" s="1">
        <v>3594</v>
      </c>
      <c r="AG792" s="1">
        <v>49008.5</v>
      </c>
      <c r="AH792" s="215">
        <f t="shared" si="128"/>
        <v>-2.2500138621341925E-2</v>
      </c>
      <c r="AI792" s="215">
        <f t="shared" si="123"/>
        <v>2.2727272727272041E-3</v>
      </c>
      <c r="AJ792" s="231">
        <v>160035</v>
      </c>
      <c r="AL792" s="254"/>
      <c r="AQ792" s="215" t="str">
        <f t="shared" si="129"/>
        <v>NA</v>
      </c>
      <c r="AR792" s="215" t="str">
        <f t="shared" si="124"/>
        <v>NA</v>
      </c>
    </row>
    <row r="793" spans="2:44">
      <c r="B793" s="230">
        <v>44251</v>
      </c>
      <c r="C793" s="1">
        <v>296.14999999999998</v>
      </c>
      <c r="D793" s="1">
        <v>299.25086805555497</v>
      </c>
      <c r="E793" s="1">
        <v>1152</v>
      </c>
      <c r="F793" s="215">
        <v>50781.69</v>
      </c>
      <c r="G793" s="215">
        <f t="shared" si="125"/>
        <v>-5.0474820290477007E-3</v>
      </c>
      <c r="H793" s="215">
        <f t="shared" si="120"/>
        <v>-2.8538625553551022E-2</v>
      </c>
      <c r="I793" s="231">
        <v>344737</v>
      </c>
      <c r="K793" s="230">
        <v>44250</v>
      </c>
      <c r="L793" s="1">
        <v>562.9</v>
      </c>
      <c r="M793" s="1">
        <v>554.01811319247497</v>
      </c>
      <c r="N793" s="1">
        <v>50074</v>
      </c>
      <c r="O793" s="1">
        <v>49751.41</v>
      </c>
      <c r="P793" s="215">
        <f t="shared" si="126"/>
        <v>-2.0288414977918223E-2</v>
      </c>
      <c r="Q793" s="215">
        <f t="shared" si="121"/>
        <v>-2.9650060334425188E-2</v>
      </c>
      <c r="R793" s="231">
        <v>27741903</v>
      </c>
      <c r="T793" s="230">
        <v>44250</v>
      </c>
      <c r="U793" s="1">
        <v>53.5</v>
      </c>
      <c r="V793" s="1">
        <v>53.366587721865898</v>
      </c>
      <c r="W793" s="1">
        <v>37579</v>
      </c>
      <c r="X793" s="1">
        <v>49751.41</v>
      </c>
      <c r="Y793" s="215">
        <f t="shared" si="127"/>
        <v>-2.0288414977918223E-2</v>
      </c>
      <c r="Z793" s="215">
        <f t="shared" si="122"/>
        <v>-1.6544117647058765E-2</v>
      </c>
      <c r="AA793" s="231">
        <v>2005463</v>
      </c>
      <c r="AC793" s="230">
        <v>44285</v>
      </c>
      <c r="AD793" s="1">
        <v>44</v>
      </c>
      <c r="AE793" s="1">
        <v>44.604042806183102</v>
      </c>
      <c r="AF793" s="1">
        <v>5046</v>
      </c>
      <c r="AG793" s="1">
        <v>50136.58</v>
      </c>
      <c r="AH793" s="215">
        <f t="shared" si="128"/>
        <v>1.2673010948481167E-2</v>
      </c>
      <c r="AI793" s="215">
        <f t="shared" si="123"/>
        <v>1.0332950631458226E-2</v>
      </c>
      <c r="AJ793" s="231">
        <v>225072</v>
      </c>
      <c r="AL793" s="254"/>
      <c r="AQ793" s="215" t="str">
        <f t="shared" si="129"/>
        <v>NA</v>
      </c>
      <c r="AR793" s="215" t="str">
        <f t="shared" si="124"/>
        <v>NA</v>
      </c>
    </row>
    <row r="794" spans="2:44">
      <c r="B794" s="230">
        <v>44252</v>
      </c>
      <c r="C794" s="1">
        <v>304.85000000000002</v>
      </c>
      <c r="D794" s="1">
        <v>303.84279191128502</v>
      </c>
      <c r="E794" s="1">
        <v>3066</v>
      </c>
      <c r="F794" s="215">
        <v>51039.31</v>
      </c>
      <c r="G794" s="215">
        <f t="shared" si="125"/>
        <v>3.9497360386427705E-2</v>
      </c>
      <c r="H794" s="215">
        <f t="shared" si="120"/>
        <v>1.0943458796219607E-2</v>
      </c>
      <c r="I794" s="231">
        <v>931582</v>
      </c>
      <c r="K794" s="230">
        <v>44251</v>
      </c>
      <c r="L794" s="1">
        <v>580.1</v>
      </c>
      <c r="M794" s="1">
        <v>575.96957453825803</v>
      </c>
      <c r="N794" s="1">
        <v>36384</v>
      </c>
      <c r="O794" s="1">
        <v>50781.69</v>
      </c>
      <c r="P794" s="215">
        <f t="shared" si="126"/>
        <v>-5.0474820290477007E-3</v>
      </c>
      <c r="Q794" s="215">
        <f t="shared" si="121"/>
        <v>-8.9689929102246824E-3</v>
      </c>
      <c r="R794" s="231">
        <v>20956077</v>
      </c>
      <c r="T794" s="230">
        <v>44251</v>
      </c>
      <c r="U794" s="1">
        <v>54.4</v>
      </c>
      <c r="V794" s="1">
        <v>54.342554404872999</v>
      </c>
      <c r="W794" s="1">
        <v>120991</v>
      </c>
      <c r="X794" s="1">
        <v>50781.69</v>
      </c>
      <c r="Y794" s="215">
        <f t="shared" si="127"/>
        <v>-5.0474820290477007E-3</v>
      </c>
      <c r="Z794" s="215">
        <f t="shared" si="122"/>
        <v>-9.1074681238615396E-3</v>
      </c>
      <c r="AA794" s="231">
        <v>6574960</v>
      </c>
      <c r="AC794" s="230">
        <v>44286</v>
      </c>
      <c r="AD794" s="1">
        <v>43.55</v>
      </c>
      <c r="AE794" s="1">
        <v>43.9231712300776</v>
      </c>
      <c r="AF794" s="1">
        <v>2447</v>
      </c>
      <c r="AG794" s="1">
        <v>49509.15</v>
      </c>
      <c r="AH794" s="215">
        <f t="shared" si="128"/>
        <v>-1.040739095055887E-2</v>
      </c>
      <c r="AI794" s="215">
        <f t="shared" si="123"/>
        <v>-6.3440860215053796E-2</v>
      </c>
      <c r="AJ794" s="231">
        <v>107480</v>
      </c>
      <c r="AL794" s="254"/>
      <c r="AQ794" s="215" t="str">
        <f t="shared" si="129"/>
        <v>NA</v>
      </c>
      <c r="AR794" s="215" t="str">
        <f t="shared" si="124"/>
        <v>NA</v>
      </c>
    </row>
    <row r="795" spans="2:44">
      <c r="B795" s="230">
        <v>44253</v>
      </c>
      <c r="C795" s="1">
        <v>301.55</v>
      </c>
      <c r="D795" s="1">
        <v>302.31395348837202</v>
      </c>
      <c r="E795" s="1">
        <v>688</v>
      </c>
      <c r="F795" s="215">
        <v>49099.99</v>
      </c>
      <c r="G795" s="215">
        <f t="shared" si="125"/>
        <v>-1.5042174658935648E-2</v>
      </c>
      <c r="H795" s="215">
        <f t="shared" si="120"/>
        <v>4.497001998667649E-3</v>
      </c>
      <c r="I795" s="231">
        <v>207992</v>
      </c>
      <c r="K795" s="230">
        <v>44252</v>
      </c>
      <c r="L795" s="1">
        <v>585.35</v>
      </c>
      <c r="M795" s="1">
        <v>596.53776493881605</v>
      </c>
      <c r="N795" s="1">
        <v>30809</v>
      </c>
      <c r="O795" s="1">
        <v>51039.31</v>
      </c>
      <c r="P795" s="215">
        <f t="shared" si="126"/>
        <v>3.9497360386427705E-2</v>
      </c>
      <c r="Q795" s="215">
        <f t="shared" si="121"/>
        <v>9.3981720986378026E-3</v>
      </c>
      <c r="R795" s="231">
        <v>18378732</v>
      </c>
      <c r="T795" s="230">
        <v>44252</v>
      </c>
      <c r="U795" s="1">
        <v>54.9</v>
      </c>
      <c r="V795" s="1">
        <v>54.881613983851501</v>
      </c>
      <c r="W795" s="1">
        <v>93136</v>
      </c>
      <c r="X795" s="1">
        <v>51039.31</v>
      </c>
      <c r="Y795" s="215">
        <f t="shared" si="127"/>
        <v>3.9497360386427705E-2</v>
      </c>
      <c r="Z795" s="215">
        <f t="shared" si="122"/>
        <v>4.0758293838862425E-2</v>
      </c>
      <c r="AA795" s="231">
        <v>5111454</v>
      </c>
      <c r="AC795" s="230">
        <v>44287</v>
      </c>
      <c r="AD795" s="1">
        <v>46.5</v>
      </c>
      <c r="AE795" s="1">
        <v>45.515017817749801</v>
      </c>
      <c r="AF795" s="1">
        <v>5893</v>
      </c>
      <c r="AG795" s="1">
        <v>50029.83</v>
      </c>
      <c r="AH795" s="215">
        <f t="shared" si="128"/>
        <v>1.7707934121139246E-2</v>
      </c>
      <c r="AI795" s="215">
        <f t="shared" si="123"/>
        <v>-0.10662824207492794</v>
      </c>
      <c r="AJ795" s="231">
        <v>268220</v>
      </c>
      <c r="AL795" s="254"/>
      <c r="AQ795" s="215" t="str">
        <f t="shared" si="129"/>
        <v>NA</v>
      </c>
      <c r="AR795" s="215" t="str">
        <f t="shared" si="124"/>
        <v>NA</v>
      </c>
    </row>
    <row r="796" spans="2:44">
      <c r="B796" s="230">
        <v>44256</v>
      </c>
      <c r="C796" s="1">
        <v>300.2</v>
      </c>
      <c r="D796" s="1">
        <v>303.97046979865701</v>
      </c>
      <c r="E796" s="1">
        <v>2980</v>
      </c>
      <c r="F796" s="215">
        <v>49849.84</v>
      </c>
      <c r="G796" s="215">
        <f t="shared" si="125"/>
        <v>-8.8882235064633441E-3</v>
      </c>
      <c r="H796" s="215">
        <f t="shared" si="120"/>
        <v>-3.6508463325589657E-3</v>
      </c>
      <c r="I796" s="231">
        <v>905832</v>
      </c>
      <c r="K796" s="230">
        <v>44253</v>
      </c>
      <c r="L796" s="1">
        <v>579.9</v>
      </c>
      <c r="M796" s="1">
        <v>584.61268289175598</v>
      </c>
      <c r="N796" s="1">
        <v>27817</v>
      </c>
      <c r="O796" s="1">
        <v>49099.99</v>
      </c>
      <c r="P796" s="215">
        <f t="shared" si="126"/>
        <v>-1.5042174658935648E-2</v>
      </c>
      <c r="Q796" s="215">
        <f t="shared" si="121"/>
        <v>-7.6152990502268425E-3</v>
      </c>
      <c r="R796" s="231">
        <v>16262171</v>
      </c>
      <c r="T796" s="230">
        <v>44253</v>
      </c>
      <c r="U796" s="1">
        <v>52.75</v>
      </c>
      <c r="V796" s="1">
        <v>53.429521558261101</v>
      </c>
      <c r="W796" s="1">
        <v>118029</v>
      </c>
      <c r="X796" s="1">
        <v>49099.99</v>
      </c>
      <c r="Y796" s="215">
        <f t="shared" si="127"/>
        <v>-1.5042174658935648E-2</v>
      </c>
      <c r="Z796" s="215">
        <f t="shared" si="122"/>
        <v>-8.4586466165413876E-3</v>
      </c>
      <c r="AA796" s="231">
        <v>6306233</v>
      </c>
      <c r="AC796" s="230">
        <v>44291</v>
      </c>
      <c r="AD796" s="1">
        <v>52.05</v>
      </c>
      <c r="AE796" s="1">
        <v>50.359176208651299</v>
      </c>
      <c r="AF796" s="1">
        <v>37728</v>
      </c>
      <c r="AG796" s="1">
        <v>49159.32</v>
      </c>
      <c r="AH796" s="215">
        <f t="shared" si="128"/>
        <v>-8.5505714371081343E-4</v>
      </c>
      <c r="AI796" s="215">
        <f t="shared" si="123"/>
        <v>1.9588638589618013E-2</v>
      </c>
      <c r="AJ796" s="231">
        <v>1899951</v>
      </c>
      <c r="AL796" s="254"/>
      <c r="AQ796" s="215" t="str">
        <f t="shared" si="129"/>
        <v>NA</v>
      </c>
      <c r="AR796" s="215" t="str">
        <f t="shared" si="124"/>
        <v>NA</v>
      </c>
    </row>
    <row r="797" spans="2:44">
      <c r="B797" s="230">
        <v>44257</v>
      </c>
      <c r="C797" s="1">
        <v>301.3</v>
      </c>
      <c r="D797" s="1">
        <v>302.518151815181</v>
      </c>
      <c r="E797" s="1">
        <v>1515</v>
      </c>
      <c r="F797" s="215">
        <v>50296.89</v>
      </c>
      <c r="G797" s="215">
        <f t="shared" si="125"/>
        <v>-2.2310580400488722E-2</v>
      </c>
      <c r="H797" s="215">
        <f t="shared" si="120"/>
        <v>-1.3747954173486066E-2</v>
      </c>
      <c r="I797" s="231">
        <v>458315</v>
      </c>
      <c r="K797" s="230">
        <v>44256</v>
      </c>
      <c r="L797" s="1">
        <v>584.35</v>
      </c>
      <c r="M797" s="1">
        <v>590.02328103815603</v>
      </c>
      <c r="N797" s="1">
        <v>25815</v>
      </c>
      <c r="O797" s="1">
        <v>49849.84</v>
      </c>
      <c r="P797" s="215">
        <f t="shared" si="126"/>
        <v>-8.8882235064633441E-3</v>
      </c>
      <c r="Q797" s="215">
        <f t="shared" si="121"/>
        <v>1.0112359550561889E-2</v>
      </c>
      <c r="R797" s="231">
        <v>15231451</v>
      </c>
      <c r="T797" s="230">
        <v>44256</v>
      </c>
      <c r="U797" s="1">
        <v>53.2</v>
      </c>
      <c r="V797" s="1">
        <v>53.263619974315901</v>
      </c>
      <c r="W797" s="1">
        <v>80984</v>
      </c>
      <c r="X797" s="1">
        <v>49849.84</v>
      </c>
      <c r="Y797" s="215">
        <f t="shared" si="127"/>
        <v>-8.8882235064633441E-3</v>
      </c>
      <c r="Z797" s="215">
        <f t="shared" si="122"/>
        <v>-0.15488482922954727</v>
      </c>
      <c r="AA797" s="231">
        <v>4313501</v>
      </c>
      <c r="AC797" s="230">
        <v>44292</v>
      </c>
      <c r="AD797" s="1">
        <v>51.05</v>
      </c>
      <c r="AE797" s="1">
        <v>53.464381485367802</v>
      </c>
      <c r="AF797" s="1">
        <v>34308</v>
      </c>
      <c r="AG797" s="1">
        <v>49201.39</v>
      </c>
      <c r="AH797" s="215">
        <f t="shared" si="128"/>
        <v>-9.2701104431257564E-3</v>
      </c>
      <c r="AI797" s="215">
        <f t="shared" si="123"/>
        <v>-4.4007490636704172E-2</v>
      </c>
      <c r="AJ797" s="231">
        <v>1834256</v>
      </c>
      <c r="AL797" s="254"/>
      <c r="AQ797" s="215" t="str">
        <f t="shared" si="129"/>
        <v>NA</v>
      </c>
      <c r="AR797" s="215" t="str">
        <f t="shared" si="124"/>
        <v>NA</v>
      </c>
    </row>
    <row r="798" spans="2:44">
      <c r="B798" s="230">
        <v>44258</v>
      </c>
      <c r="C798" s="1">
        <v>305.5</v>
      </c>
      <c r="D798" s="1">
        <v>304.55901116427401</v>
      </c>
      <c r="E798" s="1">
        <v>1254</v>
      </c>
      <c r="F798" s="215">
        <v>51444.65</v>
      </c>
      <c r="G798" s="215">
        <f t="shared" si="125"/>
        <v>1.1772195614686565E-2</v>
      </c>
      <c r="H798" s="215">
        <f t="shared" si="120"/>
        <v>1.8035743564519535E-3</v>
      </c>
      <c r="I798" s="231">
        <v>381917</v>
      </c>
      <c r="K798" s="230">
        <v>44257</v>
      </c>
      <c r="L798" s="1">
        <v>578.5</v>
      </c>
      <c r="M798" s="1">
        <v>583.63138604233598</v>
      </c>
      <c r="N798" s="1">
        <v>13369</v>
      </c>
      <c r="O798" s="1">
        <v>50296.89</v>
      </c>
      <c r="P798" s="215">
        <f t="shared" si="126"/>
        <v>-2.2310580400488722E-2</v>
      </c>
      <c r="Q798" s="215">
        <f t="shared" si="121"/>
        <v>-2.3628691983122341E-2</v>
      </c>
      <c r="R798" s="231">
        <v>7802568</v>
      </c>
      <c r="T798" s="230">
        <v>44257</v>
      </c>
      <c r="U798" s="1">
        <v>62.95</v>
      </c>
      <c r="V798" s="1">
        <v>60.305633104915202</v>
      </c>
      <c r="W798" s="1">
        <v>992916</v>
      </c>
      <c r="X798" s="1">
        <v>50296.89</v>
      </c>
      <c r="Y798" s="215">
        <f t="shared" si="127"/>
        <v>-2.2310580400488722E-2</v>
      </c>
      <c r="Z798" s="215">
        <f t="shared" si="122"/>
        <v>3.2813781788351148E-2</v>
      </c>
      <c r="AA798" s="231">
        <v>59878428</v>
      </c>
      <c r="AC798" s="230">
        <v>44293</v>
      </c>
      <c r="AD798" s="1">
        <v>53.4</v>
      </c>
      <c r="AE798" s="1">
        <v>51.385415663230901</v>
      </c>
      <c r="AF798" s="1">
        <v>20762</v>
      </c>
      <c r="AG798" s="1">
        <v>49661.760000000002</v>
      </c>
      <c r="AH798" s="215">
        <f t="shared" si="128"/>
        <v>-1.6976167631663763E-3</v>
      </c>
      <c r="AI798" s="215">
        <f t="shared" si="123"/>
        <v>-3.7313432835821558E-3</v>
      </c>
      <c r="AJ798" s="231">
        <v>1066864</v>
      </c>
      <c r="AL798" s="254"/>
      <c r="AQ798" s="215" t="str">
        <f t="shared" si="129"/>
        <v>NA</v>
      </c>
      <c r="AR798" s="215" t="str">
        <f t="shared" si="124"/>
        <v>NA</v>
      </c>
    </row>
    <row r="799" spans="2:44">
      <c r="B799" s="230">
        <v>44259</v>
      </c>
      <c r="C799" s="1">
        <v>304.95</v>
      </c>
      <c r="D799" s="1">
        <v>305.61168384879699</v>
      </c>
      <c r="E799" s="1">
        <v>291</v>
      </c>
      <c r="F799" s="215">
        <v>50846.080000000002</v>
      </c>
      <c r="G799" s="215">
        <f t="shared" si="125"/>
        <v>8.7443150842014816E-3</v>
      </c>
      <c r="H799" s="215">
        <f t="shared" si="120"/>
        <v>2.3322147651006597E-2</v>
      </c>
      <c r="I799" s="231">
        <v>88933</v>
      </c>
      <c r="K799" s="230">
        <v>44258</v>
      </c>
      <c r="L799" s="1">
        <v>592.5</v>
      </c>
      <c r="M799" s="1">
        <v>601.61216234745598</v>
      </c>
      <c r="N799" s="1">
        <v>14586</v>
      </c>
      <c r="O799" s="1">
        <v>51444.65</v>
      </c>
      <c r="P799" s="215">
        <f t="shared" si="126"/>
        <v>1.1772195614686565E-2</v>
      </c>
      <c r="Q799" s="215">
        <f t="shared" si="121"/>
        <v>9.7997443544950436E-3</v>
      </c>
      <c r="R799" s="231">
        <v>8775115</v>
      </c>
      <c r="T799" s="230">
        <v>44258</v>
      </c>
      <c r="U799" s="1">
        <v>60.95</v>
      </c>
      <c r="V799" s="1">
        <v>62.572475608842701</v>
      </c>
      <c r="W799" s="1">
        <v>293754</v>
      </c>
      <c r="X799" s="1">
        <v>51444.65</v>
      </c>
      <c r="Y799" s="215">
        <f t="shared" si="127"/>
        <v>1.1772195614686565E-2</v>
      </c>
      <c r="Z799" s="215">
        <f t="shared" si="122"/>
        <v>3.7446808510638308E-2</v>
      </c>
      <c r="AA799" s="231">
        <v>18380915</v>
      </c>
      <c r="AC799" s="230">
        <v>44294</v>
      </c>
      <c r="AD799" s="1">
        <v>53.6</v>
      </c>
      <c r="AE799" s="1">
        <v>54.510721882605402</v>
      </c>
      <c r="AF799" s="1">
        <v>52183</v>
      </c>
      <c r="AG799" s="1">
        <v>49746.21</v>
      </c>
      <c r="AH799" s="215">
        <f t="shared" si="128"/>
        <v>3.1233288406116166E-3</v>
      </c>
      <c r="AI799" s="215">
        <f t="shared" si="123"/>
        <v>1.5151515151515138E-2</v>
      </c>
      <c r="AJ799" s="231">
        <v>2844533</v>
      </c>
      <c r="AL799" s="254"/>
      <c r="AQ799" s="215" t="str">
        <f t="shared" si="129"/>
        <v>NA</v>
      </c>
      <c r="AR799" s="215" t="str">
        <f t="shared" si="124"/>
        <v>NA</v>
      </c>
    </row>
    <row r="800" spans="2:44">
      <c r="B800" s="230">
        <v>44260</v>
      </c>
      <c r="C800" s="1">
        <v>298</v>
      </c>
      <c r="D800" s="1">
        <v>300.96388505609201</v>
      </c>
      <c r="E800" s="1">
        <v>16669</v>
      </c>
      <c r="F800" s="215">
        <v>50405.32</v>
      </c>
      <c r="G800" s="215">
        <f t="shared" si="125"/>
        <v>-7.0874785170105259E-4</v>
      </c>
      <c r="H800" s="215">
        <f t="shared" si="120"/>
        <v>-9.966777408637828E-3</v>
      </c>
      <c r="I800" s="231">
        <v>5016767</v>
      </c>
      <c r="K800" s="230">
        <v>44259</v>
      </c>
      <c r="L800" s="1">
        <v>586.75</v>
      </c>
      <c r="M800" s="1">
        <v>591.01849333695895</v>
      </c>
      <c r="N800" s="1">
        <v>11031</v>
      </c>
      <c r="O800" s="1">
        <v>50846.080000000002</v>
      </c>
      <c r="P800" s="215">
        <f t="shared" si="126"/>
        <v>8.7443150842014816E-3</v>
      </c>
      <c r="Q800" s="215">
        <f t="shared" si="121"/>
        <v>4.3296586059744069E-2</v>
      </c>
      <c r="R800" s="231">
        <v>6519525</v>
      </c>
      <c r="T800" s="230">
        <v>44259</v>
      </c>
      <c r="U800" s="1">
        <v>58.75</v>
      </c>
      <c r="V800" s="1">
        <v>60.273096622398299</v>
      </c>
      <c r="W800" s="1">
        <v>242687</v>
      </c>
      <c r="X800" s="1">
        <v>50846.080000000002</v>
      </c>
      <c r="Y800" s="215">
        <f t="shared" si="127"/>
        <v>8.7443150842014816E-3</v>
      </c>
      <c r="Z800" s="215">
        <f t="shared" si="122"/>
        <v>6.2386980108499079E-2</v>
      </c>
      <c r="AA800" s="231">
        <v>14627497</v>
      </c>
      <c r="AC800" s="230">
        <v>44295</v>
      </c>
      <c r="AD800" s="1">
        <v>52.8</v>
      </c>
      <c r="AE800" s="1">
        <v>53.362616426756901</v>
      </c>
      <c r="AF800" s="1">
        <v>4724</v>
      </c>
      <c r="AG800" s="1">
        <v>49591.32</v>
      </c>
      <c r="AH800" s="215">
        <f t="shared" si="128"/>
        <v>3.5668743518106005E-2</v>
      </c>
      <c r="AI800" s="215">
        <f t="shared" si="123"/>
        <v>0.10575916230366489</v>
      </c>
      <c r="AJ800" s="231">
        <v>252085</v>
      </c>
      <c r="AL800" s="254"/>
      <c r="AQ800" s="215" t="str">
        <f t="shared" si="129"/>
        <v>NA</v>
      </c>
      <c r="AR800" s="215" t="str">
        <f t="shared" si="124"/>
        <v>NA</v>
      </c>
    </row>
    <row r="801" spans="2:44">
      <c r="B801" s="230">
        <v>44263</v>
      </c>
      <c r="C801" s="1">
        <v>301</v>
      </c>
      <c r="D801" s="1">
        <v>300.21568627450898</v>
      </c>
      <c r="E801" s="1">
        <v>714</v>
      </c>
      <c r="F801" s="215">
        <v>50441.07</v>
      </c>
      <c r="G801" s="215">
        <f t="shared" si="125"/>
        <v>-1.1453297450607081E-2</v>
      </c>
      <c r="H801" s="215">
        <f t="shared" si="120"/>
        <v>3.1351721774884211E-2</v>
      </c>
      <c r="I801" s="231">
        <v>214354</v>
      </c>
      <c r="K801" s="230">
        <v>44260</v>
      </c>
      <c r="L801" s="1">
        <v>562.4</v>
      </c>
      <c r="M801" s="1">
        <v>570.39973968302502</v>
      </c>
      <c r="N801" s="1">
        <v>13061</v>
      </c>
      <c r="O801" s="1">
        <v>50405.32</v>
      </c>
      <c r="P801" s="215">
        <f t="shared" si="126"/>
        <v>-7.0874785170105259E-4</v>
      </c>
      <c r="Q801" s="215">
        <f t="shared" si="121"/>
        <v>-4.3374347171816208E-3</v>
      </c>
      <c r="R801" s="231">
        <v>7449991</v>
      </c>
      <c r="T801" s="230">
        <v>44260</v>
      </c>
      <c r="U801" s="1">
        <v>55.3</v>
      </c>
      <c r="V801" s="1">
        <v>57.033573875646901</v>
      </c>
      <c r="W801" s="1">
        <v>205785</v>
      </c>
      <c r="X801" s="1">
        <v>50405.32</v>
      </c>
      <c r="Y801" s="215">
        <f t="shared" si="127"/>
        <v>-7.0874785170105259E-4</v>
      </c>
      <c r="Z801" s="215">
        <f t="shared" si="122"/>
        <v>-0.10662358642972536</v>
      </c>
      <c r="AA801" s="231">
        <v>11736654</v>
      </c>
      <c r="AC801" s="230">
        <v>44298</v>
      </c>
      <c r="AD801" s="1">
        <v>47.75</v>
      </c>
      <c r="AE801" s="1">
        <v>47.277770820287998</v>
      </c>
      <c r="AF801" s="1">
        <v>7985</v>
      </c>
      <c r="AG801" s="1">
        <v>47883.38</v>
      </c>
      <c r="AH801" s="215">
        <f t="shared" si="128"/>
        <v>-1.3609904074772472E-2</v>
      </c>
      <c r="AI801" s="215">
        <f t="shared" si="123"/>
        <v>-1.1387163561076497E-2</v>
      </c>
      <c r="AJ801" s="231">
        <v>377513</v>
      </c>
      <c r="AL801" s="254"/>
      <c r="AQ801" s="215" t="str">
        <f t="shared" si="129"/>
        <v>NA</v>
      </c>
      <c r="AR801" s="215" t="str">
        <f t="shared" si="124"/>
        <v>NA</v>
      </c>
    </row>
    <row r="802" spans="2:44">
      <c r="B802" s="230">
        <v>44264</v>
      </c>
      <c r="C802" s="1">
        <v>291.85000000000002</v>
      </c>
      <c r="D802" s="1">
        <v>295.86620262954301</v>
      </c>
      <c r="E802" s="1">
        <v>1293</v>
      </c>
      <c r="F802" s="215">
        <v>51025.48</v>
      </c>
      <c r="G802" s="215">
        <f t="shared" si="125"/>
        <v>-4.9538304870697658E-3</v>
      </c>
      <c r="H802" s="215">
        <f t="shared" si="120"/>
        <v>-1.0677966101694802E-2</v>
      </c>
      <c r="I802" s="231">
        <v>382555</v>
      </c>
      <c r="K802" s="230">
        <v>44263</v>
      </c>
      <c r="L802" s="1">
        <v>564.85</v>
      </c>
      <c r="M802" s="1">
        <v>568.21302693890198</v>
      </c>
      <c r="N802" s="1">
        <v>12881</v>
      </c>
      <c r="O802" s="1">
        <v>50441.07</v>
      </c>
      <c r="P802" s="215">
        <f t="shared" si="126"/>
        <v>-1.1453297450607081E-2</v>
      </c>
      <c r="Q802" s="215">
        <f t="shared" si="121"/>
        <v>5.8663667884921944E-2</v>
      </c>
      <c r="R802" s="231">
        <v>7319152</v>
      </c>
      <c r="T802" s="230">
        <v>44263</v>
      </c>
      <c r="U802" s="1">
        <v>61.9</v>
      </c>
      <c r="V802" s="1">
        <v>60.968482378049899</v>
      </c>
      <c r="W802" s="1">
        <v>520090</v>
      </c>
      <c r="X802" s="1">
        <v>50441.07</v>
      </c>
      <c r="Y802" s="215">
        <f t="shared" si="127"/>
        <v>-1.1453297450607081E-2</v>
      </c>
      <c r="Z802" s="215">
        <f t="shared" si="122"/>
        <v>-3.2812500000000022E-2</v>
      </c>
      <c r="AA802" s="231">
        <v>31709098</v>
      </c>
      <c r="AC802" s="230">
        <v>44299</v>
      </c>
      <c r="AD802" s="1">
        <v>48.3</v>
      </c>
      <c r="AE802" s="1">
        <v>47.649865591397798</v>
      </c>
      <c r="AF802" s="1">
        <v>7440</v>
      </c>
      <c r="AG802" s="1">
        <v>48544.06</v>
      </c>
      <c r="AH802" s="215">
        <f t="shared" si="128"/>
        <v>-5.3196808109552407E-3</v>
      </c>
      <c r="AI802" s="215">
        <f t="shared" si="123"/>
        <v>3.8709677419354716E-2</v>
      </c>
      <c r="AJ802" s="231">
        <v>354515</v>
      </c>
      <c r="AL802" s="254"/>
      <c r="AQ802" s="215" t="str">
        <f t="shared" si="129"/>
        <v>NA</v>
      </c>
      <c r="AR802" s="215" t="str">
        <f t="shared" si="124"/>
        <v>NA</v>
      </c>
    </row>
    <row r="803" spans="2:44">
      <c r="B803" s="230">
        <v>44265</v>
      </c>
      <c r="C803" s="1">
        <v>295</v>
      </c>
      <c r="D803" s="1">
        <v>298.79338842975199</v>
      </c>
      <c r="E803" s="1">
        <v>121</v>
      </c>
      <c r="F803" s="215">
        <v>51279.51</v>
      </c>
      <c r="G803" s="215">
        <f t="shared" si="125"/>
        <v>9.5965748990787247E-3</v>
      </c>
      <c r="H803" s="215">
        <f t="shared" si="120"/>
        <v>2.0055325034578297E-2</v>
      </c>
      <c r="I803" s="231">
        <v>36154</v>
      </c>
      <c r="K803" s="230">
        <v>44264</v>
      </c>
      <c r="L803" s="1">
        <v>533.54999999999995</v>
      </c>
      <c r="M803" s="1">
        <v>550.29563171054497</v>
      </c>
      <c r="N803" s="1">
        <v>33995</v>
      </c>
      <c r="O803" s="1">
        <v>51025.48</v>
      </c>
      <c r="P803" s="215">
        <f t="shared" si="126"/>
        <v>-4.9538304870697658E-3</v>
      </c>
      <c r="Q803" s="215">
        <f t="shared" si="121"/>
        <v>-3.8562032615551134E-2</v>
      </c>
      <c r="R803" s="231">
        <v>18707300</v>
      </c>
      <c r="T803" s="230">
        <v>44264</v>
      </c>
      <c r="U803" s="1">
        <v>64</v>
      </c>
      <c r="V803" s="1">
        <v>66.116972606739495</v>
      </c>
      <c r="W803" s="1">
        <v>1291157</v>
      </c>
      <c r="X803" s="1">
        <v>51025.48</v>
      </c>
      <c r="Y803" s="215">
        <f t="shared" si="127"/>
        <v>-4.9538304870697658E-3</v>
      </c>
      <c r="Z803" s="215">
        <f t="shared" si="122"/>
        <v>1.0260457774269982E-2</v>
      </c>
      <c r="AA803" s="231">
        <v>85367392</v>
      </c>
      <c r="AC803" s="230">
        <v>44301</v>
      </c>
      <c r="AD803" s="1">
        <v>46.5</v>
      </c>
      <c r="AE803" s="1">
        <v>47.314178491849397</v>
      </c>
      <c r="AF803" s="1">
        <v>8527</v>
      </c>
      <c r="AG803" s="1">
        <v>48803.68</v>
      </c>
      <c r="AH803" s="215">
        <f t="shared" si="128"/>
        <v>-5.8056156993679942E-4</v>
      </c>
      <c r="AI803" s="215">
        <f t="shared" si="123"/>
        <v>-6.6265060240963791E-2</v>
      </c>
      <c r="AJ803" s="231">
        <v>403448</v>
      </c>
      <c r="AL803" s="254"/>
      <c r="AQ803" s="215" t="str">
        <f t="shared" si="129"/>
        <v>NA</v>
      </c>
      <c r="AR803" s="215" t="str">
        <f t="shared" si="124"/>
        <v>NA</v>
      </c>
    </row>
    <row r="804" spans="2:44">
      <c r="B804" s="230">
        <v>44267</v>
      </c>
      <c r="C804" s="1">
        <v>289.2</v>
      </c>
      <c r="D804" s="1">
        <v>294.35926412614901</v>
      </c>
      <c r="E804" s="1">
        <v>3805</v>
      </c>
      <c r="F804" s="215">
        <v>50792.08</v>
      </c>
      <c r="G804" s="215">
        <f t="shared" si="125"/>
        <v>7.8777531457436822E-3</v>
      </c>
      <c r="H804" s="215">
        <f t="shared" si="120"/>
        <v>6.6132962060563294E-3</v>
      </c>
      <c r="I804" s="231">
        <v>1120037</v>
      </c>
      <c r="K804" s="230">
        <v>44265</v>
      </c>
      <c r="L804" s="1">
        <v>554.95000000000005</v>
      </c>
      <c r="M804" s="1">
        <v>545.84851895858003</v>
      </c>
      <c r="N804" s="1">
        <v>47973</v>
      </c>
      <c r="O804" s="1">
        <v>51279.51</v>
      </c>
      <c r="P804" s="215">
        <f t="shared" si="126"/>
        <v>9.5965748990787247E-3</v>
      </c>
      <c r="Q804" s="215">
        <f t="shared" si="121"/>
        <v>-1.219295122819497E-2</v>
      </c>
      <c r="R804" s="231">
        <v>26185991</v>
      </c>
      <c r="T804" s="230">
        <v>44265</v>
      </c>
      <c r="U804" s="1">
        <v>63.35</v>
      </c>
      <c r="V804" s="1">
        <v>63.9084997120368</v>
      </c>
      <c r="W804" s="1">
        <v>250032</v>
      </c>
      <c r="X804" s="1">
        <v>51279.51</v>
      </c>
      <c r="Y804" s="215">
        <f t="shared" si="127"/>
        <v>9.5965748990787247E-3</v>
      </c>
      <c r="Z804" s="215">
        <f t="shared" si="122"/>
        <v>-3.429878048780477E-2</v>
      </c>
      <c r="AA804" s="231">
        <v>15979170</v>
      </c>
      <c r="AC804" s="230">
        <v>44302</v>
      </c>
      <c r="AD804" s="1">
        <v>49.8</v>
      </c>
      <c r="AE804" s="1">
        <v>50.5072275266782</v>
      </c>
      <c r="AF804" s="1">
        <v>33829</v>
      </c>
      <c r="AG804" s="1">
        <v>48832.03</v>
      </c>
      <c r="AH804" s="215">
        <f t="shared" si="128"/>
        <v>1.8407104820037379E-2</v>
      </c>
      <c r="AI804" s="215">
        <f t="shared" si="123"/>
        <v>3.3195020746887849E-2</v>
      </c>
      <c r="AJ804" s="231">
        <v>1708609</v>
      </c>
      <c r="AL804" s="254"/>
      <c r="AQ804" s="215" t="str">
        <f t="shared" si="129"/>
        <v>NA</v>
      </c>
      <c r="AR804" s="215" t="str">
        <f t="shared" si="124"/>
        <v>NA</v>
      </c>
    </row>
    <row r="805" spans="2:44">
      <c r="B805" s="230">
        <v>44270</v>
      </c>
      <c r="C805" s="1">
        <v>287.3</v>
      </c>
      <c r="D805" s="1">
        <v>289.85500575373902</v>
      </c>
      <c r="E805" s="1">
        <v>869</v>
      </c>
      <c r="F805" s="215">
        <v>50395.08</v>
      </c>
      <c r="G805" s="215">
        <f t="shared" si="125"/>
        <v>6.1790216654933339E-4</v>
      </c>
      <c r="H805" s="215">
        <f t="shared" si="120"/>
        <v>-2.9391891891891841E-2</v>
      </c>
      <c r="I805" s="231">
        <v>251884</v>
      </c>
      <c r="K805" s="230">
        <v>44267</v>
      </c>
      <c r="L805" s="1">
        <v>561.79999999999995</v>
      </c>
      <c r="M805" s="1">
        <v>560.06148434752004</v>
      </c>
      <c r="N805" s="1">
        <v>14215</v>
      </c>
      <c r="O805" s="1">
        <v>50792.08</v>
      </c>
      <c r="P805" s="215">
        <f t="shared" si="126"/>
        <v>7.8777531457436822E-3</v>
      </c>
      <c r="Q805" s="215">
        <f t="shared" si="121"/>
        <v>-0.10676524366006845</v>
      </c>
      <c r="R805" s="231">
        <v>7961274</v>
      </c>
      <c r="T805" s="230">
        <v>44267</v>
      </c>
      <c r="U805" s="1">
        <v>65.599999999999994</v>
      </c>
      <c r="V805" s="1">
        <v>66.0883218209799</v>
      </c>
      <c r="W805" s="1">
        <v>279410</v>
      </c>
      <c r="X805" s="1">
        <v>50792.08</v>
      </c>
      <c r="Y805" s="215">
        <f t="shared" si="127"/>
        <v>7.8777531457436822E-3</v>
      </c>
      <c r="Z805" s="215">
        <f t="shared" si="122"/>
        <v>-1.4274981217130001E-2</v>
      </c>
      <c r="AA805" s="231">
        <v>18465738</v>
      </c>
      <c r="AC805" s="230">
        <v>44305</v>
      </c>
      <c r="AD805" s="1">
        <v>48.2</v>
      </c>
      <c r="AE805" s="1">
        <v>48.475946775844399</v>
      </c>
      <c r="AF805" s="1">
        <v>2931</v>
      </c>
      <c r="AG805" s="1">
        <v>47949.42</v>
      </c>
      <c r="AH805" s="215">
        <f t="shared" si="128"/>
        <v>5.106716583727744E-3</v>
      </c>
      <c r="AI805" s="215">
        <f t="shared" si="123"/>
        <v>5.2137643378520337E-3</v>
      </c>
      <c r="AJ805" s="231">
        <v>142083</v>
      </c>
      <c r="AL805" s="254"/>
      <c r="AQ805" s="215" t="str">
        <f t="shared" si="129"/>
        <v>NA</v>
      </c>
      <c r="AR805" s="215" t="str">
        <f t="shared" si="124"/>
        <v>NA</v>
      </c>
    </row>
    <row r="806" spans="2:44">
      <c r="B806" s="230">
        <v>44271</v>
      </c>
      <c r="C806" s="1">
        <v>296</v>
      </c>
      <c r="D806" s="1">
        <v>294.40856031128402</v>
      </c>
      <c r="E806" s="1">
        <v>1285</v>
      </c>
      <c r="F806" s="215">
        <v>50363.96</v>
      </c>
      <c r="G806" s="215">
        <f t="shared" si="125"/>
        <v>1.1291600554359515E-2</v>
      </c>
      <c r="H806" s="215">
        <f t="shared" si="120"/>
        <v>6.8027210884353817E-3</v>
      </c>
      <c r="I806" s="231">
        <v>378315</v>
      </c>
      <c r="K806" s="230">
        <v>44270</v>
      </c>
      <c r="L806" s="1">
        <v>628.95000000000005</v>
      </c>
      <c r="M806" s="1">
        <v>609.86259062503302</v>
      </c>
      <c r="N806" s="1">
        <v>93931</v>
      </c>
      <c r="O806" s="1">
        <v>50395.08</v>
      </c>
      <c r="P806" s="215">
        <f t="shared" si="126"/>
        <v>6.1790216654933339E-4</v>
      </c>
      <c r="Q806" s="215">
        <f t="shared" si="121"/>
        <v>7.932692307692335E-3</v>
      </c>
      <c r="R806" s="231">
        <v>57285003</v>
      </c>
      <c r="T806" s="230">
        <v>44270</v>
      </c>
      <c r="U806" s="1">
        <v>66.55</v>
      </c>
      <c r="V806" s="1">
        <v>66.853216262645503</v>
      </c>
      <c r="W806" s="1">
        <v>523900</v>
      </c>
      <c r="X806" s="1">
        <v>50395.08</v>
      </c>
      <c r="Y806" s="215">
        <f t="shared" si="127"/>
        <v>6.1790216654933339E-4</v>
      </c>
      <c r="Z806" s="215">
        <f t="shared" si="122"/>
        <v>-6.7927170868347431E-2</v>
      </c>
      <c r="AA806" s="231">
        <v>35024400</v>
      </c>
      <c r="AC806" s="230">
        <v>44306</v>
      </c>
      <c r="AD806" s="1">
        <v>47.95</v>
      </c>
      <c r="AE806" s="1">
        <v>48.660734463276803</v>
      </c>
      <c r="AF806" s="1">
        <v>3540</v>
      </c>
      <c r="AG806" s="1">
        <v>47705.8</v>
      </c>
      <c r="AH806" s="215">
        <f t="shared" si="128"/>
        <v>-7.7966883572960777E-3</v>
      </c>
      <c r="AI806" s="215">
        <f t="shared" si="123"/>
        <v>-3.2290615539858569E-2</v>
      </c>
      <c r="AJ806" s="231">
        <v>172259</v>
      </c>
      <c r="AL806" s="254"/>
      <c r="AQ806" s="215" t="str">
        <f t="shared" si="129"/>
        <v>NA</v>
      </c>
      <c r="AR806" s="215" t="str">
        <f t="shared" si="124"/>
        <v>NA</v>
      </c>
    </row>
    <row r="807" spans="2:44">
      <c r="B807" s="230">
        <v>44272</v>
      </c>
      <c r="C807" s="1">
        <v>294</v>
      </c>
      <c r="D807" s="1">
        <v>294.562568008705</v>
      </c>
      <c r="E807" s="1">
        <v>919</v>
      </c>
      <c r="F807" s="215">
        <v>49801.62</v>
      </c>
      <c r="G807" s="215">
        <f t="shared" si="125"/>
        <v>1.1888284665392934E-2</v>
      </c>
      <c r="H807" s="215">
        <f t="shared" si="120"/>
        <v>4.2368374401701825E-2</v>
      </c>
      <c r="I807" s="231">
        <v>270703</v>
      </c>
      <c r="K807" s="230">
        <v>44271</v>
      </c>
      <c r="L807" s="1">
        <v>624</v>
      </c>
      <c r="M807" s="1">
        <v>633.53439533318306</v>
      </c>
      <c r="N807" s="1">
        <v>22285</v>
      </c>
      <c r="O807" s="1">
        <v>50363.96</v>
      </c>
      <c r="P807" s="215">
        <f t="shared" si="126"/>
        <v>1.1291600554359515E-2</v>
      </c>
      <c r="Q807" s="215">
        <f t="shared" si="121"/>
        <v>3.3968516984258512E-2</v>
      </c>
      <c r="R807" s="231">
        <v>14118314</v>
      </c>
      <c r="T807" s="230">
        <v>44271</v>
      </c>
      <c r="U807" s="1">
        <v>71.400000000000006</v>
      </c>
      <c r="V807" s="1">
        <v>71.244963385253897</v>
      </c>
      <c r="W807" s="1">
        <v>419230</v>
      </c>
      <c r="X807" s="1">
        <v>50363.96</v>
      </c>
      <c r="Y807" s="215">
        <f t="shared" si="127"/>
        <v>1.1291600554359515E-2</v>
      </c>
      <c r="Z807" s="215">
        <f t="shared" si="122"/>
        <v>7.2877535687453143E-2</v>
      </c>
      <c r="AA807" s="231">
        <v>29868026</v>
      </c>
      <c r="AC807" s="230">
        <v>44308</v>
      </c>
      <c r="AD807" s="1">
        <v>49.55</v>
      </c>
      <c r="AE807" s="1">
        <v>49.6067907995618</v>
      </c>
      <c r="AF807" s="1">
        <v>1826</v>
      </c>
      <c r="AG807" s="1">
        <v>48080.67</v>
      </c>
      <c r="AH807" s="215">
        <f t="shared" si="128"/>
        <v>4.2236120843510694E-3</v>
      </c>
      <c r="AI807" s="215">
        <f t="shared" si="123"/>
        <v>0</v>
      </c>
      <c r="AJ807" s="231">
        <v>90582</v>
      </c>
      <c r="AL807" s="254"/>
      <c r="AQ807" s="215" t="str">
        <f t="shared" si="129"/>
        <v>NA</v>
      </c>
      <c r="AR807" s="215" t="str">
        <f t="shared" si="124"/>
        <v>NA</v>
      </c>
    </row>
    <row r="808" spans="2:44">
      <c r="B808" s="230">
        <v>44273</v>
      </c>
      <c r="C808" s="1">
        <v>282.05</v>
      </c>
      <c r="D808" s="1">
        <v>284.89111241907</v>
      </c>
      <c r="E808" s="1">
        <v>1699</v>
      </c>
      <c r="F808" s="215">
        <v>49216.52</v>
      </c>
      <c r="G808" s="215">
        <f t="shared" si="125"/>
        <v>-1.2870891551727492E-2</v>
      </c>
      <c r="H808" s="215">
        <f t="shared" si="120"/>
        <v>5.3466405275353068E-3</v>
      </c>
      <c r="I808" s="231">
        <v>484030</v>
      </c>
      <c r="K808" s="230">
        <v>44272</v>
      </c>
      <c r="L808" s="1">
        <v>603.5</v>
      </c>
      <c r="M808" s="1">
        <v>617.91382598914197</v>
      </c>
      <c r="N808" s="1">
        <v>20447</v>
      </c>
      <c r="O808" s="1">
        <v>49801.62</v>
      </c>
      <c r="P808" s="215">
        <f t="shared" si="126"/>
        <v>1.1888284665392934E-2</v>
      </c>
      <c r="Q808" s="215">
        <f t="shared" si="121"/>
        <v>-3.1921719602181597E-2</v>
      </c>
      <c r="R808" s="231">
        <v>12634484</v>
      </c>
      <c r="T808" s="230">
        <v>44272</v>
      </c>
      <c r="U808" s="1">
        <v>66.55</v>
      </c>
      <c r="V808" s="1">
        <v>69.237260787256304</v>
      </c>
      <c r="W808" s="1">
        <v>203898</v>
      </c>
      <c r="X808" s="1">
        <v>49801.62</v>
      </c>
      <c r="Y808" s="215">
        <f t="shared" si="127"/>
        <v>1.1888284665392934E-2</v>
      </c>
      <c r="Z808" s="215">
        <f t="shared" si="122"/>
        <v>-8.1967213114754189E-3</v>
      </c>
      <c r="AA808" s="231">
        <v>14117339</v>
      </c>
      <c r="AC808" s="230">
        <v>44309</v>
      </c>
      <c r="AD808" s="1">
        <v>49.55</v>
      </c>
      <c r="AE808" s="1">
        <v>49.621522693997001</v>
      </c>
      <c r="AF808" s="1">
        <v>4098</v>
      </c>
      <c r="AG808" s="1">
        <v>47878.45</v>
      </c>
      <c r="AH808" s="215">
        <f t="shared" si="128"/>
        <v>-1.0500033997078995E-2</v>
      </c>
      <c r="AI808" s="215">
        <f t="shared" si="123"/>
        <v>-9.0825688073394528E-2</v>
      </c>
      <c r="AJ808" s="231">
        <v>203349</v>
      </c>
      <c r="AL808" s="254"/>
      <c r="AQ808" s="215" t="str">
        <f t="shared" si="129"/>
        <v>NA</v>
      </c>
      <c r="AR808" s="215" t="str">
        <f t="shared" si="124"/>
        <v>NA</v>
      </c>
    </row>
    <row r="809" spans="2:44">
      <c r="B809" s="230">
        <v>44274</v>
      </c>
      <c r="C809" s="1">
        <v>280.55</v>
      </c>
      <c r="D809" s="1">
        <v>278.99314546839202</v>
      </c>
      <c r="E809" s="1">
        <v>1313</v>
      </c>
      <c r="F809" s="215">
        <v>49858.239999999998</v>
      </c>
      <c r="G809" s="215">
        <f t="shared" si="125"/>
        <v>1.7469910866283467E-3</v>
      </c>
      <c r="H809" s="215">
        <f t="shared" si="120"/>
        <v>-5.1418439716311992E-3</v>
      </c>
      <c r="I809" s="231">
        <v>366318</v>
      </c>
      <c r="K809" s="230">
        <v>44273</v>
      </c>
      <c r="L809" s="1">
        <v>623.4</v>
      </c>
      <c r="M809" s="1">
        <v>643.56065056171497</v>
      </c>
      <c r="N809" s="1">
        <v>54476</v>
      </c>
      <c r="O809" s="1">
        <v>49216.52</v>
      </c>
      <c r="P809" s="215">
        <f t="shared" si="126"/>
        <v>-1.2870891551727492E-2</v>
      </c>
      <c r="Q809" s="215">
        <f t="shared" si="121"/>
        <v>-3.0180460485376481E-2</v>
      </c>
      <c r="R809" s="231">
        <v>35058610</v>
      </c>
      <c r="T809" s="230">
        <v>44273</v>
      </c>
      <c r="U809" s="1">
        <v>67.099999999999994</v>
      </c>
      <c r="V809" s="1">
        <v>68.494522138179903</v>
      </c>
      <c r="W809" s="1">
        <v>220524</v>
      </c>
      <c r="X809" s="1">
        <v>49216.52</v>
      </c>
      <c r="Y809" s="215">
        <f t="shared" si="127"/>
        <v>-1.2870891551727492E-2</v>
      </c>
      <c r="Z809" s="215">
        <f t="shared" si="122"/>
        <v>-2.9717682020802272E-3</v>
      </c>
      <c r="AA809" s="231">
        <v>15104686</v>
      </c>
      <c r="AC809" s="230">
        <v>44312</v>
      </c>
      <c r="AD809" s="1">
        <v>54.5</v>
      </c>
      <c r="AE809" s="1">
        <v>55.075510120125003</v>
      </c>
      <c r="AF809" s="1">
        <v>48616</v>
      </c>
      <c r="AG809" s="1">
        <v>48386.51</v>
      </c>
      <c r="AH809" s="215">
        <f t="shared" si="128"/>
        <v>-1.1393192320878431E-2</v>
      </c>
      <c r="AI809" s="215">
        <f t="shared" si="123"/>
        <v>-4.5662100456621557E-3</v>
      </c>
      <c r="AJ809" s="231">
        <v>2677551</v>
      </c>
      <c r="AL809" s="254"/>
      <c r="AQ809" s="215" t="str">
        <f t="shared" si="129"/>
        <v>NA</v>
      </c>
      <c r="AR809" s="215" t="str">
        <f t="shared" si="124"/>
        <v>NA</v>
      </c>
    </row>
    <row r="810" spans="2:44">
      <c r="B810" s="230">
        <v>44277</v>
      </c>
      <c r="C810" s="1">
        <v>282</v>
      </c>
      <c r="D810" s="1">
        <v>288.949367088607</v>
      </c>
      <c r="E810" s="1">
        <v>1738</v>
      </c>
      <c r="F810" s="215">
        <v>49771.29</v>
      </c>
      <c r="G810" s="215">
        <f t="shared" si="125"/>
        <v>-5.5972415578853241E-3</v>
      </c>
      <c r="H810" s="215">
        <f t="shared" si="120"/>
        <v>-1.8276762402088753E-2</v>
      </c>
      <c r="I810" s="231">
        <v>502194</v>
      </c>
      <c r="K810" s="230">
        <v>44274</v>
      </c>
      <c r="L810" s="1">
        <v>642.79999999999995</v>
      </c>
      <c r="M810" s="1">
        <v>627.70896284197602</v>
      </c>
      <c r="N810" s="1">
        <v>39184</v>
      </c>
      <c r="O810" s="1">
        <v>49858.239999999998</v>
      </c>
      <c r="P810" s="215">
        <f t="shared" si="126"/>
        <v>1.7469910866283467E-3</v>
      </c>
      <c r="Q810" s="215">
        <f t="shared" si="121"/>
        <v>-4.4305679452869562E-2</v>
      </c>
      <c r="R810" s="231">
        <v>24596148</v>
      </c>
      <c r="T810" s="230">
        <v>44274</v>
      </c>
      <c r="U810" s="1">
        <v>67.3</v>
      </c>
      <c r="V810" s="1">
        <v>65.549000831686399</v>
      </c>
      <c r="W810" s="1">
        <v>262118</v>
      </c>
      <c r="X810" s="1">
        <v>49858.239999999998</v>
      </c>
      <c r="Y810" s="215">
        <f t="shared" si="127"/>
        <v>1.7469910866283467E-3</v>
      </c>
      <c r="Z810" s="215">
        <f t="shared" si="122"/>
        <v>2.9806259314455463E-3</v>
      </c>
      <c r="AA810" s="231">
        <v>17181573</v>
      </c>
      <c r="AC810" s="230">
        <v>44313</v>
      </c>
      <c r="AD810" s="1">
        <v>54.75</v>
      </c>
      <c r="AE810" s="1">
        <v>56.032183241519199</v>
      </c>
      <c r="AF810" s="1">
        <v>65531</v>
      </c>
      <c r="AG810" s="1">
        <v>48944.14</v>
      </c>
      <c r="AH810" s="215">
        <f t="shared" si="128"/>
        <v>-1.587852456194816E-2</v>
      </c>
      <c r="AI810" s="215">
        <f t="shared" si="123"/>
        <v>3.6663611365719273E-3</v>
      </c>
      <c r="AJ810" s="231">
        <v>3671845</v>
      </c>
      <c r="AL810" s="254"/>
      <c r="AQ810" s="215" t="str">
        <f t="shared" si="129"/>
        <v>NA</v>
      </c>
      <c r="AR810" s="215" t="str">
        <f t="shared" si="124"/>
        <v>NA</v>
      </c>
    </row>
    <row r="811" spans="2:44">
      <c r="B811" s="230">
        <v>44278</v>
      </c>
      <c r="C811" s="1">
        <v>287.25</v>
      </c>
      <c r="D811" s="1">
        <v>287.28368794326201</v>
      </c>
      <c r="E811" s="1">
        <v>141</v>
      </c>
      <c r="F811" s="215">
        <v>50051.44</v>
      </c>
      <c r="G811" s="215">
        <f t="shared" si="125"/>
        <v>1.7712983102383895E-2</v>
      </c>
      <c r="H811" s="215">
        <f t="shared" si="120"/>
        <v>-1.9624573378839605E-2</v>
      </c>
      <c r="I811" s="231">
        <v>40507</v>
      </c>
      <c r="K811" s="230">
        <v>44277</v>
      </c>
      <c r="L811" s="1">
        <v>672.6</v>
      </c>
      <c r="M811" s="1">
        <v>667.31631059902304</v>
      </c>
      <c r="N811" s="1">
        <v>50599</v>
      </c>
      <c r="O811" s="1">
        <v>49771.29</v>
      </c>
      <c r="P811" s="215">
        <f t="shared" si="126"/>
        <v>-5.5972415578853241E-3</v>
      </c>
      <c r="Q811" s="215">
        <f t="shared" si="121"/>
        <v>-5.1473699055140321E-2</v>
      </c>
      <c r="R811" s="231">
        <v>33765538</v>
      </c>
      <c r="T811" s="230">
        <v>44277</v>
      </c>
      <c r="U811" s="1">
        <v>67.099999999999994</v>
      </c>
      <c r="V811" s="1">
        <v>68.102396396396301</v>
      </c>
      <c r="W811" s="1">
        <v>222000</v>
      </c>
      <c r="X811" s="1">
        <v>49771.29</v>
      </c>
      <c r="Y811" s="215">
        <f t="shared" si="127"/>
        <v>-5.5972415578853241E-3</v>
      </c>
      <c r="Z811" s="215">
        <f t="shared" si="122"/>
        <v>9.0225563909773765E-3</v>
      </c>
      <c r="AA811" s="231">
        <v>15118732</v>
      </c>
      <c r="AC811" s="230">
        <v>44314</v>
      </c>
      <c r="AD811" s="1">
        <v>54.55</v>
      </c>
      <c r="AE811" s="1">
        <v>54.040113933064298</v>
      </c>
      <c r="AF811" s="1">
        <v>8426</v>
      </c>
      <c r="AG811" s="1">
        <v>49733.84</v>
      </c>
      <c r="AH811" s="215">
        <f t="shared" si="128"/>
        <v>-6.4501946512018904E-4</v>
      </c>
      <c r="AI811" s="215">
        <f t="shared" si="123"/>
        <v>1.0185185185185075E-2</v>
      </c>
      <c r="AJ811" s="231">
        <v>455342</v>
      </c>
      <c r="AL811" s="254"/>
      <c r="AQ811" s="215" t="str">
        <f t="shared" si="129"/>
        <v>NA</v>
      </c>
      <c r="AR811" s="215" t="str">
        <f t="shared" si="124"/>
        <v>NA</v>
      </c>
    </row>
    <row r="812" spans="2:44">
      <c r="B812" s="230">
        <v>44279</v>
      </c>
      <c r="C812" s="1">
        <v>293</v>
      </c>
      <c r="D812" s="1">
        <v>283.56902834008002</v>
      </c>
      <c r="E812" s="1">
        <v>4940</v>
      </c>
      <c r="F812" s="215">
        <v>49180.31</v>
      </c>
      <c r="G812" s="215">
        <f t="shared" si="125"/>
        <v>1.5280515407476214E-2</v>
      </c>
      <c r="H812" s="215">
        <f t="shared" si="120"/>
        <v>1.0519055009484468E-2</v>
      </c>
      <c r="I812" s="231">
        <v>1400831</v>
      </c>
      <c r="K812" s="230">
        <v>44278</v>
      </c>
      <c r="L812" s="1">
        <v>709.1</v>
      </c>
      <c r="M812" s="1">
        <v>701.92697786672898</v>
      </c>
      <c r="N812" s="1">
        <v>67952</v>
      </c>
      <c r="O812" s="1">
        <v>50051.44</v>
      </c>
      <c r="P812" s="215">
        <f t="shared" si="126"/>
        <v>1.7712983102383895E-2</v>
      </c>
      <c r="Q812" s="215">
        <f t="shared" si="121"/>
        <v>2.3232323232323271E-2</v>
      </c>
      <c r="R812" s="231">
        <v>47697342</v>
      </c>
      <c r="T812" s="230">
        <v>44278</v>
      </c>
      <c r="U812" s="1">
        <v>66.5</v>
      </c>
      <c r="V812" s="1">
        <v>67.251437691586602</v>
      </c>
      <c r="W812" s="1">
        <v>78946</v>
      </c>
      <c r="X812" s="1">
        <v>50051.44</v>
      </c>
      <c r="Y812" s="215">
        <f t="shared" si="127"/>
        <v>1.7712983102383895E-2</v>
      </c>
      <c r="Z812" s="215">
        <f t="shared" si="122"/>
        <v>3.8251366120218622E-2</v>
      </c>
      <c r="AA812" s="231">
        <v>5309232</v>
      </c>
      <c r="AC812" s="230">
        <v>44315</v>
      </c>
      <c r="AD812" s="1">
        <v>54</v>
      </c>
      <c r="AE812" s="1">
        <v>54.461710870377203</v>
      </c>
      <c r="AF812" s="1">
        <v>10708</v>
      </c>
      <c r="AG812" s="1">
        <v>49765.94</v>
      </c>
      <c r="AH812" s="215">
        <f t="shared" si="128"/>
        <v>2.016261615879178E-2</v>
      </c>
      <c r="AI812" s="215">
        <f t="shared" si="123"/>
        <v>6.5237651444547406E-3</v>
      </c>
      <c r="AJ812" s="231">
        <v>583176</v>
      </c>
      <c r="AL812" s="254"/>
      <c r="AQ812" s="215" t="str">
        <f t="shared" si="129"/>
        <v>NA</v>
      </c>
      <c r="AR812" s="215" t="str">
        <f t="shared" si="124"/>
        <v>NA</v>
      </c>
    </row>
    <row r="813" spans="2:44">
      <c r="B813" s="230">
        <v>44280</v>
      </c>
      <c r="C813" s="1">
        <v>289.95</v>
      </c>
      <c r="D813" s="1">
        <v>283.89597000937198</v>
      </c>
      <c r="E813" s="1">
        <v>3201</v>
      </c>
      <c r="F813" s="215">
        <v>48440.12</v>
      </c>
      <c r="G813" s="215">
        <f t="shared" si="125"/>
        <v>-1.1597580011630582E-2</v>
      </c>
      <c r="H813" s="215">
        <f t="shared" si="120"/>
        <v>-1.7241379310350968E-4</v>
      </c>
      <c r="I813" s="231">
        <v>908751</v>
      </c>
      <c r="K813" s="230">
        <v>44279</v>
      </c>
      <c r="L813" s="1">
        <v>693</v>
      </c>
      <c r="M813" s="1">
        <v>697.00485037064095</v>
      </c>
      <c r="N813" s="1">
        <v>21854</v>
      </c>
      <c r="O813" s="1">
        <v>49180.31</v>
      </c>
      <c r="P813" s="215">
        <f t="shared" si="126"/>
        <v>1.5280515407476214E-2</v>
      </c>
      <c r="Q813" s="215">
        <f t="shared" si="121"/>
        <v>-3.0226700251889227E-2</v>
      </c>
      <c r="R813" s="231">
        <v>15232344</v>
      </c>
      <c r="T813" s="230">
        <v>44279</v>
      </c>
      <c r="U813" s="1">
        <v>64.05</v>
      </c>
      <c r="V813" s="1">
        <v>65.838602790315903</v>
      </c>
      <c r="W813" s="1">
        <v>194960</v>
      </c>
      <c r="X813" s="1">
        <v>49180.31</v>
      </c>
      <c r="Y813" s="215">
        <f t="shared" si="127"/>
        <v>1.5280515407476214E-2</v>
      </c>
      <c r="Z813" s="215">
        <f t="shared" si="122"/>
        <v>3.4733441033925727E-2</v>
      </c>
      <c r="AA813" s="231">
        <v>12835894</v>
      </c>
      <c r="AC813" s="230">
        <v>44316</v>
      </c>
      <c r="AD813" s="1">
        <v>53.65</v>
      </c>
      <c r="AE813" s="1">
        <v>55.226591001216001</v>
      </c>
      <c r="AF813" s="1">
        <v>17269</v>
      </c>
      <c r="AG813" s="1">
        <v>48782.36</v>
      </c>
      <c r="AH813" s="215">
        <f t="shared" si="128"/>
        <v>1.3103846340161152E-3</v>
      </c>
      <c r="AI813" s="215">
        <f t="shared" si="123"/>
        <v>-7.5796726959517668E-2</v>
      </c>
      <c r="AJ813" s="231">
        <v>953708</v>
      </c>
      <c r="AL813" s="254"/>
      <c r="AQ813" s="215" t="str">
        <f t="shared" si="129"/>
        <v>NA</v>
      </c>
      <c r="AR813" s="215" t="str">
        <f t="shared" si="124"/>
        <v>NA</v>
      </c>
    </row>
    <row r="814" spans="2:44">
      <c r="B814" s="230">
        <v>44281</v>
      </c>
      <c r="C814" s="1">
        <v>290</v>
      </c>
      <c r="D814" s="1">
        <v>288.81687612208202</v>
      </c>
      <c r="E814" s="1">
        <v>557</v>
      </c>
      <c r="F814" s="215">
        <v>49008.5</v>
      </c>
      <c r="G814" s="215">
        <f t="shared" si="125"/>
        <v>-2.2500138621341925E-2</v>
      </c>
      <c r="H814" s="215">
        <f t="shared" si="120"/>
        <v>2.2566995768688258E-2</v>
      </c>
      <c r="I814" s="231">
        <v>160871</v>
      </c>
      <c r="K814" s="230">
        <v>44280</v>
      </c>
      <c r="L814" s="1">
        <v>714.6</v>
      </c>
      <c r="M814" s="1">
        <v>704.55984004570098</v>
      </c>
      <c r="N814" s="1">
        <v>24507</v>
      </c>
      <c r="O814" s="1">
        <v>48440.12</v>
      </c>
      <c r="P814" s="215">
        <f t="shared" si="126"/>
        <v>-1.1597580011630582E-2</v>
      </c>
      <c r="Q814" s="215">
        <f t="shared" si="121"/>
        <v>-4.9432569797395187E-3</v>
      </c>
      <c r="R814" s="231">
        <v>17266648</v>
      </c>
      <c r="T814" s="230">
        <v>44280</v>
      </c>
      <c r="U814" s="1">
        <v>61.9</v>
      </c>
      <c r="V814" s="1">
        <v>61.547432354875099</v>
      </c>
      <c r="W814" s="1">
        <v>263101</v>
      </c>
      <c r="X814" s="1">
        <v>48440.12</v>
      </c>
      <c r="Y814" s="215">
        <f t="shared" si="127"/>
        <v>-1.1597580011630582E-2</v>
      </c>
      <c r="Z814" s="215">
        <f t="shared" si="122"/>
        <v>-4.8424289008454968E-2</v>
      </c>
      <c r="AA814" s="231">
        <v>16193191</v>
      </c>
      <c r="AC814" s="230">
        <v>44319</v>
      </c>
      <c r="AD814" s="1">
        <v>58.05</v>
      </c>
      <c r="AE814" s="1">
        <v>60.009603946880901</v>
      </c>
      <c r="AF814" s="1">
        <v>102562</v>
      </c>
      <c r="AG814" s="1">
        <v>48718.52</v>
      </c>
      <c r="AH814" s="215">
        <f t="shared" si="128"/>
        <v>9.6368119127498986E-3</v>
      </c>
      <c r="AI814" s="215">
        <f t="shared" si="123"/>
        <v>4.5945945945945921E-2</v>
      </c>
      <c r="AJ814" s="231">
        <v>6154705</v>
      </c>
      <c r="AL814" s="254"/>
      <c r="AQ814" s="215" t="str">
        <f t="shared" si="129"/>
        <v>NA</v>
      </c>
      <c r="AR814" s="215" t="str">
        <f t="shared" si="124"/>
        <v>NA</v>
      </c>
    </row>
    <row r="815" spans="2:44">
      <c r="B815" s="230">
        <v>44285</v>
      </c>
      <c r="C815" s="1">
        <v>283.60000000000002</v>
      </c>
      <c r="D815" s="1">
        <v>284.853012048192</v>
      </c>
      <c r="E815" s="1">
        <v>830</v>
      </c>
      <c r="F815" s="215">
        <v>50136.58</v>
      </c>
      <c r="G815" s="215">
        <f t="shared" si="125"/>
        <v>1.2673010948481167E-2</v>
      </c>
      <c r="H815" s="215">
        <f t="shared" si="120"/>
        <v>-1.7599436818022118E-3</v>
      </c>
      <c r="I815" s="231">
        <v>236428</v>
      </c>
      <c r="K815" s="230">
        <v>44281</v>
      </c>
      <c r="L815" s="1">
        <v>718.15</v>
      </c>
      <c r="M815" s="1">
        <v>719.78916570307194</v>
      </c>
      <c r="N815" s="1">
        <v>28539</v>
      </c>
      <c r="O815" s="1">
        <v>49008.5</v>
      </c>
      <c r="P815" s="215">
        <f t="shared" si="126"/>
        <v>-2.2500138621341925E-2</v>
      </c>
      <c r="Q815" s="215">
        <f t="shared" si="121"/>
        <v>-1.3123539920296912E-2</v>
      </c>
      <c r="R815" s="231">
        <v>20542063</v>
      </c>
      <c r="T815" s="230">
        <v>44281</v>
      </c>
      <c r="U815" s="1">
        <v>65.05</v>
      </c>
      <c r="V815" s="1">
        <v>64.401574416147099</v>
      </c>
      <c r="W815" s="1">
        <v>122077</v>
      </c>
      <c r="X815" s="1">
        <v>49008.5</v>
      </c>
      <c r="Y815" s="215">
        <f t="shared" si="127"/>
        <v>-2.2500138621341925E-2</v>
      </c>
      <c r="Z815" s="215">
        <f t="shared" si="122"/>
        <v>-1.2148823082763771E-2</v>
      </c>
      <c r="AA815" s="231">
        <v>7861951</v>
      </c>
      <c r="AC815" s="230">
        <v>44320</v>
      </c>
      <c r="AD815" s="1">
        <v>55.5</v>
      </c>
      <c r="AE815" s="1">
        <v>57.924715177191203</v>
      </c>
      <c r="AF815" s="1">
        <v>17467</v>
      </c>
      <c r="AG815" s="1">
        <v>48253.51</v>
      </c>
      <c r="AH815" s="215">
        <f t="shared" si="128"/>
        <v>-8.7112025975013552E-3</v>
      </c>
      <c r="AI815" s="215">
        <f t="shared" si="123"/>
        <v>-3.3942558746736351E-2</v>
      </c>
      <c r="AJ815" s="231">
        <v>1011771</v>
      </c>
      <c r="AL815" s="254"/>
      <c r="AQ815" s="215" t="str">
        <f t="shared" si="129"/>
        <v>NA</v>
      </c>
      <c r="AR815" s="215" t="str">
        <f t="shared" si="124"/>
        <v>NA</v>
      </c>
    </row>
    <row r="816" spans="2:44">
      <c r="B816" s="230">
        <v>44286</v>
      </c>
      <c r="C816" s="1">
        <v>284.10000000000002</v>
      </c>
      <c r="D816" s="1">
        <v>287.81292517006801</v>
      </c>
      <c r="E816" s="1">
        <v>1176</v>
      </c>
      <c r="F816" s="215">
        <v>49509.15</v>
      </c>
      <c r="G816" s="215">
        <f t="shared" si="125"/>
        <v>-1.040739095055887E-2</v>
      </c>
      <c r="H816" s="215">
        <f t="shared" si="120"/>
        <v>-7.2175048987589752E-2</v>
      </c>
      <c r="I816" s="231">
        <v>338468</v>
      </c>
      <c r="K816" s="230">
        <v>44285</v>
      </c>
      <c r="L816" s="1">
        <v>727.7</v>
      </c>
      <c r="M816" s="1">
        <v>736.46880118349395</v>
      </c>
      <c r="N816" s="1">
        <v>37854</v>
      </c>
      <c r="O816" s="1">
        <v>50136.58</v>
      </c>
      <c r="P816" s="215">
        <f t="shared" si="126"/>
        <v>1.2673010948481167E-2</v>
      </c>
      <c r="Q816" s="215">
        <f t="shared" si="121"/>
        <v>1.2733978150442082E-2</v>
      </c>
      <c r="R816" s="231">
        <v>27878290</v>
      </c>
      <c r="T816" s="230">
        <v>44285</v>
      </c>
      <c r="U816" s="1">
        <v>65.849999999999994</v>
      </c>
      <c r="V816" s="1">
        <v>66.379141402848802</v>
      </c>
      <c r="W816" s="1">
        <v>152062</v>
      </c>
      <c r="X816" s="1">
        <v>50136.58</v>
      </c>
      <c r="Y816" s="215">
        <f t="shared" si="127"/>
        <v>1.2673010948481167E-2</v>
      </c>
      <c r="Z816" s="215">
        <f t="shared" si="122"/>
        <v>-0.11372812920592201</v>
      </c>
      <c r="AA816" s="231">
        <v>10093745</v>
      </c>
      <c r="AC816" s="230">
        <v>44321</v>
      </c>
      <c r="AD816" s="1">
        <v>57.45</v>
      </c>
      <c r="AE816" s="1">
        <v>57.875711935197998</v>
      </c>
      <c r="AF816" s="1">
        <v>7901</v>
      </c>
      <c r="AG816" s="1">
        <v>48677.55</v>
      </c>
      <c r="AH816" s="215">
        <f t="shared" si="128"/>
        <v>-5.561007857852629E-3</v>
      </c>
      <c r="AI816" s="215">
        <f t="shared" si="123"/>
        <v>-8.6956521739123271E-4</v>
      </c>
      <c r="AJ816" s="231">
        <v>457276</v>
      </c>
      <c r="AL816" s="254"/>
      <c r="AQ816" s="215" t="str">
        <f t="shared" si="129"/>
        <v>NA</v>
      </c>
      <c r="AR816" s="215" t="str">
        <f t="shared" si="124"/>
        <v>NA</v>
      </c>
    </row>
    <row r="817" spans="2:44">
      <c r="B817" s="230">
        <v>44287</v>
      </c>
      <c r="C817" s="1">
        <v>306.2</v>
      </c>
      <c r="D817" s="1">
        <v>303.66267123287599</v>
      </c>
      <c r="E817" s="1">
        <v>7592</v>
      </c>
      <c r="F817" s="215">
        <v>50029.83</v>
      </c>
      <c r="G817" s="215">
        <f t="shared" si="125"/>
        <v>1.7707934121139246E-2</v>
      </c>
      <c r="H817" s="215">
        <f t="shared" si="120"/>
        <v>-3.0552477441823767E-2</v>
      </c>
      <c r="I817" s="231">
        <v>2305407</v>
      </c>
      <c r="K817" s="230">
        <v>44286</v>
      </c>
      <c r="L817" s="1">
        <v>718.55</v>
      </c>
      <c r="M817" s="1">
        <v>726.68160606649803</v>
      </c>
      <c r="N817" s="1">
        <v>10286</v>
      </c>
      <c r="O817" s="1">
        <v>49509.15</v>
      </c>
      <c r="P817" s="215">
        <f t="shared" si="126"/>
        <v>-1.040739095055887E-2</v>
      </c>
      <c r="Q817" s="215">
        <f t="shared" si="121"/>
        <v>-5.4415054612448999E-2</v>
      </c>
      <c r="R817" s="231">
        <v>7474647</v>
      </c>
      <c r="T817" s="230">
        <v>44286</v>
      </c>
      <c r="U817" s="1">
        <v>74.3</v>
      </c>
      <c r="V817" s="1">
        <v>73.263383836382701</v>
      </c>
      <c r="W817" s="1">
        <v>504788</v>
      </c>
      <c r="X817" s="1">
        <v>49509.15</v>
      </c>
      <c r="Y817" s="215">
        <f t="shared" si="127"/>
        <v>-1.040739095055887E-2</v>
      </c>
      <c r="Z817" s="215">
        <f t="shared" si="122"/>
        <v>-8.7223587223587362E-2</v>
      </c>
      <c r="AA817" s="231">
        <v>36982477</v>
      </c>
      <c r="AC817" s="230">
        <v>44322</v>
      </c>
      <c r="AD817" s="1">
        <v>57.5</v>
      </c>
      <c r="AE817" s="1">
        <v>57.670635647554398</v>
      </c>
      <c r="AF817" s="1">
        <v>10918</v>
      </c>
      <c r="AG817" s="1">
        <v>48949.760000000002</v>
      </c>
      <c r="AH817" s="215">
        <f t="shared" si="128"/>
        <v>-5.2169968705334524E-3</v>
      </c>
      <c r="AI817" s="215">
        <f t="shared" si="123"/>
        <v>-3.1171019376579623E-2</v>
      </c>
      <c r="AJ817" s="231">
        <v>629648</v>
      </c>
      <c r="AL817" s="254"/>
      <c r="AQ817" s="215" t="str">
        <f t="shared" si="129"/>
        <v>NA</v>
      </c>
      <c r="AR817" s="215" t="str">
        <f t="shared" si="124"/>
        <v>NA</v>
      </c>
    </row>
    <row r="818" spans="2:44">
      <c r="B818" s="230">
        <v>44291</v>
      </c>
      <c r="C818" s="1">
        <v>315.85000000000002</v>
      </c>
      <c r="D818" s="1">
        <v>316.71598272138198</v>
      </c>
      <c r="E818" s="1">
        <v>1852</v>
      </c>
      <c r="F818" s="215">
        <v>49159.32</v>
      </c>
      <c r="G818" s="215">
        <f t="shared" si="125"/>
        <v>-8.5505714371081343E-4</v>
      </c>
      <c r="H818" s="215">
        <f t="shared" si="120"/>
        <v>-1.4226999683843999E-3</v>
      </c>
      <c r="I818" s="231">
        <v>586558</v>
      </c>
      <c r="K818" s="230">
        <v>44287</v>
      </c>
      <c r="L818" s="1">
        <v>759.9</v>
      </c>
      <c r="M818" s="1">
        <v>755.67548122919095</v>
      </c>
      <c r="N818" s="1">
        <v>26131</v>
      </c>
      <c r="O818" s="1">
        <v>50029.83</v>
      </c>
      <c r="P818" s="215">
        <f t="shared" si="126"/>
        <v>1.7707934121139246E-2</v>
      </c>
      <c r="Q818" s="215">
        <f t="shared" si="121"/>
        <v>-4.0772532188841248E-2</v>
      </c>
      <c r="R818" s="231">
        <v>19746556</v>
      </c>
      <c r="T818" s="230">
        <v>44287</v>
      </c>
      <c r="U818" s="1">
        <v>81.400000000000006</v>
      </c>
      <c r="V818" s="1">
        <v>79.099757168244295</v>
      </c>
      <c r="W818" s="1">
        <v>1019636</v>
      </c>
      <c r="X818" s="1">
        <v>50029.83</v>
      </c>
      <c r="Y818" s="215">
        <f t="shared" si="127"/>
        <v>1.7707934121139246E-2</v>
      </c>
      <c r="Z818" s="215">
        <f t="shared" si="122"/>
        <v>-2.1634615384615308E-2</v>
      </c>
      <c r="AA818" s="231">
        <v>80652960</v>
      </c>
      <c r="AC818" s="230">
        <v>44323</v>
      </c>
      <c r="AD818" s="1">
        <v>59.35</v>
      </c>
      <c r="AE818" s="1">
        <v>58.8751071174987</v>
      </c>
      <c r="AF818" s="1">
        <v>40843</v>
      </c>
      <c r="AG818" s="1">
        <v>49206.47</v>
      </c>
      <c r="AH818" s="215">
        <f t="shared" si="128"/>
        <v>-5.9782947941322551E-3</v>
      </c>
      <c r="AI818" s="215">
        <f t="shared" si="123"/>
        <v>-0.15696022727272729</v>
      </c>
      <c r="AJ818" s="231">
        <v>2404636</v>
      </c>
      <c r="AL818" s="254"/>
      <c r="AQ818" s="215" t="str">
        <f t="shared" si="129"/>
        <v>NA</v>
      </c>
      <c r="AR818" s="215" t="str">
        <f t="shared" si="124"/>
        <v>NA</v>
      </c>
    </row>
    <row r="819" spans="2:44">
      <c r="B819" s="230">
        <v>44292</v>
      </c>
      <c r="C819" s="1">
        <v>316.3</v>
      </c>
      <c r="D819" s="1">
        <v>317.82113977666501</v>
      </c>
      <c r="E819" s="1">
        <v>10388</v>
      </c>
      <c r="F819" s="215">
        <v>49201.39</v>
      </c>
      <c r="G819" s="215">
        <f t="shared" si="125"/>
        <v>-9.2701104431257564E-3</v>
      </c>
      <c r="H819" s="215">
        <f t="shared" si="120"/>
        <v>-7.1071953010279021E-2</v>
      </c>
      <c r="I819" s="231">
        <v>3301526</v>
      </c>
      <c r="K819" s="230">
        <v>44291</v>
      </c>
      <c r="L819" s="1">
        <v>792.2</v>
      </c>
      <c r="M819" s="1">
        <v>777.93734939758997</v>
      </c>
      <c r="N819" s="1">
        <v>61005</v>
      </c>
      <c r="O819" s="1">
        <v>49159.32</v>
      </c>
      <c r="P819" s="215">
        <f t="shared" si="126"/>
        <v>-8.5505714371081343E-4</v>
      </c>
      <c r="Q819" s="215">
        <f t="shared" si="121"/>
        <v>1.6944801026957723E-2</v>
      </c>
      <c r="R819" s="231">
        <v>47458068</v>
      </c>
      <c r="T819" s="230">
        <v>44291</v>
      </c>
      <c r="U819" s="1">
        <v>83.2</v>
      </c>
      <c r="V819" s="1">
        <v>81.806029482898595</v>
      </c>
      <c r="W819" s="1">
        <v>425874</v>
      </c>
      <c r="X819" s="1">
        <v>49159.32</v>
      </c>
      <c r="Y819" s="215">
        <f t="shared" si="127"/>
        <v>-8.5505714371081343E-4</v>
      </c>
      <c r="Z819" s="215">
        <f t="shared" si="122"/>
        <v>1.2781497261107777E-2</v>
      </c>
      <c r="AA819" s="231">
        <v>34839061</v>
      </c>
      <c r="AC819" s="230">
        <v>44326</v>
      </c>
      <c r="AD819" s="1">
        <v>70.400000000000006</v>
      </c>
      <c r="AE819" s="1">
        <v>68.127751031636805</v>
      </c>
      <c r="AF819" s="1">
        <v>255904</v>
      </c>
      <c r="AG819" s="1">
        <v>49502.41</v>
      </c>
      <c r="AH819" s="215">
        <f t="shared" si="128"/>
        <v>6.9281419866356053E-3</v>
      </c>
      <c r="AI819" s="215">
        <f t="shared" si="123"/>
        <v>5.7057057057057214E-2</v>
      </c>
      <c r="AJ819" s="231">
        <v>17434164</v>
      </c>
      <c r="AL819" s="254"/>
      <c r="AQ819" s="215" t="str">
        <f t="shared" si="129"/>
        <v>NA</v>
      </c>
      <c r="AR819" s="215" t="str">
        <f t="shared" si="124"/>
        <v>NA</v>
      </c>
    </row>
    <row r="820" spans="2:44">
      <c r="B820" s="230">
        <v>44293</v>
      </c>
      <c r="C820" s="1">
        <v>340.5</v>
      </c>
      <c r="D820" s="1">
        <v>324.00680408244898</v>
      </c>
      <c r="E820" s="1">
        <v>4997</v>
      </c>
      <c r="F820" s="215">
        <v>49661.760000000002</v>
      </c>
      <c r="G820" s="215">
        <f t="shared" si="125"/>
        <v>-1.6976167631663763E-3</v>
      </c>
      <c r="H820" s="215">
        <f t="shared" si="120"/>
        <v>-5.3114571746384898E-2</v>
      </c>
      <c r="I820" s="231">
        <v>1619062</v>
      </c>
      <c r="K820" s="230">
        <v>44292</v>
      </c>
      <c r="L820" s="1">
        <v>779</v>
      </c>
      <c r="M820" s="1">
        <v>795.80506280563804</v>
      </c>
      <c r="N820" s="1">
        <v>20858</v>
      </c>
      <c r="O820" s="1">
        <v>49201.39</v>
      </c>
      <c r="P820" s="215">
        <f t="shared" si="126"/>
        <v>-9.2701104431257564E-3</v>
      </c>
      <c r="Q820" s="215">
        <f t="shared" si="121"/>
        <v>-1.8211607536706809E-2</v>
      </c>
      <c r="R820" s="231">
        <v>16598902</v>
      </c>
      <c r="T820" s="230">
        <v>44292</v>
      </c>
      <c r="U820" s="1">
        <v>82.15</v>
      </c>
      <c r="V820" s="1">
        <v>82.969459235538295</v>
      </c>
      <c r="W820" s="1">
        <v>429688</v>
      </c>
      <c r="X820" s="1">
        <v>49201.39</v>
      </c>
      <c r="Y820" s="215">
        <f t="shared" si="127"/>
        <v>-9.2701104431257564E-3</v>
      </c>
      <c r="Z820" s="215">
        <f t="shared" si="122"/>
        <v>1.2322858903265566E-2</v>
      </c>
      <c r="AA820" s="231">
        <v>35650981</v>
      </c>
      <c r="AC820" s="230">
        <v>44327</v>
      </c>
      <c r="AD820" s="1">
        <v>66.599999999999994</v>
      </c>
      <c r="AE820" s="1">
        <v>67.2248740628729</v>
      </c>
      <c r="AF820" s="1">
        <v>109777</v>
      </c>
      <c r="AG820" s="1">
        <v>49161.81</v>
      </c>
      <c r="AH820" s="215">
        <f t="shared" si="128"/>
        <v>9.6734906799640363E-3</v>
      </c>
      <c r="AI820" s="215">
        <f t="shared" si="123"/>
        <v>1.6793893129770865E-2</v>
      </c>
      <c r="AJ820" s="231">
        <v>7379745</v>
      </c>
      <c r="AL820" s="254"/>
      <c r="AQ820" s="215" t="str">
        <f t="shared" si="129"/>
        <v>NA</v>
      </c>
      <c r="AR820" s="215" t="str">
        <f t="shared" si="124"/>
        <v>NA</v>
      </c>
    </row>
    <row r="821" spans="2:44">
      <c r="B821" s="230">
        <v>44294</v>
      </c>
      <c r="C821" s="1">
        <v>359.6</v>
      </c>
      <c r="D821" s="1">
        <v>364.37399821905598</v>
      </c>
      <c r="E821" s="1">
        <v>10107</v>
      </c>
      <c r="F821" s="215">
        <v>49746.21</v>
      </c>
      <c r="G821" s="215">
        <f t="shared" si="125"/>
        <v>3.1233288406116166E-3</v>
      </c>
      <c r="H821" s="215">
        <f t="shared" si="120"/>
        <v>-3.0988951765022921E-2</v>
      </c>
      <c r="I821" s="231">
        <v>3682728</v>
      </c>
      <c r="K821" s="230">
        <v>44293</v>
      </c>
      <c r="L821" s="1">
        <v>793.45</v>
      </c>
      <c r="M821" s="1">
        <v>794.49995683328996</v>
      </c>
      <c r="N821" s="1">
        <v>23166</v>
      </c>
      <c r="O821" s="1">
        <v>49661.760000000002</v>
      </c>
      <c r="P821" s="215">
        <f t="shared" si="126"/>
        <v>-1.6976167631663763E-3</v>
      </c>
      <c r="Q821" s="215">
        <f t="shared" si="121"/>
        <v>-1.7277681446618676E-2</v>
      </c>
      <c r="R821" s="231">
        <v>18405386</v>
      </c>
      <c r="T821" s="230">
        <v>44293</v>
      </c>
      <c r="U821" s="1">
        <v>81.150000000000006</v>
      </c>
      <c r="V821" s="1">
        <v>81.619823821313503</v>
      </c>
      <c r="W821" s="1">
        <v>188218</v>
      </c>
      <c r="X821" s="1">
        <v>49661.760000000002</v>
      </c>
      <c r="Y821" s="215">
        <f t="shared" si="127"/>
        <v>-1.6976167631663763E-3</v>
      </c>
      <c r="Z821" s="215">
        <f t="shared" si="122"/>
        <v>-4.4732195409064146E-2</v>
      </c>
      <c r="AA821" s="231">
        <v>15362320</v>
      </c>
      <c r="AC821" s="230">
        <v>44328</v>
      </c>
      <c r="AD821" s="1">
        <v>65.5</v>
      </c>
      <c r="AE821" s="1">
        <v>66.989542723478394</v>
      </c>
      <c r="AF821" s="1">
        <v>43606</v>
      </c>
      <c r="AG821" s="1">
        <v>48690.8</v>
      </c>
      <c r="AH821" s="215">
        <f t="shared" si="128"/>
        <v>-8.5671691713240516E-4</v>
      </c>
      <c r="AI821" s="215">
        <f t="shared" si="123"/>
        <v>2.7450980392156765E-2</v>
      </c>
      <c r="AJ821" s="231">
        <v>2921146</v>
      </c>
      <c r="AL821" s="254"/>
      <c r="AQ821" s="215" t="str">
        <f t="shared" si="129"/>
        <v>NA</v>
      </c>
      <c r="AR821" s="215" t="str">
        <f t="shared" si="124"/>
        <v>NA</v>
      </c>
    </row>
    <row r="822" spans="2:44">
      <c r="B822" s="230">
        <v>44295</v>
      </c>
      <c r="C822" s="1">
        <v>371.1</v>
      </c>
      <c r="D822" s="1">
        <v>373.14974813005603</v>
      </c>
      <c r="E822" s="1">
        <v>6551</v>
      </c>
      <c r="F822" s="215">
        <v>49591.32</v>
      </c>
      <c r="G822" s="215">
        <f t="shared" si="125"/>
        <v>3.5668743518106005E-2</v>
      </c>
      <c r="H822" s="215">
        <f t="shared" si="120"/>
        <v>0.18410976388002576</v>
      </c>
      <c r="I822" s="231">
        <v>2444504</v>
      </c>
      <c r="K822" s="230">
        <v>44294</v>
      </c>
      <c r="L822" s="1">
        <v>807.4</v>
      </c>
      <c r="M822" s="1">
        <v>813.67238648363195</v>
      </c>
      <c r="N822" s="1">
        <v>15152</v>
      </c>
      <c r="O822" s="1">
        <v>49746.21</v>
      </c>
      <c r="P822" s="215">
        <f t="shared" si="126"/>
        <v>3.1233288406116166E-3</v>
      </c>
      <c r="Q822" s="215">
        <f t="shared" si="121"/>
        <v>-2.4709661477637646E-3</v>
      </c>
      <c r="R822" s="231">
        <v>12328764</v>
      </c>
      <c r="T822" s="230">
        <v>44294</v>
      </c>
      <c r="U822" s="1">
        <v>84.95</v>
      </c>
      <c r="V822" s="1">
        <v>86.273922493651</v>
      </c>
      <c r="W822" s="1">
        <v>442596</v>
      </c>
      <c r="X822" s="1">
        <v>49746.21</v>
      </c>
      <c r="Y822" s="215">
        <f t="shared" si="127"/>
        <v>3.1233288406116166E-3</v>
      </c>
      <c r="Z822" s="215">
        <f t="shared" si="122"/>
        <v>-3.4659090909090917E-2</v>
      </c>
      <c r="AA822" s="231">
        <v>38184493</v>
      </c>
      <c r="AC822" s="230">
        <v>44330</v>
      </c>
      <c r="AD822" s="1">
        <v>63.75</v>
      </c>
      <c r="AE822" s="1">
        <v>65.419530221297194</v>
      </c>
      <c r="AF822" s="1">
        <v>23543</v>
      </c>
      <c r="AG822" s="1">
        <v>48732.55</v>
      </c>
      <c r="AH822" s="215">
        <f t="shared" si="128"/>
        <v>-1.7107049452478873E-2</v>
      </c>
      <c r="AI822" s="215">
        <f t="shared" si="123"/>
        <v>-2.7459954233409523E-2</v>
      </c>
      <c r="AJ822" s="231">
        <v>1540172</v>
      </c>
      <c r="AL822" s="254"/>
      <c r="AQ822" s="215" t="str">
        <f t="shared" si="129"/>
        <v>NA</v>
      </c>
      <c r="AR822" s="215" t="str">
        <f t="shared" si="124"/>
        <v>NA</v>
      </c>
    </row>
    <row r="823" spans="2:44">
      <c r="B823" s="230">
        <v>44298</v>
      </c>
      <c r="C823" s="1">
        <v>313.39999999999998</v>
      </c>
      <c r="D823" s="1">
        <v>329.72794612794598</v>
      </c>
      <c r="E823" s="1">
        <v>7425</v>
      </c>
      <c r="F823" s="215">
        <v>47883.38</v>
      </c>
      <c r="G823" s="215">
        <f t="shared" si="125"/>
        <v>-1.3609904074772472E-2</v>
      </c>
      <c r="H823" s="215">
        <f t="shared" si="120"/>
        <v>-4.0269483999387679E-2</v>
      </c>
      <c r="I823" s="231">
        <v>2448230</v>
      </c>
      <c r="K823" s="230">
        <v>44295</v>
      </c>
      <c r="L823" s="1">
        <v>809.4</v>
      </c>
      <c r="M823" s="1">
        <v>811.29114557278604</v>
      </c>
      <c r="N823" s="1">
        <v>7996</v>
      </c>
      <c r="O823" s="1">
        <v>49591.32</v>
      </c>
      <c r="P823" s="215">
        <f t="shared" si="126"/>
        <v>3.5668743518106005E-2</v>
      </c>
      <c r="Q823" s="215">
        <f t="shared" si="121"/>
        <v>7.8050079914757653E-2</v>
      </c>
      <c r="R823" s="231">
        <v>6487084</v>
      </c>
      <c r="T823" s="230">
        <v>44295</v>
      </c>
      <c r="U823" s="1">
        <v>88</v>
      </c>
      <c r="V823" s="1">
        <v>88.272492508587703</v>
      </c>
      <c r="W823" s="1">
        <v>369423</v>
      </c>
      <c r="X823" s="1">
        <v>49591.32</v>
      </c>
      <c r="Y823" s="215">
        <f t="shared" si="127"/>
        <v>3.5668743518106005E-2</v>
      </c>
      <c r="Z823" s="215">
        <f t="shared" si="122"/>
        <v>0.11041009463722395</v>
      </c>
      <c r="AA823" s="231">
        <v>32609889</v>
      </c>
      <c r="AC823" s="230">
        <v>44333</v>
      </c>
      <c r="AD823" s="1">
        <v>65.55</v>
      </c>
      <c r="AE823" s="1">
        <v>65.561605288429305</v>
      </c>
      <c r="AF823" s="1">
        <v>44777</v>
      </c>
      <c r="AG823" s="1">
        <v>49580.73</v>
      </c>
      <c r="AH823" s="215">
        <f t="shared" si="128"/>
        <v>-1.2204808885961538E-2</v>
      </c>
      <c r="AI823" s="215">
        <f t="shared" si="123"/>
        <v>4.130262112787908E-2</v>
      </c>
      <c r="AJ823" s="231">
        <v>2935652</v>
      </c>
      <c r="AL823" s="254"/>
      <c r="AQ823" s="215" t="str">
        <f t="shared" si="129"/>
        <v>NA</v>
      </c>
      <c r="AR823" s="215" t="str">
        <f t="shared" si="124"/>
        <v>NA</v>
      </c>
    </row>
    <row r="824" spans="2:44">
      <c r="B824" s="230">
        <v>44299</v>
      </c>
      <c r="C824" s="1">
        <v>326.55</v>
      </c>
      <c r="D824" s="1">
        <v>323.98501742160198</v>
      </c>
      <c r="E824" s="1">
        <v>2870</v>
      </c>
      <c r="F824" s="215">
        <v>48544.06</v>
      </c>
      <c r="G824" s="215">
        <f t="shared" si="125"/>
        <v>-5.3196808109552407E-3</v>
      </c>
      <c r="H824" s="215">
        <f t="shared" si="120"/>
        <v>2.0309326667708127E-2</v>
      </c>
      <c r="I824" s="231">
        <v>929837</v>
      </c>
      <c r="K824" s="230">
        <v>44298</v>
      </c>
      <c r="L824" s="1">
        <v>750.8</v>
      </c>
      <c r="M824" s="1">
        <v>765.12903515870801</v>
      </c>
      <c r="N824" s="1">
        <v>11121</v>
      </c>
      <c r="O824" s="1">
        <v>47883.38</v>
      </c>
      <c r="P824" s="215">
        <f t="shared" si="126"/>
        <v>-1.3609904074772472E-2</v>
      </c>
      <c r="Q824" s="215">
        <f t="shared" si="121"/>
        <v>-1.5021318465070599E-2</v>
      </c>
      <c r="R824" s="231">
        <v>8509000</v>
      </c>
      <c r="T824" s="230">
        <v>44298</v>
      </c>
      <c r="U824" s="1">
        <v>79.25</v>
      </c>
      <c r="V824" s="1">
        <v>81.050791058258</v>
      </c>
      <c r="W824" s="1">
        <v>623279</v>
      </c>
      <c r="X824" s="1">
        <v>47883.38</v>
      </c>
      <c r="Y824" s="215">
        <f t="shared" si="127"/>
        <v>-1.3609904074772472E-2</v>
      </c>
      <c r="Z824" s="215">
        <f t="shared" si="122"/>
        <v>-4.9190161967606394E-2</v>
      </c>
      <c r="AA824" s="231">
        <v>50517256</v>
      </c>
      <c r="AC824" s="230">
        <v>44334</v>
      </c>
      <c r="AD824" s="1">
        <v>62.95</v>
      </c>
      <c r="AE824" s="1">
        <v>63.6783706316833</v>
      </c>
      <c r="AF824" s="1">
        <v>18142</v>
      </c>
      <c r="AG824" s="1">
        <v>50193.33</v>
      </c>
      <c r="AH824" s="215">
        <f t="shared" si="128"/>
        <v>5.8251427179003556E-3</v>
      </c>
      <c r="AI824" s="215">
        <f t="shared" si="123"/>
        <v>7.2000000000000952E-3</v>
      </c>
      <c r="AJ824" s="231">
        <v>1155253</v>
      </c>
      <c r="AL824" s="254"/>
      <c r="AQ824" s="215" t="str">
        <f t="shared" si="129"/>
        <v>NA</v>
      </c>
      <c r="AR824" s="215" t="str">
        <f t="shared" si="124"/>
        <v>NA</v>
      </c>
    </row>
    <row r="825" spans="2:44">
      <c r="B825" s="230">
        <v>44301</v>
      </c>
      <c r="C825" s="1">
        <v>320.05</v>
      </c>
      <c r="D825" s="1">
        <v>320.35086455331401</v>
      </c>
      <c r="E825" s="1">
        <v>1388</v>
      </c>
      <c r="F825" s="215">
        <v>48803.68</v>
      </c>
      <c r="G825" s="215">
        <f t="shared" si="125"/>
        <v>-5.8056156993679942E-4</v>
      </c>
      <c r="H825" s="215">
        <f t="shared" si="120"/>
        <v>-1.5598190609888984E-3</v>
      </c>
      <c r="I825" s="231">
        <v>444647</v>
      </c>
      <c r="K825" s="230">
        <v>44299</v>
      </c>
      <c r="L825" s="1">
        <v>762.25</v>
      </c>
      <c r="M825" s="1">
        <v>758.56076330766598</v>
      </c>
      <c r="N825" s="1">
        <v>5974</v>
      </c>
      <c r="O825" s="1">
        <v>48544.06</v>
      </c>
      <c r="P825" s="215">
        <f t="shared" si="126"/>
        <v>-5.3196808109552407E-3</v>
      </c>
      <c r="Q825" s="215">
        <f t="shared" si="121"/>
        <v>-1.064313063793898E-2</v>
      </c>
      <c r="R825" s="231">
        <v>4531642</v>
      </c>
      <c r="T825" s="230">
        <v>44299</v>
      </c>
      <c r="U825" s="1">
        <v>83.35</v>
      </c>
      <c r="V825" s="1">
        <v>82.682757034032605</v>
      </c>
      <c r="W825" s="1">
        <v>117358</v>
      </c>
      <c r="X825" s="1">
        <v>48544.06</v>
      </c>
      <c r="Y825" s="215">
        <f t="shared" si="127"/>
        <v>-5.3196808109552407E-3</v>
      </c>
      <c r="Z825" s="215">
        <f t="shared" si="122"/>
        <v>3.219814241486052E-2</v>
      </c>
      <c r="AA825" s="231">
        <v>9703483</v>
      </c>
      <c r="AC825" s="230">
        <v>44335</v>
      </c>
      <c r="AD825" s="1">
        <v>62.5</v>
      </c>
      <c r="AE825" s="1">
        <v>62.810426540284297</v>
      </c>
      <c r="AF825" s="1">
        <v>8862</v>
      </c>
      <c r="AG825" s="1">
        <v>49902.64</v>
      </c>
      <c r="AH825" s="215">
        <f t="shared" si="128"/>
        <v>6.814908788201901E-3</v>
      </c>
      <c r="AI825" s="215">
        <f t="shared" si="123"/>
        <v>-7.9365079365079083E-3</v>
      </c>
      <c r="AJ825" s="231">
        <v>556626</v>
      </c>
      <c r="AL825" s="254"/>
      <c r="AQ825" s="215" t="str">
        <f t="shared" si="129"/>
        <v>NA</v>
      </c>
      <c r="AR825" s="215" t="str">
        <f t="shared" si="124"/>
        <v>NA</v>
      </c>
    </row>
    <row r="826" spans="2:44">
      <c r="B826" s="230">
        <v>44302</v>
      </c>
      <c r="C826" s="1">
        <v>320.55</v>
      </c>
      <c r="D826" s="1">
        <v>315.59217877094898</v>
      </c>
      <c r="E826" s="1">
        <v>2148</v>
      </c>
      <c r="F826" s="215">
        <v>48832.03</v>
      </c>
      <c r="G826" s="215">
        <f t="shared" si="125"/>
        <v>1.8407104820037379E-2</v>
      </c>
      <c r="H826" s="215">
        <f t="shared" si="120"/>
        <v>3.7378640776699168E-2</v>
      </c>
      <c r="I826" s="231">
        <v>677892</v>
      </c>
      <c r="K826" s="230">
        <v>44301</v>
      </c>
      <c r="L826" s="1">
        <v>770.45</v>
      </c>
      <c r="M826" s="1">
        <v>771.20844520380695</v>
      </c>
      <c r="N826" s="1">
        <v>4097</v>
      </c>
      <c r="O826" s="1">
        <v>48803.68</v>
      </c>
      <c r="P826" s="215">
        <f t="shared" si="126"/>
        <v>-5.8056156993679942E-4</v>
      </c>
      <c r="Q826" s="215">
        <f t="shared" si="121"/>
        <v>4.4325663255329051E-3</v>
      </c>
      <c r="R826" s="231">
        <v>3159641</v>
      </c>
      <c r="T826" s="230">
        <v>44301</v>
      </c>
      <c r="U826" s="1">
        <v>80.75</v>
      </c>
      <c r="V826" s="1">
        <v>81.950662992939499</v>
      </c>
      <c r="W826" s="1">
        <v>220666</v>
      </c>
      <c r="X826" s="1">
        <v>48803.68</v>
      </c>
      <c r="Y826" s="215">
        <f t="shared" si="127"/>
        <v>-5.8056156993679942E-4</v>
      </c>
      <c r="Z826" s="215">
        <f t="shared" si="122"/>
        <v>5.603985056039873E-3</v>
      </c>
      <c r="AA826" s="231">
        <v>18083725</v>
      </c>
      <c r="AC826" s="230">
        <v>44336</v>
      </c>
      <c r="AD826" s="1">
        <v>63</v>
      </c>
      <c r="AE826" s="1">
        <v>62.705783972125403</v>
      </c>
      <c r="AF826" s="1">
        <v>7175</v>
      </c>
      <c r="AG826" s="1">
        <v>49564.86</v>
      </c>
      <c r="AH826" s="215">
        <f t="shared" si="128"/>
        <v>-1.930373435313637E-2</v>
      </c>
      <c r="AI826" s="215">
        <f t="shared" si="123"/>
        <v>1.5310233682514163E-2</v>
      </c>
      <c r="AJ826" s="231">
        <v>449914</v>
      </c>
      <c r="AL826" s="254"/>
      <c r="AQ826" s="215" t="str">
        <f t="shared" si="129"/>
        <v>NA</v>
      </c>
      <c r="AR826" s="215" t="str">
        <f t="shared" si="124"/>
        <v>NA</v>
      </c>
    </row>
    <row r="827" spans="2:44">
      <c r="B827" s="230">
        <v>44305</v>
      </c>
      <c r="C827" s="1">
        <v>309</v>
      </c>
      <c r="D827" s="1">
        <v>307.55037379850398</v>
      </c>
      <c r="E827" s="1">
        <v>2809</v>
      </c>
      <c r="F827" s="215">
        <v>47949.42</v>
      </c>
      <c r="G827" s="215">
        <f t="shared" si="125"/>
        <v>5.106716583727744E-3</v>
      </c>
      <c r="H827" s="215">
        <f t="shared" si="120"/>
        <v>-2.3542423763627696E-2</v>
      </c>
      <c r="I827" s="231">
        <v>863909</v>
      </c>
      <c r="K827" s="230">
        <v>44302</v>
      </c>
      <c r="L827" s="1">
        <v>767.05</v>
      </c>
      <c r="M827" s="1">
        <v>774.852618375666</v>
      </c>
      <c r="N827" s="1">
        <v>3189</v>
      </c>
      <c r="O827" s="1">
        <v>48832.03</v>
      </c>
      <c r="P827" s="215">
        <f t="shared" si="126"/>
        <v>1.8407104820037379E-2</v>
      </c>
      <c r="Q827" s="215">
        <f t="shared" si="121"/>
        <v>1.5668864660181026E-3</v>
      </c>
      <c r="R827" s="231">
        <v>2471005</v>
      </c>
      <c r="T827" s="230">
        <v>44302</v>
      </c>
      <c r="U827" s="1">
        <v>80.3</v>
      </c>
      <c r="V827" s="1">
        <v>81.316663646151994</v>
      </c>
      <c r="W827" s="1">
        <v>187606</v>
      </c>
      <c r="X827" s="1">
        <v>48832.03</v>
      </c>
      <c r="Y827" s="215">
        <f t="shared" si="127"/>
        <v>1.8407104820037379E-2</v>
      </c>
      <c r="Z827" s="215">
        <f t="shared" si="122"/>
        <v>6.4986737400530403E-2</v>
      </c>
      <c r="AA827" s="231">
        <v>15255494</v>
      </c>
      <c r="AC827" s="230">
        <v>44337</v>
      </c>
      <c r="AD827" s="1">
        <v>62.05</v>
      </c>
      <c r="AE827" s="1">
        <v>62.307674763370898</v>
      </c>
      <c r="AF827" s="1">
        <v>8769</v>
      </c>
      <c r="AG827" s="1">
        <v>50540.480000000003</v>
      </c>
      <c r="AH827" s="215">
        <f t="shared" si="128"/>
        <v>-2.1997200499882519E-3</v>
      </c>
      <c r="AI827" s="215">
        <f t="shared" si="123"/>
        <v>1.140994295028519E-2</v>
      </c>
      <c r="AJ827" s="231">
        <v>546376</v>
      </c>
      <c r="AL827" s="254"/>
      <c r="AQ827" s="215" t="str">
        <f t="shared" si="129"/>
        <v>NA</v>
      </c>
      <c r="AR827" s="215" t="str">
        <f t="shared" si="124"/>
        <v>NA</v>
      </c>
    </row>
    <row r="828" spans="2:44">
      <c r="B828" s="230">
        <v>44306</v>
      </c>
      <c r="C828" s="1">
        <v>316.45</v>
      </c>
      <c r="D828" s="1">
        <v>321.12252541466</v>
      </c>
      <c r="E828" s="1">
        <v>1869</v>
      </c>
      <c r="F828" s="215">
        <v>47705.8</v>
      </c>
      <c r="G828" s="215">
        <f t="shared" si="125"/>
        <v>-7.7966883572960777E-3</v>
      </c>
      <c r="H828" s="215">
        <f t="shared" si="120"/>
        <v>-6.4864066193853431E-2</v>
      </c>
      <c r="I828" s="231">
        <v>600178</v>
      </c>
      <c r="K828" s="230">
        <v>44305</v>
      </c>
      <c r="L828" s="1">
        <v>765.85</v>
      </c>
      <c r="M828" s="1">
        <v>755.39739461358295</v>
      </c>
      <c r="N828" s="1">
        <v>6832</v>
      </c>
      <c r="O828" s="1">
        <v>47949.42</v>
      </c>
      <c r="P828" s="215">
        <f t="shared" si="126"/>
        <v>5.106716583727744E-3</v>
      </c>
      <c r="Q828" s="215">
        <f t="shared" si="121"/>
        <v>-4.2257183721232661E-3</v>
      </c>
      <c r="R828" s="231">
        <v>5160875</v>
      </c>
      <c r="T828" s="230">
        <v>44305</v>
      </c>
      <c r="U828" s="1">
        <v>75.400000000000006</v>
      </c>
      <c r="V828" s="1">
        <v>75.469364741035406</v>
      </c>
      <c r="W828" s="1">
        <v>556891</v>
      </c>
      <c r="X828" s="1">
        <v>47949.42</v>
      </c>
      <c r="Y828" s="215">
        <f t="shared" si="127"/>
        <v>5.106716583727744E-3</v>
      </c>
      <c r="Z828" s="215">
        <f t="shared" si="122"/>
        <v>7.3480293921177608E-3</v>
      </c>
      <c r="AA828" s="231">
        <v>42028210</v>
      </c>
      <c r="AC828" s="230">
        <v>44340</v>
      </c>
      <c r="AD828" s="1">
        <v>61.35</v>
      </c>
      <c r="AE828" s="1">
        <v>61.1704719645018</v>
      </c>
      <c r="AF828" s="1">
        <v>12395</v>
      </c>
      <c r="AG828" s="1">
        <v>50651.9</v>
      </c>
      <c r="AH828" s="215">
        <f t="shared" si="128"/>
        <v>2.8378161415076875E-4</v>
      </c>
      <c r="AI828" s="215">
        <f t="shared" si="123"/>
        <v>-1.4457831325301207E-2</v>
      </c>
      <c r="AJ828" s="231">
        <v>758208</v>
      </c>
      <c r="AL828" s="254"/>
      <c r="AQ828" s="215" t="str">
        <f t="shared" si="129"/>
        <v>NA</v>
      </c>
      <c r="AR828" s="215" t="str">
        <f t="shared" si="124"/>
        <v>NA</v>
      </c>
    </row>
    <row r="829" spans="2:44">
      <c r="B829" s="230">
        <v>44308</v>
      </c>
      <c r="C829" s="1">
        <v>338.4</v>
      </c>
      <c r="D829" s="1">
        <v>334.41024059222701</v>
      </c>
      <c r="E829" s="1">
        <v>1621</v>
      </c>
      <c r="F829" s="215">
        <v>48080.67</v>
      </c>
      <c r="G829" s="215">
        <f t="shared" si="125"/>
        <v>4.2236120843510694E-3</v>
      </c>
      <c r="H829" s="215">
        <f t="shared" si="120"/>
        <v>-3.0372492836676312E-2</v>
      </c>
      <c r="I829" s="231">
        <v>542079</v>
      </c>
      <c r="K829" s="230">
        <v>44306</v>
      </c>
      <c r="L829" s="1">
        <v>769.1</v>
      </c>
      <c r="M829" s="1">
        <v>773.99175461741402</v>
      </c>
      <c r="N829" s="1">
        <v>3032</v>
      </c>
      <c r="O829" s="1">
        <v>47705.8</v>
      </c>
      <c r="P829" s="215">
        <f t="shared" si="126"/>
        <v>-7.7966883572960777E-3</v>
      </c>
      <c r="Q829" s="215">
        <f t="shared" si="121"/>
        <v>-5.1956856702619403E-2</v>
      </c>
      <c r="R829" s="231">
        <v>2346743</v>
      </c>
      <c r="T829" s="230">
        <v>44306</v>
      </c>
      <c r="U829" s="1">
        <v>74.849999999999994</v>
      </c>
      <c r="V829" s="1">
        <v>75.669141504308001</v>
      </c>
      <c r="W829" s="1">
        <v>257660</v>
      </c>
      <c r="X829" s="1">
        <v>47705.8</v>
      </c>
      <c r="Y829" s="215">
        <f t="shared" si="127"/>
        <v>-7.7966883572960777E-3</v>
      </c>
      <c r="Z829" s="215">
        <f t="shared" si="122"/>
        <v>-2.8552887735236898E-2</v>
      </c>
      <c r="AA829" s="231">
        <v>19496911</v>
      </c>
      <c r="AC829" s="230">
        <v>44341</v>
      </c>
      <c r="AD829" s="1">
        <v>62.25</v>
      </c>
      <c r="AE829" s="1">
        <v>64.966230090460002</v>
      </c>
      <c r="AF829" s="1">
        <v>36038</v>
      </c>
      <c r="AG829" s="1">
        <v>50637.53</v>
      </c>
      <c r="AH829" s="215">
        <f t="shared" si="128"/>
        <v>-7.4482256291563687E-3</v>
      </c>
      <c r="AI829" s="215">
        <f t="shared" si="123"/>
        <v>-6.3846767757381739E-3</v>
      </c>
      <c r="AJ829" s="231">
        <v>2341253</v>
      </c>
      <c r="AL829" s="254"/>
      <c r="AQ829" s="215" t="str">
        <f t="shared" si="129"/>
        <v>NA</v>
      </c>
      <c r="AR829" s="215" t="str">
        <f t="shared" si="124"/>
        <v>NA</v>
      </c>
    </row>
    <row r="830" spans="2:44">
      <c r="B830" s="230">
        <v>44309</v>
      </c>
      <c r="C830" s="1">
        <v>349</v>
      </c>
      <c r="D830" s="1">
        <v>358.14291115311897</v>
      </c>
      <c r="E830" s="1">
        <v>2645</v>
      </c>
      <c r="F830" s="215">
        <v>47878.45</v>
      </c>
      <c r="G830" s="215">
        <f t="shared" si="125"/>
        <v>-1.0500033997078995E-2</v>
      </c>
      <c r="H830" s="215">
        <f t="shared" si="120"/>
        <v>5.4739268222414594E-3</v>
      </c>
      <c r="I830" s="231">
        <v>947288</v>
      </c>
      <c r="K830" s="230">
        <v>44308</v>
      </c>
      <c r="L830" s="1">
        <v>811.25</v>
      </c>
      <c r="M830" s="1">
        <v>800.83992077068501</v>
      </c>
      <c r="N830" s="1">
        <v>22214</v>
      </c>
      <c r="O830" s="1">
        <v>48080.67</v>
      </c>
      <c r="P830" s="215">
        <f t="shared" si="126"/>
        <v>4.2236120843510694E-3</v>
      </c>
      <c r="Q830" s="215">
        <f t="shared" si="121"/>
        <v>1.3429106808244828E-2</v>
      </c>
      <c r="R830" s="231">
        <v>17789858</v>
      </c>
      <c r="T830" s="230">
        <v>44308</v>
      </c>
      <c r="U830" s="1">
        <v>77.05</v>
      </c>
      <c r="V830" s="1">
        <v>77.233258394299597</v>
      </c>
      <c r="W830" s="1">
        <v>398991</v>
      </c>
      <c r="X830" s="1">
        <v>48080.67</v>
      </c>
      <c r="Y830" s="215">
        <f t="shared" si="127"/>
        <v>4.2236120843510694E-3</v>
      </c>
      <c r="Z830" s="215">
        <f t="shared" si="122"/>
        <v>3.2150033489618091E-2</v>
      </c>
      <c r="AA830" s="231">
        <v>30815375</v>
      </c>
      <c r="AC830" s="230">
        <v>44342</v>
      </c>
      <c r="AD830" s="1">
        <v>62.65</v>
      </c>
      <c r="AE830" s="1">
        <v>62.977430211839199</v>
      </c>
      <c r="AF830" s="1">
        <v>10102</v>
      </c>
      <c r="AG830" s="1">
        <v>51017.52</v>
      </c>
      <c r="AH830" s="215">
        <f t="shared" si="128"/>
        <v>-1.911368081757292E-3</v>
      </c>
      <c r="AI830" s="215">
        <f t="shared" si="123"/>
        <v>1.1299435028248483E-2</v>
      </c>
      <c r="AJ830" s="231">
        <v>636198</v>
      </c>
      <c r="AL830" s="254"/>
      <c r="AQ830" s="215" t="str">
        <f t="shared" si="129"/>
        <v>NA</v>
      </c>
      <c r="AR830" s="215" t="str">
        <f t="shared" si="124"/>
        <v>NA</v>
      </c>
    </row>
    <row r="831" spans="2:44">
      <c r="B831" s="230">
        <v>44312</v>
      </c>
      <c r="C831" s="1">
        <v>347.1</v>
      </c>
      <c r="D831" s="1">
        <v>344.79329608938502</v>
      </c>
      <c r="E831" s="1">
        <v>2327</v>
      </c>
      <c r="F831" s="215">
        <v>48386.51</v>
      </c>
      <c r="G831" s="215">
        <f t="shared" si="125"/>
        <v>-1.1393192320878431E-2</v>
      </c>
      <c r="H831" s="215">
        <f t="shared" si="120"/>
        <v>-1.6574585635359074E-2</v>
      </c>
      <c r="I831" s="231">
        <v>802334</v>
      </c>
      <c r="K831" s="230">
        <v>44309</v>
      </c>
      <c r="L831" s="1">
        <v>800.5</v>
      </c>
      <c r="M831" s="1">
        <v>819.722781368082</v>
      </c>
      <c r="N831" s="1">
        <v>28317</v>
      </c>
      <c r="O831" s="1">
        <v>47878.45</v>
      </c>
      <c r="P831" s="215">
        <f t="shared" si="126"/>
        <v>-1.0500033997078995E-2</v>
      </c>
      <c r="Q831" s="215">
        <f t="shared" si="121"/>
        <v>-1.3129507489366921E-2</v>
      </c>
      <c r="R831" s="231">
        <v>23212090</v>
      </c>
      <c r="T831" s="230">
        <v>44309</v>
      </c>
      <c r="U831" s="1">
        <v>74.650000000000006</v>
      </c>
      <c r="V831" s="1">
        <v>76.925706282239602</v>
      </c>
      <c r="W831" s="1">
        <v>146365</v>
      </c>
      <c r="X831" s="1">
        <v>47878.45</v>
      </c>
      <c r="Y831" s="215">
        <f t="shared" si="127"/>
        <v>-1.0500033997078995E-2</v>
      </c>
      <c r="Z831" s="215">
        <f t="shared" si="122"/>
        <v>-2.6092628832354858E-2</v>
      </c>
      <c r="AA831" s="231">
        <v>11259231</v>
      </c>
      <c r="AC831" s="230">
        <v>44343</v>
      </c>
      <c r="AD831" s="1">
        <v>61.95</v>
      </c>
      <c r="AE831" s="1">
        <v>62.020766937390697</v>
      </c>
      <c r="AF831" s="1">
        <v>9727</v>
      </c>
      <c r="AG831" s="1">
        <v>51115.22</v>
      </c>
      <c r="AH831" s="215">
        <f t="shared" si="128"/>
        <v>-5.9829398897921493E-3</v>
      </c>
      <c r="AI831" s="215">
        <f t="shared" si="123"/>
        <v>1.3911620294599025E-2</v>
      </c>
      <c r="AJ831" s="231">
        <v>603276</v>
      </c>
      <c r="AL831" s="254"/>
      <c r="AQ831" s="215" t="str">
        <f t="shared" si="129"/>
        <v>NA</v>
      </c>
      <c r="AR831" s="215" t="str">
        <f t="shared" si="124"/>
        <v>NA</v>
      </c>
    </row>
    <row r="832" spans="2:44">
      <c r="B832" s="230">
        <v>44313</v>
      </c>
      <c r="C832" s="1">
        <v>352.95</v>
      </c>
      <c r="D832" s="1">
        <v>349.78761061946898</v>
      </c>
      <c r="E832" s="1">
        <v>4633</v>
      </c>
      <c r="F832" s="215">
        <v>48944.14</v>
      </c>
      <c r="G832" s="215">
        <f t="shared" si="125"/>
        <v>-1.587852456194816E-2</v>
      </c>
      <c r="H832" s="215">
        <f t="shared" si="120"/>
        <v>9.9262620533169255E-4</v>
      </c>
      <c r="I832" s="231">
        <v>1620566</v>
      </c>
      <c r="K832" s="230">
        <v>44312</v>
      </c>
      <c r="L832" s="1">
        <v>811.15</v>
      </c>
      <c r="M832" s="1">
        <v>818.25907258064501</v>
      </c>
      <c r="N832" s="1">
        <v>7936</v>
      </c>
      <c r="O832" s="1">
        <v>48386.51</v>
      </c>
      <c r="P832" s="215">
        <f t="shared" si="126"/>
        <v>-1.1393192320878431E-2</v>
      </c>
      <c r="Q832" s="215">
        <f t="shared" si="121"/>
        <v>-6.3229010278323172E-2</v>
      </c>
      <c r="R832" s="231">
        <v>6493704</v>
      </c>
      <c r="T832" s="230">
        <v>44312</v>
      </c>
      <c r="U832" s="1">
        <v>76.650000000000006</v>
      </c>
      <c r="V832" s="1">
        <v>77.282104143344796</v>
      </c>
      <c r="W832" s="1">
        <v>287642</v>
      </c>
      <c r="X832" s="1">
        <v>48386.51</v>
      </c>
      <c r="Y832" s="215">
        <f t="shared" si="127"/>
        <v>-1.1393192320878431E-2</v>
      </c>
      <c r="Z832" s="215">
        <f t="shared" si="122"/>
        <v>-3.4634760705289702E-2</v>
      </c>
      <c r="AA832" s="231">
        <v>22229579</v>
      </c>
      <c r="AC832" s="230">
        <v>44344</v>
      </c>
      <c r="AD832" s="1">
        <v>61.1</v>
      </c>
      <c r="AE832" s="1">
        <v>61.632114443084397</v>
      </c>
      <c r="AF832" s="1">
        <v>13072</v>
      </c>
      <c r="AG832" s="1">
        <v>51422.879999999997</v>
      </c>
      <c r="AH832" s="215">
        <f t="shared" si="128"/>
        <v>-9.9073038640334898E-3</v>
      </c>
      <c r="AI832" s="215">
        <f t="shared" si="123"/>
        <v>1.5793848711554537E-2</v>
      </c>
      <c r="AJ832" s="231">
        <v>805655</v>
      </c>
      <c r="AL832" s="254"/>
      <c r="AQ832" s="215" t="str">
        <f t="shared" si="129"/>
        <v>NA</v>
      </c>
      <c r="AR832" s="215" t="str">
        <f t="shared" si="124"/>
        <v>NA</v>
      </c>
    </row>
    <row r="833" spans="2:44">
      <c r="B833" s="230">
        <v>44314</v>
      </c>
      <c r="C833" s="1">
        <v>352.6</v>
      </c>
      <c r="D833" s="1">
        <v>355.43782383419602</v>
      </c>
      <c r="E833" s="1">
        <v>772</v>
      </c>
      <c r="F833" s="215">
        <v>49733.84</v>
      </c>
      <c r="G833" s="215">
        <f t="shared" si="125"/>
        <v>-6.4501946512018904E-4</v>
      </c>
      <c r="H833" s="215">
        <f t="shared" si="120"/>
        <v>-2.9185022026431584E-2</v>
      </c>
      <c r="I833" s="231">
        <v>274398</v>
      </c>
      <c r="K833" s="230">
        <v>44313</v>
      </c>
      <c r="L833" s="1">
        <v>865.9</v>
      </c>
      <c r="M833" s="1">
        <v>851.84343574450304</v>
      </c>
      <c r="N833" s="1">
        <v>28838</v>
      </c>
      <c r="O833" s="1">
        <v>48944.14</v>
      </c>
      <c r="P833" s="215">
        <f t="shared" si="126"/>
        <v>-1.587852456194816E-2</v>
      </c>
      <c r="Q833" s="215">
        <f t="shared" si="121"/>
        <v>2.6052220228101053E-3</v>
      </c>
      <c r="R833" s="231">
        <v>24565461</v>
      </c>
      <c r="T833" s="230">
        <v>44313</v>
      </c>
      <c r="U833" s="1">
        <v>79.400000000000006</v>
      </c>
      <c r="V833" s="1">
        <v>79.916564318252</v>
      </c>
      <c r="W833" s="1">
        <v>372095</v>
      </c>
      <c r="X833" s="1">
        <v>48944.14</v>
      </c>
      <c r="Y833" s="215">
        <f t="shared" si="127"/>
        <v>-1.587852456194816E-2</v>
      </c>
      <c r="Z833" s="215">
        <f t="shared" si="122"/>
        <v>2.4516129032258194E-2</v>
      </c>
      <c r="AA833" s="231">
        <v>29736554</v>
      </c>
      <c r="AC833" s="230">
        <v>44347</v>
      </c>
      <c r="AD833" s="1">
        <v>60.15</v>
      </c>
      <c r="AE833" s="1">
        <v>60.253000175963301</v>
      </c>
      <c r="AF833" s="1">
        <v>28415</v>
      </c>
      <c r="AG833" s="1">
        <v>51937.440000000002</v>
      </c>
      <c r="AH833" s="215">
        <f t="shared" si="128"/>
        <v>4.9292498605968404E-5</v>
      </c>
      <c r="AI833" s="215">
        <f t="shared" si="123"/>
        <v>4.7909407665505332E-2</v>
      </c>
      <c r="AJ833" s="231">
        <v>1712089</v>
      </c>
      <c r="AL833" s="254"/>
      <c r="AQ833" s="215" t="str">
        <f t="shared" si="129"/>
        <v>NA</v>
      </c>
      <c r="AR833" s="215" t="str">
        <f t="shared" si="124"/>
        <v>NA</v>
      </c>
    </row>
    <row r="834" spans="2:44">
      <c r="B834" s="230">
        <v>44315</v>
      </c>
      <c r="C834" s="1">
        <v>363.2</v>
      </c>
      <c r="D834" s="1">
        <v>362.98441442778602</v>
      </c>
      <c r="E834" s="1">
        <v>6737</v>
      </c>
      <c r="F834" s="215">
        <v>49765.94</v>
      </c>
      <c r="G834" s="215">
        <f t="shared" si="125"/>
        <v>2.016261615879178E-2</v>
      </c>
      <c r="H834" s="215">
        <f t="shared" si="120"/>
        <v>-1.9967620075553194E-2</v>
      </c>
      <c r="I834" s="231">
        <v>2445426</v>
      </c>
      <c r="K834" s="230">
        <v>44314</v>
      </c>
      <c r="L834" s="1">
        <v>863.65</v>
      </c>
      <c r="M834" s="1">
        <v>873.37830294008097</v>
      </c>
      <c r="N834" s="1">
        <v>10748</v>
      </c>
      <c r="O834" s="1">
        <v>49733.84</v>
      </c>
      <c r="P834" s="215">
        <f t="shared" si="126"/>
        <v>-6.4501946512018904E-4</v>
      </c>
      <c r="Q834" s="215">
        <f t="shared" si="121"/>
        <v>-2.439988703756002E-2</v>
      </c>
      <c r="R834" s="231">
        <v>9387070</v>
      </c>
      <c r="T834" s="230">
        <v>44314</v>
      </c>
      <c r="U834" s="1">
        <v>77.5</v>
      </c>
      <c r="V834" s="1">
        <v>78.825919244954804</v>
      </c>
      <c r="W834" s="1">
        <v>124178</v>
      </c>
      <c r="X834" s="1">
        <v>49733.84</v>
      </c>
      <c r="Y834" s="215">
        <f t="shared" si="127"/>
        <v>-6.4501946512018904E-4</v>
      </c>
      <c r="Z834" s="215">
        <f t="shared" si="122"/>
        <v>-5.7177615571776141E-2</v>
      </c>
      <c r="AA834" s="231">
        <v>9788445</v>
      </c>
      <c r="AC834" s="230">
        <v>44348</v>
      </c>
      <c r="AD834" s="1">
        <v>57.4</v>
      </c>
      <c r="AE834" s="1">
        <v>59.4940363007778</v>
      </c>
      <c r="AF834" s="1">
        <v>11570</v>
      </c>
      <c r="AG834" s="1">
        <v>51934.879999999997</v>
      </c>
      <c r="AH834" s="215">
        <f t="shared" si="128"/>
        <v>1.6470753419319806E-3</v>
      </c>
      <c r="AI834" s="215">
        <f t="shared" si="123"/>
        <v>-3.6104114189756453E-2</v>
      </c>
      <c r="AJ834" s="231">
        <v>688346</v>
      </c>
      <c r="AL834" s="254"/>
      <c r="AQ834" s="215" t="str">
        <f t="shared" si="129"/>
        <v>NA</v>
      </c>
      <c r="AR834" s="215" t="str">
        <f t="shared" si="124"/>
        <v>NA</v>
      </c>
    </row>
    <row r="835" spans="2:44">
      <c r="B835" s="230">
        <v>44316</v>
      </c>
      <c r="C835" s="1">
        <v>370.6</v>
      </c>
      <c r="D835" s="1">
        <v>382.91072977923398</v>
      </c>
      <c r="E835" s="1">
        <v>10373</v>
      </c>
      <c r="F835" s="215">
        <v>48782.36</v>
      </c>
      <c r="G835" s="215">
        <f t="shared" si="125"/>
        <v>1.3103846340161152E-3</v>
      </c>
      <c r="H835" s="215">
        <f t="shared" si="120"/>
        <v>2.976995940460192E-3</v>
      </c>
      <c r="I835" s="231">
        <v>3971933</v>
      </c>
      <c r="K835" s="230">
        <v>44315</v>
      </c>
      <c r="L835" s="1">
        <v>885.25</v>
      </c>
      <c r="M835" s="1">
        <v>884.42771171693698</v>
      </c>
      <c r="N835" s="1">
        <v>13792</v>
      </c>
      <c r="O835" s="1">
        <v>49765.94</v>
      </c>
      <c r="P835" s="215">
        <f t="shared" si="126"/>
        <v>2.016261615879178E-2</v>
      </c>
      <c r="Q835" s="215">
        <f t="shared" si="121"/>
        <v>-5.4825966260943826E-2</v>
      </c>
      <c r="R835" s="231">
        <v>12198027</v>
      </c>
      <c r="T835" s="230">
        <v>44315</v>
      </c>
      <c r="U835" s="1">
        <v>82.2</v>
      </c>
      <c r="V835" s="1">
        <v>81.115465304927397</v>
      </c>
      <c r="W835" s="1">
        <v>618229</v>
      </c>
      <c r="X835" s="1">
        <v>49765.94</v>
      </c>
      <c r="Y835" s="215">
        <f t="shared" si="127"/>
        <v>2.016261615879178E-2</v>
      </c>
      <c r="Z835" s="215">
        <f t="shared" si="122"/>
        <v>1.8587360594795488E-2</v>
      </c>
      <c r="AA835" s="231">
        <v>50147933</v>
      </c>
      <c r="AC835" s="230">
        <v>44349</v>
      </c>
      <c r="AD835" s="1">
        <v>59.55</v>
      </c>
      <c r="AE835" s="1">
        <v>59.769326401446598</v>
      </c>
      <c r="AF835" s="1">
        <v>8848</v>
      </c>
      <c r="AG835" s="1">
        <v>51849.48</v>
      </c>
      <c r="AH835" s="215">
        <f t="shared" si="128"/>
        <v>-7.3316520024053755E-3</v>
      </c>
      <c r="AI835" s="215">
        <f t="shared" si="123"/>
        <v>1.3617021276595587E-2</v>
      </c>
      <c r="AJ835" s="231">
        <v>528839</v>
      </c>
      <c r="AL835" s="254"/>
      <c r="AQ835" s="215" t="str">
        <f t="shared" si="129"/>
        <v>NA</v>
      </c>
      <c r="AR835" s="215" t="str">
        <f t="shared" si="124"/>
        <v>NA</v>
      </c>
    </row>
    <row r="836" spans="2:44">
      <c r="B836" s="230">
        <v>44319</v>
      </c>
      <c r="C836" s="1">
        <v>369.5</v>
      </c>
      <c r="D836" s="1">
        <v>371.66496250851998</v>
      </c>
      <c r="E836" s="1">
        <v>5868</v>
      </c>
      <c r="F836" s="215">
        <v>48718.52</v>
      </c>
      <c r="G836" s="215">
        <f t="shared" si="125"/>
        <v>9.6368119127498986E-3</v>
      </c>
      <c r="H836" s="215">
        <f t="shared" si="120"/>
        <v>-2.4298056155507286E-3</v>
      </c>
      <c r="I836" s="231">
        <v>2180930</v>
      </c>
      <c r="K836" s="230">
        <v>44316</v>
      </c>
      <c r="L836" s="1">
        <v>936.6</v>
      </c>
      <c r="M836" s="1">
        <v>925.06443667175699</v>
      </c>
      <c r="N836" s="1">
        <v>20299</v>
      </c>
      <c r="O836" s="1">
        <v>48782.36</v>
      </c>
      <c r="P836" s="215">
        <f t="shared" si="126"/>
        <v>1.3103846340161152E-3</v>
      </c>
      <c r="Q836" s="215">
        <f t="shared" si="121"/>
        <v>-4.8895658796648922E-2</v>
      </c>
      <c r="R836" s="231">
        <v>18777883</v>
      </c>
      <c r="T836" s="230">
        <v>44316</v>
      </c>
      <c r="U836" s="1">
        <v>80.7</v>
      </c>
      <c r="V836" s="1">
        <v>82.805586697000194</v>
      </c>
      <c r="W836" s="1">
        <v>426370</v>
      </c>
      <c r="X836" s="1">
        <v>48782.36</v>
      </c>
      <c r="Y836" s="215">
        <f t="shared" si="127"/>
        <v>1.3103846340161152E-3</v>
      </c>
      <c r="Z836" s="215">
        <f t="shared" si="122"/>
        <v>-4.3272080616478914E-2</v>
      </c>
      <c r="AA836" s="231">
        <v>35305818</v>
      </c>
      <c r="AC836" s="230">
        <v>44350</v>
      </c>
      <c r="AD836" s="1">
        <v>58.75</v>
      </c>
      <c r="AE836" s="1">
        <v>59.8945056837754</v>
      </c>
      <c r="AF836" s="1">
        <v>23224</v>
      </c>
      <c r="AG836" s="1">
        <v>52232.43</v>
      </c>
      <c r="AH836" s="215">
        <f t="shared" si="128"/>
        <v>2.5408804790014727E-3</v>
      </c>
      <c r="AI836" s="215">
        <f t="shared" si="123"/>
        <v>-1.0942760942760921E-2</v>
      </c>
      <c r="AJ836" s="231">
        <v>1390990</v>
      </c>
      <c r="AL836" s="254"/>
      <c r="AQ836" s="215" t="str">
        <f t="shared" si="129"/>
        <v>NA</v>
      </c>
      <c r="AR836" s="215" t="str">
        <f t="shared" si="124"/>
        <v>NA</v>
      </c>
    </row>
    <row r="837" spans="2:44">
      <c r="B837" s="230">
        <v>44320</v>
      </c>
      <c r="C837" s="1">
        <v>370.4</v>
      </c>
      <c r="D837" s="1">
        <v>372.79829660673198</v>
      </c>
      <c r="E837" s="1">
        <v>7397</v>
      </c>
      <c r="F837" s="215">
        <v>48253.51</v>
      </c>
      <c r="G837" s="215">
        <f t="shared" si="125"/>
        <v>-8.7112025975013552E-3</v>
      </c>
      <c r="H837" s="215">
        <f t="shared" si="120"/>
        <v>-4.5686643375437708E-3</v>
      </c>
      <c r="I837" s="231">
        <v>2757589</v>
      </c>
      <c r="K837" s="230">
        <v>44319</v>
      </c>
      <c r="L837" s="1">
        <v>984.75</v>
      </c>
      <c r="M837" s="1">
        <v>1011.61491828328</v>
      </c>
      <c r="N837" s="1">
        <v>60208</v>
      </c>
      <c r="O837" s="1">
        <v>48718.52</v>
      </c>
      <c r="P837" s="215">
        <f t="shared" si="126"/>
        <v>9.6368119127498986E-3</v>
      </c>
      <c r="Q837" s="215">
        <f t="shared" si="121"/>
        <v>2.5674408915737912E-2</v>
      </c>
      <c r="R837" s="231">
        <v>60907311</v>
      </c>
      <c r="T837" s="230">
        <v>44319</v>
      </c>
      <c r="U837" s="1">
        <v>84.35</v>
      </c>
      <c r="V837" s="1">
        <v>83.747655057125399</v>
      </c>
      <c r="W837" s="1">
        <v>773473</v>
      </c>
      <c r="X837" s="1">
        <v>48718.52</v>
      </c>
      <c r="Y837" s="215">
        <f t="shared" si="127"/>
        <v>9.6368119127498986E-3</v>
      </c>
      <c r="Z837" s="215">
        <f t="shared" si="122"/>
        <v>-2.485549132947984E-2</v>
      </c>
      <c r="AA837" s="231">
        <v>64776550</v>
      </c>
      <c r="AC837" s="230">
        <v>44351</v>
      </c>
      <c r="AD837" s="1">
        <v>59.4</v>
      </c>
      <c r="AE837" s="1">
        <v>59.236150304470499</v>
      </c>
      <c r="AF837" s="1">
        <v>6733</v>
      </c>
      <c r="AG837" s="1">
        <v>52100.05</v>
      </c>
      <c r="AH837" s="215">
        <f t="shared" si="128"/>
        <v>-4.3658800909867068E-3</v>
      </c>
      <c r="AI837" s="215">
        <f t="shared" si="123"/>
        <v>-8.3472454090149917E-3</v>
      </c>
      <c r="AJ837" s="231">
        <v>398837</v>
      </c>
      <c r="AL837" s="254"/>
      <c r="AQ837" s="215" t="str">
        <f t="shared" si="129"/>
        <v>NA</v>
      </c>
      <c r="AR837" s="215" t="str">
        <f t="shared" si="124"/>
        <v>NA</v>
      </c>
    </row>
    <row r="838" spans="2:44">
      <c r="B838" s="230">
        <v>44321</v>
      </c>
      <c r="C838" s="1">
        <v>372.1</v>
      </c>
      <c r="D838" s="1">
        <v>372.60422960724998</v>
      </c>
      <c r="E838" s="1">
        <v>662</v>
      </c>
      <c r="F838" s="215">
        <v>48677.55</v>
      </c>
      <c r="G838" s="215">
        <f t="shared" si="125"/>
        <v>-5.561007857852629E-3</v>
      </c>
      <c r="H838" s="215">
        <f t="shared" si="120"/>
        <v>-1.8776824034334449E-3</v>
      </c>
      <c r="I838" s="231">
        <v>246664</v>
      </c>
      <c r="K838" s="230">
        <v>44320</v>
      </c>
      <c r="L838" s="1">
        <v>960.1</v>
      </c>
      <c r="M838" s="1">
        <v>990.72160491742295</v>
      </c>
      <c r="N838" s="1">
        <v>29609</v>
      </c>
      <c r="O838" s="1">
        <v>48253.51</v>
      </c>
      <c r="P838" s="215">
        <f t="shared" si="126"/>
        <v>-8.7112025975013552E-3</v>
      </c>
      <c r="Q838" s="215">
        <f t="shared" si="121"/>
        <v>-3.0348937029742951E-2</v>
      </c>
      <c r="R838" s="231">
        <v>29334276</v>
      </c>
      <c r="T838" s="230">
        <v>44320</v>
      </c>
      <c r="U838" s="1">
        <v>86.5</v>
      </c>
      <c r="V838" s="1">
        <v>88.362115384615294</v>
      </c>
      <c r="W838" s="1">
        <v>379600</v>
      </c>
      <c r="X838" s="1">
        <v>48253.51</v>
      </c>
      <c r="Y838" s="215">
        <f t="shared" si="127"/>
        <v>-8.7112025975013552E-3</v>
      </c>
      <c r="Z838" s="215">
        <f t="shared" si="122"/>
        <v>-3.4598214285714191E-2</v>
      </c>
      <c r="AA838" s="231">
        <v>33542259</v>
      </c>
      <c r="AC838" s="230">
        <v>44354</v>
      </c>
      <c r="AD838" s="1">
        <v>59.9</v>
      </c>
      <c r="AE838" s="1">
        <v>60.192626369348801</v>
      </c>
      <c r="AF838" s="1">
        <v>17983</v>
      </c>
      <c r="AG838" s="1">
        <v>52328.51</v>
      </c>
      <c r="AH838" s="215">
        <f t="shared" si="128"/>
        <v>1.0127101435719599E-3</v>
      </c>
      <c r="AI838" s="215">
        <f t="shared" si="123"/>
        <v>-4.983388704319025E-3</v>
      </c>
      <c r="AJ838" s="231">
        <v>1082444</v>
      </c>
      <c r="AL838" s="254"/>
      <c r="AQ838" s="215" t="str">
        <f t="shared" si="129"/>
        <v>NA</v>
      </c>
      <c r="AR838" s="215" t="str">
        <f t="shared" si="124"/>
        <v>NA</v>
      </c>
    </row>
    <row r="839" spans="2:44">
      <c r="B839" s="230">
        <v>44322</v>
      </c>
      <c r="C839" s="1">
        <v>372.8</v>
      </c>
      <c r="D839" s="1">
        <v>377.64864864864802</v>
      </c>
      <c r="E839" s="1">
        <v>1036</v>
      </c>
      <c r="F839" s="215">
        <v>48949.760000000002</v>
      </c>
      <c r="G839" s="215">
        <f t="shared" si="125"/>
        <v>-5.2169968705334524E-3</v>
      </c>
      <c r="H839" s="215">
        <f t="shared" si="120"/>
        <v>1.6912165848335992E-2</v>
      </c>
      <c r="I839" s="231">
        <v>391244</v>
      </c>
      <c r="K839" s="230">
        <v>44321</v>
      </c>
      <c r="L839" s="1">
        <v>990.15</v>
      </c>
      <c r="M839" s="1">
        <v>993.74753652735296</v>
      </c>
      <c r="N839" s="1">
        <v>20601</v>
      </c>
      <c r="O839" s="1">
        <v>48677.55</v>
      </c>
      <c r="P839" s="215">
        <f t="shared" si="126"/>
        <v>-5.561007857852629E-3</v>
      </c>
      <c r="Q839" s="215">
        <f t="shared" si="121"/>
        <v>-7.5688767786863398E-4</v>
      </c>
      <c r="R839" s="231">
        <v>20472193</v>
      </c>
      <c r="T839" s="230">
        <v>44321</v>
      </c>
      <c r="U839" s="1">
        <v>89.6</v>
      </c>
      <c r="V839" s="1">
        <v>89.426607343761006</v>
      </c>
      <c r="W839" s="1">
        <v>411533</v>
      </c>
      <c r="X839" s="1">
        <v>48677.55</v>
      </c>
      <c r="Y839" s="215">
        <f t="shared" si="127"/>
        <v>-5.561007857852629E-3</v>
      </c>
      <c r="Z839" s="215">
        <f t="shared" si="122"/>
        <v>1.5297450424929027E-2</v>
      </c>
      <c r="AA839" s="231">
        <v>36802000</v>
      </c>
      <c r="AC839" s="230">
        <v>44355</v>
      </c>
      <c r="AD839" s="1">
        <v>60.2</v>
      </c>
      <c r="AE839" s="1">
        <v>59.856276248250097</v>
      </c>
      <c r="AF839" s="1">
        <v>8572</v>
      </c>
      <c r="AG839" s="1">
        <v>52275.57</v>
      </c>
      <c r="AH839" s="215">
        <f t="shared" si="128"/>
        <v>6.4289460248079244E-3</v>
      </c>
      <c r="AI839" s="215">
        <f t="shared" si="123"/>
        <v>2.4979184013322886E-3</v>
      </c>
      <c r="AJ839" s="231">
        <v>513088</v>
      </c>
      <c r="AL839" s="254"/>
      <c r="AQ839" s="215" t="str">
        <f t="shared" si="129"/>
        <v>NA</v>
      </c>
      <c r="AR839" s="215" t="str">
        <f t="shared" si="124"/>
        <v>NA</v>
      </c>
    </row>
    <row r="840" spans="2:44">
      <c r="B840" s="230">
        <v>44323</v>
      </c>
      <c r="C840" s="1">
        <v>366.6</v>
      </c>
      <c r="D840" s="1">
        <v>366.273479948253</v>
      </c>
      <c r="E840" s="1">
        <v>3865</v>
      </c>
      <c r="F840" s="215">
        <v>49206.47</v>
      </c>
      <c r="G840" s="215">
        <f t="shared" si="125"/>
        <v>-5.9782947941322551E-3</v>
      </c>
      <c r="H840" s="215">
        <f t="shared" si="120"/>
        <v>-1.5177971793149725E-2</v>
      </c>
      <c r="I840" s="231">
        <v>1415647</v>
      </c>
      <c r="K840" s="230">
        <v>44322</v>
      </c>
      <c r="L840" s="1">
        <v>990.9</v>
      </c>
      <c r="M840" s="1">
        <v>999.11006678209196</v>
      </c>
      <c r="N840" s="1">
        <v>8086</v>
      </c>
      <c r="O840" s="1">
        <v>48949.760000000002</v>
      </c>
      <c r="P840" s="215">
        <f t="shared" si="126"/>
        <v>-5.2169968705334524E-3</v>
      </c>
      <c r="Q840" s="215">
        <f t="shared" si="121"/>
        <v>-1.3588173809168214E-2</v>
      </c>
      <c r="R840" s="231">
        <v>8078804</v>
      </c>
      <c r="T840" s="230">
        <v>44322</v>
      </c>
      <c r="U840" s="1">
        <v>88.25</v>
      </c>
      <c r="V840" s="1">
        <v>89.950980899364595</v>
      </c>
      <c r="W840" s="1">
        <v>386584</v>
      </c>
      <c r="X840" s="1">
        <v>48949.760000000002</v>
      </c>
      <c r="Y840" s="215">
        <f t="shared" si="127"/>
        <v>-5.2169968705334524E-3</v>
      </c>
      <c r="Z840" s="215">
        <f t="shared" si="122"/>
        <v>-2.9152915291529191E-2</v>
      </c>
      <c r="AA840" s="231">
        <v>34773610</v>
      </c>
      <c r="AC840" s="230">
        <v>44356</v>
      </c>
      <c r="AD840" s="1">
        <v>60.05</v>
      </c>
      <c r="AE840" s="1">
        <v>62.006063222337701</v>
      </c>
      <c r="AF840" s="1">
        <v>50963</v>
      </c>
      <c r="AG840" s="1">
        <v>51941.64</v>
      </c>
      <c r="AH840" s="215">
        <f t="shared" si="128"/>
        <v>-6.8609326072978094E-3</v>
      </c>
      <c r="AI840" s="215">
        <f t="shared" si="123"/>
        <v>-5.4330708661417315E-2</v>
      </c>
      <c r="AJ840" s="231">
        <v>3160015</v>
      </c>
      <c r="AL840" s="254"/>
      <c r="AQ840" s="215" t="str">
        <f t="shared" si="129"/>
        <v>NA</v>
      </c>
      <c r="AR840" s="215" t="str">
        <f t="shared" si="124"/>
        <v>NA</v>
      </c>
    </row>
    <row r="841" spans="2:44">
      <c r="B841" s="230">
        <v>44326</v>
      </c>
      <c r="C841" s="1">
        <v>372.25</v>
      </c>
      <c r="D841" s="1">
        <v>369.40755651904601</v>
      </c>
      <c r="E841" s="1">
        <v>3229</v>
      </c>
      <c r="F841" s="215">
        <v>49502.41</v>
      </c>
      <c r="G841" s="215">
        <f t="shared" si="125"/>
        <v>6.9281419866356053E-3</v>
      </c>
      <c r="H841" s="215">
        <f t="shared" si="120"/>
        <v>7.7152138603140408E-3</v>
      </c>
      <c r="I841" s="231">
        <v>1192817</v>
      </c>
      <c r="K841" s="230">
        <v>44323</v>
      </c>
      <c r="L841" s="1">
        <v>1004.55</v>
      </c>
      <c r="M841" s="1">
        <v>1004.7277539898701</v>
      </c>
      <c r="N841" s="1">
        <v>12845</v>
      </c>
      <c r="O841" s="1">
        <v>49206.47</v>
      </c>
      <c r="P841" s="215">
        <f t="shared" si="126"/>
        <v>-5.9782947941322551E-3</v>
      </c>
      <c r="Q841" s="215">
        <f t="shared" si="121"/>
        <v>-4.6645155167505115E-2</v>
      </c>
      <c r="R841" s="231">
        <v>12905728</v>
      </c>
      <c r="T841" s="230">
        <v>44323</v>
      </c>
      <c r="U841" s="1">
        <v>90.9</v>
      </c>
      <c r="V841" s="1">
        <v>89.316846082605196</v>
      </c>
      <c r="W841" s="1">
        <v>567954</v>
      </c>
      <c r="X841" s="1">
        <v>49206.47</v>
      </c>
      <c r="Y841" s="215">
        <f t="shared" si="127"/>
        <v>-5.9782947941322551E-3</v>
      </c>
      <c r="Z841" s="215">
        <f t="shared" si="122"/>
        <v>-8.8721804511278091E-2</v>
      </c>
      <c r="AA841" s="231">
        <v>50727860</v>
      </c>
      <c r="AC841" s="230">
        <v>44357</v>
      </c>
      <c r="AD841" s="1">
        <v>63.5</v>
      </c>
      <c r="AE841" s="1">
        <v>63.381447631053597</v>
      </c>
      <c r="AF841" s="1">
        <v>9519</v>
      </c>
      <c r="AG841" s="1">
        <v>52300.47</v>
      </c>
      <c r="AH841" s="215">
        <f t="shared" si="128"/>
        <v>-3.3214063294429996E-3</v>
      </c>
      <c r="AI841" s="215">
        <f t="shared" si="123"/>
        <v>-4.4394281414597447E-2</v>
      </c>
      <c r="AJ841" s="231">
        <v>603328</v>
      </c>
      <c r="AL841" s="254"/>
      <c r="AQ841" s="215" t="str">
        <f t="shared" si="129"/>
        <v>NA</v>
      </c>
      <c r="AR841" s="215" t="str">
        <f t="shared" si="124"/>
        <v>NA</v>
      </c>
    </row>
    <row r="842" spans="2:44">
      <c r="B842" s="230">
        <v>44327</v>
      </c>
      <c r="C842" s="1">
        <v>369.4</v>
      </c>
      <c r="D842" s="1">
        <v>359.25991501416399</v>
      </c>
      <c r="E842" s="1">
        <v>2824</v>
      </c>
      <c r="F842" s="215">
        <v>49161.81</v>
      </c>
      <c r="G842" s="215">
        <f t="shared" si="125"/>
        <v>9.6734906799640363E-3</v>
      </c>
      <c r="H842" s="215">
        <f t="shared" si="120"/>
        <v>4.4867437117606102E-3</v>
      </c>
      <c r="I842" s="231">
        <v>1014550</v>
      </c>
      <c r="K842" s="230">
        <v>44326</v>
      </c>
      <c r="L842" s="1">
        <v>1053.7</v>
      </c>
      <c r="M842" s="1">
        <v>1056.7344838260301</v>
      </c>
      <c r="N842" s="1">
        <v>25844</v>
      </c>
      <c r="O842" s="1">
        <v>49502.41</v>
      </c>
      <c r="P842" s="215">
        <f t="shared" si="126"/>
        <v>6.9281419866356053E-3</v>
      </c>
      <c r="Q842" s="215">
        <f t="shared" si="121"/>
        <v>-1.8581474409723908E-2</v>
      </c>
      <c r="R842" s="231">
        <v>27310246</v>
      </c>
      <c r="T842" s="230">
        <v>44326</v>
      </c>
      <c r="U842" s="1">
        <v>99.75</v>
      </c>
      <c r="V842" s="1">
        <v>97.895618619873403</v>
      </c>
      <c r="W842" s="1">
        <v>856762</v>
      </c>
      <c r="X842" s="1">
        <v>49502.41</v>
      </c>
      <c r="Y842" s="215">
        <f t="shared" si="127"/>
        <v>6.9281419866356053E-3</v>
      </c>
      <c r="Z842" s="215">
        <f t="shared" si="122"/>
        <v>8.5945399393325683E-3</v>
      </c>
      <c r="AA842" s="231">
        <v>83873246</v>
      </c>
      <c r="AC842" s="230">
        <v>44358</v>
      </c>
      <c r="AD842" s="1">
        <v>66.45</v>
      </c>
      <c r="AE842" s="1">
        <v>65.079522110498402</v>
      </c>
      <c r="AF842" s="1">
        <v>55494</v>
      </c>
      <c r="AG842" s="1">
        <v>52474.76</v>
      </c>
      <c r="AH842" s="215">
        <f t="shared" si="128"/>
        <v>-1.4608518534093839E-3</v>
      </c>
      <c r="AI842" s="215">
        <f t="shared" si="123"/>
        <v>-2.7798098024871876E-2</v>
      </c>
      <c r="AJ842" s="231">
        <v>3611523</v>
      </c>
      <c r="AL842" s="254"/>
      <c r="AQ842" s="215" t="str">
        <f t="shared" si="129"/>
        <v>NA</v>
      </c>
      <c r="AR842" s="215" t="str">
        <f t="shared" si="124"/>
        <v>NA</v>
      </c>
    </row>
    <row r="843" spans="2:44">
      <c r="B843" s="230">
        <v>44328</v>
      </c>
      <c r="C843" s="1">
        <v>367.75</v>
      </c>
      <c r="D843" s="1">
        <v>368.681754549696</v>
      </c>
      <c r="E843" s="1">
        <v>4286</v>
      </c>
      <c r="F843" s="215">
        <v>48690.8</v>
      </c>
      <c r="G843" s="215">
        <f t="shared" si="125"/>
        <v>-8.5671691713240516E-4</v>
      </c>
      <c r="H843" s="215">
        <f t="shared" si="120"/>
        <v>2.7091188381511033E-2</v>
      </c>
      <c r="I843" s="231">
        <v>1580170</v>
      </c>
      <c r="K843" s="230">
        <v>44327</v>
      </c>
      <c r="L843" s="1">
        <v>1073.6500000000001</v>
      </c>
      <c r="M843" s="1">
        <v>1065.55521616541</v>
      </c>
      <c r="N843" s="1">
        <v>21280</v>
      </c>
      <c r="O843" s="1">
        <v>49161.81</v>
      </c>
      <c r="P843" s="215">
        <f t="shared" si="126"/>
        <v>9.6734906799640363E-3</v>
      </c>
      <c r="Q843" s="215">
        <f t="shared" si="121"/>
        <v>-3.8042217582926474E-3</v>
      </c>
      <c r="R843" s="231">
        <v>22675015</v>
      </c>
      <c r="T843" s="230">
        <v>44327</v>
      </c>
      <c r="U843" s="1">
        <v>98.9</v>
      </c>
      <c r="V843" s="1">
        <v>100.390581282081</v>
      </c>
      <c r="W843" s="1">
        <v>578996</v>
      </c>
      <c r="X843" s="1">
        <v>49161.81</v>
      </c>
      <c r="Y843" s="215">
        <f t="shared" si="127"/>
        <v>9.6734906799640363E-3</v>
      </c>
      <c r="Z843" s="215">
        <f t="shared" si="122"/>
        <v>5.3248136315229067E-2</v>
      </c>
      <c r="AA843" s="231">
        <v>58125745</v>
      </c>
      <c r="AC843" s="230">
        <v>44361</v>
      </c>
      <c r="AD843" s="1">
        <v>68.349999999999994</v>
      </c>
      <c r="AE843" s="1">
        <v>67.960678900449395</v>
      </c>
      <c r="AF843" s="1">
        <v>80542</v>
      </c>
      <c r="AG843" s="1">
        <v>52551.53</v>
      </c>
      <c r="AH843" s="215">
        <f t="shared" si="128"/>
        <v>-4.197597068958614E-3</v>
      </c>
      <c r="AI843" s="215">
        <f t="shared" si="123"/>
        <v>-5.0946142649200832E-3</v>
      </c>
      <c r="AJ843" s="231">
        <v>5473689</v>
      </c>
      <c r="AL843" s="254"/>
      <c r="AQ843" s="215" t="str">
        <f t="shared" si="129"/>
        <v>NA</v>
      </c>
      <c r="AR843" s="215" t="str">
        <f t="shared" si="124"/>
        <v>NA</v>
      </c>
    </row>
    <row r="844" spans="2:44">
      <c r="B844" s="230">
        <v>44330</v>
      </c>
      <c r="C844" s="1">
        <v>358.05</v>
      </c>
      <c r="D844" s="1">
        <v>363.61022044088099</v>
      </c>
      <c r="E844" s="1">
        <v>1996</v>
      </c>
      <c r="F844" s="215">
        <v>48732.55</v>
      </c>
      <c r="G844" s="215">
        <f t="shared" si="125"/>
        <v>-1.7107049452478873E-2</v>
      </c>
      <c r="H844" s="215">
        <f t="shared" si="120"/>
        <v>5.4759898904801485E-3</v>
      </c>
      <c r="I844" s="231">
        <v>725766</v>
      </c>
      <c r="K844" s="230">
        <v>44328</v>
      </c>
      <c r="L844" s="1">
        <v>1077.75</v>
      </c>
      <c r="M844" s="1">
        <v>1098.63693782256</v>
      </c>
      <c r="N844" s="1">
        <v>40690</v>
      </c>
      <c r="O844" s="1">
        <v>48690.8</v>
      </c>
      <c r="P844" s="215">
        <f t="shared" si="126"/>
        <v>-8.5671691713240516E-4</v>
      </c>
      <c r="Q844" s="215">
        <f t="shared" si="121"/>
        <v>0.13262571593715533</v>
      </c>
      <c r="R844" s="231">
        <v>44703537</v>
      </c>
      <c r="T844" s="230">
        <v>44328</v>
      </c>
      <c r="U844" s="1">
        <v>93.9</v>
      </c>
      <c r="V844" s="1">
        <v>96.384058624069198</v>
      </c>
      <c r="W844" s="1">
        <v>355076</v>
      </c>
      <c r="X844" s="1">
        <v>48690.8</v>
      </c>
      <c r="Y844" s="215">
        <f t="shared" si="127"/>
        <v>-8.5671691713240516E-4</v>
      </c>
      <c r="Z844" s="215">
        <f t="shared" si="122"/>
        <v>5.0923335198657105E-2</v>
      </c>
      <c r="AA844" s="231">
        <v>34223666</v>
      </c>
      <c r="AC844" s="230">
        <v>44362</v>
      </c>
      <c r="AD844" s="1">
        <v>68.7</v>
      </c>
      <c r="AE844" s="1">
        <v>71.076203036541401</v>
      </c>
      <c r="AF844" s="1">
        <v>93264</v>
      </c>
      <c r="AG844" s="1">
        <v>52773.05</v>
      </c>
      <c r="AH844" s="215">
        <f t="shared" si="128"/>
        <v>5.1630433747451576E-3</v>
      </c>
      <c r="AI844" s="215">
        <f t="shared" si="123"/>
        <v>3.5418236623963928E-2</v>
      </c>
      <c r="AJ844" s="231">
        <v>6628851</v>
      </c>
      <c r="AL844" s="254"/>
      <c r="AQ844" s="215" t="str">
        <f t="shared" si="129"/>
        <v>NA</v>
      </c>
      <c r="AR844" s="215" t="str">
        <f t="shared" si="124"/>
        <v>NA</v>
      </c>
    </row>
    <row r="845" spans="2:44">
      <c r="B845" s="230">
        <v>44333</v>
      </c>
      <c r="C845" s="1">
        <v>356.1</v>
      </c>
      <c r="D845" s="1">
        <v>357.48773448773397</v>
      </c>
      <c r="E845" s="1">
        <v>693</v>
      </c>
      <c r="F845" s="215">
        <v>49580.73</v>
      </c>
      <c r="G845" s="215">
        <f t="shared" si="125"/>
        <v>-1.2204808885961538E-2</v>
      </c>
      <c r="H845" s="215">
        <f t="shared" si="120"/>
        <v>-8.2161258877593291E-3</v>
      </c>
      <c r="I845" s="231">
        <v>247739</v>
      </c>
      <c r="K845" s="230">
        <v>44330</v>
      </c>
      <c r="L845" s="1">
        <v>951.55</v>
      </c>
      <c r="M845" s="1">
        <v>976.66293349051898</v>
      </c>
      <c r="N845" s="1">
        <v>71253</v>
      </c>
      <c r="O845" s="1">
        <v>48732.55</v>
      </c>
      <c r="P845" s="215">
        <f t="shared" si="126"/>
        <v>-1.7107049452478873E-2</v>
      </c>
      <c r="Q845" s="215">
        <f t="shared" si="121"/>
        <v>-3.1501272264631064E-2</v>
      </c>
      <c r="R845" s="231">
        <v>69590164</v>
      </c>
      <c r="T845" s="230">
        <v>44330</v>
      </c>
      <c r="U845" s="1">
        <v>89.35</v>
      </c>
      <c r="V845" s="1">
        <v>90.194488901506404</v>
      </c>
      <c r="W845" s="1">
        <v>281795</v>
      </c>
      <c r="X845" s="1">
        <v>48732.55</v>
      </c>
      <c r="Y845" s="215">
        <f t="shared" si="127"/>
        <v>-1.7107049452478873E-2</v>
      </c>
      <c r="Z845" s="215">
        <f t="shared" si="122"/>
        <v>-4.2849491162292419E-2</v>
      </c>
      <c r="AA845" s="231">
        <v>25416356</v>
      </c>
      <c r="AC845" s="230">
        <v>44363</v>
      </c>
      <c r="AD845" s="1">
        <v>66.349999999999994</v>
      </c>
      <c r="AE845" s="1">
        <v>67.751342207839897</v>
      </c>
      <c r="AF845" s="1">
        <v>13597</v>
      </c>
      <c r="AG845" s="1">
        <v>52501.98</v>
      </c>
      <c r="AH845" s="215">
        <f t="shared" si="128"/>
        <v>3.4143469079663813E-3</v>
      </c>
      <c r="AI845" s="215">
        <f t="shared" si="123"/>
        <v>9.1254752851710474E-3</v>
      </c>
      <c r="AJ845" s="231">
        <v>921215</v>
      </c>
      <c r="AL845" s="254"/>
      <c r="AQ845" s="215" t="str">
        <f t="shared" si="129"/>
        <v>NA</v>
      </c>
      <c r="AR845" s="215" t="str">
        <f t="shared" si="124"/>
        <v>NA</v>
      </c>
    </row>
    <row r="846" spans="2:44">
      <c r="B846" s="230">
        <v>44334</v>
      </c>
      <c r="C846" s="1">
        <v>359.05</v>
      </c>
      <c r="D846" s="1">
        <v>363.02358295407498</v>
      </c>
      <c r="E846" s="1">
        <v>4834</v>
      </c>
      <c r="F846" s="215">
        <v>50193.33</v>
      </c>
      <c r="G846" s="215">
        <f t="shared" si="125"/>
        <v>5.8251427179003556E-3</v>
      </c>
      <c r="H846" s="215">
        <f t="shared" ref="H846:H909" si="130">IF(ISERROR(C846/C847-1),"NA",C846/C847-1)</f>
        <v>2.1043651357884441E-2</v>
      </c>
      <c r="I846" s="231">
        <v>1754856</v>
      </c>
      <c r="K846" s="230">
        <v>44333</v>
      </c>
      <c r="L846" s="1">
        <v>982.5</v>
      </c>
      <c r="M846" s="1">
        <v>974.42611418047795</v>
      </c>
      <c r="N846" s="1">
        <v>27150</v>
      </c>
      <c r="O846" s="1">
        <v>49580.73</v>
      </c>
      <c r="P846" s="215">
        <f t="shared" si="126"/>
        <v>-1.2204808885961538E-2</v>
      </c>
      <c r="Q846" s="215">
        <f t="shared" ref="Q846:Q909" si="131">IF(ISERROR(L846/L847-1),"NA",L846/L847-1)</f>
        <v>1.2782187403360457E-2</v>
      </c>
      <c r="R846" s="231">
        <v>26455669</v>
      </c>
      <c r="T846" s="230">
        <v>44333</v>
      </c>
      <c r="U846" s="1">
        <v>93.35</v>
      </c>
      <c r="V846" s="1">
        <v>91.473362249090698</v>
      </c>
      <c r="W846" s="1">
        <v>271363</v>
      </c>
      <c r="X846" s="1">
        <v>49580.73</v>
      </c>
      <c r="Y846" s="215">
        <f t="shared" si="127"/>
        <v>-1.2204808885961538E-2</v>
      </c>
      <c r="Z846" s="215">
        <f t="shared" ref="Z846:Z909" si="132">IF(ISERROR(U846/U847-1),"NA",U846/U847-1)</f>
        <v>1.302224633749316E-2</v>
      </c>
      <c r="AA846" s="231">
        <v>24822486</v>
      </c>
      <c r="AC846" s="230">
        <v>44364</v>
      </c>
      <c r="AD846" s="1">
        <v>65.75</v>
      </c>
      <c r="AE846" s="1">
        <v>68.071131314424704</v>
      </c>
      <c r="AF846" s="1">
        <v>15619</v>
      </c>
      <c r="AG846" s="1">
        <v>52323.33</v>
      </c>
      <c r="AH846" s="215">
        <f t="shared" si="128"/>
        <v>-4.0348117135613482E-4</v>
      </c>
      <c r="AI846" s="215">
        <f t="shared" ref="AI846:AI909" si="133">IF(ISERROR(AD846/AD847-1),"NA",AD846/AD847-1)</f>
        <v>4.8644338118022379E-2</v>
      </c>
      <c r="AJ846" s="231">
        <v>1063203</v>
      </c>
      <c r="AL846" s="254"/>
      <c r="AQ846" s="215" t="str">
        <f t="shared" si="129"/>
        <v>NA</v>
      </c>
      <c r="AR846" s="215" t="str">
        <f t="shared" ref="AR846:AR909" si="134">IF(ISERROR(AM846/AM847-1),"NA",AM846/AM847-1)</f>
        <v>NA</v>
      </c>
    </row>
    <row r="847" spans="2:44">
      <c r="B847" s="230">
        <v>44335</v>
      </c>
      <c r="C847" s="1">
        <v>351.65</v>
      </c>
      <c r="D847" s="1">
        <v>352.958098811757</v>
      </c>
      <c r="E847" s="1">
        <v>4797</v>
      </c>
      <c r="F847" s="215">
        <v>49902.64</v>
      </c>
      <c r="G847" s="215">
        <f t="shared" ref="G847:G910" si="135">IF(ISERROR(F847/F848-1),"NA",F847/F848-1)</f>
        <v>6.814908788201901E-3</v>
      </c>
      <c r="H847" s="215">
        <f t="shared" si="130"/>
        <v>1.3108614232209659E-2</v>
      </c>
      <c r="I847" s="231">
        <v>1693140</v>
      </c>
      <c r="K847" s="230">
        <v>44334</v>
      </c>
      <c r="L847" s="1">
        <v>970.1</v>
      </c>
      <c r="M847" s="1">
        <v>984.10162105630104</v>
      </c>
      <c r="N847" s="1">
        <v>11474</v>
      </c>
      <c r="O847" s="1">
        <v>50193.33</v>
      </c>
      <c r="P847" s="215">
        <f t="shared" ref="P847:P910" si="136">IF(ISERROR(O847/O848-1),"NA",O847/O848-1)</f>
        <v>5.8251427179003556E-3</v>
      </c>
      <c r="Q847" s="215">
        <f t="shared" si="131"/>
        <v>3.2021276595744608E-2</v>
      </c>
      <c r="R847" s="231">
        <v>11291582</v>
      </c>
      <c r="T847" s="230">
        <v>44334</v>
      </c>
      <c r="U847" s="1">
        <v>92.15</v>
      </c>
      <c r="V847" s="1">
        <v>93.448366511096197</v>
      </c>
      <c r="W847" s="1">
        <v>104990</v>
      </c>
      <c r="X847" s="1">
        <v>50193.33</v>
      </c>
      <c r="Y847" s="215">
        <f t="shared" ref="Y847:Y910" si="137">IF(ISERROR(X847/X848-1),"NA",X847/X848-1)</f>
        <v>5.8251427179003556E-3</v>
      </c>
      <c r="Z847" s="215">
        <f t="shared" si="132"/>
        <v>2.5598219254312937E-2</v>
      </c>
      <c r="AA847" s="231">
        <v>9811144</v>
      </c>
      <c r="AC847" s="230">
        <v>44365</v>
      </c>
      <c r="AD847" s="1">
        <v>62.7</v>
      </c>
      <c r="AE847" s="1">
        <v>63.7042761002918</v>
      </c>
      <c r="AF847" s="1">
        <v>33582</v>
      </c>
      <c r="AG847" s="1">
        <v>52344.45</v>
      </c>
      <c r="AH847" s="215">
        <f t="shared" ref="AH847:AH910" si="138">IF(ISERROR(AG847/AG848-1),"NA",AG847/AG848-1)</f>
        <v>-4.3749379451544224E-3</v>
      </c>
      <c r="AI847" s="215">
        <f t="shared" si="133"/>
        <v>-4.4935262757044958E-2</v>
      </c>
      <c r="AJ847" s="231">
        <v>2139317</v>
      </c>
      <c r="AL847" s="254"/>
      <c r="AQ847" s="215" t="str">
        <f t="shared" ref="AQ847:AQ910" si="139">IF(ISERROR(AP847/AP848-1),"NA",AP847/AP848-1)</f>
        <v>NA</v>
      </c>
      <c r="AR847" s="215" t="str">
        <f t="shared" si="134"/>
        <v>NA</v>
      </c>
    </row>
    <row r="848" spans="2:44">
      <c r="B848" s="230">
        <v>44336</v>
      </c>
      <c r="C848" s="1">
        <v>347.1</v>
      </c>
      <c r="D848" s="1">
        <v>349.42080984110697</v>
      </c>
      <c r="E848" s="1">
        <v>1951</v>
      </c>
      <c r="F848" s="215">
        <v>49564.86</v>
      </c>
      <c r="G848" s="215">
        <f t="shared" si="135"/>
        <v>-1.930373435313637E-2</v>
      </c>
      <c r="H848" s="215">
        <f t="shared" si="130"/>
        <v>-1.7256255392579245E-3</v>
      </c>
      <c r="I848" s="231">
        <v>681720</v>
      </c>
      <c r="K848" s="230">
        <v>44335</v>
      </c>
      <c r="L848" s="1">
        <v>940</v>
      </c>
      <c r="M848" s="1">
        <v>953.44664482119902</v>
      </c>
      <c r="N848" s="1">
        <v>14038</v>
      </c>
      <c r="O848" s="1">
        <v>49902.64</v>
      </c>
      <c r="P848" s="215">
        <f t="shared" si="136"/>
        <v>6.814908788201901E-3</v>
      </c>
      <c r="Q848" s="215">
        <f t="shared" si="131"/>
        <v>8.0770336303535473E-2</v>
      </c>
      <c r="R848" s="231">
        <v>13384484</v>
      </c>
      <c r="T848" s="230">
        <v>44335</v>
      </c>
      <c r="U848" s="1">
        <v>89.85</v>
      </c>
      <c r="V848" s="1">
        <v>90.593718061673997</v>
      </c>
      <c r="W848" s="1">
        <v>227000</v>
      </c>
      <c r="X848" s="1">
        <v>49902.64</v>
      </c>
      <c r="Y848" s="215">
        <f t="shared" si="137"/>
        <v>6.814908788201901E-3</v>
      </c>
      <c r="Z848" s="215">
        <f t="shared" si="132"/>
        <v>2.5099828864802998E-2</v>
      </c>
      <c r="AA848" s="231">
        <v>20564774</v>
      </c>
      <c r="AC848" s="230">
        <v>44368</v>
      </c>
      <c r="AD848" s="1">
        <v>65.650000000000006</v>
      </c>
      <c r="AE848" s="1">
        <v>65.3569350929167</v>
      </c>
      <c r="AF848" s="1">
        <v>37130</v>
      </c>
      <c r="AG848" s="1">
        <v>52574.46</v>
      </c>
      <c r="AH848" s="215">
        <f t="shared" si="138"/>
        <v>-2.7097070835169212E-4</v>
      </c>
      <c r="AI848" s="215">
        <f t="shared" si="133"/>
        <v>3.0557677616500634E-3</v>
      </c>
      <c r="AJ848" s="231">
        <v>2426703</v>
      </c>
      <c r="AL848" s="254"/>
      <c r="AQ848" s="215" t="str">
        <f t="shared" si="139"/>
        <v>NA</v>
      </c>
      <c r="AR848" s="215" t="str">
        <f t="shared" si="134"/>
        <v>NA</v>
      </c>
    </row>
    <row r="849" spans="2:44">
      <c r="B849" s="230">
        <v>44337</v>
      </c>
      <c r="C849" s="1">
        <v>347.7</v>
      </c>
      <c r="D849" s="1">
        <v>351.16527104451302</v>
      </c>
      <c r="E849" s="1">
        <v>2269</v>
      </c>
      <c r="F849" s="215">
        <v>50540.480000000003</v>
      </c>
      <c r="G849" s="215">
        <f t="shared" si="135"/>
        <v>-2.1997200499882519E-3</v>
      </c>
      <c r="H849" s="215">
        <f t="shared" si="130"/>
        <v>1.8453427065026506E-2</v>
      </c>
      <c r="I849" s="231">
        <v>796794</v>
      </c>
      <c r="K849" s="230">
        <v>44336</v>
      </c>
      <c r="L849" s="1">
        <v>869.75</v>
      </c>
      <c r="M849" s="1">
        <v>887.77232648006998</v>
      </c>
      <c r="N849" s="1">
        <v>46839</v>
      </c>
      <c r="O849" s="1">
        <v>49564.86</v>
      </c>
      <c r="P849" s="215">
        <f t="shared" si="136"/>
        <v>-1.930373435313637E-2</v>
      </c>
      <c r="Q849" s="215">
        <f t="shared" si="131"/>
        <v>-1.2433291699784355E-2</v>
      </c>
      <c r="R849" s="231">
        <v>41582368</v>
      </c>
      <c r="T849" s="230">
        <v>44336</v>
      </c>
      <c r="U849" s="1">
        <v>87.65</v>
      </c>
      <c r="V849" s="1">
        <v>88.572013293685401</v>
      </c>
      <c r="W849" s="1">
        <v>285850</v>
      </c>
      <c r="X849" s="1">
        <v>49564.86</v>
      </c>
      <c r="Y849" s="215">
        <f t="shared" si="137"/>
        <v>-1.930373435313637E-2</v>
      </c>
      <c r="Z849" s="215">
        <f t="shared" si="132"/>
        <v>-3.4110289937464566E-3</v>
      </c>
      <c r="AA849" s="231">
        <v>25318310</v>
      </c>
      <c r="AC849" s="230">
        <v>44369</v>
      </c>
      <c r="AD849" s="1">
        <v>65.45</v>
      </c>
      <c r="AE849" s="1">
        <v>66.819738406658701</v>
      </c>
      <c r="AF849" s="1">
        <v>4205</v>
      </c>
      <c r="AG849" s="1">
        <v>52588.71</v>
      </c>
      <c r="AH849" s="215">
        <f t="shared" si="138"/>
        <v>5.4033871396976796E-3</v>
      </c>
      <c r="AI849" s="215">
        <f t="shared" si="133"/>
        <v>8.4745762711864181E-3</v>
      </c>
      <c r="AJ849" s="231">
        <v>280977</v>
      </c>
      <c r="AL849" s="254"/>
      <c r="AQ849" s="215" t="str">
        <f t="shared" si="139"/>
        <v>NA</v>
      </c>
      <c r="AR849" s="215" t="str">
        <f t="shared" si="134"/>
        <v>NA</v>
      </c>
    </row>
    <row r="850" spans="2:44">
      <c r="B850" s="230">
        <v>44340</v>
      </c>
      <c r="C850" s="1">
        <v>341.4</v>
      </c>
      <c r="D850" s="1">
        <v>343.54065469904901</v>
      </c>
      <c r="E850" s="1">
        <v>4735</v>
      </c>
      <c r="F850" s="215">
        <v>50651.9</v>
      </c>
      <c r="G850" s="215">
        <f t="shared" si="135"/>
        <v>2.8378161415076875E-4</v>
      </c>
      <c r="H850" s="215">
        <f t="shared" si="130"/>
        <v>-1.2295674815564928E-2</v>
      </c>
      <c r="I850" s="231">
        <v>1626665</v>
      </c>
      <c r="K850" s="230">
        <v>44337</v>
      </c>
      <c r="L850" s="1">
        <v>880.7</v>
      </c>
      <c r="M850" s="1">
        <v>886.28945772987504</v>
      </c>
      <c r="N850" s="1">
        <v>29690</v>
      </c>
      <c r="O850" s="1">
        <v>50540.480000000003</v>
      </c>
      <c r="P850" s="215">
        <f t="shared" si="136"/>
        <v>-2.1997200499882519E-3</v>
      </c>
      <c r="Q850" s="215">
        <f t="shared" si="131"/>
        <v>-3.12396876031239E-2</v>
      </c>
      <c r="R850" s="231">
        <v>26313934</v>
      </c>
      <c r="T850" s="230">
        <v>44337</v>
      </c>
      <c r="U850" s="1">
        <v>87.95</v>
      </c>
      <c r="V850" s="1">
        <v>88.823051457901997</v>
      </c>
      <c r="W850" s="1">
        <v>185472</v>
      </c>
      <c r="X850" s="1">
        <v>50540.480000000003</v>
      </c>
      <c r="Y850" s="215">
        <f t="shared" si="137"/>
        <v>-2.1997200499882519E-3</v>
      </c>
      <c r="Z850" s="215">
        <f t="shared" si="132"/>
        <v>1.6175621028307496E-2</v>
      </c>
      <c r="AA850" s="231">
        <v>16474189</v>
      </c>
      <c r="AC850" s="230">
        <v>44370</v>
      </c>
      <c r="AD850" s="1">
        <v>64.900000000000006</v>
      </c>
      <c r="AE850" s="1">
        <v>64.850663417275896</v>
      </c>
      <c r="AF850" s="1">
        <v>7386</v>
      </c>
      <c r="AG850" s="1">
        <v>52306.080000000002</v>
      </c>
      <c r="AH850" s="215">
        <f t="shared" si="138"/>
        <v>-7.4559289550085728E-3</v>
      </c>
      <c r="AI850" s="215">
        <f t="shared" si="133"/>
        <v>3.0911901081915882E-3</v>
      </c>
      <c r="AJ850" s="231">
        <v>478987</v>
      </c>
      <c r="AL850" s="254"/>
      <c r="AQ850" s="215" t="str">
        <f t="shared" si="139"/>
        <v>NA</v>
      </c>
      <c r="AR850" s="215" t="str">
        <f t="shared" si="134"/>
        <v>NA</v>
      </c>
    </row>
    <row r="851" spans="2:44">
      <c r="B851" s="230">
        <v>44341</v>
      </c>
      <c r="C851" s="1">
        <v>345.65</v>
      </c>
      <c r="D851" s="1">
        <v>342.543859649122</v>
      </c>
      <c r="E851" s="1">
        <v>2223</v>
      </c>
      <c r="F851" s="215">
        <v>50637.53</v>
      </c>
      <c r="G851" s="215">
        <f t="shared" si="135"/>
        <v>-7.4482256291563687E-3</v>
      </c>
      <c r="H851" s="215">
        <f t="shared" si="130"/>
        <v>-5.7529124119085617E-3</v>
      </c>
      <c r="I851" s="231">
        <v>761475</v>
      </c>
      <c r="K851" s="230">
        <v>44340</v>
      </c>
      <c r="L851" s="1">
        <v>909.1</v>
      </c>
      <c r="M851" s="1">
        <v>887.83378924058798</v>
      </c>
      <c r="N851" s="1">
        <v>46062</v>
      </c>
      <c r="O851" s="1">
        <v>50651.9</v>
      </c>
      <c r="P851" s="215">
        <f t="shared" si="136"/>
        <v>2.8378161415076875E-4</v>
      </c>
      <c r="Q851" s="215">
        <f t="shared" si="131"/>
        <v>-5.1043841336116835E-2</v>
      </c>
      <c r="R851" s="231">
        <v>40895400</v>
      </c>
      <c r="T851" s="230">
        <v>44340</v>
      </c>
      <c r="U851" s="1">
        <v>86.55</v>
      </c>
      <c r="V851" s="1">
        <v>87.767737851300197</v>
      </c>
      <c r="W851" s="1">
        <v>240108</v>
      </c>
      <c r="X851" s="1">
        <v>50651.9</v>
      </c>
      <c r="Y851" s="215">
        <f t="shared" si="137"/>
        <v>2.8378161415076875E-4</v>
      </c>
      <c r="Z851" s="215">
        <f t="shared" si="132"/>
        <v>-1.9818799546998833E-2</v>
      </c>
      <c r="AA851" s="231">
        <v>21073736</v>
      </c>
      <c r="AC851" s="230">
        <v>44371</v>
      </c>
      <c r="AD851" s="1">
        <v>64.7</v>
      </c>
      <c r="AE851" s="1">
        <v>64.849436667804696</v>
      </c>
      <c r="AF851" s="1">
        <v>8787</v>
      </c>
      <c r="AG851" s="1">
        <v>52699</v>
      </c>
      <c r="AH851" s="215">
        <f t="shared" si="138"/>
        <v>-4.2709462288550437E-3</v>
      </c>
      <c r="AI851" s="215">
        <f t="shared" si="133"/>
        <v>-6.1638868745467756E-2</v>
      </c>
      <c r="AJ851" s="231">
        <v>569832</v>
      </c>
      <c r="AL851" s="254"/>
      <c r="AQ851" s="215" t="str">
        <f t="shared" si="139"/>
        <v>NA</v>
      </c>
      <c r="AR851" s="215" t="str">
        <f t="shared" si="134"/>
        <v>NA</v>
      </c>
    </row>
    <row r="852" spans="2:44">
      <c r="B852" s="230">
        <v>44342</v>
      </c>
      <c r="C852" s="1">
        <v>347.65</v>
      </c>
      <c r="D852" s="1">
        <v>340.78054662379401</v>
      </c>
      <c r="E852" s="1">
        <v>2488</v>
      </c>
      <c r="F852" s="215">
        <v>51017.52</v>
      </c>
      <c r="G852" s="215">
        <f t="shared" si="135"/>
        <v>-1.911368081757292E-3</v>
      </c>
      <c r="H852" s="215">
        <f t="shared" si="130"/>
        <v>-5.6708723375390124E-2</v>
      </c>
      <c r="I852" s="231">
        <v>847862</v>
      </c>
      <c r="K852" s="230">
        <v>44341</v>
      </c>
      <c r="L852" s="1">
        <v>958</v>
      </c>
      <c r="M852" s="1">
        <v>952.46321606845697</v>
      </c>
      <c r="N852" s="1">
        <v>33656</v>
      </c>
      <c r="O852" s="1">
        <v>50637.53</v>
      </c>
      <c r="P852" s="215">
        <f t="shared" si="136"/>
        <v>-7.4482256291563687E-3</v>
      </c>
      <c r="Q852" s="215">
        <f t="shared" si="131"/>
        <v>-3.7717844407613832E-2</v>
      </c>
      <c r="R852" s="231">
        <v>32056102</v>
      </c>
      <c r="T852" s="230">
        <v>44341</v>
      </c>
      <c r="U852" s="1">
        <v>88.3</v>
      </c>
      <c r="V852" s="1">
        <v>88.663578032937707</v>
      </c>
      <c r="W852" s="1">
        <v>202139</v>
      </c>
      <c r="X852" s="1">
        <v>50637.53</v>
      </c>
      <c r="Y852" s="215">
        <f t="shared" si="137"/>
        <v>-7.4482256291563687E-3</v>
      </c>
      <c r="Z852" s="215">
        <f t="shared" si="132"/>
        <v>1.1454753722794919E-2</v>
      </c>
      <c r="AA852" s="231">
        <v>17922367</v>
      </c>
      <c r="AC852" s="230">
        <v>44372</v>
      </c>
      <c r="AD852" s="1">
        <v>68.95</v>
      </c>
      <c r="AE852" s="1">
        <v>69.481242455750305</v>
      </c>
      <c r="AF852" s="1">
        <v>83673</v>
      </c>
      <c r="AG852" s="1">
        <v>52925.04</v>
      </c>
      <c r="AH852" s="215">
        <f t="shared" si="138"/>
        <v>3.592450563272509E-3</v>
      </c>
      <c r="AI852" s="215">
        <f t="shared" si="133"/>
        <v>-9.9281515349444738E-2</v>
      </c>
      <c r="AJ852" s="231">
        <v>5813704</v>
      </c>
      <c r="AL852" s="254"/>
      <c r="AQ852" s="215" t="str">
        <f t="shared" si="139"/>
        <v>NA</v>
      </c>
      <c r="AR852" s="215" t="str">
        <f t="shared" si="134"/>
        <v>NA</v>
      </c>
    </row>
    <row r="853" spans="2:44">
      <c r="B853" s="230">
        <v>44343</v>
      </c>
      <c r="C853" s="1">
        <v>368.55</v>
      </c>
      <c r="D853" s="1">
        <v>365.04555221314899</v>
      </c>
      <c r="E853" s="1">
        <v>4654</v>
      </c>
      <c r="F853" s="215">
        <v>51115.22</v>
      </c>
      <c r="G853" s="215">
        <f t="shared" si="135"/>
        <v>-5.9829398897921493E-3</v>
      </c>
      <c r="H853" s="215">
        <f t="shared" si="130"/>
        <v>2.105554785981445E-2</v>
      </c>
      <c r="I853" s="231">
        <v>1698922</v>
      </c>
      <c r="K853" s="230">
        <v>44342</v>
      </c>
      <c r="L853" s="1">
        <v>995.55</v>
      </c>
      <c r="M853" s="1">
        <v>1010.04339905266</v>
      </c>
      <c r="N853" s="1">
        <v>98804</v>
      </c>
      <c r="O853" s="1">
        <v>51017.52</v>
      </c>
      <c r="P853" s="215">
        <f t="shared" si="136"/>
        <v>-1.911368081757292E-3</v>
      </c>
      <c r="Q853" s="215">
        <f t="shared" si="131"/>
        <v>2.7770608578949973E-2</v>
      </c>
      <c r="R853" s="231">
        <v>99796328</v>
      </c>
      <c r="T853" s="230">
        <v>44342</v>
      </c>
      <c r="U853" s="1">
        <v>87.3</v>
      </c>
      <c r="V853" s="1">
        <v>87.694594847385702</v>
      </c>
      <c r="W853" s="1">
        <v>96223</v>
      </c>
      <c r="X853" s="1">
        <v>51017.52</v>
      </c>
      <c r="Y853" s="215">
        <f t="shared" si="137"/>
        <v>-1.911368081757292E-3</v>
      </c>
      <c r="Z853" s="215">
        <f t="shared" si="132"/>
        <v>5.7603686635945284E-3</v>
      </c>
      <c r="AA853" s="231">
        <v>8438237</v>
      </c>
      <c r="AC853" s="230">
        <v>44375</v>
      </c>
      <c r="AD853" s="1">
        <v>76.55</v>
      </c>
      <c r="AE853" s="1">
        <v>75.791869792206796</v>
      </c>
      <c r="AF853" s="1">
        <v>347076</v>
      </c>
      <c r="AG853" s="1">
        <v>52735.59</v>
      </c>
      <c r="AH853" s="215">
        <f t="shared" si="138"/>
        <v>3.5381770310216609E-3</v>
      </c>
      <c r="AI853" s="215">
        <f t="shared" si="133"/>
        <v>-1.5434083601286175E-2</v>
      </c>
      <c r="AJ853" s="231">
        <v>26305539</v>
      </c>
      <c r="AL853" s="254"/>
      <c r="AQ853" s="215" t="str">
        <f t="shared" si="139"/>
        <v>NA</v>
      </c>
      <c r="AR853" s="215" t="str">
        <f t="shared" si="134"/>
        <v>NA</v>
      </c>
    </row>
    <row r="854" spans="2:44">
      <c r="B854" s="230">
        <v>44344</v>
      </c>
      <c r="C854" s="1">
        <v>360.95</v>
      </c>
      <c r="D854" s="1">
        <v>361.94911858974302</v>
      </c>
      <c r="E854" s="1">
        <v>2496</v>
      </c>
      <c r="F854" s="215">
        <v>51422.879999999997</v>
      </c>
      <c r="G854" s="215">
        <f t="shared" si="135"/>
        <v>-9.9073038640334898E-3</v>
      </c>
      <c r="H854" s="215">
        <f t="shared" si="130"/>
        <v>8.662847561827558E-3</v>
      </c>
      <c r="I854" s="231">
        <v>903425</v>
      </c>
      <c r="K854" s="230">
        <v>44343</v>
      </c>
      <c r="L854" s="1">
        <v>968.65</v>
      </c>
      <c r="M854" s="1">
        <v>962.27230580344803</v>
      </c>
      <c r="N854" s="1">
        <v>54571</v>
      </c>
      <c r="O854" s="1">
        <v>51115.22</v>
      </c>
      <c r="P854" s="215">
        <f t="shared" si="136"/>
        <v>-5.9829398897921493E-3</v>
      </c>
      <c r="Q854" s="215">
        <f t="shared" si="131"/>
        <v>-7.0220399794976851E-3</v>
      </c>
      <c r="R854" s="231">
        <v>52512162</v>
      </c>
      <c r="T854" s="230">
        <v>44343</v>
      </c>
      <c r="U854" s="1">
        <v>86.8</v>
      </c>
      <c r="V854" s="1">
        <v>87.4817080876158</v>
      </c>
      <c r="W854" s="1">
        <v>94960</v>
      </c>
      <c r="X854" s="1">
        <v>51115.22</v>
      </c>
      <c r="Y854" s="215">
        <f t="shared" si="137"/>
        <v>-5.9829398897921493E-3</v>
      </c>
      <c r="Z854" s="215">
        <f t="shared" si="132"/>
        <v>3.4682080924854919E-3</v>
      </c>
      <c r="AA854" s="231">
        <v>8307263</v>
      </c>
      <c r="AC854" s="230">
        <v>44376</v>
      </c>
      <c r="AD854" s="1">
        <v>77.75</v>
      </c>
      <c r="AE854" s="1">
        <v>76.511541020522998</v>
      </c>
      <c r="AF854" s="1">
        <v>254007</v>
      </c>
      <c r="AG854" s="1">
        <v>52549.66</v>
      </c>
      <c r="AH854" s="215">
        <f t="shared" si="138"/>
        <v>1.2756582120092563E-3</v>
      </c>
      <c r="AI854" s="215">
        <f t="shared" si="133"/>
        <v>-8.9228808158062778E-3</v>
      </c>
      <c r="AJ854" s="231">
        <v>19434467</v>
      </c>
      <c r="AL854" s="254"/>
      <c r="AQ854" s="215" t="str">
        <f t="shared" si="139"/>
        <v>NA</v>
      </c>
      <c r="AR854" s="215" t="str">
        <f t="shared" si="134"/>
        <v>NA</v>
      </c>
    </row>
    <row r="855" spans="2:44">
      <c r="B855" s="230">
        <v>44347</v>
      </c>
      <c r="C855" s="1">
        <v>357.85</v>
      </c>
      <c r="D855" s="1">
        <v>362.13070422535202</v>
      </c>
      <c r="E855" s="1">
        <v>1775</v>
      </c>
      <c r="F855" s="215">
        <v>51937.440000000002</v>
      </c>
      <c r="G855" s="215">
        <f t="shared" si="135"/>
        <v>4.9292498605968404E-5</v>
      </c>
      <c r="H855" s="215">
        <f t="shared" si="130"/>
        <v>7.0353172928099283E-3</v>
      </c>
      <c r="I855" s="231">
        <v>642782</v>
      </c>
      <c r="K855" s="230">
        <v>44344</v>
      </c>
      <c r="L855" s="1">
        <v>975.5</v>
      </c>
      <c r="M855" s="1">
        <v>990.22004476918505</v>
      </c>
      <c r="N855" s="1">
        <v>23677</v>
      </c>
      <c r="O855" s="1">
        <v>51422.879999999997</v>
      </c>
      <c r="P855" s="215">
        <f t="shared" si="136"/>
        <v>-9.9073038640334898E-3</v>
      </c>
      <c r="Q855" s="215">
        <f t="shared" si="131"/>
        <v>1.4138683854870493E-2</v>
      </c>
      <c r="R855" s="231">
        <v>23445440</v>
      </c>
      <c r="T855" s="230">
        <v>44344</v>
      </c>
      <c r="U855" s="1">
        <v>86.5</v>
      </c>
      <c r="V855" s="1">
        <v>88.058248154993095</v>
      </c>
      <c r="W855" s="1">
        <v>79539</v>
      </c>
      <c r="X855" s="1">
        <v>51422.879999999997</v>
      </c>
      <c r="Y855" s="215">
        <f t="shared" si="137"/>
        <v>-9.9073038640334898E-3</v>
      </c>
      <c r="Z855" s="215">
        <f t="shared" si="132"/>
        <v>5.4235222425350393E-2</v>
      </c>
      <c r="AA855" s="231">
        <v>7004065</v>
      </c>
      <c r="AC855" s="230">
        <v>44377</v>
      </c>
      <c r="AD855" s="1">
        <v>78.45</v>
      </c>
      <c r="AE855" s="1">
        <v>80.353819419203106</v>
      </c>
      <c r="AF855" s="1">
        <v>288879</v>
      </c>
      <c r="AG855" s="1">
        <v>52482.71</v>
      </c>
      <c r="AH855" s="215">
        <f t="shared" si="138"/>
        <v>3.1367429556601323E-3</v>
      </c>
      <c r="AI855" s="215">
        <f t="shared" si="133"/>
        <v>2.2149837133550454E-2</v>
      </c>
      <c r="AJ855" s="231">
        <v>23212531</v>
      </c>
      <c r="AL855" s="254"/>
      <c r="AQ855" s="215" t="str">
        <f t="shared" si="139"/>
        <v>NA</v>
      </c>
      <c r="AR855" s="215" t="str">
        <f t="shared" si="134"/>
        <v>NA</v>
      </c>
    </row>
    <row r="856" spans="2:44">
      <c r="B856" s="230">
        <v>44348</v>
      </c>
      <c r="C856" s="1">
        <v>355.35</v>
      </c>
      <c r="D856" s="1">
        <v>349.855765920826</v>
      </c>
      <c r="E856" s="1">
        <v>2905</v>
      </c>
      <c r="F856" s="215">
        <v>51934.879999999997</v>
      </c>
      <c r="G856" s="215">
        <f t="shared" si="135"/>
        <v>1.6470753419319806E-3</v>
      </c>
      <c r="H856" s="215">
        <f t="shared" si="130"/>
        <v>9.859154929579006E-4</v>
      </c>
      <c r="I856" s="231">
        <v>1016331</v>
      </c>
      <c r="K856" s="230">
        <v>44347</v>
      </c>
      <c r="L856" s="1">
        <v>961.9</v>
      </c>
      <c r="M856" s="1">
        <v>968.96388682055101</v>
      </c>
      <c r="N856" s="1">
        <v>24174</v>
      </c>
      <c r="O856" s="1">
        <v>51937.440000000002</v>
      </c>
      <c r="P856" s="215">
        <f t="shared" si="136"/>
        <v>4.9292498605968404E-5</v>
      </c>
      <c r="Q856" s="215">
        <f t="shared" si="131"/>
        <v>4.0679433084496397E-2</v>
      </c>
      <c r="R856" s="231">
        <v>23423733</v>
      </c>
      <c r="T856" s="230">
        <v>44347</v>
      </c>
      <c r="U856" s="1">
        <v>82.05</v>
      </c>
      <c r="V856" s="1">
        <v>86.763783213086299</v>
      </c>
      <c r="W856" s="1">
        <v>660169</v>
      </c>
      <c r="X856" s="1">
        <v>51937.440000000002</v>
      </c>
      <c r="Y856" s="215">
        <f t="shared" si="137"/>
        <v>4.9292498605968404E-5</v>
      </c>
      <c r="Z856" s="215">
        <f t="shared" si="132"/>
        <v>3.8607594936708844E-2</v>
      </c>
      <c r="AA856" s="231">
        <v>57278760</v>
      </c>
      <c r="AC856" s="230">
        <v>44378</v>
      </c>
      <c r="AD856" s="1">
        <v>76.75</v>
      </c>
      <c r="AE856" s="1">
        <v>77.444594412201297</v>
      </c>
      <c r="AF856" s="1">
        <v>37045</v>
      </c>
      <c r="AG856" s="1">
        <v>52318.6</v>
      </c>
      <c r="AH856" s="215">
        <f t="shared" si="138"/>
        <v>-3.1641620305510321E-3</v>
      </c>
      <c r="AI856" s="215">
        <f t="shared" si="133"/>
        <v>-3.5197988686360704E-2</v>
      </c>
      <c r="AJ856" s="231">
        <v>2868935</v>
      </c>
      <c r="AL856" s="254"/>
      <c r="AQ856" s="215" t="str">
        <f t="shared" si="139"/>
        <v>NA</v>
      </c>
      <c r="AR856" s="215" t="str">
        <f t="shared" si="134"/>
        <v>NA</v>
      </c>
    </row>
    <row r="857" spans="2:44">
      <c r="B857" s="230">
        <v>44349</v>
      </c>
      <c r="C857" s="1">
        <v>355</v>
      </c>
      <c r="D857" s="1">
        <v>356.008089424915</v>
      </c>
      <c r="E857" s="1">
        <v>6799</v>
      </c>
      <c r="F857" s="215">
        <v>51849.48</v>
      </c>
      <c r="G857" s="215">
        <f t="shared" si="135"/>
        <v>-7.3316520024053755E-3</v>
      </c>
      <c r="H857" s="215">
        <f t="shared" si="130"/>
        <v>-5.4629499929962355E-3</v>
      </c>
      <c r="I857" s="231">
        <v>2420499</v>
      </c>
      <c r="K857" s="230">
        <v>44348</v>
      </c>
      <c r="L857" s="1">
        <v>924.3</v>
      </c>
      <c r="M857" s="1">
        <v>930.99537083626797</v>
      </c>
      <c r="N857" s="1">
        <v>19874</v>
      </c>
      <c r="O857" s="1">
        <v>51934.879999999997</v>
      </c>
      <c r="P857" s="215">
        <f t="shared" si="136"/>
        <v>1.6470753419319806E-3</v>
      </c>
      <c r="Q857" s="215">
        <f t="shared" si="131"/>
        <v>-4.1083099906629394E-2</v>
      </c>
      <c r="R857" s="231">
        <v>18502602</v>
      </c>
      <c r="T857" s="230">
        <v>44348</v>
      </c>
      <c r="U857" s="1">
        <v>79</v>
      </c>
      <c r="V857" s="1">
        <v>80.4134589051516</v>
      </c>
      <c r="W857" s="1">
        <v>197178</v>
      </c>
      <c r="X857" s="1">
        <v>51934.879999999997</v>
      </c>
      <c r="Y857" s="215">
        <f t="shared" si="137"/>
        <v>1.6470753419319806E-3</v>
      </c>
      <c r="Z857" s="215">
        <f t="shared" si="132"/>
        <v>-1.6801493466085837E-2</v>
      </c>
      <c r="AA857" s="231">
        <v>15855765</v>
      </c>
      <c r="AC857" s="230">
        <v>44379</v>
      </c>
      <c r="AD857" s="1">
        <v>79.55</v>
      </c>
      <c r="AE857" s="1">
        <v>78.022997648971995</v>
      </c>
      <c r="AF857" s="1">
        <v>56571</v>
      </c>
      <c r="AG857" s="1">
        <v>52484.67</v>
      </c>
      <c r="AH857" s="215">
        <f t="shared" si="138"/>
        <v>-7.4759833585477109E-3</v>
      </c>
      <c r="AI857" s="215">
        <f t="shared" si="133"/>
        <v>-4.3804755944931717E-3</v>
      </c>
      <c r="AJ857" s="231">
        <v>4413839</v>
      </c>
      <c r="AL857" s="254"/>
      <c r="AQ857" s="215" t="str">
        <f t="shared" si="139"/>
        <v>NA</v>
      </c>
      <c r="AR857" s="215" t="str">
        <f t="shared" si="134"/>
        <v>NA</v>
      </c>
    </row>
    <row r="858" spans="2:44">
      <c r="B858" s="230">
        <v>44350</v>
      </c>
      <c r="C858" s="1">
        <v>356.95</v>
      </c>
      <c r="D858" s="1">
        <v>358.13620386643203</v>
      </c>
      <c r="E858" s="1">
        <v>1138</v>
      </c>
      <c r="F858" s="215">
        <v>52232.43</v>
      </c>
      <c r="G858" s="215">
        <f t="shared" si="135"/>
        <v>2.5408804790014727E-3</v>
      </c>
      <c r="H858" s="215">
        <f t="shared" si="130"/>
        <v>4.2040358744377393E-4</v>
      </c>
      <c r="I858" s="231">
        <v>407559</v>
      </c>
      <c r="K858" s="230">
        <v>44349</v>
      </c>
      <c r="L858" s="1">
        <v>963.9</v>
      </c>
      <c r="M858" s="1">
        <v>962.79278949296202</v>
      </c>
      <c r="N858" s="1">
        <v>19111</v>
      </c>
      <c r="O858" s="1">
        <v>51849.48</v>
      </c>
      <c r="P858" s="215">
        <f t="shared" si="136"/>
        <v>-7.3316520024053755E-3</v>
      </c>
      <c r="Q858" s="215">
        <f t="shared" si="131"/>
        <v>1.0905125408942062E-3</v>
      </c>
      <c r="R858" s="231">
        <v>18399933</v>
      </c>
      <c r="T858" s="230">
        <v>44349</v>
      </c>
      <c r="U858" s="1">
        <v>80.349999999999994</v>
      </c>
      <c r="V858" s="1">
        <v>80.700271728109598</v>
      </c>
      <c r="W858" s="1">
        <v>123285</v>
      </c>
      <c r="X858" s="1">
        <v>51849.48</v>
      </c>
      <c r="Y858" s="215">
        <f t="shared" si="137"/>
        <v>-7.3316520024053755E-3</v>
      </c>
      <c r="Z858" s="215">
        <f t="shared" si="132"/>
        <v>-1.652386780905768E-2</v>
      </c>
      <c r="AA858" s="231">
        <v>9949133</v>
      </c>
      <c r="AC858" s="230">
        <v>44382</v>
      </c>
      <c r="AD858" s="1">
        <v>79.900000000000006</v>
      </c>
      <c r="AE858" s="1">
        <v>82.431325641206499</v>
      </c>
      <c r="AF858" s="1">
        <v>155917</v>
      </c>
      <c r="AG858" s="1">
        <v>52880</v>
      </c>
      <c r="AH858" s="215">
        <f t="shared" si="138"/>
        <v>3.56026861299652E-4</v>
      </c>
      <c r="AI858" s="215">
        <f t="shared" si="133"/>
        <v>4.1042345276873116E-2</v>
      </c>
      <c r="AJ858" s="231">
        <v>12852445</v>
      </c>
      <c r="AL858" s="254"/>
      <c r="AQ858" s="215" t="str">
        <f t="shared" si="139"/>
        <v>NA</v>
      </c>
      <c r="AR858" s="215" t="str">
        <f t="shared" si="134"/>
        <v>NA</v>
      </c>
    </row>
    <row r="859" spans="2:44">
      <c r="B859" s="230">
        <v>44351</v>
      </c>
      <c r="C859" s="1">
        <v>356.8</v>
      </c>
      <c r="D859" s="1">
        <v>355.69837587006901</v>
      </c>
      <c r="E859" s="1">
        <v>431</v>
      </c>
      <c r="F859" s="215">
        <v>52100.05</v>
      </c>
      <c r="G859" s="215">
        <f t="shared" si="135"/>
        <v>-4.3658800909867068E-3</v>
      </c>
      <c r="H859" s="215">
        <f t="shared" si="130"/>
        <v>-2.2465753424657509E-2</v>
      </c>
      <c r="I859" s="231">
        <v>153306</v>
      </c>
      <c r="K859" s="230">
        <v>44350</v>
      </c>
      <c r="L859" s="1">
        <v>962.85</v>
      </c>
      <c r="M859" s="1">
        <v>967.77920951554904</v>
      </c>
      <c r="N859" s="1">
        <v>16142</v>
      </c>
      <c r="O859" s="1">
        <v>52232.43</v>
      </c>
      <c r="P859" s="215">
        <f t="shared" si="136"/>
        <v>2.5408804790014727E-3</v>
      </c>
      <c r="Q859" s="215">
        <f t="shared" si="131"/>
        <v>-1.4001244555071901E-3</v>
      </c>
      <c r="R859" s="231">
        <v>15621892</v>
      </c>
      <c r="T859" s="230">
        <v>44350</v>
      </c>
      <c r="U859" s="1">
        <v>81.7</v>
      </c>
      <c r="V859" s="1">
        <v>81.756081867221297</v>
      </c>
      <c r="W859" s="1">
        <v>113452</v>
      </c>
      <c r="X859" s="1">
        <v>52232.43</v>
      </c>
      <c r="Y859" s="215">
        <f t="shared" si="137"/>
        <v>2.5408804790014727E-3</v>
      </c>
      <c r="Z859" s="215">
        <f t="shared" si="132"/>
        <v>1.4276846679081467E-2</v>
      </c>
      <c r="AA859" s="231">
        <v>9275391</v>
      </c>
      <c r="AC859" s="230">
        <v>44383</v>
      </c>
      <c r="AD859" s="1">
        <v>76.75</v>
      </c>
      <c r="AE859" s="1">
        <v>79.166608598703903</v>
      </c>
      <c r="AF859" s="1">
        <v>14351</v>
      </c>
      <c r="AG859" s="1">
        <v>52861.18</v>
      </c>
      <c r="AH859" s="215">
        <f t="shared" si="138"/>
        <v>-3.6486829833930479E-3</v>
      </c>
      <c r="AI859" s="215">
        <f t="shared" si="133"/>
        <v>-4.8946716232961651E-2</v>
      </c>
      <c r="AJ859" s="231">
        <v>1136120</v>
      </c>
      <c r="AL859" s="254"/>
      <c r="AQ859" s="215" t="str">
        <f t="shared" si="139"/>
        <v>NA</v>
      </c>
      <c r="AR859" s="215" t="str">
        <f t="shared" si="134"/>
        <v>NA</v>
      </c>
    </row>
    <row r="860" spans="2:44">
      <c r="B860" s="230">
        <v>44354</v>
      </c>
      <c r="C860" s="1">
        <v>365</v>
      </c>
      <c r="D860" s="1">
        <v>365.29424729997697</v>
      </c>
      <c r="E860" s="1">
        <v>4537</v>
      </c>
      <c r="F860" s="215">
        <v>52328.51</v>
      </c>
      <c r="G860" s="215">
        <f t="shared" si="135"/>
        <v>1.0127101435719599E-3</v>
      </c>
      <c r="H860" s="215">
        <f t="shared" si="130"/>
        <v>5.5096418732782926E-3</v>
      </c>
      <c r="I860" s="231">
        <v>1657340</v>
      </c>
      <c r="K860" s="230">
        <v>44351</v>
      </c>
      <c r="L860" s="1">
        <v>964.2</v>
      </c>
      <c r="M860" s="1">
        <v>967.69201188603301</v>
      </c>
      <c r="N860" s="1">
        <v>11442</v>
      </c>
      <c r="O860" s="1">
        <v>52100.05</v>
      </c>
      <c r="P860" s="215">
        <f t="shared" si="136"/>
        <v>-4.3658800909867068E-3</v>
      </c>
      <c r="Q860" s="215">
        <f t="shared" si="131"/>
        <v>-1.8126272912423524E-2</v>
      </c>
      <c r="R860" s="231">
        <v>11072332</v>
      </c>
      <c r="T860" s="230">
        <v>44351</v>
      </c>
      <c r="U860" s="1">
        <v>80.55</v>
      </c>
      <c r="V860" s="1">
        <v>80.742556529881398</v>
      </c>
      <c r="W860" s="1">
        <v>158058</v>
      </c>
      <c r="X860" s="1">
        <v>52100.05</v>
      </c>
      <c r="Y860" s="215">
        <f t="shared" si="137"/>
        <v>-4.3658800909867068E-3</v>
      </c>
      <c r="Z860" s="215">
        <f t="shared" si="132"/>
        <v>3.1133250311332628E-3</v>
      </c>
      <c r="AA860" s="231">
        <v>12762007</v>
      </c>
      <c r="AC860" s="230">
        <v>44384</v>
      </c>
      <c r="AD860" s="1">
        <v>80.7</v>
      </c>
      <c r="AE860" s="1">
        <v>79.888775838063594</v>
      </c>
      <c r="AF860" s="1">
        <v>18674</v>
      </c>
      <c r="AG860" s="1">
        <v>53054.76</v>
      </c>
      <c r="AH860" s="215">
        <f t="shared" si="138"/>
        <v>9.2415787725603771E-3</v>
      </c>
      <c r="AI860" s="215">
        <f t="shared" si="133"/>
        <v>2.4761904761904763E-2</v>
      </c>
      <c r="AJ860" s="231">
        <v>1491843</v>
      </c>
      <c r="AL860" s="254"/>
      <c r="AQ860" s="215" t="str">
        <f t="shared" si="139"/>
        <v>NA</v>
      </c>
      <c r="AR860" s="215" t="str">
        <f t="shared" si="134"/>
        <v>NA</v>
      </c>
    </row>
    <row r="861" spans="2:44">
      <c r="B861" s="230">
        <v>44355</v>
      </c>
      <c r="C861" s="1">
        <v>363</v>
      </c>
      <c r="D861" s="1">
        <v>363.81818181818102</v>
      </c>
      <c r="E861" s="1">
        <v>418</v>
      </c>
      <c r="F861" s="215">
        <v>52275.57</v>
      </c>
      <c r="G861" s="215">
        <f t="shared" si="135"/>
        <v>6.4289460248079244E-3</v>
      </c>
      <c r="H861" s="215">
        <f t="shared" si="130"/>
        <v>1.2552301255230214E-2</v>
      </c>
      <c r="I861" s="231">
        <v>152076</v>
      </c>
      <c r="K861" s="230">
        <v>44354</v>
      </c>
      <c r="L861" s="1">
        <v>982</v>
      </c>
      <c r="M861" s="1">
        <v>991.46463975189602</v>
      </c>
      <c r="N861" s="1">
        <v>18057</v>
      </c>
      <c r="O861" s="1">
        <v>52328.51</v>
      </c>
      <c r="P861" s="215">
        <f t="shared" si="136"/>
        <v>1.0127101435719599E-3</v>
      </c>
      <c r="Q861" s="215">
        <f t="shared" si="131"/>
        <v>-7.2786089769510953E-3</v>
      </c>
      <c r="R861" s="231">
        <v>17902877</v>
      </c>
      <c r="T861" s="230">
        <v>44354</v>
      </c>
      <c r="U861" s="1">
        <v>80.3</v>
      </c>
      <c r="V861" s="1">
        <v>80.3903954161229</v>
      </c>
      <c r="W861" s="1">
        <v>141016</v>
      </c>
      <c r="X861" s="1">
        <v>52328.51</v>
      </c>
      <c r="Y861" s="215">
        <f t="shared" si="137"/>
        <v>1.0127101435719599E-3</v>
      </c>
      <c r="Z861" s="215">
        <f t="shared" si="132"/>
        <v>2.2278803309993656E-2</v>
      </c>
      <c r="AA861" s="231">
        <v>11336332</v>
      </c>
      <c r="AC861" s="230">
        <v>44385</v>
      </c>
      <c r="AD861" s="1">
        <v>78.75</v>
      </c>
      <c r="AE861" s="1">
        <v>79.419676981876407</v>
      </c>
      <c r="AF861" s="1">
        <v>24333</v>
      </c>
      <c r="AG861" s="1">
        <v>52568.94</v>
      </c>
      <c r="AH861" s="215">
        <f t="shared" si="138"/>
        <v>3.4885148165957336E-3</v>
      </c>
      <c r="AI861" s="215">
        <f t="shared" si="133"/>
        <v>3.8240917782026429E-3</v>
      </c>
      <c r="AJ861" s="231">
        <v>1932519</v>
      </c>
      <c r="AL861" s="254"/>
      <c r="AQ861" s="215" t="str">
        <f t="shared" si="139"/>
        <v>NA</v>
      </c>
      <c r="AR861" s="215" t="str">
        <f t="shared" si="134"/>
        <v>NA</v>
      </c>
    </row>
    <row r="862" spans="2:44">
      <c r="B862" s="230">
        <v>44356</v>
      </c>
      <c r="C862" s="1">
        <v>358.5</v>
      </c>
      <c r="D862" s="1">
        <v>360.60833333333301</v>
      </c>
      <c r="E862" s="1">
        <v>1080</v>
      </c>
      <c r="F862" s="215">
        <v>51941.64</v>
      </c>
      <c r="G862" s="215">
        <f t="shared" si="135"/>
        <v>-6.8609326072978094E-3</v>
      </c>
      <c r="H862" s="215">
        <f t="shared" si="130"/>
        <v>-1.6460905349794275E-2</v>
      </c>
      <c r="I862" s="231">
        <v>389457</v>
      </c>
      <c r="K862" s="230">
        <v>44355</v>
      </c>
      <c r="L862" s="1">
        <v>989.2</v>
      </c>
      <c r="M862" s="1">
        <v>990.40607857672296</v>
      </c>
      <c r="N862" s="1">
        <v>6745</v>
      </c>
      <c r="O862" s="1">
        <v>52275.57</v>
      </c>
      <c r="P862" s="215">
        <f t="shared" si="136"/>
        <v>6.4289460248079244E-3</v>
      </c>
      <c r="Q862" s="215">
        <f t="shared" si="131"/>
        <v>-2.0933339931706763E-2</v>
      </c>
      <c r="R862" s="231">
        <v>6680289</v>
      </c>
      <c r="T862" s="230">
        <v>44355</v>
      </c>
      <c r="U862" s="1">
        <v>78.55</v>
      </c>
      <c r="V862" s="1">
        <v>78.805910652351301</v>
      </c>
      <c r="W862" s="1">
        <v>241327</v>
      </c>
      <c r="X862" s="1">
        <v>52275.57</v>
      </c>
      <c r="Y862" s="215">
        <f t="shared" si="137"/>
        <v>6.4289460248079244E-3</v>
      </c>
      <c r="Z862" s="215">
        <f t="shared" si="132"/>
        <v>2.5456919060052208E-2</v>
      </c>
      <c r="AA862" s="231">
        <v>19017994</v>
      </c>
      <c r="AC862" s="230">
        <v>44386</v>
      </c>
      <c r="AD862" s="1">
        <v>78.45</v>
      </c>
      <c r="AE862" s="1">
        <v>78.397725336513801</v>
      </c>
      <c r="AF862" s="1">
        <v>23476</v>
      </c>
      <c r="AG862" s="1">
        <v>52386.19</v>
      </c>
      <c r="AH862" s="215">
        <f t="shared" si="138"/>
        <v>2.5776793210363635E-4</v>
      </c>
      <c r="AI862" s="215">
        <f t="shared" si="133"/>
        <v>-3.1481481481481444E-2</v>
      </c>
      <c r="AJ862" s="231">
        <v>1840465</v>
      </c>
      <c r="AL862" s="254"/>
      <c r="AQ862" s="215" t="str">
        <f t="shared" si="139"/>
        <v>NA</v>
      </c>
      <c r="AR862" s="215" t="str">
        <f t="shared" si="134"/>
        <v>NA</v>
      </c>
    </row>
    <row r="863" spans="2:44">
      <c r="B863" s="230">
        <v>44357</v>
      </c>
      <c r="C863" s="1">
        <v>364.5</v>
      </c>
      <c r="D863" s="1">
        <v>363.92978833247201</v>
      </c>
      <c r="E863" s="1">
        <v>1937</v>
      </c>
      <c r="F863" s="215">
        <v>52300.47</v>
      </c>
      <c r="G863" s="215">
        <f t="shared" si="135"/>
        <v>-3.3214063294429996E-3</v>
      </c>
      <c r="H863" s="215">
        <f t="shared" si="130"/>
        <v>-2.5995348200847923E-3</v>
      </c>
      <c r="I863" s="231">
        <v>704932</v>
      </c>
      <c r="K863" s="230">
        <v>44356</v>
      </c>
      <c r="L863" s="1">
        <v>1010.35</v>
      </c>
      <c r="M863" s="1">
        <v>1019.01856652787</v>
      </c>
      <c r="N863" s="1">
        <v>38187</v>
      </c>
      <c r="O863" s="1">
        <v>51941.64</v>
      </c>
      <c r="P863" s="215">
        <f t="shared" si="136"/>
        <v>-6.8609326072978094E-3</v>
      </c>
      <c r="Q863" s="215">
        <f t="shared" si="131"/>
        <v>-8.3915132831625772E-2</v>
      </c>
      <c r="R863" s="231">
        <v>38913262</v>
      </c>
      <c r="T863" s="230">
        <v>44356</v>
      </c>
      <c r="U863" s="1">
        <v>76.599999999999994</v>
      </c>
      <c r="V863" s="1">
        <v>78.557882345009602</v>
      </c>
      <c r="W863" s="1">
        <v>385653</v>
      </c>
      <c r="X863" s="1">
        <v>51941.64</v>
      </c>
      <c r="Y863" s="215">
        <f t="shared" si="137"/>
        <v>-6.8609326072978094E-3</v>
      </c>
      <c r="Z863" s="215">
        <f t="shared" si="132"/>
        <v>-2.0460358056266115E-2</v>
      </c>
      <c r="AA863" s="231">
        <v>30296083</v>
      </c>
      <c r="AC863" s="230">
        <v>44389</v>
      </c>
      <c r="AD863" s="1">
        <v>81</v>
      </c>
      <c r="AE863" s="1">
        <v>80.484551308560199</v>
      </c>
      <c r="AF863" s="1">
        <v>33854</v>
      </c>
      <c r="AG863" s="1">
        <v>52372.69</v>
      </c>
      <c r="AH863" s="215">
        <f t="shared" si="138"/>
        <v>-7.5240104506882899E-3</v>
      </c>
      <c r="AI863" s="215">
        <f t="shared" si="133"/>
        <v>8.7173100871731357E-3</v>
      </c>
      <c r="AJ863" s="231">
        <v>2724724</v>
      </c>
      <c r="AL863" s="254"/>
      <c r="AQ863" s="215" t="str">
        <f t="shared" si="139"/>
        <v>NA</v>
      </c>
      <c r="AR863" s="215" t="str">
        <f t="shared" si="134"/>
        <v>NA</v>
      </c>
    </row>
    <row r="864" spans="2:44">
      <c r="B864" s="230">
        <v>44358</v>
      </c>
      <c r="C864" s="1">
        <v>365.45</v>
      </c>
      <c r="D864" s="1">
        <v>368.11595466434102</v>
      </c>
      <c r="E864" s="1">
        <v>4588</v>
      </c>
      <c r="F864" s="215">
        <v>52474.76</v>
      </c>
      <c r="G864" s="215">
        <f t="shared" si="135"/>
        <v>-1.4608518534093839E-3</v>
      </c>
      <c r="H864" s="215">
        <f t="shared" si="130"/>
        <v>-2.0480611687602179E-3</v>
      </c>
      <c r="I864" s="231">
        <v>1688916</v>
      </c>
      <c r="K864" s="230">
        <v>44357</v>
      </c>
      <c r="L864" s="1">
        <v>1102.9000000000001</v>
      </c>
      <c r="M864" s="1">
        <v>1095.0442021691799</v>
      </c>
      <c r="N864" s="1">
        <v>106307</v>
      </c>
      <c r="O864" s="1">
        <v>52300.47</v>
      </c>
      <c r="P864" s="215">
        <f t="shared" si="136"/>
        <v>-3.3214063294429996E-3</v>
      </c>
      <c r="Q864" s="215">
        <f t="shared" si="131"/>
        <v>-0.12259347653142394</v>
      </c>
      <c r="R864" s="231">
        <v>116410864</v>
      </c>
      <c r="T864" s="230">
        <v>44357</v>
      </c>
      <c r="U864" s="1">
        <v>78.2</v>
      </c>
      <c r="V864" s="1">
        <v>78.093905006304297</v>
      </c>
      <c r="W864" s="1">
        <v>180033</v>
      </c>
      <c r="X864" s="1">
        <v>52300.47</v>
      </c>
      <c r="Y864" s="215">
        <f t="shared" si="137"/>
        <v>-3.3214063294429996E-3</v>
      </c>
      <c r="Z864" s="215">
        <f t="shared" si="132"/>
        <v>-5.4984894259818673E-2</v>
      </c>
      <c r="AA864" s="231">
        <v>14059480</v>
      </c>
      <c r="AC864" s="230">
        <v>44390</v>
      </c>
      <c r="AD864" s="1">
        <v>80.3</v>
      </c>
      <c r="AE864" s="1">
        <v>81.445155569263903</v>
      </c>
      <c r="AF864" s="1">
        <v>25937</v>
      </c>
      <c r="AG864" s="1">
        <v>52769.73</v>
      </c>
      <c r="AH864" s="215">
        <f t="shared" si="138"/>
        <v>-2.5389360549901152E-3</v>
      </c>
      <c r="AI864" s="215">
        <f t="shared" si="133"/>
        <v>9.4280326838467321E-3</v>
      </c>
      <c r="AJ864" s="231">
        <v>2112443</v>
      </c>
      <c r="AL864" s="254"/>
      <c r="AQ864" s="215" t="str">
        <f t="shared" si="139"/>
        <v>NA</v>
      </c>
      <c r="AR864" s="215" t="str">
        <f t="shared" si="134"/>
        <v>NA</v>
      </c>
    </row>
    <row r="865" spans="2:44">
      <c r="B865" s="230">
        <v>44361</v>
      </c>
      <c r="C865" s="1">
        <v>366.2</v>
      </c>
      <c r="D865" s="1">
        <v>370.93402061855602</v>
      </c>
      <c r="E865" s="1">
        <v>1940</v>
      </c>
      <c r="F865" s="215">
        <v>52551.53</v>
      </c>
      <c r="G865" s="215">
        <f t="shared" si="135"/>
        <v>-4.197597068958614E-3</v>
      </c>
      <c r="H865" s="215">
        <f t="shared" si="130"/>
        <v>-2.5286132552568508E-2</v>
      </c>
      <c r="I865" s="231">
        <v>719612</v>
      </c>
      <c r="K865" s="230">
        <v>44358</v>
      </c>
      <c r="L865" s="1">
        <v>1257</v>
      </c>
      <c r="M865" s="1">
        <v>1207.15205536912</v>
      </c>
      <c r="N865" s="1">
        <v>61984</v>
      </c>
      <c r="O865" s="1">
        <v>52474.76</v>
      </c>
      <c r="P865" s="215">
        <f t="shared" si="136"/>
        <v>-1.4608518534093839E-3</v>
      </c>
      <c r="Q865" s="215">
        <f t="shared" si="131"/>
        <v>-0.16331081305953998</v>
      </c>
      <c r="R865" s="231">
        <v>74824113</v>
      </c>
      <c r="T865" s="230">
        <v>44358</v>
      </c>
      <c r="U865" s="1">
        <v>82.75</v>
      </c>
      <c r="V865" s="1">
        <v>81.463852764387894</v>
      </c>
      <c r="W865" s="1">
        <v>752644</v>
      </c>
      <c r="X865" s="1">
        <v>52474.76</v>
      </c>
      <c r="Y865" s="215">
        <f t="shared" si="137"/>
        <v>-1.4608518534093839E-3</v>
      </c>
      <c r="Z865" s="215">
        <f t="shared" si="132"/>
        <v>-6.0386473429951959E-4</v>
      </c>
      <c r="AA865" s="231">
        <v>61313280</v>
      </c>
      <c r="AC865" s="230">
        <v>44391</v>
      </c>
      <c r="AD865" s="1">
        <v>79.55</v>
      </c>
      <c r="AE865" s="1">
        <v>80.430841341901996</v>
      </c>
      <c r="AF865" s="1">
        <v>33922</v>
      </c>
      <c r="AG865" s="1">
        <v>52904.05</v>
      </c>
      <c r="AH865" s="215">
        <f t="shared" si="138"/>
        <v>-4.7931811918429101E-3</v>
      </c>
      <c r="AI865" s="215">
        <f t="shared" si="133"/>
        <v>2.520478890989386E-3</v>
      </c>
      <c r="AJ865" s="231">
        <v>2728375</v>
      </c>
      <c r="AL865" s="254"/>
      <c r="AQ865" s="215" t="str">
        <f t="shared" si="139"/>
        <v>NA</v>
      </c>
      <c r="AR865" s="215" t="str">
        <f t="shared" si="134"/>
        <v>NA</v>
      </c>
    </row>
    <row r="866" spans="2:44">
      <c r="B866" s="230">
        <v>44362</v>
      </c>
      <c r="C866" s="1">
        <v>375.7</v>
      </c>
      <c r="D866" s="1">
        <v>369.725605675277</v>
      </c>
      <c r="E866" s="1">
        <v>7471</v>
      </c>
      <c r="F866" s="215">
        <v>52773.05</v>
      </c>
      <c r="G866" s="215">
        <f t="shared" si="135"/>
        <v>5.1630433747451576E-3</v>
      </c>
      <c r="H866" s="215">
        <f t="shared" si="130"/>
        <v>-2.0722012250749322E-2</v>
      </c>
      <c r="I866" s="231">
        <v>2762220</v>
      </c>
      <c r="K866" s="230">
        <v>44361</v>
      </c>
      <c r="L866" s="1">
        <v>1502.35</v>
      </c>
      <c r="M866" s="1">
        <v>1422.1404105648901</v>
      </c>
      <c r="N866" s="1">
        <v>182529</v>
      </c>
      <c r="O866" s="1">
        <v>52551.53</v>
      </c>
      <c r="P866" s="215">
        <f t="shared" si="136"/>
        <v>-4.197597068958614E-3</v>
      </c>
      <c r="Q866" s="215">
        <f t="shared" si="131"/>
        <v>5.0043683382841042E-2</v>
      </c>
      <c r="R866" s="231">
        <v>259581867</v>
      </c>
      <c r="T866" s="230">
        <v>44361</v>
      </c>
      <c r="U866" s="1">
        <v>82.8</v>
      </c>
      <c r="V866" s="1">
        <v>82.462323045628594</v>
      </c>
      <c r="W866" s="1">
        <v>484235</v>
      </c>
      <c r="X866" s="1">
        <v>52551.53</v>
      </c>
      <c r="Y866" s="215">
        <f t="shared" si="137"/>
        <v>-4.197597068958614E-3</v>
      </c>
      <c r="Z866" s="215">
        <f t="shared" si="132"/>
        <v>8.5261875761266648E-3</v>
      </c>
      <c r="AA866" s="231">
        <v>39931143</v>
      </c>
      <c r="AC866" s="230">
        <v>44392</v>
      </c>
      <c r="AD866" s="1">
        <v>79.349999999999994</v>
      </c>
      <c r="AE866" s="1">
        <v>79.836865063777793</v>
      </c>
      <c r="AF866" s="1">
        <v>48371</v>
      </c>
      <c r="AG866" s="1">
        <v>53158.85</v>
      </c>
      <c r="AH866" s="215">
        <f t="shared" si="138"/>
        <v>3.5359388002187409E-4</v>
      </c>
      <c r="AI866" s="215">
        <f t="shared" si="133"/>
        <v>-7.5046904315198004E-3</v>
      </c>
      <c r="AJ866" s="231">
        <v>3861789</v>
      </c>
      <c r="AL866" s="254"/>
      <c r="AQ866" s="215" t="str">
        <f t="shared" si="139"/>
        <v>NA</v>
      </c>
      <c r="AR866" s="215" t="str">
        <f t="shared" si="134"/>
        <v>NA</v>
      </c>
    </row>
    <row r="867" spans="2:44">
      <c r="B867" s="230">
        <v>44363</v>
      </c>
      <c r="C867" s="1">
        <v>383.65</v>
      </c>
      <c r="D867" s="1">
        <v>388.85778159931198</v>
      </c>
      <c r="E867" s="1">
        <v>5815</v>
      </c>
      <c r="F867" s="215">
        <v>52501.98</v>
      </c>
      <c r="G867" s="215">
        <f t="shared" si="135"/>
        <v>3.4143469079663813E-3</v>
      </c>
      <c r="H867" s="215">
        <f t="shared" si="130"/>
        <v>1.8720127456186786E-2</v>
      </c>
      <c r="I867" s="231">
        <v>2261208</v>
      </c>
      <c r="K867" s="230">
        <v>44362</v>
      </c>
      <c r="L867" s="1">
        <v>1430.75</v>
      </c>
      <c r="M867" s="1">
        <v>1453.15247031227</v>
      </c>
      <c r="N867" s="1">
        <v>61389</v>
      </c>
      <c r="O867" s="1">
        <v>52773.05</v>
      </c>
      <c r="P867" s="215">
        <f t="shared" si="136"/>
        <v>5.1630433747451576E-3</v>
      </c>
      <c r="Q867" s="215">
        <f t="shared" si="131"/>
        <v>-5.0417246175243902E-3</v>
      </c>
      <c r="R867" s="231">
        <v>89207577</v>
      </c>
      <c r="T867" s="230">
        <v>44362</v>
      </c>
      <c r="U867" s="1">
        <v>82.1</v>
      </c>
      <c r="V867" s="1">
        <v>83.075037177622704</v>
      </c>
      <c r="W867" s="1">
        <v>121713</v>
      </c>
      <c r="X867" s="1">
        <v>52773.05</v>
      </c>
      <c r="Y867" s="215">
        <f t="shared" si="137"/>
        <v>5.1630433747451576E-3</v>
      </c>
      <c r="Z867" s="215">
        <f t="shared" si="132"/>
        <v>2.6891807379612054E-2</v>
      </c>
      <c r="AA867" s="231">
        <v>10111312</v>
      </c>
      <c r="AC867" s="230">
        <v>44393</v>
      </c>
      <c r="AD867" s="1">
        <v>79.95</v>
      </c>
      <c r="AE867" s="1">
        <v>80.280834232290502</v>
      </c>
      <c r="AF867" s="1">
        <v>11124</v>
      </c>
      <c r="AG867" s="1">
        <v>53140.06</v>
      </c>
      <c r="AH867" s="215">
        <f t="shared" si="138"/>
        <v>1.1163121700974665E-2</v>
      </c>
      <c r="AI867" s="215">
        <f t="shared" si="133"/>
        <v>2.4343369634849621E-2</v>
      </c>
      <c r="AJ867" s="231">
        <v>893044</v>
      </c>
      <c r="AL867" s="254"/>
      <c r="AQ867" s="215" t="str">
        <f t="shared" si="139"/>
        <v>NA</v>
      </c>
      <c r="AR867" s="215" t="str">
        <f t="shared" si="134"/>
        <v>NA</v>
      </c>
    </row>
    <row r="868" spans="2:44">
      <c r="B868" s="230">
        <v>44364</v>
      </c>
      <c r="C868" s="1">
        <v>376.6</v>
      </c>
      <c r="D868" s="1">
        <v>380.09571984435701</v>
      </c>
      <c r="E868" s="1">
        <v>2570</v>
      </c>
      <c r="F868" s="215">
        <v>52323.33</v>
      </c>
      <c r="G868" s="215">
        <f t="shared" si="135"/>
        <v>-4.0348117135613482E-4</v>
      </c>
      <c r="H868" s="215">
        <f t="shared" si="130"/>
        <v>-9.5989480604864452E-3</v>
      </c>
      <c r="I868" s="231">
        <v>976846</v>
      </c>
      <c r="K868" s="230">
        <v>44363</v>
      </c>
      <c r="L868" s="1">
        <v>1438</v>
      </c>
      <c r="M868" s="1">
        <v>1449.83365603165</v>
      </c>
      <c r="N868" s="1">
        <v>23758</v>
      </c>
      <c r="O868" s="1">
        <v>52501.98</v>
      </c>
      <c r="P868" s="215">
        <f t="shared" si="136"/>
        <v>3.4143469079663813E-3</v>
      </c>
      <c r="Q868" s="215">
        <f t="shared" si="131"/>
        <v>3.0196654368306097E-2</v>
      </c>
      <c r="R868" s="231">
        <v>34445148</v>
      </c>
      <c r="T868" s="230">
        <v>44363</v>
      </c>
      <c r="U868" s="1">
        <v>79.95</v>
      </c>
      <c r="V868" s="1">
        <v>80.133195162872696</v>
      </c>
      <c r="W868" s="1">
        <v>172251</v>
      </c>
      <c r="X868" s="1">
        <v>52501.98</v>
      </c>
      <c r="Y868" s="215">
        <f t="shared" si="137"/>
        <v>3.4143469079663813E-3</v>
      </c>
      <c r="Z868" s="215">
        <f t="shared" si="132"/>
        <v>1.9770408163265252E-2</v>
      </c>
      <c r="AA868" s="231">
        <v>13803023</v>
      </c>
      <c r="AC868" s="230">
        <v>44396</v>
      </c>
      <c r="AD868" s="1">
        <v>78.05</v>
      </c>
      <c r="AE868" s="1">
        <v>79.097620799607498</v>
      </c>
      <c r="AF868" s="1">
        <v>4077</v>
      </c>
      <c r="AG868" s="1">
        <v>52553.4</v>
      </c>
      <c r="AH868" s="215">
        <f t="shared" si="138"/>
        <v>6.7988530707101535E-3</v>
      </c>
      <c r="AI868" s="215">
        <f t="shared" si="133"/>
        <v>1.8264840182648179E-2</v>
      </c>
      <c r="AJ868" s="231">
        <v>322481</v>
      </c>
      <c r="AL868" s="254"/>
      <c r="AQ868" s="215" t="str">
        <f t="shared" si="139"/>
        <v>NA</v>
      </c>
      <c r="AR868" s="215" t="str">
        <f t="shared" si="134"/>
        <v>NA</v>
      </c>
    </row>
    <row r="869" spans="2:44">
      <c r="B869" s="230">
        <v>44365</v>
      </c>
      <c r="C869" s="1">
        <v>380.25</v>
      </c>
      <c r="D869" s="1">
        <v>370.00424559111599</v>
      </c>
      <c r="E869" s="1">
        <v>3062</v>
      </c>
      <c r="F869" s="215">
        <v>52344.45</v>
      </c>
      <c r="G869" s="215">
        <f t="shared" si="135"/>
        <v>-4.3749379451544224E-3</v>
      </c>
      <c r="H869" s="215">
        <f t="shared" si="130"/>
        <v>5.1546391752577136E-3</v>
      </c>
      <c r="I869" s="231">
        <v>1132953</v>
      </c>
      <c r="K869" s="230">
        <v>44364</v>
      </c>
      <c r="L869" s="1">
        <v>1395.85</v>
      </c>
      <c r="M869" s="1">
        <v>1433.1553560242201</v>
      </c>
      <c r="N869" s="1">
        <v>14367</v>
      </c>
      <c r="O869" s="1">
        <v>52323.33</v>
      </c>
      <c r="P869" s="215">
        <f t="shared" si="136"/>
        <v>-4.0348117135613482E-4</v>
      </c>
      <c r="Q869" s="215">
        <f t="shared" si="131"/>
        <v>5.2597843299901914E-2</v>
      </c>
      <c r="R869" s="231">
        <v>20590143</v>
      </c>
      <c r="T869" s="230">
        <v>44364</v>
      </c>
      <c r="U869" s="1">
        <v>78.400000000000006</v>
      </c>
      <c r="V869" s="1">
        <v>79.580254937371905</v>
      </c>
      <c r="W869" s="1">
        <v>361579</v>
      </c>
      <c r="X869" s="1">
        <v>52323.33</v>
      </c>
      <c r="Y869" s="215">
        <f t="shared" si="137"/>
        <v>-4.0348117135613482E-4</v>
      </c>
      <c r="Z869" s="215">
        <f t="shared" si="132"/>
        <v>3.566710700132103E-2</v>
      </c>
      <c r="AA869" s="231">
        <v>28774549</v>
      </c>
      <c r="AC869" s="230">
        <v>44397</v>
      </c>
      <c r="AD869" s="1">
        <v>76.650000000000006</v>
      </c>
      <c r="AE869" s="1">
        <v>77.113008538422903</v>
      </c>
      <c r="AF869" s="1">
        <v>15928</v>
      </c>
      <c r="AG869" s="1">
        <v>52198.51</v>
      </c>
      <c r="AH869" s="215">
        <f t="shared" si="138"/>
        <v>-1.2088072023484941E-2</v>
      </c>
      <c r="AI869" s="215">
        <f t="shared" si="133"/>
        <v>-8.5867620751341578E-2</v>
      </c>
      <c r="AJ869" s="231">
        <v>1228256</v>
      </c>
      <c r="AL869" s="254"/>
      <c r="AQ869" s="215" t="str">
        <f t="shared" si="139"/>
        <v>NA</v>
      </c>
      <c r="AR869" s="215" t="str">
        <f t="shared" si="134"/>
        <v>NA</v>
      </c>
    </row>
    <row r="870" spans="2:44">
      <c r="B870" s="230">
        <v>44368</v>
      </c>
      <c r="C870" s="1">
        <v>378.3</v>
      </c>
      <c r="D870" s="1">
        <v>373.49143852181402</v>
      </c>
      <c r="E870" s="1">
        <v>10337</v>
      </c>
      <c r="F870" s="215">
        <v>52574.46</v>
      </c>
      <c r="G870" s="215">
        <f t="shared" si="135"/>
        <v>-2.7097070835169212E-4</v>
      </c>
      <c r="H870" s="215">
        <f t="shared" si="130"/>
        <v>-0.10935844614479107</v>
      </c>
      <c r="I870" s="231">
        <v>3860781</v>
      </c>
      <c r="K870" s="230">
        <v>44365</v>
      </c>
      <c r="L870" s="1">
        <v>1326.1</v>
      </c>
      <c r="M870" s="1">
        <v>1331.3900996464099</v>
      </c>
      <c r="N870" s="1">
        <v>15555</v>
      </c>
      <c r="O870" s="1">
        <v>52344.45</v>
      </c>
      <c r="P870" s="215">
        <f t="shared" si="136"/>
        <v>-4.3749379451544224E-3</v>
      </c>
      <c r="Q870" s="215">
        <f t="shared" si="131"/>
        <v>-3.5212804656238661E-2</v>
      </c>
      <c r="R870" s="231">
        <v>20709773</v>
      </c>
      <c r="T870" s="230">
        <v>44365</v>
      </c>
      <c r="U870" s="1">
        <v>75.7</v>
      </c>
      <c r="V870" s="1">
        <v>75.657123948313298</v>
      </c>
      <c r="W870" s="1">
        <v>152612</v>
      </c>
      <c r="X870" s="1">
        <v>52344.45</v>
      </c>
      <c r="Y870" s="215">
        <f t="shared" si="137"/>
        <v>-4.3749379451544224E-3</v>
      </c>
      <c r="Z870" s="215">
        <f t="shared" si="132"/>
        <v>-3.9473684210525883E-3</v>
      </c>
      <c r="AA870" s="231">
        <v>11546185</v>
      </c>
      <c r="AC870" s="230">
        <v>44399</v>
      </c>
      <c r="AD870" s="1">
        <v>83.85</v>
      </c>
      <c r="AE870" s="1">
        <v>82.968030434826005</v>
      </c>
      <c r="AF870" s="1">
        <v>200034</v>
      </c>
      <c r="AG870" s="1">
        <v>52837.21</v>
      </c>
      <c r="AH870" s="215">
        <f t="shared" si="138"/>
        <v>-2.6161001815924179E-3</v>
      </c>
      <c r="AI870" s="215">
        <f t="shared" si="133"/>
        <v>3.2635467980295374E-2</v>
      </c>
      <c r="AJ870" s="231">
        <v>16596427</v>
      </c>
      <c r="AL870" s="254"/>
      <c r="AQ870" s="215" t="str">
        <f t="shared" si="139"/>
        <v>NA</v>
      </c>
      <c r="AR870" s="215" t="str">
        <f t="shared" si="134"/>
        <v>NA</v>
      </c>
    </row>
    <row r="871" spans="2:44">
      <c r="B871" s="230">
        <v>44369</v>
      </c>
      <c r="C871" s="1">
        <v>424.75</v>
      </c>
      <c r="D871" s="1">
        <v>405.40736808578401</v>
      </c>
      <c r="E871" s="1">
        <v>9419</v>
      </c>
      <c r="F871" s="215">
        <v>52588.71</v>
      </c>
      <c r="G871" s="215">
        <f t="shared" si="135"/>
        <v>5.4033871396976796E-3</v>
      </c>
      <c r="H871" s="215">
        <f t="shared" si="130"/>
        <v>1.9807923169267605E-2</v>
      </c>
      <c r="I871" s="231">
        <v>3818532</v>
      </c>
      <c r="K871" s="230">
        <v>44368</v>
      </c>
      <c r="L871" s="1">
        <v>1374.5</v>
      </c>
      <c r="M871" s="1">
        <v>1310.37520922868</v>
      </c>
      <c r="N871" s="1">
        <v>22105</v>
      </c>
      <c r="O871" s="1">
        <v>52574.46</v>
      </c>
      <c r="P871" s="215">
        <f t="shared" si="136"/>
        <v>-2.7097070835169212E-4</v>
      </c>
      <c r="Q871" s="215">
        <f t="shared" si="131"/>
        <v>1.7808878521974103E-2</v>
      </c>
      <c r="R871" s="231">
        <v>28965844</v>
      </c>
      <c r="T871" s="230">
        <v>44368</v>
      </c>
      <c r="U871" s="1">
        <v>76</v>
      </c>
      <c r="V871" s="1">
        <v>74.726674187462294</v>
      </c>
      <c r="W871" s="1">
        <v>102826</v>
      </c>
      <c r="X871" s="1">
        <v>52574.46</v>
      </c>
      <c r="Y871" s="215">
        <f t="shared" si="137"/>
        <v>-2.7097070835169212E-4</v>
      </c>
      <c r="Z871" s="215">
        <f t="shared" si="132"/>
        <v>1.2658227848101333E-2</v>
      </c>
      <c r="AA871" s="231">
        <v>7683845</v>
      </c>
      <c r="AC871" s="230">
        <v>44400</v>
      </c>
      <c r="AD871" s="1">
        <v>81.2</v>
      </c>
      <c r="AE871" s="1">
        <v>82.173176696077405</v>
      </c>
      <c r="AF871" s="1">
        <v>60522</v>
      </c>
      <c r="AG871" s="1">
        <v>52975.8</v>
      </c>
      <c r="AH871" s="215">
        <f t="shared" si="138"/>
        <v>2.3372695250365449E-3</v>
      </c>
      <c r="AI871" s="215">
        <f t="shared" si="133"/>
        <v>-1.0359536867763475E-2</v>
      </c>
      <c r="AJ871" s="231">
        <v>4973285</v>
      </c>
      <c r="AL871" s="254"/>
      <c r="AQ871" s="215" t="str">
        <f t="shared" si="139"/>
        <v>NA</v>
      </c>
      <c r="AR871" s="215" t="str">
        <f t="shared" si="134"/>
        <v>NA</v>
      </c>
    </row>
    <row r="872" spans="2:44">
      <c r="B872" s="230">
        <v>44370</v>
      </c>
      <c r="C872" s="1">
        <v>416.5</v>
      </c>
      <c r="D872" s="1">
        <v>429.09941348973598</v>
      </c>
      <c r="E872" s="1">
        <v>10230</v>
      </c>
      <c r="F872" s="215">
        <v>52306.080000000002</v>
      </c>
      <c r="G872" s="215">
        <f t="shared" si="135"/>
        <v>-7.4559289550085728E-3</v>
      </c>
      <c r="H872" s="215">
        <f t="shared" si="130"/>
        <v>1.0186757215619568E-2</v>
      </c>
      <c r="I872" s="231">
        <v>4389687</v>
      </c>
      <c r="K872" s="230">
        <v>44369</v>
      </c>
      <c r="L872" s="1">
        <v>1350.45</v>
      </c>
      <c r="M872" s="1">
        <v>1361.6140350877099</v>
      </c>
      <c r="N872" s="1">
        <v>8892</v>
      </c>
      <c r="O872" s="1">
        <v>52588.71</v>
      </c>
      <c r="P872" s="215">
        <f t="shared" si="136"/>
        <v>5.4033871396976796E-3</v>
      </c>
      <c r="Q872" s="215">
        <f t="shared" si="131"/>
        <v>1.782484172444998E-2</v>
      </c>
      <c r="R872" s="231">
        <v>12107472</v>
      </c>
      <c r="T872" s="230">
        <v>44369</v>
      </c>
      <c r="U872" s="1">
        <v>75.05</v>
      </c>
      <c r="V872" s="1">
        <v>76.708548234963501</v>
      </c>
      <c r="W872" s="1">
        <v>199316</v>
      </c>
      <c r="X872" s="1">
        <v>52588.71</v>
      </c>
      <c r="Y872" s="215">
        <f t="shared" si="137"/>
        <v>5.4033871396976796E-3</v>
      </c>
      <c r="Z872" s="215">
        <f t="shared" si="132"/>
        <v>7.382550335570448E-3</v>
      </c>
      <c r="AA872" s="231">
        <v>15289241</v>
      </c>
      <c r="AC872" s="230">
        <v>44403</v>
      </c>
      <c r="AD872" s="1">
        <v>82.05</v>
      </c>
      <c r="AE872" s="1">
        <v>82.051041834921605</v>
      </c>
      <c r="AF872" s="1">
        <v>6191</v>
      </c>
      <c r="AG872" s="1">
        <v>52852.27</v>
      </c>
      <c r="AH872" s="215">
        <f t="shared" si="138"/>
        <v>5.2019104292302387E-3</v>
      </c>
      <c r="AI872" s="215">
        <f t="shared" si="133"/>
        <v>8.6047940995697125E-3</v>
      </c>
      <c r="AJ872" s="231">
        <v>507978</v>
      </c>
      <c r="AL872" s="254"/>
      <c r="AQ872" s="215" t="str">
        <f t="shared" si="139"/>
        <v>NA</v>
      </c>
      <c r="AR872" s="215" t="str">
        <f t="shared" si="134"/>
        <v>NA</v>
      </c>
    </row>
    <row r="873" spans="2:44">
      <c r="B873" s="230">
        <v>44371</v>
      </c>
      <c r="C873" s="1">
        <v>412.3</v>
      </c>
      <c r="D873" s="1">
        <v>419.501688238604</v>
      </c>
      <c r="E873" s="1">
        <v>3554</v>
      </c>
      <c r="F873" s="215">
        <v>52699</v>
      </c>
      <c r="G873" s="215">
        <f t="shared" si="135"/>
        <v>-4.2709462288550437E-3</v>
      </c>
      <c r="H873" s="215">
        <f t="shared" si="130"/>
        <v>3.5292685895094156E-3</v>
      </c>
      <c r="I873" s="231">
        <v>1490909</v>
      </c>
      <c r="K873" s="230">
        <v>44370</v>
      </c>
      <c r="L873" s="1">
        <v>1326.8</v>
      </c>
      <c r="M873" s="1">
        <v>1335.42494577006</v>
      </c>
      <c r="N873" s="1">
        <v>4610</v>
      </c>
      <c r="O873" s="1">
        <v>52306.080000000002</v>
      </c>
      <c r="P873" s="215">
        <f t="shared" si="136"/>
        <v>-7.4559289550085728E-3</v>
      </c>
      <c r="Q873" s="215">
        <f t="shared" si="131"/>
        <v>-1.9509311262193352E-2</v>
      </c>
      <c r="R873" s="231">
        <v>6156309</v>
      </c>
      <c r="T873" s="230">
        <v>44370</v>
      </c>
      <c r="U873" s="1">
        <v>74.5</v>
      </c>
      <c r="V873" s="1">
        <v>74.936604153801099</v>
      </c>
      <c r="W873" s="1">
        <v>61534</v>
      </c>
      <c r="X873" s="1">
        <v>52306.080000000002</v>
      </c>
      <c r="Y873" s="215">
        <f t="shared" si="137"/>
        <v>-7.4559289550085728E-3</v>
      </c>
      <c r="Z873" s="215">
        <f t="shared" si="132"/>
        <v>4.0431266846361336E-3</v>
      </c>
      <c r="AA873" s="231">
        <v>4611149</v>
      </c>
      <c r="AC873" s="230">
        <v>44404</v>
      </c>
      <c r="AD873" s="1">
        <v>81.349999999999994</v>
      </c>
      <c r="AE873" s="1">
        <v>82.368665377176001</v>
      </c>
      <c r="AF873" s="1">
        <v>20680</v>
      </c>
      <c r="AG873" s="1">
        <v>52578.76</v>
      </c>
      <c r="AH873" s="215">
        <f t="shared" si="138"/>
        <v>2.575141995103003E-3</v>
      </c>
      <c r="AI873" s="215">
        <f t="shared" si="133"/>
        <v>8.0545229244113337E-3</v>
      </c>
      <c r="AJ873" s="231">
        <v>1703384</v>
      </c>
      <c r="AL873" s="254"/>
      <c r="AQ873" s="215" t="str">
        <f t="shared" si="139"/>
        <v>NA</v>
      </c>
      <c r="AR873" s="215" t="str">
        <f t="shared" si="134"/>
        <v>NA</v>
      </c>
    </row>
    <row r="874" spans="2:44">
      <c r="B874" s="230">
        <v>44372</v>
      </c>
      <c r="C874" s="1">
        <v>410.85</v>
      </c>
      <c r="D874" s="1">
        <v>406.26858877086403</v>
      </c>
      <c r="E874" s="1">
        <v>1977</v>
      </c>
      <c r="F874" s="215">
        <v>52925.04</v>
      </c>
      <c r="G874" s="215">
        <f t="shared" si="135"/>
        <v>3.592450563272509E-3</v>
      </c>
      <c r="H874" s="215">
        <f t="shared" si="130"/>
        <v>-1.7575322812051541E-2</v>
      </c>
      <c r="I874" s="231">
        <v>803193</v>
      </c>
      <c r="K874" s="230">
        <v>44371</v>
      </c>
      <c r="L874" s="1">
        <v>1353.2</v>
      </c>
      <c r="M874" s="1">
        <v>1362.7944427228499</v>
      </c>
      <c r="N874" s="1">
        <v>9681</v>
      </c>
      <c r="O874" s="1">
        <v>52699</v>
      </c>
      <c r="P874" s="215">
        <f t="shared" si="136"/>
        <v>-4.2709462288550437E-3</v>
      </c>
      <c r="Q874" s="215">
        <f t="shared" si="131"/>
        <v>2.0205066344993972E-2</v>
      </c>
      <c r="R874" s="231">
        <v>13193213</v>
      </c>
      <c r="T874" s="230">
        <v>44371</v>
      </c>
      <c r="U874" s="1">
        <v>74.2</v>
      </c>
      <c r="V874" s="1">
        <v>74.871460159826199</v>
      </c>
      <c r="W874" s="1">
        <v>103112</v>
      </c>
      <c r="X874" s="1">
        <v>52699</v>
      </c>
      <c r="Y874" s="215">
        <f t="shared" si="137"/>
        <v>-4.2709462288550437E-3</v>
      </c>
      <c r="Z874" s="215">
        <f t="shared" si="132"/>
        <v>-1.3297872340425565E-2</v>
      </c>
      <c r="AA874" s="231">
        <v>7720146</v>
      </c>
      <c r="AC874" s="230">
        <v>44405</v>
      </c>
      <c r="AD874" s="1">
        <v>80.7</v>
      </c>
      <c r="AE874" s="1">
        <v>80.406327776072999</v>
      </c>
      <c r="AF874" s="1">
        <v>29331</v>
      </c>
      <c r="AG874" s="1">
        <v>52443.71</v>
      </c>
      <c r="AH874" s="215">
        <f t="shared" si="138"/>
        <v>-3.9762163915608717E-3</v>
      </c>
      <c r="AI874" s="215">
        <f t="shared" si="133"/>
        <v>-4.7787610619469012E-2</v>
      </c>
      <c r="AJ874" s="231">
        <v>2358398</v>
      </c>
      <c r="AL874" s="254"/>
      <c r="AQ874" s="215" t="str">
        <f t="shared" si="139"/>
        <v>NA</v>
      </c>
      <c r="AR874" s="215" t="str">
        <f t="shared" si="134"/>
        <v>NA</v>
      </c>
    </row>
    <row r="875" spans="2:44">
      <c r="B875" s="230">
        <v>44375</v>
      </c>
      <c r="C875" s="1">
        <v>418.2</v>
      </c>
      <c r="D875" s="1">
        <v>424.52459016393402</v>
      </c>
      <c r="E875" s="1">
        <v>4514</v>
      </c>
      <c r="F875" s="215">
        <v>52735.59</v>
      </c>
      <c r="G875" s="215">
        <f t="shared" si="135"/>
        <v>3.5381770310216609E-3</v>
      </c>
      <c r="H875" s="215">
        <f t="shared" si="130"/>
        <v>-1.5884221673137966E-2</v>
      </c>
      <c r="I875" s="231">
        <v>1916304</v>
      </c>
      <c r="K875" s="230">
        <v>44372</v>
      </c>
      <c r="L875" s="1">
        <v>1326.4</v>
      </c>
      <c r="M875" s="1">
        <v>1342.25389976767</v>
      </c>
      <c r="N875" s="1">
        <v>6026</v>
      </c>
      <c r="O875" s="1">
        <v>52925.04</v>
      </c>
      <c r="P875" s="215">
        <f t="shared" si="136"/>
        <v>3.592450563272509E-3</v>
      </c>
      <c r="Q875" s="215">
        <f t="shared" si="131"/>
        <v>2.0739543653083947E-2</v>
      </c>
      <c r="R875" s="231">
        <v>8088422</v>
      </c>
      <c r="T875" s="230">
        <v>44372</v>
      </c>
      <c r="U875" s="1">
        <v>75.2</v>
      </c>
      <c r="V875" s="1">
        <v>75.580319267693596</v>
      </c>
      <c r="W875" s="1">
        <v>89580</v>
      </c>
      <c r="X875" s="1">
        <v>52925.04</v>
      </c>
      <c r="Y875" s="215">
        <f t="shared" si="137"/>
        <v>3.592450563272509E-3</v>
      </c>
      <c r="Z875" s="215">
        <f t="shared" si="132"/>
        <v>-2.6537216828478982E-2</v>
      </c>
      <c r="AA875" s="231">
        <v>6770485</v>
      </c>
      <c r="AC875" s="230">
        <v>44406</v>
      </c>
      <c r="AD875" s="1">
        <v>84.75</v>
      </c>
      <c r="AE875" s="1">
        <v>85.586888454011699</v>
      </c>
      <c r="AF875" s="1">
        <v>189070</v>
      </c>
      <c r="AG875" s="1">
        <v>52653.07</v>
      </c>
      <c r="AH875" s="215">
        <f t="shared" si="138"/>
        <v>1.2594405748662663E-3</v>
      </c>
      <c r="AI875" s="215">
        <f t="shared" si="133"/>
        <v>1.9242333132892364E-2</v>
      </c>
      <c r="AJ875" s="231">
        <v>16181913</v>
      </c>
      <c r="AL875" s="254"/>
      <c r="AQ875" s="215" t="str">
        <f t="shared" si="139"/>
        <v>NA</v>
      </c>
      <c r="AR875" s="215" t="str">
        <f t="shared" si="134"/>
        <v>NA</v>
      </c>
    </row>
    <row r="876" spans="2:44">
      <c r="B876" s="230">
        <v>44376</v>
      </c>
      <c r="C876" s="1">
        <v>424.95</v>
      </c>
      <c r="D876" s="1">
        <v>426.59092936802898</v>
      </c>
      <c r="E876" s="1">
        <v>6725</v>
      </c>
      <c r="F876" s="215">
        <v>52549.66</v>
      </c>
      <c r="G876" s="215">
        <f t="shared" si="135"/>
        <v>1.2756582120092563E-3</v>
      </c>
      <c r="H876" s="215">
        <f t="shared" si="130"/>
        <v>5.99900224494887E-2</v>
      </c>
      <c r="I876" s="231">
        <v>2868824</v>
      </c>
      <c r="K876" s="230">
        <v>44375</v>
      </c>
      <c r="L876" s="1">
        <v>1299.45</v>
      </c>
      <c r="M876" s="1">
        <v>1307.1371625863101</v>
      </c>
      <c r="N876" s="1">
        <v>6372</v>
      </c>
      <c r="O876" s="1">
        <v>52735.59</v>
      </c>
      <c r="P876" s="215">
        <f t="shared" si="136"/>
        <v>3.5381770310216609E-3</v>
      </c>
      <c r="Q876" s="215">
        <f t="shared" si="131"/>
        <v>-2.0281222904964702E-2</v>
      </c>
      <c r="R876" s="231">
        <v>8329078</v>
      </c>
      <c r="T876" s="230">
        <v>44375</v>
      </c>
      <c r="U876" s="1">
        <v>77.25</v>
      </c>
      <c r="V876" s="1">
        <v>77.028015203572394</v>
      </c>
      <c r="W876" s="1">
        <v>213634</v>
      </c>
      <c r="X876" s="1">
        <v>52735.59</v>
      </c>
      <c r="Y876" s="215">
        <f t="shared" si="137"/>
        <v>3.5381770310216609E-3</v>
      </c>
      <c r="Z876" s="215">
        <f t="shared" si="132"/>
        <v>1.6447368421052655E-2</v>
      </c>
      <c r="AA876" s="231">
        <v>16455803</v>
      </c>
      <c r="AC876" s="230">
        <v>44407</v>
      </c>
      <c r="AD876" s="1">
        <v>83.15</v>
      </c>
      <c r="AE876" s="1">
        <v>84.408835992023896</v>
      </c>
      <c r="AF876" s="1">
        <v>16048</v>
      </c>
      <c r="AG876" s="1">
        <v>52586.84</v>
      </c>
      <c r="AH876" s="215">
        <f t="shared" si="138"/>
        <v>-6.8703620712350366E-3</v>
      </c>
      <c r="AI876" s="215">
        <f t="shared" si="133"/>
        <v>-1.0119047619047583E-2</v>
      </c>
      <c r="AJ876" s="231">
        <v>1354593</v>
      </c>
      <c r="AL876" s="254"/>
      <c r="AQ876" s="215" t="str">
        <f t="shared" si="139"/>
        <v>NA</v>
      </c>
      <c r="AR876" s="215" t="str">
        <f t="shared" si="134"/>
        <v>NA</v>
      </c>
    </row>
    <row r="877" spans="2:44">
      <c r="B877" s="230">
        <v>44377</v>
      </c>
      <c r="C877" s="1">
        <v>400.9</v>
      </c>
      <c r="D877" s="1">
        <v>404.82382740850699</v>
      </c>
      <c r="E877" s="1">
        <v>11449</v>
      </c>
      <c r="F877" s="215">
        <v>52482.71</v>
      </c>
      <c r="G877" s="215">
        <f t="shared" si="135"/>
        <v>3.1367429556601323E-3</v>
      </c>
      <c r="H877" s="215">
        <f t="shared" si="130"/>
        <v>7.4510854998659726E-2</v>
      </c>
      <c r="I877" s="231">
        <v>4634828</v>
      </c>
      <c r="K877" s="230">
        <v>44376</v>
      </c>
      <c r="L877" s="1">
        <v>1326.35</v>
      </c>
      <c r="M877" s="1">
        <v>1307.1246317407399</v>
      </c>
      <c r="N877" s="1">
        <v>7807</v>
      </c>
      <c r="O877" s="1">
        <v>52549.66</v>
      </c>
      <c r="P877" s="215">
        <f t="shared" si="136"/>
        <v>1.2756582120092563E-3</v>
      </c>
      <c r="Q877" s="215">
        <f t="shared" si="131"/>
        <v>1.1322912695386878E-2</v>
      </c>
      <c r="R877" s="231">
        <v>10204722</v>
      </c>
      <c r="T877" s="230">
        <v>44376</v>
      </c>
      <c r="U877" s="1">
        <v>76</v>
      </c>
      <c r="V877" s="1">
        <v>76.245644080869099</v>
      </c>
      <c r="W877" s="1">
        <v>164661</v>
      </c>
      <c r="X877" s="1">
        <v>52549.66</v>
      </c>
      <c r="Y877" s="215">
        <f t="shared" si="137"/>
        <v>1.2756582120092563E-3</v>
      </c>
      <c r="Z877" s="215">
        <f t="shared" si="132"/>
        <v>5.9563203176704604E-3</v>
      </c>
      <c r="AA877" s="231">
        <v>12554684</v>
      </c>
      <c r="AC877" s="230">
        <v>44410</v>
      </c>
      <c r="AD877" s="1">
        <v>84</v>
      </c>
      <c r="AE877" s="1">
        <v>84.301585304479104</v>
      </c>
      <c r="AF877" s="1">
        <v>7948</v>
      </c>
      <c r="AG877" s="1">
        <v>52950.63</v>
      </c>
      <c r="AH877" s="215">
        <f t="shared" si="138"/>
        <v>-1.6214706774159038E-2</v>
      </c>
      <c r="AI877" s="215">
        <f t="shared" si="133"/>
        <v>-2.3752969121140222E-3</v>
      </c>
      <c r="AJ877" s="231">
        <v>670029</v>
      </c>
      <c r="AL877" s="254"/>
      <c r="AQ877" s="215" t="str">
        <f t="shared" si="139"/>
        <v>NA</v>
      </c>
      <c r="AR877" s="215" t="str">
        <f t="shared" si="134"/>
        <v>NA</v>
      </c>
    </row>
    <row r="878" spans="2:44">
      <c r="B878" s="230">
        <v>44378</v>
      </c>
      <c r="C878" s="1">
        <v>373.1</v>
      </c>
      <c r="D878" s="1">
        <v>377.627185228835</v>
      </c>
      <c r="E878" s="1">
        <v>5091</v>
      </c>
      <c r="F878" s="215">
        <v>52318.6</v>
      </c>
      <c r="G878" s="215">
        <f t="shared" si="135"/>
        <v>-3.1641620305510321E-3</v>
      </c>
      <c r="H878" s="215">
        <f t="shared" si="130"/>
        <v>-9.9509088496749776E-3</v>
      </c>
      <c r="I878" s="231">
        <v>1922500</v>
      </c>
      <c r="K878" s="230">
        <v>44377</v>
      </c>
      <c r="L878" s="1">
        <v>1311.5</v>
      </c>
      <c r="M878" s="1">
        <v>1319.9924332344201</v>
      </c>
      <c r="N878" s="1">
        <v>6740</v>
      </c>
      <c r="O878" s="1">
        <v>52482.71</v>
      </c>
      <c r="P878" s="215">
        <f t="shared" si="136"/>
        <v>3.1367429556601323E-3</v>
      </c>
      <c r="Q878" s="215">
        <f t="shared" si="131"/>
        <v>-7.6422518159805497E-3</v>
      </c>
      <c r="R878" s="231">
        <v>8896749</v>
      </c>
      <c r="T878" s="230">
        <v>44377</v>
      </c>
      <c r="U878" s="1">
        <v>75.55</v>
      </c>
      <c r="V878" s="1">
        <v>76.559198075380905</v>
      </c>
      <c r="W878" s="1">
        <v>62350</v>
      </c>
      <c r="X878" s="1">
        <v>52482.71</v>
      </c>
      <c r="Y878" s="215">
        <f t="shared" si="137"/>
        <v>3.1367429556601323E-3</v>
      </c>
      <c r="Z878" s="215">
        <f t="shared" si="132"/>
        <v>-2.6402640264027166E-3</v>
      </c>
      <c r="AA878" s="231">
        <v>4773466</v>
      </c>
      <c r="AC878" s="230">
        <v>44411</v>
      </c>
      <c r="AD878" s="1">
        <v>84.2</v>
      </c>
      <c r="AE878" s="1">
        <v>82.915032679738502</v>
      </c>
      <c r="AF878" s="1">
        <v>16065</v>
      </c>
      <c r="AG878" s="1">
        <v>53823.360000000001</v>
      </c>
      <c r="AH878" s="215">
        <f t="shared" si="138"/>
        <v>-1.0049886177557754E-2</v>
      </c>
      <c r="AI878" s="215">
        <f t="shared" si="133"/>
        <v>2.4954351795495988E-2</v>
      </c>
      <c r="AJ878" s="231">
        <v>1332030</v>
      </c>
      <c r="AL878" s="254"/>
      <c r="AQ878" s="215" t="str">
        <f t="shared" si="139"/>
        <v>NA</v>
      </c>
      <c r="AR878" s="215" t="str">
        <f t="shared" si="134"/>
        <v>NA</v>
      </c>
    </row>
    <row r="879" spans="2:44">
      <c r="B879" s="230">
        <v>44379</v>
      </c>
      <c r="C879" s="1">
        <v>376.85</v>
      </c>
      <c r="D879" s="1">
        <v>374.11803041274402</v>
      </c>
      <c r="E879" s="1">
        <v>8286</v>
      </c>
      <c r="F879" s="215">
        <v>52484.67</v>
      </c>
      <c r="G879" s="215">
        <f t="shared" si="135"/>
        <v>-7.4759833585477109E-3</v>
      </c>
      <c r="H879" s="215">
        <f t="shared" si="130"/>
        <v>-3.0486236171854864E-2</v>
      </c>
      <c r="I879" s="231">
        <v>3099942</v>
      </c>
      <c r="K879" s="230">
        <v>44378</v>
      </c>
      <c r="L879" s="1">
        <v>1321.6</v>
      </c>
      <c r="M879" s="1">
        <v>1320.56116207951</v>
      </c>
      <c r="N879" s="1">
        <v>3924</v>
      </c>
      <c r="O879" s="1">
        <v>52318.6</v>
      </c>
      <c r="P879" s="215">
        <f t="shared" si="136"/>
        <v>-3.1641620305510321E-3</v>
      </c>
      <c r="Q879" s="215">
        <f t="shared" si="131"/>
        <v>1.0011463507833218E-2</v>
      </c>
      <c r="R879" s="231">
        <v>5181882</v>
      </c>
      <c r="T879" s="230">
        <v>44378</v>
      </c>
      <c r="U879" s="1">
        <v>75.75</v>
      </c>
      <c r="V879" s="1">
        <v>75.863474633866801</v>
      </c>
      <c r="W879" s="1">
        <v>75041</v>
      </c>
      <c r="X879" s="1">
        <v>52318.6</v>
      </c>
      <c r="Y879" s="215">
        <f t="shared" si="137"/>
        <v>-3.1641620305510321E-3</v>
      </c>
      <c r="Z879" s="215">
        <f t="shared" si="132"/>
        <v>1.9841269841269771E-3</v>
      </c>
      <c r="AA879" s="231">
        <v>5692871</v>
      </c>
      <c r="AC879" s="230">
        <v>44412</v>
      </c>
      <c r="AD879" s="1">
        <v>82.15</v>
      </c>
      <c r="AE879" s="1">
        <v>84.343391397671894</v>
      </c>
      <c r="AF879" s="1">
        <v>24226</v>
      </c>
      <c r="AG879" s="1">
        <v>54369.77</v>
      </c>
      <c r="AH879" s="215">
        <f t="shared" si="138"/>
        <v>-2.2584618456296113E-3</v>
      </c>
      <c r="AI879" s="215">
        <f t="shared" si="133"/>
        <v>1.2322858903265566E-2</v>
      </c>
      <c r="AJ879" s="231">
        <v>2043303</v>
      </c>
      <c r="AL879" s="254"/>
      <c r="AQ879" s="215" t="str">
        <f t="shared" si="139"/>
        <v>NA</v>
      </c>
      <c r="AR879" s="215" t="str">
        <f t="shared" si="134"/>
        <v>NA</v>
      </c>
    </row>
    <row r="880" spans="2:44">
      <c r="B880" s="230">
        <v>44382</v>
      </c>
      <c r="C880" s="1">
        <v>388.7</v>
      </c>
      <c r="D880" s="1">
        <v>388.13487031700203</v>
      </c>
      <c r="E880" s="1">
        <v>5205</v>
      </c>
      <c r="F880" s="215">
        <v>52880</v>
      </c>
      <c r="G880" s="215">
        <f t="shared" si="135"/>
        <v>3.56026861299652E-4</v>
      </c>
      <c r="H880" s="215">
        <f t="shared" si="130"/>
        <v>1.1054753544023965E-2</v>
      </c>
      <c r="I880" s="231">
        <v>2020242</v>
      </c>
      <c r="K880" s="230">
        <v>44379</v>
      </c>
      <c r="L880" s="1">
        <v>1308.5</v>
      </c>
      <c r="M880" s="1">
        <v>1306.05172413793</v>
      </c>
      <c r="N880" s="1">
        <v>5858</v>
      </c>
      <c r="O880" s="1">
        <v>52484.67</v>
      </c>
      <c r="P880" s="215">
        <f t="shared" si="136"/>
        <v>-7.4759833585477109E-3</v>
      </c>
      <c r="Q880" s="215">
        <f t="shared" si="131"/>
        <v>3.8213152967259134E-5</v>
      </c>
      <c r="R880" s="231">
        <v>7650851</v>
      </c>
      <c r="T880" s="230">
        <v>44379</v>
      </c>
      <c r="U880" s="1">
        <v>75.599999999999994</v>
      </c>
      <c r="V880" s="1">
        <v>75.831166040978701</v>
      </c>
      <c r="W880" s="1">
        <v>88436</v>
      </c>
      <c r="X880" s="1">
        <v>52484.67</v>
      </c>
      <c r="Y880" s="215">
        <f t="shared" si="137"/>
        <v>-7.4759833585477109E-3</v>
      </c>
      <c r="Z880" s="215">
        <f t="shared" si="132"/>
        <v>-8.5245901639344757E-3</v>
      </c>
      <c r="AA880" s="231">
        <v>6706205</v>
      </c>
      <c r="AC880" s="230">
        <v>44413</v>
      </c>
      <c r="AD880" s="1">
        <v>81.150000000000006</v>
      </c>
      <c r="AE880" s="1">
        <v>80.792749297752806</v>
      </c>
      <c r="AF880" s="1">
        <v>11392</v>
      </c>
      <c r="AG880" s="1">
        <v>54492.84</v>
      </c>
      <c r="AH880" s="215">
        <f t="shared" si="138"/>
        <v>3.9633204931968091E-3</v>
      </c>
      <c r="AI880" s="215">
        <f t="shared" si="133"/>
        <v>-4.5855379188712408E-2</v>
      </c>
      <c r="AJ880" s="231">
        <v>920391</v>
      </c>
      <c r="AL880" s="254"/>
      <c r="AQ880" s="215" t="str">
        <f t="shared" si="139"/>
        <v>NA</v>
      </c>
      <c r="AR880" s="215" t="str">
        <f t="shared" si="134"/>
        <v>NA</v>
      </c>
    </row>
    <row r="881" spans="2:44">
      <c r="B881" s="230">
        <v>44383</v>
      </c>
      <c r="C881" s="1">
        <v>384.45</v>
      </c>
      <c r="D881" s="1">
        <v>387.347919655667</v>
      </c>
      <c r="E881" s="1">
        <v>4182</v>
      </c>
      <c r="F881" s="215">
        <v>52861.18</v>
      </c>
      <c r="G881" s="215">
        <f t="shared" si="135"/>
        <v>-3.6486829833930479E-3</v>
      </c>
      <c r="H881" s="215">
        <f t="shared" si="130"/>
        <v>1.8241042345277236E-3</v>
      </c>
      <c r="I881" s="231">
        <v>1619889</v>
      </c>
      <c r="K881" s="230">
        <v>44382</v>
      </c>
      <c r="L881" s="1">
        <v>1308.45</v>
      </c>
      <c r="M881" s="1">
        <v>1300.74711379879</v>
      </c>
      <c r="N881" s="1">
        <v>10914</v>
      </c>
      <c r="O881" s="1">
        <v>52880</v>
      </c>
      <c r="P881" s="215">
        <f t="shared" si="136"/>
        <v>3.56026861299652E-4</v>
      </c>
      <c r="Q881" s="215">
        <f t="shared" si="131"/>
        <v>-4.7603450158314131E-2</v>
      </c>
      <c r="R881" s="231">
        <v>14196354</v>
      </c>
      <c r="T881" s="230">
        <v>44382</v>
      </c>
      <c r="U881" s="1">
        <v>76.25</v>
      </c>
      <c r="V881" s="1">
        <v>76.436788545129104</v>
      </c>
      <c r="W881" s="1">
        <v>97775</v>
      </c>
      <c r="X881" s="1">
        <v>52880</v>
      </c>
      <c r="Y881" s="215">
        <f t="shared" si="137"/>
        <v>3.56026861299652E-4</v>
      </c>
      <c r="Z881" s="215">
        <f t="shared" si="132"/>
        <v>6.6006600660066805E-3</v>
      </c>
      <c r="AA881" s="231">
        <v>7473607</v>
      </c>
      <c r="AC881" s="230">
        <v>44414</v>
      </c>
      <c r="AD881" s="1">
        <v>85.05</v>
      </c>
      <c r="AE881" s="1">
        <v>83.333444993439898</v>
      </c>
      <c r="AF881" s="1">
        <v>35823</v>
      </c>
      <c r="AG881" s="1">
        <v>54277.72</v>
      </c>
      <c r="AH881" s="215">
        <f t="shared" si="138"/>
        <v>-2.3000633238883239E-3</v>
      </c>
      <c r="AI881" s="215">
        <f t="shared" si="133"/>
        <v>0.11103853690398435</v>
      </c>
      <c r="AJ881" s="231">
        <v>2985254</v>
      </c>
      <c r="AL881" s="254"/>
      <c r="AQ881" s="215" t="str">
        <f t="shared" si="139"/>
        <v>NA</v>
      </c>
      <c r="AR881" s="215" t="str">
        <f t="shared" si="134"/>
        <v>NA</v>
      </c>
    </row>
    <row r="882" spans="2:44">
      <c r="B882" s="230">
        <v>44384</v>
      </c>
      <c r="C882" s="1">
        <v>383.75</v>
      </c>
      <c r="D882" s="1">
        <v>385.96265560165898</v>
      </c>
      <c r="E882" s="1">
        <v>2169</v>
      </c>
      <c r="F882" s="215">
        <v>53054.76</v>
      </c>
      <c r="G882" s="215">
        <f t="shared" si="135"/>
        <v>9.2415787725603771E-3</v>
      </c>
      <c r="H882" s="215">
        <f t="shared" si="130"/>
        <v>1.293387884386954E-2</v>
      </c>
      <c r="I882" s="231">
        <v>837153</v>
      </c>
      <c r="K882" s="230">
        <v>44383</v>
      </c>
      <c r="L882" s="1">
        <v>1373.85</v>
      </c>
      <c r="M882" s="1">
        <v>1365.86691348402</v>
      </c>
      <c r="N882" s="1">
        <v>5132</v>
      </c>
      <c r="O882" s="1">
        <v>52861.18</v>
      </c>
      <c r="P882" s="215">
        <f t="shared" si="136"/>
        <v>-3.6486829833930479E-3</v>
      </c>
      <c r="Q882" s="215">
        <f t="shared" si="131"/>
        <v>-4.7590987868284307E-2</v>
      </c>
      <c r="R882" s="231">
        <v>7009629</v>
      </c>
      <c r="T882" s="230">
        <v>44383</v>
      </c>
      <c r="U882" s="1">
        <v>75.75</v>
      </c>
      <c r="V882" s="1">
        <v>76.300499852984402</v>
      </c>
      <c r="W882" s="1">
        <v>146243</v>
      </c>
      <c r="X882" s="1">
        <v>52861.18</v>
      </c>
      <c r="Y882" s="215">
        <f t="shared" si="137"/>
        <v>-3.6486829833930479E-3</v>
      </c>
      <c r="Z882" s="215">
        <f t="shared" si="132"/>
        <v>-3.3184428844926561E-2</v>
      </c>
      <c r="AA882" s="231">
        <v>11158414</v>
      </c>
      <c r="AC882" s="230">
        <v>44417</v>
      </c>
      <c r="AD882" s="1">
        <v>76.55</v>
      </c>
      <c r="AE882" s="1">
        <v>77.916555247008802</v>
      </c>
      <c r="AF882" s="1">
        <v>58338</v>
      </c>
      <c r="AG882" s="1">
        <v>54402.85</v>
      </c>
      <c r="AH882" s="215">
        <f t="shared" si="138"/>
        <v>-2.7827137040172811E-3</v>
      </c>
      <c r="AI882" s="215">
        <f t="shared" si="133"/>
        <v>7.062937062937058E-2</v>
      </c>
      <c r="AJ882" s="231">
        <v>4545496</v>
      </c>
      <c r="AL882" s="254"/>
      <c r="AQ882" s="215" t="str">
        <f t="shared" si="139"/>
        <v>NA</v>
      </c>
      <c r="AR882" s="215" t="str">
        <f t="shared" si="134"/>
        <v>NA</v>
      </c>
    </row>
    <row r="883" spans="2:44">
      <c r="B883" s="230">
        <v>44385</v>
      </c>
      <c r="C883" s="1">
        <v>378.85</v>
      </c>
      <c r="D883" s="1">
        <v>382.40500670540899</v>
      </c>
      <c r="E883" s="1">
        <v>2237</v>
      </c>
      <c r="F883" s="215">
        <v>52568.94</v>
      </c>
      <c r="G883" s="215">
        <f t="shared" si="135"/>
        <v>3.4885148165957336E-3</v>
      </c>
      <c r="H883" s="215">
        <f t="shared" si="130"/>
        <v>1.3645484949832865E-2</v>
      </c>
      <c r="I883" s="231">
        <v>855440</v>
      </c>
      <c r="K883" s="230">
        <v>44384</v>
      </c>
      <c r="L883" s="1">
        <v>1442.5</v>
      </c>
      <c r="M883" s="1">
        <v>1421.54260367237</v>
      </c>
      <c r="N883" s="1">
        <v>9694</v>
      </c>
      <c r="O883" s="1">
        <v>53054.76</v>
      </c>
      <c r="P883" s="215">
        <f t="shared" si="136"/>
        <v>9.2415787725603771E-3</v>
      </c>
      <c r="Q883" s="215">
        <f t="shared" si="131"/>
        <v>-2.6456097725585548E-2</v>
      </c>
      <c r="R883" s="231">
        <v>13780434</v>
      </c>
      <c r="T883" s="230">
        <v>44384</v>
      </c>
      <c r="U883" s="1">
        <v>78.349999999999994</v>
      </c>
      <c r="V883" s="1">
        <v>77.438926418219594</v>
      </c>
      <c r="W883" s="1">
        <v>269863</v>
      </c>
      <c r="X883" s="1">
        <v>53054.76</v>
      </c>
      <c r="Y883" s="215">
        <f t="shared" si="137"/>
        <v>9.2415787725603771E-3</v>
      </c>
      <c r="Z883" s="215">
        <f t="shared" si="132"/>
        <v>-3.8143674507312708E-3</v>
      </c>
      <c r="AA883" s="231">
        <v>20897901</v>
      </c>
      <c r="AC883" s="230">
        <v>44418</v>
      </c>
      <c r="AD883" s="1">
        <v>71.5</v>
      </c>
      <c r="AE883" s="1">
        <v>73.981976854486803</v>
      </c>
      <c r="AF883" s="1">
        <v>26355</v>
      </c>
      <c r="AG883" s="1">
        <v>54554.66</v>
      </c>
      <c r="AH883" s="215">
        <f t="shared" si="138"/>
        <v>5.2690527240906171E-4</v>
      </c>
      <c r="AI883" s="215">
        <f t="shared" si="133"/>
        <v>2.2158684774839177E-2</v>
      </c>
      <c r="AJ883" s="231">
        <v>1949795</v>
      </c>
      <c r="AL883" s="254"/>
      <c r="AQ883" s="215" t="str">
        <f t="shared" si="139"/>
        <v>NA</v>
      </c>
      <c r="AR883" s="215" t="str">
        <f t="shared" si="134"/>
        <v>NA</v>
      </c>
    </row>
    <row r="884" spans="2:44">
      <c r="B884" s="230">
        <v>44386</v>
      </c>
      <c r="C884" s="1">
        <v>373.75</v>
      </c>
      <c r="D884" s="1">
        <v>375.87543736878899</v>
      </c>
      <c r="E884" s="1">
        <v>1429</v>
      </c>
      <c r="F884" s="215">
        <v>52386.19</v>
      </c>
      <c r="G884" s="215">
        <f t="shared" si="135"/>
        <v>2.5776793210363635E-4</v>
      </c>
      <c r="H884" s="215">
        <f t="shared" si="130"/>
        <v>-1.8255844496979257E-2</v>
      </c>
      <c r="I884" s="231">
        <v>537126</v>
      </c>
      <c r="K884" s="230">
        <v>44385</v>
      </c>
      <c r="L884" s="1">
        <v>1481.7</v>
      </c>
      <c r="M884" s="1">
        <v>1482.2997604529601</v>
      </c>
      <c r="N884" s="1">
        <v>9184</v>
      </c>
      <c r="O884" s="1">
        <v>52568.94</v>
      </c>
      <c r="P884" s="215">
        <f t="shared" si="136"/>
        <v>3.4885148165957336E-3</v>
      </c>
      <c r="Q884" s="215">
        <f t="shared" si="131"/>
        <v>1.8105610334284039E-2</v>
      </c>
      <c r="R884" s="231">
        <v>13613441</v>
      </c>
      <c r="T884" s="230">
        <v>44385</v>
      </c>
      <c r="U884" s="1">
        <v>78.650000000000006</v>
      </c>
      <c r="V884" s="1">
        <v>78.925923487192904</v>
      </c>
      <c r="W884" s="1">
        <v>136683</v>
      </c>
      <c r="X884" s="1">
        <v>52568.94</v>
      </c>
      <c r="Y884" s="215">
        <f t="shared" si="137"/>
        <v>3.4885148165957336E-3</v>
      </c>
      <c r="Z884" s="215">
        <f t="shared" si="132"/>
        <v>-4.0853658536585291E-2</v>
      </c>
      <c r="AA884" s="231">
        <v>10787832</v>
      </c>
      <c r="AC884" s="230">
        <v>44419</v>
      </c>
      <c r="AD884" s="1">
        <v>69.95</v>
      </c>
      <c r="AE884" s="1">
        <v>68.793719726073107</v>
      </c>
      <c r="AF884" s="1">
        <v>17961</v>
      </c>
      <c r="AG884" s="1">
        <v>54525.93</v>
      </c>
      <c r="AH884" s="215">
        <f t="shared" si="138"/>
        <v>-5.7991779590029768E-3</v>
      </c>
      <c r="AI884" s="215">
        <f t="shared" si="133"/>
        <v>-4.4398907103825103E-2</v>
      </c>
      <c r="AJ884" s="231">
        <v>1235604</v>
      </c>
      <c r="AL884" s="254"/>
      <c r="AQ884" s="215" t="str">
        <f t="shared" si="139"/>
        <v>NA</v>
      </c>
      <c r="AR884" s="215" t="str">
        <f t="shared" si="134"/>
        <v>NA</v>
      </c>
    </row>
    <row r="885" spans="2:44">
      <c r="B885" s="230">
        <v>44389</v>
      </c>
      <c r="C885" s="1">
        <v>380.7</v>
      </c>
      <c r="D885" s="1">
        <v>375.61448140900097</v>
      </c>
      <c r="E885" s="1">
        <v>3577</v>
      </c>
      <c r="F885" s="215">
        <v>52372.69</v>
      </c>
      <c r="G885" s="215">
        <f t="shared" si="135"/>
        <v>-7.5240104506882899E-3</v>
      </c>
      <c r="H885" s="215">
        <f t="shared" si="130"/>
        <v>8.3432657926101328E-3</v>
      </c>
      <c r="I885" s="231">
        <v>1343573</v>
      </c>
      <c r="K885" s="230">
        <v>44386</v>
      </c>
      <c r="L885" s="1">
        <v>1455.35</v>
      </c>
      <c r="M885" s="1">
        <v>1454.3287585216999</v>
      </c>
      <c r="N885" s="1">
        <v>11148</v>
      </c>
      <c r="O885" s="1">
        <v>52386.19</v>
      </c>
      <c r="P885" s="215">
        <f t="shared" si="136"/>
        <v>2.5776793210363635E-4</v>
      </c>
      <c r="Q885" s="215">
        <f t="shared" si="131"/>
        <v>3.1980145364296941E-2</v>
      </c>
      <c r="R885" s="231">
        <v>16212857</v>
      </c>
      <c r="T885" s="230">
        <v>44386</v>
      </c>
      <c r="U885" s="1">
        <v>82</v>
      </c>
      <c r="V885" s="1">
        <v>81.236781814510394</v>
      </c>
      <c r="W885" s="1">
        <v>257524</v>
      </c>
      <c r="X885" s="1">
        <v>52386.19</v>
      </c>
      <c r="Y885" s="215">
        <f t="shared" si="137"/>
        <v>2.5776793210363635E-4</v>
      </c>
      <c r="Z885" s="215">
        <f t="shared" si="132"/>
        <v>-1.2048192771084376E-2</v>
      </c>
      <c r="AA885" s="231">
        <v>20920421</v>
      </c>
      <c r="AC885" s="230">
        <v>44420</v>
      </c>
      <c r="AD885" s="1">
        <v>73.2</v>
      </c>
      <c r="AE885" s="1">
        <v>73.620871604455701</v>
      </c>
      <c r="AF885" s="1">
        <v>5117</v>
      </c>
      <c r="AG885" s="1">
        <v>54843.98</v>
      </c>
      <c r="AH885" s="215">
        <f t="shared" si="138"/>
        <v>-1.0702362976256596E-2</v>
      </c>
      <c r="AI885" s="215">
        <f t="shared" si="133"/>
        <v>8.9593383873192156E-3</v>
      </c>
      <c r="AJ885" s="231">
        <v>376718</v>
      </c>
      <c r="AL885" s="254"/>
      <c r="AQ885" s="215" t="str">
        <f t="shared" si="139"/>
        <v>NA</v>
      </c>
      <c r="AR885" s="215" t="str">
        <f t="shared" si="134"/>
        <v>NA</v>
      </c>
    </row>
    <row r="886" spans="2:44">
      <c r="B886" s="230">
        <v>44390</v>
      </c>
      <c r="C886" s="1">
        <v>377.55</v>
      </c>
      <c r="D886" s="1">
        <v>375.77363445378103</v>
      </c>
      <c r="E886" s="1">
        <v>1904</v>
      </c>
      <c r="F886" s="215">
        <v>52769.73</v>
      </c>
      <c r="G886" s="215">
        <f t="shared" si="135"/>
        <v>-2.5389360549901152E-3</v>
      </c>
      <c r="H886" s="215">
        <f t="shared" si="130"/>
        <v>9.6269554753309894E-3</v>
      </c>
      <c r="I886" s="231">
        <v>715473</v>
      </c>
      <c r="K886" s="230">
        <v>44389</v>
      </c>
      <c r="L886" s="1">
        <v>1410.25</v>
      </c>
      <c r="M886" s="1">
        <v>1427.20799444554</v>
      </c>
      <c r="N886" s="1">
        <v>10082</v>
      </c>
      <c r="O886" s="1">
        <v>52372.69</v>
      </c>
      <c r="P886" s="215">
        <f t="shared" si="136"/>
        <v>-7.5240104506882899E-3</v>
      </c>
      <c r="Q886" s="215">
        <f t="shared" si="131"/>
        <v>-2.0521529915438208E-3</v>
      </c>
      <c r="R886" s="231">
        <v>14389111</v>
      </c>
      <c r="T886" s="230">
        <v>44389</v>
      </c>
      <c r="U886" s="1">
        <v>83</v>
      </c>
      <c r="V886" s="1">
        <v>83.115056168899201</v>
      </c>
      <c r="W886" s="1">
        <v>371914</v>
      </c>
      <c r="X886" s="1">
        <v>52372.69</v>
      </c>
      <c r="Y886" s="215">
        <f t="shared" si="137"/>
        <v>-7.5240104506882899E-3</v>
      </c>
      <c r="Z886" s="215">
        <f t="shared" si="132"/>
        <v>2.5324274243360145E-2</v>
      </c>
      <c r="AA886" s="231">
        <v>30911653</v>
      </c>
      <c r="AC886" s="230">
        <v>44421</v>
      </c>
      <c r="AD886" s="1">
        <v>72.55</v>
      </c>
      <c r="AE886" s="1">
        <v>73.122759158222905</v>
      </c>
      <c r="AF886" s="1">
        <v>10264</v>
      </c>
      <c r="AG886" s="1">
        <v>55437.29</v>
      </c>
      <c r="AH886" s="215">
        <f t="shared" si="138"/>
        <v>-2.6139484709057914E-3</v>
      </c>
      <c r="AI886" s="215">
        <f t="shared" si="133"/>
        <v>2.6166902404526127E-2</v>
      </c>
      <c r="AJ886" s="231">
        <v>750532</v>
      </c>
      <c r="AL886" s="254"/>
      <c r="AQ886" s="215" t="str">
        <f t="shared" si="139"/>
        <v>NA</v>
      </c>
      <c r="AR886" s="215" t="str">
        <f t="shared" si="134"/>
        <v>NA</v>
      </c>
    </row>
    <row r="887" spans="2:44">
      <c r="B887" s="230">
        <v>44391</v>
      </c>
      <c r="C887" s="1">
        <v>373.95</v>
      </c>
      <c r="D887" s="1">
        <v>375.76357591429598</v>
      </c>
      <c r="E887" s="1">
        <v>2707</v>
      </c>
      <c r="F887" s="215">
        <v>52904.05</v>
      </c>
      <c r="G887" s="215">
        <f t="shared" si="135"/>
        <v>-4.7931811918429101E-3</v>
      </c>
      <c r="H887" s="215">
        <f t="shared" si="130"/>
        <v>-1.4234875444839923E-2</v>
      </c>
      <c r="I887" s="231">
        <v>1017192</v>
      </c>
      <c r="K887" s="230">
        <v>44390</v>
      </c>
      <c r="L887" s="1">
        <v>1413.15</v>
      </c>
      <c r="M887" s="1">
        <v>1412.26223895926</v>
      </c>
      <c r="N887" s="1">
        <v>5842</v>
      </c>
      <c r="O887" s="1">
        <v>52769.73</v>
      </c>
      <c r="P887" s="215">
        <f t="shared" si="136"/>
        <v>-2.5389360549901152E-3</v>
      </c>
      <c r="Q887" s="215">
        <f t="shared" si="131"/>
        <v>8.4988845214062358E-4</v>
      </c>
      <c r="R887" s="231">
        <v>8250436</v>
      </c>
      <c r="T887" s="230">
        <v>44390</v>
      </c>
      <c r="U887" s="1">
        <v>80.95</v>
      </c>
      <c r="V887" s="1">
        <v>81.977331416553497</v>
      </c>
      <c r="W887" s="1">
        <v>75126</v>
      </c>
      <c r="X887" s="1">
        <v>52769.73</v>
      </c>
      <c r="Y887" s="215">
        <f t="shared" si="137"/>
        <v>-2.5389360549901152E-3</v>
      </c>
      <c r="Z887" s="215">
        <f t="shared" si="132"/>
        <v>2.2741629816803499E-2</v>
      </c>
      <c r="AA887" s="231">
        <v>6158629</v>
      </c>
      <c r="AC887" s="230">
        <v>44424</v>
      </c>
      <c r="AD887" s="1">
        <v>70.7</v>
      </c>
      <c r="AE887" s="1">
        <v>70.882817385866105</v>
      </c>
      <c r="AF887" s="1">
        <v>12792</v>
      </c>
      <c r="AG887" s="1">
        <v>55582.58</v>
      </c>
      <c r="AH887" s="215">
        <f t="shared" si="138"/>
        <v>-3.7584059583880558E-3</v>
      </c>
      <c r="AI887" s="215">
        <f t="shared" si="133"/>
        <v>-2.8208744710860323E-3</v>
      </c>
      <c r="AJ887" s="231">
        <v>906733</v>
      </c>
      <c r="AL887" s="254"/>
      <c r="AQ887" s="215" t="str">
        <f t="shared" si="139"/>
        <v>NA</v>
      </c>
      <c r="AR887" s="215" t="str">
        <f t="shared" si="134"/>
        <v>NA</v>
      </c>
    </row>
    <row r="888" spans="2:44">
      <c r="B888" s="230">
        <v>44392</v>
      </c>
      <c r="C888" s="1">
        <v>379.35</v>
      </c>
      <c r="D888" s="1">
        <v>377.08471698113198</v>
      </c>
      <c r="E888" s="1">
        <v>5300</v>
      </c>
      <c r="F888" s="215">
        <v>53158.85</v>
      </c>
      <c r="G888" s="215">
        <f t="shared" si="135"/>
        <v>3.5359388002187409E-4</v>
      </c>
      <c r="H888" s="215">
        <f t="shared" si="130"/>
        <v>-5.2445260259603721E-3</v>
      </c>
      <c r="I888" s="231">
        <v>1998549</v>
      </c>
      <c r="K888" s="230">
        <v>44391</v>
      </c>
      <c r="L888" s="1">
        <v>1411.95</v>
      </c>
      <c r="M888" s="1">
        <v>1402.59072164948</v>
      </c>
      <c r="N888" s="1">
        <v>6790</v>
      </c>
      <c r="O888" s="1">
        <v>52904.05</v>
      </c>
      <c r="P888" s="215">
        <f t="shared" si="136"/>
        <v>-4.7931811918429101E-3</v>
      </c>
      <c r="Q888" s="215">
        <f t="shared" si="131"/>
        <v>3.9462457337884338E-3</v>
      </c>
      <c r="R888" s="231">
        <v>9523591</v>
      </c>
      <c r="T888" s="230">
        <v>44391</v>
      </c>
      <c r="U888" s="1">
        <v>79.150000000000006</v>
      </c>
      <c r="V888" s="1">
        <v>79.585146083492802</v>
      </c>
      <c r="W888" s="1">
        <v>103434</v>
      </c>
      <c r="X888" s="1">
        <v>52904.05</v>
      </c>
      <c r="Y888" s="215">
        <f t="shared" si="137"/>
        <v>-4.7931811918429101E-3</v>
      </c>
      <c r="Z888" s="215">
        <f t="shared" si="132"/>
        <v>6.9974554707381564E-3</v>
      </c>
      <c r="AA888" s="231">
        <v>8231810</v>
      </c>
      <c r="AC888" s="230">
        <v>44425</v>
      </c>
      <c r="AD888" s="1">
        <v>70.900000000000006</v>
      </c>
      <c r="AE888" s="1">
        <v>71.168822479928593</v>
      </c>
      <c r="AF888" s="1">
        <v>8968</v>
      </c>
      <c r="AG888" s="1">
        <v>55792.27</v>
      </c>
      <c r="AH888" s="215">
        <f t="shared" si="138"/>
        <v>2.926145826610993E-3</v>
      </c>
      <c r="AI888" s="215">
        <f t="shared" si="133"/>
        <v>2.604920405209854E-2</v>
      </c>
      <c r="AJ888" s="231">
        <v>638242</v>
      </c>
      <c r="AL888" s="254"/>
      <c r="AQ888" s="215" t="str">
        <f t="shared" si="139"/>
        <v>NA</v>
      </c>
      <c r="AR888" s="215" t="str">
        <f t="shared" si="134"/>
        <v>NA</v>
      </c>
    </row>
    <row r="889" spans="2:44">
      <c r="B889" s="230">
        <v>44393</v>
      </c>
      <c r="C889" s="1">
        <v>381.35</v>
      </c>
      <c r="D889" s="1">
        <v>382.41954590325702</v>
      </c>
      <c r="E889" s="1">
        <v>2026</v>
      </c>
      <c r="F889" s="215">
        <v>53140.06</v>
      </c>
      <c r="G889" s="215">
        <f t="shared" si="135"/>
        <v>1.1163121700974665E-2</v>
      </c>
      <c r="H889" s="215">
        <f t="shared" si="130"/>
        <v>6.5989177774845587E-3</v>
      </c>
      <c r="I889" s="231">
        <v>774782</v>
      </c>
      <c r="K889" s="230">
        <v>44392</v>
      </c>
      <c r="L889" s="1">
        <v>1406.4</v>
      </c>
      <c r="M889" s="1">
        <v>1402.94083028471</v>
      </c>
      <c r="N889" s="1">
        <v>6287</v>
      </c>
      <c r="O889" s="1">
        <v>53158.85</v>
      </c>
      <c r="P889" s="215">
        <f t="shared" si="136"/>
        <v>3.5359388002187409E-4</v>
      </c>
      <c r="Q889" s="215">
        <f t="shared" si="131"/>
        <v>-4.4243089229462074E-3</v>
      </c>
      <c r="R889" s="231">
        <v>8820289</v>
      </c>
      <c r="T889" s="230">
        <v>44392</v>
      </c>
      <c r="U889" s="1">
        <v>78.599999999999994</v>
      </c>
      <c r="V889" s="1">
        <v>78.622751020039402</v>
      </c>
      <c r="W889" s="1">
        <v>132838</v>
      </c>
      <c r="X889" s="1">
        <v>53158.85</v>
      </c>
      <c r="Y889" s="215">
        <f t="shared" si="137"/>
        <v>3.5359388002187409E-4</v>
      </c>
      <c r="Z889" s="215">
        <f t="shared" si="132"/>
        <v>1.2234385061171693E-2</v>
      </c>
      <c r="AA889" s="231">
        <v>10444089</v>
      </c>
      <c r="AC889" s="230">
        <v>44426</v>
      </c>
      <c r="AD889" s="1">
        <v>69.099999999999994</v>
      </c>
      <c r="AE889" s="1">
        <v>69.151992287917693</v>
      </c>
      <c r="AF889" s="1">
        <v>15560</v>
      </c>
      <c r="AG889" s="1">
        <v>55629.49</v>
      </c>
      <c r="AH889" s="215">
        <f t="shared" si="138"/>
        <v>5.425152523110599E-3</v>
      </c>
      <c r="AI889" s="215">
        <f t="shared" si="133"/>
        <v>3.9097744360902187E-2</v>
      </c>
      <c r="AJ889" s="231">
        <v>1076005</v>
      </c>
      <c r="AL889" s="254"/>
      <c r="AQ889" s="215" t="str">
        <f t="shared" si="139"/>
        <v>NA</v>
      </c>
      <c r="AR889" s="215" t="str">
        <f t="shared" si="134"/>
        <v>NA</v>
      </c>
    </row>
    <row r="890" spans="2:44">
      <c r="B890" s="230">
        <v>44396</v>
      </c>
      <c r="C890" s="1">
        <v>378.85</v>
      </c>
      <c r="D890" s="1">
        <v>378.33111480865199</v>
      </c>
      <c r="E890" s="1">
        <v>1803</v>
      </c>
      <c r="F890" s="215">
        <v>52553.4</v>
      </c>
      <c r="G890" s="215">
        <f t="shared" si="135"/>
        <v>6.7988530707101535E-3</v>
      </c>
      <c r="H890" s="215">
        <f t="shared" si="130"/>
        <v>3.2148208690914171E-2</v>
      </c>
      <c r="I890" s="231">
        <v>682131</v>
      </c>
      <c r="K890" s="230">
        <v>44393</v>
      </c>
      <c r="L890" s="1">
        <v>1412.65</v>
      </c>
      <c r="M890" s="1">
        <v>1410.0262092478099</v>
      </c>
      <c r="N890" s="1">
        <v>4693</v>
      </c>
      <c r="O890" s="1">
        <v>53140.06</v>
      </c>
      <c r="P890" s="215">
        <f t="shared" si="136"/>
        <v>1.1163121700974665E-2</v>
      </c>
      <c r="Q890" s="215">
        <f t="shared" si="131"/>
        <v>-4.7598179673015273E-2</v>
      </c>
      <c r="R890" s="231">
        <v>6617253</v>
      </c>
      <c r="T890" s="230">
        <v>44393</v>
      </c>
      <c r="U890" s="1">
        <v>77.650000000000006</v>
      </c>
      <c r="V890" s="1">
        <v>78.501675166585997</v>
      </c>
      <c r="W890" s="1">
        <v>107452</v>
      </c>
      <c r="X890" s="1">
        <v>53140.06</v>
      </c>
      <c r="Y890" s="215">
        <f t="shared" si="137"/>
        <v>1.1163121700974665E-2</v>
      </c>
      <c r="Z890" s="215">
        <f t="shared" si="132"/>
        <v>1.4369693011103912E-2</v>
      </c>
      <c r="AA890" s="231">
        <v>8435162</v>
      </c>
      <c r="AC890" s="230">
        <v>44428</v>
      </c>
      <c r="AD890" s="1">
        <v>66.5</v>
      </c>
      <c r="AE890" s="1">
        <v>67.094764135162194</v>
      </c>
      <c r="AF890" s="1">
        <v>11956</v>
      </c>
      <c r="AG890" s="1">
        <v>55329.32</v>
      </c>
      <c r="AH890" s="215">
        <f t="shared" si="138"/>
        <v>-4.0764427974113726E-3</v>
      </c>
      <c r="AI890" s="215">
        <f t="shared" si="133"/>
        <v>6.9131832797427517E-2</v>
      </c>
      <c r="AJ890" s="231">
        <v>802185</v>
      </c>
      <c r="AL890" s="254"/>
      <c r="AQ890" s="215" t="str">
        <f t="shared" si="139"/>
        <v>NA</v>
      </c>
      <c r="AR890" s="215" t="str">
        <f t="shared" si="134"/>
        <v>NA</v>
      </c>
    </row>
    <row r="891" spans="2:44">
      <c r="B891" s="230">
        <v>44397</v>
      </c>
      <c r="C891" s="1">
        <v>367.05</v>
      </c>
      <c r="D891" s="1">
        <v>365.71679377184603</v>
      </c>
      <c r="E891" s="1">
        <v>12588</v>
      </c>
      <c r="F891" s="215">
        <v>52198.51</v>
      </c>
      <c r="G891" s="215">
        <f t="shared" si="135"/>
        <v>-1.2088072023484941E-2</v>
      </c>
      <c r="H891" s="215">
        <f t="shared" si="130"/>
        <v>2.1843003412969075E-3</v>
      </c>
      <c r="I891" s="231">
        <v>4603643</v>
      </c>
      <c r="K891" s="230">
        <v>44396</v>
      </c>
      <c r="L891" s="1">
        <v>1483.25</v>
      </c>
      <c r="M891" s="1">
        <v>1472.45315927451</v>
      </c>
      <c r="N891" s="1">
        <v>18691</v>
      </c>
      <c r="O891" s="1">
        <v>52553.4</v>
      </c>
      <c r="P891" s="215">
        <f t="shared" si="136"/>
        <v>6.7988530707101535E-3</v>
      </c>
      <c r="Q891" s="215">
        <f t="shared" si="131"/>
        <v>-1.4124293785310771E-2</v>
      </c>
      <c r="R891" s="231">
        <v>27521622</v>
      </c>
      <c r="T891" s="230">
        <v>44396</v>
      </c>
      <c r="U891" s="1">
        <v>76.55</v>
      </c>
      <c r="V891" s="1">
        <v>77.659090909090907</v>
      </c>
      <c r="W891" s="1">
        <v>66880</v>
      </c>
      <c r="X891" s="1">
        <v>52553.4</v>
      </c>
      <c r="Y891" s="215">
        <f t="shared" si="137"/>
        <v>6.7988530707101535E-3</v>
      </c>
      <c r="Z891" s="215">
        <f t="shared" si="132"/>
        <v>3.1671159029649454E-2</v>
      </c>
      <c r="AA891" s="231">
        <v>5193840</v>
      </c>
      <c r="AC891" s="230">
        <v>44431</v>
      </c>
      <c r="AD891" s="1">
        <v>62.2</v>
      </c>
      <c r="AE891" s="1">
        <v>63.099043280182201</v>
      </c>
      <c r="AF891" s="1">
        <v>10975</v>
      </c>
      <c r="AG891" s="1">
        <v>55555.79</v>
      </c>
      <c r="AH891" s="215">
        <f t="shared" si="138"/>
        <v>-7.2050991637089279E-3</v>
      </c>
      <c r="AI891" s="215">
        <f t="shared" si="133"/>
        <v>-7.9881656804733581E-2</v>
      </c>
      <c r="AJ891" s="231">
        <v>692512</v>
      </c>
      <c r="AL891" s="254"/>
      <c r="AQ891" s="215" t="str">
        <f t="shared" si="139"/>
        <v>NA</v>
      </c>
      <c r="AR891" s="215" t="str">
        <f t="shared" si="134"/>
        <v>NA</v>
      </c>
    </row>
    <row r="892" spans="2:44">
      <c r="B892" s="230">
        <v>44399</v>
      </c>
      <c r="C892" s="1">
        <v>366.25</v>
      </c>
      <c r="D892" s="1">
        <v>368.48887338140599</v>
      </c>
      <c r="E892" s="1">
        <v>12897</v>
      </c>
      <c r="F892" s="215">
        <v>52837.21</v>
      </c>
      <c r="G892" s="215">
        <f t="shared" si="135"/>
        <v>-2.6161001815924179E-3</v>
      </c>
      <c r="H892" s="215">
        <f t="shared" si="130"/>
        <v>-1.1470985155195734E-2</v>
      </c>
      <c r="I892" s="231">
        <v>4752401</v>
      </c>
      <c r="K892" s="230">
        <v>44397</v>
      </c>
      <c r="L892" s="1">
        <v>1504.5</v>
      </c>
      <c r="M892" s="1">
        <v>1536.05180739514</v>
      </c>
      <c r="N892" s="1">
        <v>28992</v>
      </c>
      <c r="O892" s="1">
        <v>52198.51</v>
      </c>
      <c r="P892" s="215">
        <f t="shared" si="136"/>
        <v>-1.2088072023484941E-2</v>
      </c>
      <c r="Q892" s="215">
        <f t="shared" si="131"/>
        <v>-4.7573829645807697E-2</v>
      </c>
      <c r="R892" s="231">
        <v>44533214</v>
      </c>
      <c r="T892" s="230">
        <v>44397</v>
      </c>
      <c r="U892" s="1">
        <v>74.2</v>
      </c>
      <c r="V892" s="1">
        <v>74.9279962961471</v>
      </c>
      <c r="W892" s="1">
        <v>198712</v>
      </c>
      <c r="X892" s="1">
        <v>52198.51</v>
      </c>
      <c r="Y892" s="215">
        <f t="shared" si="137"/>
        <v>-1.2088072023484941E-2</v>
      </c>
      <c r="Z892" s="215">
        <f t="shared" si="132"/>
        <v>-3.6988968202465888E-2</v>
      </c>
      <c r="AA892" s="231">
        <v>14889092</v>
      </c>
      <c r="AC892" s="230">
        <v>44432</v>
      </c>
      <c r="AD892" s="1">
        <v>67.599999999999994</v>
      </c>
      <c r="AE892" s="1">
        <v>67.220628660212697</v>
      </c>
      <c r="AF892" s="1">
        <v>25101</v>
      </c>
      <c r="AG892" s="1">
        <v>55958.98</v>
      </c>
      <c r="AH892" s="215">
        <f t="shared" si="138"/>
        <v>2.6401302297429652E-4</v>
      </c>
      <c r="AI892" s="215">
        <f t="shared" si="133"/>
        <v>-8.0704328686722615E-3</v>
      </c>
      <c r="AJ892" s="231">
        <v>1687305</v>
      </c>
      <c r="AL892" s="254"/>
      <c r="AQ892" s="215" t="str">
        <f t="shared" si="139"/>
        <v>NA</v>
      </c>
      <c r="AR892" s="215" t="str">
        <f t="shared" si="134"/>
        <v>NA</v>
      </c>
    </row>
    <row r="893" spans="2:44">
      <c r="B893" s="230">
        <v>44400</v>
      </c>
      <c r="C893" s="1">
        <v>370.5</v>
      </c>
      <c r="D893" s="1">
        <v>368.329258010118</v>
      </c>
      <c r="E893" s="1">
        <v>2372</v>
      </c>
      <c r="F893" s="215">
        <v>52975.8</v>
      </c>
      <c r="G893" s="215">
        <f t="shared" si="135"/>
        <v>2.3372695250365449E-3</v>
      </c>
      <c r="H893" s="215">
        <f t="shared" si="130"/>
        <v>-6.743088334457692E-4</v>
      </c>
      <c r="I893" s="231">
        <v>873677</v>
      </c>
      <c r="K893" s="230">
        <v>44399</v>
      </c>
      <c r="L893" s="1">
        <v>1579.65</v>
      </c>
      <c r="M893" s="1">
        <v>1566.90660564822</v>
      </c>
      <c r="N893" s="1">
        <v>16607</v>
      </c>
      <c r="O893" s="1">
        <v>52837.21</v>
      </c>
      <c r="P893" s="215">
        <f t="shared" si="136"/>
        <v>-2.6161001815924179E-3</v>
      </c>
      <c r="Q893" s="215">
        <f t="shared" si="131"/>
        <v>-4.7542960506481657E-2</v>
      </c>
      <c r="R893" s="231">
        <v>26021618</v>
      </c>
      <c r="T893" s="230">
        <v>44399</v>
      </c>
      <c r="U893" s="1">
        <v>77.05</v>
      </c>
      <c r="V893" s="1">
        <v>76.155851524942804</v>
      </c>
      <c r="W893" s="1">
        <v>190335</v>
      </c>
      <c r="X893" s="1">
        <v>52837.21</v>
      </c>
      <c r="Y893" s="215">
        <f t="shared" si="137"/>
        <v>-2.6161001815924179E-3</v>
      </c>
      <c r="Z893" s="215">
        <f t="shared" si="132"/>
        <v>2.6024723487312329E-3</v>
      </c>
      <c r="AA893" s="231">
        <v>14495124</v>
      </c>
      <c r="AC893" s="230">
        <v>44433</v>
      </c>
      <c r="AD893" s="1">
        <v>68.150000000000006</v>
      </c>
      <c r="AE893" s="1">
        <v>68.983733929569496</v>
      </c>
      <c r="AF893" s="1">
        <v>17890</v>
      </c>
      <c r="AG893" s="1">
        <v>55944.21</v>
      </c>
      <c r="AH893" s="215">
        <f t="shared" si="138"/>
        <v>-8.7400869719034269E-5</v>
      </c>
      <c r="AI893" s="215">
        <f t="shared" si="133"/>
        <v>2.6355421686746983E-2</v>
      </c>
      <c r="AJ893" s="231">
        <v>1234119</v>
      </c>
      <c r="AL893" s="254"/>
      <c r="AQ893" s="215" t="str">
        <f t="shared" si="139"/>
        <v>NA</v>
      </c>
      <c r="AR893" s="215" t="str">
        <f t="shared" si="134"/>
        <v>NA</v>
      </c>
    </row>
    <row r="894" spans="2:44">
      <c r="B894" s="230">
        <v>44403</v>
      </c>
      <c r="C894" s="1">
        <v>370.75</v>
      </c>
      <c r="D894" s="1">
        <v>373.343693239152</v>
      </c>
      <c r="E894" s="1">
        <v>4955</v>
      </c>
      <c r="F894" s="215">
        <v>52852.27</v>
      </c>
      <c r="G894" s="215">
        <f t="shared" si="135"/>
        <v>5.2019104292302387E-3</v>
      </c>
      <c r="H894" s="215">
        <f t="shared" si="130"/>
        <v>-5.4989270386266442E-3</v>
      </c>
      <c r="I894" s="231">
        <v>1849918</v>
      </c>
      <c r="K894" s="230">
        <v>44400</v>
      </c>
      <c r="L894" s="1">
        <v>1658.5</v>
      </c>
      <c r="M894" s="1">
        <v>1650.2280453947601</v>
      </c>
      <c r="N894" s="1">
        <v>20531</v>
      </c>
      <c r="O894" s="1">
        <v>52975.8</v>
      </c>
      <c r="P894" s="215">
        <f t="shared" si="136"/>
        <v>2.3372695250365449E-3</v>
      </c>
      <c r="Q894" s="215">
        <f t="shared" si="131"/>
        <v>-6.0231937910161237E-3</v>
      </c>
      <c r="R894" s="231">
        <v>33880832</v>
      </c>
      <c r="T894" s="230">
        <v>44400</v>
      </c>
      <c r="U894" s="1">
        <v>76.849999999999994</v>
      </c>
      <c r="V894" s="1">
        <v>77.205132790843194</v>
      </c>
      <c r="W894" s="1">
        <v>44732</v>
      </c>
      <c r="X894" s="1">
        <v>52975.8</v>
      </c>
      <c r="Y894" s="215">
        <f t="shared" si="137"/>
        <v>2.3372695250365449E-3</v>
      </c>
      <c r="Z894" s="215">
        <f t="shared" si="132"/>
        <v>-7.7469335054874966E-3</v>
      </c>
      <c r="AA894" s="231">
        <v>3453540</v>
      </c>
      <c r="AC894" s="230">
        <v>44434</v>
      </c>
      <c r="AD894" s="1">
        <v>66.400000000000006</v>
      </c>
      <c r="AE894" s="1">
        <v>67.813917723952301</v>
      </c>
      <c r="AF894" s="1">
        <v>2601</v>
      </c>
      <c r="AG894" s="1">
        <v>55949.1</v>
      </c>
      <c r="AH894" s="215">
        <f t="shared" si="138"/>
        <v>-3.1291024703553605E-3</v>
      </c>
      <c r="AI894" s="215">
        <f t="shared" si="133"/>
        <v>-1.5567086730911783E-2</v>
      </c>
      <c r="AJ894" s="231">
        <v>176384</v>
      </c>
      <c r="AL894" s="254"/>
      <c r="AQ894" s="215" t="str">
        <f t="shared" si="139"/>
        <v>NA</v>
      </c>
      <c r="AR894" s="215" t="str">
        <f t="shared" si="134"/>
        <v>NA</v>
      </c>
    </row>
    <row r="895" spans="2:44">
      <c r="B895" s="230">
        <v>44404</v>
      </c>
      <c r="C895" s="1">
        <v>372.8</v>
      </c>
      <c r="D895" s="1">
        <v>371.579754601226</v>
      </c>
      <c r="E895" s="1">
        <v>2608</v>
      </c>
      <c r="F895" s="215">
        <v>52578.76</v>
      </c>
      <c r="G895" s="215">
        <f t="shared" si="135"/>
        <v>2.575141995103003E-3</v>
      </c>
      <c r="H895" s="215">
        <f t="shared" si="130"/>
        <v>2.1369863013698698E-2</v>
      </c>
      <c r="I895" s="231">
        <v>969080</v>
      </c>
      <c r="K895" s="230">
        <v>44403</v>
      </c>
      <c r="L895" s="1">
        <v>1668.55</v>
      </c>
      <c r="M895" s="1">
        <v>1663.0110599667501</v>
      </c>
      <c r="N895" s="1">
        <v>15642</v>
      </c>
      <c r="O895" s="1">
        <v>52852.27</v>
      </c>
      <c r="P895" s="215">
        <f t="shared" si="136"/>
        <v>5.2019104292302387E-3</v>
      </c>
      <c r="Q895" s="215">
        <f t="shared" si="131"/>
        <v>-1.4441819255759047E-2</v>
      </c>
      <c r="R895" s="231">
        <v>26012819</v>
      </c>
      <c r="T895" s="230">
        <v>44403</v>
      </c>
      <c r="U895" s="1">
        <v>77.45</v>
      </c>
      <c r="V895" s="1">
        <v>78.180101979910901</v>
      </c>
      <c r="W895" s="1">
        <v>58639</v>
      </c>
      <c r="X895" s="1">
        <v>52852.27</v>
      </c>
      <c r="Y895" s="215">
        <f t="shared" si="137"/>
        <v>5.2019104292302387E-3</v>
      </c>
      <c r="Z895" s="215">
        <f t="shared" si="132"/>
        <v>-3.2479700187382776E-2</v>
      </c>
      <c r="AA895" s="231">
        <v>4584403</v>
      </c>
      <c r="AC895" s="230">
        <v>44435</v>
      </c>
      <c r="AD895" s="1">
        <v>67.45</v>
      </c>
      <c r="AE895" s="1">
        <v>66.672394302509602</v>
      </c>
      <c r="AF895" s="1">
        <v>4423</v>
      </c>
      <c r="AG895" s="1">
        <v>56124.72</v>
      </c>
      <c r="AH895" s="215">
        <f t="shared" si="138"/>
        <v>-1.3447762831131693E-2</v>
      </c>
      <c r="AI895" s="215">
        <f t="shared" si="133"/>
        <v>-1.8195050946142599E-2</v>
      </c>
      <c r="AJ895" s="231">
        <v>294892</v>
      </c>
      <c r="AL895" s="254"/>
      <c r="AQ895" s="215" t="str">
        <f t="shared" si="139"/>
        <v>NA</v>
      </c>
      <c r="AR895" s="215" t="str">
        <f t="shared" si="134"/>
        <v>NA</v>
      </c>
    </row>
    <row r="896" spans="2:44">
      <c r="B896" s="230">
        <v>44405</v>
      </c>
      <c r="C896" s="1">
        <v>365</v>
      </c>
      <c r="D896" s="1">
        <v>366.31916850625402</v>
      </c>
      <c r="E896" s="1">
        <v>5436</v>
      </c>
      <c r="F896" s="215">
        <v>52443.71</v>
      </c>
      <c r="G896" s="215">
        <f t="shared" si="135"/>
        <v>-3.9762163915608717E-3</v>
      </c>
      <c r="H896" s="215">
        <f t="shared" si="130"/>
        <v>-1.3380186511690706E-2</v>
      </c>
      <c r="I896" s="231">
        <v>1991311</v>
      </c>
      <c r="K896" s="230">
        <v>44404</v>
      </c>
      <c r="L896" s="1">
        <v>1693</v>
      </c>
      <c r="M896" s="1">
        <v>1683.6153986166701</v>
      </c>
      <c r="N896" s="1">
        <v>5494</v>
      </c>
      <c r="O896" s="1">
        <v>52578.76</v>
      </c>
      <c r="P896" s="215">
        <f t="shared" si="136"/>
        <v>2.575141995103003E-3</v>
      </c>
      <c r="Q896" s="215">
        <f t="shared" si="131"/>
        <v>-4.7619047619047672E-2</v>
      </c>
      <c r="R896" s="231">
        <v>9249783</v>
      </c>
      <c r="T896" s="230">
        <v>44404</v>
      </c>
      <c r="U896" s="1">
        <v>80.05</v>
      </c>
      <c r="V896" s="1">
        <v>80.391532238312095</v>
      </c>
      <c r="W896" s="1">
        <v>265383</v>
      </c>
      <c r="X896" s="1">
        <v>52578.76</v>
      </c>
      <c r="Y896" s="215">
        <f t="shared" si="137"/>
        <v>2.575141995103003E-3</v>
      </c>
      <c r="Z896" s="215">
        <f t="shared" si="132"/>
        <v>-2.378048780487807E-2</v>
      </c>
      <c r="AA896" s="231">
        <v>21334546</v>
      </c>
      <c r="AC896" s="230">
        <v>44438</v>
      </c>
      <c r="AD896" s="1">
        <v>68.7</v>
      </c>
      <c r="AE896" s="1">
        <v>68.9000656742556</v>
      </c>
      <c r="AF896" s="1">
        <v>9136</v>
      </c>
      <c r="AG896" s="1">
        <v>56889.760000000002</v>
      </c>
      <c r="AH896" s="215">
        <f t="shared" si="138"/>
        <v>-1.1513509690909363E-2</v>
      </c>
      <c r="AI896" s="215">
        <f t="shared" si="133"/>
        <v>1.7777777777777892E-2</v>
      </c>
      <c r="AJ896" s="231">
        <v>629471</v>
      </c>
      <c r="AL896" s="254"/>
      <c r="AQ896" s="215" t="str">
        <f t="shared" si="139"/>
        <v>NA</v>
      </c>
      <c r="AR896" s="215" t="str">
        <f t="shared" si="134"/>
        <v>NA</v>
      </c>
    </row>
    <row r="897" spans="2:44">
      <c r="B897" s="230">
        <v>44406</v>
      </c>
      <c r="C897" s="1">
        <v>369.95</v>
      </c>
      <c r="D897" s="1">
        <v>367.05654880148302</v>
      </c>
      <c r="E897" s="1">
        <v>7551</v>
      </c>
      <c r="F897" s="215">
        <v>52653.07</v>
      </c>
      <c r="G897" s="215">
        <f t="shared" si="135"/>
        <v>1.2594405748662663E-3</v>
      </c>
      <c r="H897" s="215">
        <f t="shared" si="130"/>
        <v>-8.4427767354597894E-3</v>
      </c>
      <c r="I897" s="231">
        <v>2771644</v>
      </c>
      <c r="K897" s="230">
        <v>44405</v>
      </c>
      <c r="L897" s="1">
        <v>1777.65</v>
      </c>
      <c r="M897" s="1">
        <v>1776.27403436091</v>
      </c>
      <c r="N897" s="1">
        <v>49242</v>
      </c>
      <c r="O897" s="1">
        <v>52443.71</v>
      </c>
      <c r="P897" s="215">
        <f t="shared" si="136"/>
        <v>-3.9762163915608717E-3</v>
      </c>
      <c r="Q897" s="215">
        <f t="shared" si="131"/>
        <v>1.6642360813245327E-2</v>
      </c>
      <c r="R897" s="231">
        <v>87467286</v>
      </c>
      <c r="T897" s="230">
        <v>44405</v>
      </c>
      <c r="U897" s="1">
        <v>82</v>
      </c>
      <c r="V897" s="1">
        <v>80.701749693525002</v>
      </c>
      <c r="W897" s="1">
        <v>269190</v>
      </c>
      <c r="X897" s="1">
        <v>52443.71</v>
      </c>
      <c r="Y897" s="215">
        <f t="shared" si="137"/>
        <v>-3.9762163915608717E-3</v>
      </c>
      <c r="Z897" s="215">
        <f t="shared" si="132"/>
        <v>-4.6511627906976716E-2</v>
      </c>
      <c r="AA897" s="231">
        <v>21724104</v>
      </c>
      <c r="AC897" s="230">
        <v>44439</v>
      </c>
      <c r="AD897" s="1">
        <v>67.5</v>
      </c>
      <c r="AE897" s="1">
        <v>68.555769230769201</v>
      </c>
      <c r="AF897" s="1">
        <v>5720</v>
      </c>
      <c r="AG897" s="1">
        <v>57552.39</v>
      </c>
      <c r="AH897" s="215">
        <f t="shared" si="138"/>
        <v>3.7353799499495466E-3</v>
      </c>
      <c r="AI897" s="215">
        <f t="shared" si="133"/>
        <v>0</v>
      </c>
      <c r="AJ897" s="231">
        <v>392139</v>
      </c>
      <c r="AL897" s="254"/>
      <c r="AQ897" s="215" t="str">
        <f t="shared" si="139"/>
        <v>NA</v>
      </c>
      <c r="AR897" s="215" t="str">
        <f t="shared" si="134"/>
        <v>NA</v>
      </c>
    </row>
    <row r="898" spans="2:44">
      <c r="B898" s="230">
        <v>44407</v>
      </c>
      <c r="C898" s="1">
        <v>373.1</v>
      </c>
      <c r="D898" s="1">
        <v>374.86036745406801</v>
      </c>
      <c r="E898" s="1">
        <v>1905</v>
      </c>
      <c r="F898" s="215">
        <v>52586.84</v>
      </c>
      <c r="G898" s="215">
        <f t="shared" si="135"/>
        <v>-6.8703620712350366E-3</v>
      </c>
      <c r="H898" s="215">
        <f t="shared" si="130"/>
        <v>-1.0607265977194413E-2</v>
      </c>
      <c r="I898" s="231">
        <v>714109</v>
      </c>
      <c r="K898" s="230">
        <v>44406</v>
      </c>
      <c r="L898" s="1">
        <v>1748.55</v>
      </c>
      <c r="M898" s="1">
        <v>1770.7079469918201</v>
      </c>
      <c r="N898" s="1">
        <v>23619</v>
      </c>
      <c r="O898" s="1">
        <v>52653.07</v>
      </c>
      <c r="P898" s="215">
        <f t="shared" si="136"/>
        <v>1.2594405748662663E-3</v>
      </c>
      <c r="Q898" s="215">
        <f t="shared" si="131"/>
        <v>3.5043063900316751E-2</v>
      </c>
      <c r="R898" s="231">
        <v>41822351</v>
      </c>
      <c r="T898" s="230">
        <v>44406</v>
      </c>
      <c r="U898" s="1">
        <v>86</v>
      </c>
      <c r="V898" s="1">
        <v>85.975079068877605</v>
      </c>
      <c r="W898" s="1">
        <v>658603</v>
      </c>
      <c r="X898" s="1">
        <v>52653.07</v>
      </c>
      <c r="Y898" s="215">
        <f t="shared" si="137"/>
        <v>1.2594405748662663E-3</v>
      </c>
      <c r="Z898" s="215">
        <f t="shared" si="132"/>
        <v>2.7479091995221028E-2</v>
      </c>
      <c r="AA898" s="231">
        <v>56623445</v>
      </c>
      <c r="AC898" s="230">
        <v>44440</v>
      </c>
      <c r="AD898" s="1">
        <v>67.5</v>
      </c>
      <c r="AE898" s="1">
        <v>66.974781266083298</v>
      </c>
      <c r="AF898" s="1">
        <v>3886</v>
      </c>
      <c r="AG898" s="1">
        <v>57338.21</v>
      </c>
      <c r="AH898" s="215">
        <f t="shared" si="138"/>
        <v>-8.890361598643759E-3</v>
      </c>
      <c r="AI898" s="215">
        <f t="shared" si="133"/>
        <v>-2.1739130434782594E-2</v>
      </c>
      <c r="AJ898" s="231">
        <v>260264</v>
      </c>
      <c r="AL898" s="254"/>
      <c r="AQ898" s="215" t="str">
        <f t="shared" si="139"/>
        <v>NA</v>
      </c>
      <c r="AR898" s="215" t="str">
        <f t="shared" si="134"/>
        <v>NA</v>
      </c>
    </row>
    <row r="899" spans="2:44">
      <c r="B899" s="230">
        <v>44410</v>
      </c>
      <c r="C899" s="1">
        <v>377.1</v>
      </c>
      <c r="D899" s="1">
        <v>378.951774530271</v>
      </c>
      <c r="E899" s="1">
        <v>4790</v>
      </c>
      <c r="F899" s="215">
        <v>52950.63</v>
      </c>
      <c r="G899" s="215">
        <f t="shared" si="135"/>
        <v>-1.6214706774159038E-2</v>
      </c>
      <c r="H899" s="215">
        <f t="shared" si="130"/>
        <v>-9.9763717511156536E-3</v>
      </c>
      <c r="I899" s="231">
        <v>1815179</v>
      </c>
      <c r="K899" s="230">
        <v>44407</v>
      </c>
      <c r="L899" s="1">
        <v>1689.35</v>
      </c>
      <c r="M899" s="1">
        <v>1713.2740631249401</v>
      </c>
      <c r="N899" s="1">
        <v>11501</v>
      </c>
      <c r="O899" s="1">
        <v>52586.84</v>
      </c>
      <c r="P899" s="215">
        <f t="shared" si="136"/>
        <v>-6.8703620712350366E-3</v>
      </c>
      <c r="Q899" s="215">
        <f t="shared" si="131"/>
        <v>2.3507315743237056E-2</v>
      </c>
      <c r="R899" s="231">
        <v>19704365</v>
      </c>
      <c r="T899" s="230">
        <v>44407</v>
      </c>
      <c r="U899" s="1">
        <v>83.7</v>
      </c>
      <c r="V899" s="1">
        <v>85.453189194287006</v>
      </c>
      <c r="W899" s="1">
        <v>169651</v>
      </c>
      <c r="X899" s="1">
        <v>52586.84</v>
      </c>
      <c r="Y899" s="215">
        <f t="shared" si="137"/>
        <v>-6.8703620712350366E-3</v>
      </c>
      <c r="Z899" s="215">
        <f t="shared" si="132"/>
        <v>2.19780219780219E-2</v>
      </c>
      <c r="AA899" s="231">
        <v>14497219</v>
      </c>
      <c r="AC899" s="230">
        <v>44441</v>
      </c>
      <c r="AD899" s="1">
        <v>69</v>
      </c>
      <c r="AE899" s="1">
        <v>68.400726392251798</v>
      </c>
      <c r="AF899" s="1">
        <v>4956</v>
      </c>
      <c r="AG899" s="1">
        <v>57852.54</v>
      </c>
      <c r="AH899" s="215">
        <f t="shared" si="138"/>
        <v>-4.772238751280522E-3</v>
      </c>
      <c r="AI899" s="215">
        <f t="shared" si="133"/>
        <v>8.0350620891160851E-3</v>
      </c>
      <c r="AJ899" s="231">
        <v>338994</v>
      </c>
      <c r="AL899" s="254"/>
      <c r="AQ899" s="215" t="str">
        <f t="shared" si="139"/>
        <v>NA</v>
      </c>
      <c r="AR899" s="215" t="str">
        <f t="shared" si="134"/>
        <v>NA</v>
      </c>
    </row>
    <row r="900" spans="2:44">
      <c r="B900" s="230">
        <v>44411</v>
      </c>
      <c r="C900" s="1">
        <v>380.9</v>
      </c>
      <c r="D900" s="1">
        <v>380.03567447045702</v>
      </c>
      <c r="E900" s="1">
        <v>897</v>
      </c>
      <c r="F900" s="215">
        <v>53823.360000000001</v>
      </c>
      <c r="G900" s="215">
        <f t="shared" si="135"/>
        <v>-1.0049886177557754E-2</v>
      </c>
      <c r="H900" s="215">
        <f t="shared" si="130"/>
        <v>6.7397911986255554E-3</v>
      </c>
      <c r="I900" s="231">
        <v>340892</v>
      </c>
      <c r="K900" s="230">
        <v>44410</v>
      </c>
      <c r="L900" s="1">
        <v>1650.55</v>
      </c>
      <c r="M900" s="1">
        <v>1672.7791599141499</v>
      </c>
      <c r="N900" s="1">
        <v>22831</v>
      </c>
      <c r="O900" s="1">
        <v>52950.63</v>
      </c>
      <c r="P900" s="215">
        <f t="shared" si="136"/>
        <v>-1.6214706774159038E-2</v>
      </c>
      <c r="Q900" s="215">
        <f t="shared" si="131"/>
        <v>4.1356466876971476E-2</v>
      </c>
      <c r="R900" s="231">
        <v>38191221</v>
      </c>
      <c r="T900" s="230">
        <v>44410</v>
      </c>
      <c r="U900" s="1">
        <v>81.900000000000006</v>
      </c>
      <c r="V900" s="1">
        <v>83.263186885823799</v>
      </c>
      <c r="W900" s="1">
        <v>181544</v>
      </c>
      <c r="X900" s="1">
        <v>52950.63</v>
      </c>
      <c r="Y900" s="215">
        <f t="shared" si="137"/>
        <v>-1.6214706774159038E-2</v>
      </c>
      <c r="Z900" s="215">
        <f t="shared" si="132"/>
        <v>1.7391304347826209E-2</v>
      </c>
      <c r="AA900" s="231">
        <v>15115932</v>
      </c>
      <c r="AC900" s="230">
        <v>44442</v>
      </c>
      <c r="AD900" s="1">
        <v>68.45</v>
      </c>
      <c r="AE900" s="1">
        <v>68.923983811367194</v>
      </c>
      <c r="AF900" s="1">
        <v>5683</v>
      </c>
      <c r="AG900" s="1">
        <v>58129.95</v>
      </c>
      <c r="AH900" s="215">
        <f t="shared" si="138"/>
        <v>-2.8639596849988624E-3</v>
      </c>
      <c r="AI900" s="215">
        <f t="shared" si="133"/>
        <v>1.182557280118246E-2</v>
      </c>
      <c r="AJ900" s="231">
        <v>391695</v>
      </c>
      <c r="AL900" s="254"/>
      <c r="AQ900" s="215" t="str">
        <f t="shared" si="139"/>
        <v>NA</v>
      </c>
      <c r="AR900" s="215" t="str">
        <f t="shared" si="134"/>
        <v>NA</v>
      </c>
    </row>
    <row r="901" spans="2:44">
      <c r="B901" s="230">
        <v>44412</v>
      </c>
      <c r="C901" s="1">
        <v>378.35</v>
      </c>
      <c r="D901" s="1">
        <v>386.106624102154</v>
      </c>
      <c r="E901" s="1">
        <v>6265</v>
      </c>
      <c r="F901" s="215">
        <v>54369.77</v>
      </c>
      <c r="G901" s="215">
        <f t="shared" si="135"/>
        <v>-2.2584618456296113E-3</v>
      </c>
      <c r="H901" s="215">
        <f t="shared" si="130"/>
        <v>2.2567567567567615E-2</v>
      </c>
      <c r="I901" s="231">
        <v>2418958</v>
      </c>
      <c r="K901" s="230">
        <v>44411</v>
      </c>
      <c r="L901" s="1">
        <v>1585</v>
      </c>
      <c r="M901" s="1">
        <v>1612.8343642611601</v>
      </c>
      <c r="N901" s="1">
        <v>10185</v>
      </c>
      <c r="O901" s="1">
        <v>53823.360000000001</v>
      </c>
      <c r="P901" s="215">
        <f t="shared" si="136"/>
        <v>-1.0049886177557754E-2</v>
      </c>
      <c r="Q901" s="215">
        <f t="shared" si="131"/>
        <v>5.2631578947368363E-2</v>
      </c>
      <c r="R901" s="231">
        <v>16426718</v>
      </c>
      <c r="T901" s="230">
        <v>44411</v>
      </c>
      <c r="U901" s="1">
        <v>80.5</v>
      </c>
      <c r="V901" s="1">
        <v>80.957022539208594</v>
      </c>
      <c r="W901" s="1">
        <v>54261</v>
      </c>
      <c r="X901" s="1">
        <v>53823.360000000001</v>
      </c>
      <c r="Y901" s="215">
        <f t="shared" si="137"/>
        <v>-1.0049886177557754E-2</v>
      </c>
      <c r="Z901" s="215">
        <f t="shared" si="132"/>
        <v>1.7699115044247815E-2</v>
      </c>
      <c r="AA901" s="231">
        <v>4392809</v>
      </c>
      <c r="AC901" s="230">
        <v>44445</v>
      </c>
      <c r="AD901" s="1">
        <v>67.650000000000006</v>
      </c>
      <c r="AE901" s="1">
        <v>67.897659362549803</v>
      </c>
      <c r="AF901" s="1">
        <v>4016</v>
      </c>
      <c r="AG901" s="1">
        <v>58296.91</v>
      </c>
      <c r="AH901" s="215">
        <f t="shared" si="138"/>
        <v>2.9907610706203513E-4</v>
      </c>
      <c r="AI901" s="215">
        <f t="shared" si="133"/>
        <v>-3.4950071326676047E-2</v>
      </c>
      <c r="AJ901" s="231">
        <v>272677</v>
      </c>
      <c r="AL901" s="254"/>
      <c r="AQ901" s="215" t="str">
        <f t="shared" si="139"/>
        <v>NA</v>
      </c>
      <c r="AR901" s="215" t="str">
        <f t="shared" si="134"/>
        <v>NA</v>
      </c>
    </row>
    <row r="902" spans="2:44">
      <c r="B902" s="230">
        <v>44413</v>
      </c>
      <c r="C902" s="1">
        <v>370</v>
      </c>
      <c r="D902" s="1">
        <v>375.66554054054001</v>
      </c>
      <c r="E902" s="1">
        <v>1480</v>
      </c>
      <c r="F902" s="215">
        <v>54492.84</v>
      </c>
      <c r="G902" s="215">
        <f t="shared" si="135"/>
        <v>3.9633204931968091E-3</v>
      </c>
      <c r="H902" s="215">
        <f t="shared" si="130"/>
        <v>-2.3875478169106956E-2</v>
      </c>
      <c r="I902" s="231">
        <v>555985</v>
      </c>
      <c r="K902" s="230">
        <v>44412</v>
      </c>
      <c r="L902" s="1">
        <v>1505.75</v>
      </c>
      <c r="M902" s="1">
        <v>1529.78970596664</v>
      </c>
      <c r="N902" s="1">
        <v>17447</v>
      </c>
      <c r="O902" s="1">
        <v>54369.77</v>
      </c>
      <c r="P902" s="215">
        <f t="shared" si="136"/>
        <v>-2.2584618456296113E-3</v>
      </c>
      <c r="Q902" s="215">
        <f t="shared" si="131"/>
        <v>-1.0579229227584808E-2</v>
      </c>
      <c r="R902" s="231">
        <v>26690241</v>
      </c>
      <c r="T902" s="230">
        <v>44412</v>
      </c>
      <c r="U902" s="1">
        <v>79.099999999999994</v>
      </c>
      <c r="V902" s="1">
        <v>80.8302976286421</v>
      </c>
      <c r="W902" s="1">
        <v>210934</v>
      </c>
      <c r="X902" s="1">
        <v>54369.77</v>
      </c>
      <c r="Y902" s="215">
        <f t="shared" si="137"/>
        <v>-2.2584618456296113E-3</v>
      </c>
      <c r="Z902" s="215">
        <f t="shared" si="132"/>
        <v>-5.2694610778443174E-2</v>
      </c>
      <c r="AA902" s="231">
        <v>17049858</v>
      </c>
      <c r="AC902" s="230">
        <v>44446</v>
      </c>
      <c r="AD902" s="1">
        <v>70.099999999999994</v>
      </c>
      <c r="AE902" s="1">
        <v>68.758524555007497</v>
      </c>
      <c r="AF902" s="1">
        <v>4663</v>
      </c>
      <c r="AG902" s="1">
        <v>58279.48</v>
      </c>
      <c r="AH902" s="215">
        <f t="shared" si="138"/>
        <v>5.0162866225833547E-4</v>
      </c>
      <c r="AI902" s="215">
        <f t="shared" si="133"/>
        <v>1.2274368231046884E-2</v>
      </c>
      <c r="AJ902" s="231">
        <v>320621</v>
      </c>
      <c r="AL902" s="254"/>
      <c r="AQ902" s="215" t="str">
        <f t="shared" si="139"/>
        <v>NA</v>
      </c>
      <c r="AR902" s="215" t="str">
        <f t="shared" si="134"/>
        <v>NA</v>
      </c>
    </row>
    <row r="903" spans="2:44">
      <c r="B903" s="230">
        <v>44414</v>
      </c>
      <c r="C903" s="1">
        <v>379.05</v>
      </c>
      <c r="D903" s="1">
        <v>381.83617747440201</v>
      </c>
      <c r="E903" s="1">
        <v>1758</v>
      </c>
      <c r="F903" s="215">
        <v>54277.72</v>
      </c>
      <c r="G903" s="215">
        <f t="shared" si="135"/>
        <v>-2.3000633238883239E-3</v>
      </c>
      <c r="H903" s="215">
        <f t="shared" si="130"/>
        <v>2.0735155513666337E-2</v>
      </c>
      <c r="I903" s="231">
        <v>671268</v>
      </c>
      <c r="K903" s="230">
        <v>44413</v>
      </c>
      <c r="L903" s="1">
        <v>1521.85</v>
      </c>
      <c r="M903" s="1">
        <v>1475.02429577464</v>
      </c>
      <c r="N903" s="1">
        <v>28400</v>
      </c>
      <c r="O903" s="1">
        <v>54492.84</v>
      </c>
      <c r="P903" s="215">
        <f t="shared" si="136"/>
        <v>3.9633204931968091E-3</v>
      </c>
      <c r="Q903" s="215">
        <f t="shared" si="131"/>
        <v>1.4262387950281452E-2</v>
      </c>
      <c r="R903" s="231">
        <v>41890690</v>
      </c>
      <c r="T903" s="230">
        <v>44413</v>
      </c>
      <c r="U903" s="1">
        <v>83.5</v>
      </c>
      <c r="V903" s="1">
        <v>81.352584794159995</v>
      </c>
      <c r="W903" s="1">
        <v>322192</v>
      </c>
      <c r="X903" s="1">
        <v>54492.84</v>
      </c>
      <c r="Y903" s="215">
        <f t="shared" si="137"/>
        <v>3.9633204931968091E-3</v>
      </c>
      <c r="Z903" s="215">
        <f t="shared" si="132"/>
        <v>4.1796631316281863E-2</v>
      </c>
      <c r="AA903" s="231">
        <v>26211152</v>
      </c>
      <c r="AC903" s="230">
        <v>44447</v>
      </c>
      <c r="AD903" s="1">
        <v>69.25</v>
      </c>
      <c r="AE903" s="1">
        <v>70.034572490706296</v>
      </c>
      <c r="AF903" s="1">
        <v>2690</v>
      </c>
      <c r="AG903" s="1">
        <v>58250.26</v>
      </c>
      <c r="AH903" s="215">
        <f t="shared" si="138"/>
        <v>-9.400554703047348E-4</v>
      </c>
      <c r="AI903" s="215">
        <f t="shared" si="133"/>
        <v>-2.73876404494382E-2</v>
      </c>
      <c r="AJ903" s="231">
        <v>188393</v>
      </c>
      <c r="AL903" s="254"/>
      <c r="AQ903" s="215" t="str">
        <f t="shared" si="139"/>
        <v>NA</v>
      </c>
      <c r="AR903" s="215" t="str">
        <f t="shared" si="134"/>
        <v>NA</v>
      </c>
    </row>
    <row r="904" spans="2:44">
      <c r="B904" s="230">
        <v>44417</v>
      </c>
      <c r="C904" s="1">
        <v>371.35</v>
      </c>
      <c r="D904" s="1">
        <v>375.09815950920199</v>
      </c>
      <c r="E904" s="1">
        <v>1630</v>
      </c>
      <c r="F904" s="215">
        <v>54402.85</v>
      </c>
      <c r="G904" s="215">
        <f t="shared" si="135"/>
        <v>-2.7827137040172811E-3</v>
      </c>
      <c r="H904" s="215">
        <f t="shared" si="130"/>
        <v>4.4438194346786641E-2</v>
      </c>
      <c r="I904" s="231">
        <v>611410</v>
      </c>
      <c r="K904" s="230">
        <v>44414</v>
      </c>
      <c r="L904" s="1">
        <v>1500.45</v>
      </c>
      <c r="M904" s="1">
        <v>1508.9893018790201</v>
      </c>
      <c r="N904" s="1">
        <v>7291</v>
      </c>
      <c r="O904" s="1">
        <v>54277.72</v>
      </c>
      <c r="P904" s="215">
        <f t="shared" si="136"/>
        <v>-2.3000633238883239E-3</v>
      </c>
      <c r="Q904" s="215">
        <f t="shared" si="131"/>
        <v>5.0551374059163434E-2</v>
      </c>
      <c r="R904" s="231">
        <v>11002041</v>
      </c>
      <c r="T904" s="230">
        <v>44414</v>
      </c>
      <c r="U904" s="1">
        <v>80.150000000000006</v>
      </c>
      <c r="V904" s="1">
        <v>82.600877921869497</v>
      </c>
      <c r="W904" s="1">
        <v>523509</v>
      </c>
      <c r="X904" s="1">
        <v>54277.72</v>
      </c>
      <c r="Y904" s="215">
        <f t="shared" si="137"/>
        <v>-2.3000633238883239E-3</v>
      </c>
      <c r="Z904" s="215">
        <f t="shared" si="132"/>
        <v>2.6248399487836194E-2</v>
      </c>
      <c r="AA904" s="231">
        <v>43242303</v>
      </c>
      <c r="AC904" s="230">
        <v>44448</v>
      </c>
      <c r="AD904" s="1">
        <v>71.2</v>
      </c>
      <c r="AE904" s="1">
        <v>72.173210161662794</v>
      </c>
      <c r="AF904" s="1">
        <v>13856</v>
      </c>
      <c r="AG904" s="1">
        <v>58305.07</v>
      </c>
      <c r="AH904" s="215">
        <f t="shared" si="138"/>
        <v>2.1882932584547099E-3</v>
      </c>
      <c r="AI904" s="215">
        <f t="shared" si="133"/>
        <v>-4.3010752688172116E-2</v>
      </c>
      <c r="AJ904" s="231">
        <v>1000032</v>
      </c>
      <c r="AL904" s="254"/>
      <c r="AQ904" s="215" t="str">
        <f t="shared" si="139"/>
        <v>NA</v>
      </c>
      <c r="AR904" s="215" t="str">
        <f t="shared" si="134"/>
        <v>NA</v>
      </c>
    </row>
    <row r="905" spans="2:44">
      <c r="B905" s="230">
        <v>44418</v>
      </c>
      <c r="C905" s="1">
        <v>355.55</v>
      </c>
      <c r="D905" s="1">
        <v>365.14187258362699</v>
      </c>
      <c r="E905" s="1">
        <v>5949</v>
      </c>
      <c r="F905" s="215">
        <v>54554.66</v>
      </c>
      <c r="G905" s="215">
        <f t="shared" si="135"/>
        <v>5.2690527240906171E-4</v>
      </c>
      <c r="H905" s="215">
        <f t="shared" si="130"/>
        <v>2.1548628070679587E-2</v>
      </c>
      <c r="I905" s="231">
        <v>2172229</v>
      </c>
      <c r="K905" s="230">
        <v>44417</v>
      </c>
      <c r="L905" s="1">
        <v>1428.25</v>
      </c>
      <c r="M905" s="1">
        <v>1434.3619918399399</v>
      </c>
      <c r="N905" s="1">
        <v>20343</v>
      </c>
      <c r="O905" s="1">
        <v>54402.85</v>
      </c>
      <c r="P905" s="215">
        <f t="shared" si="136"/>
        <v>-2.7827137040172811E-3</v>
      </c>
      <c r="Q905" s="215">
        <f t="shared" si="131"/>
        <v>5.2621881563916562E-2</v>
      </c>
      <c r="R905" s="231">
        <v>29179226</v>
      </c>
      <c r="T905" s="230">
        <v>44417</v>
      </c>
      <c r="U905" s="1">
        <v>78.099999999999994</v>
      </c>
      <c r="V905" s="1">
        <v>79.141726559660398</v>
      </c>
      <c r="W905" s="1">
        <v>85291</v>
      </c>
      <c r="X905" s="1">
        <v>54402.85</v>
      </c>
      <c r="Y905" s="215">
        <f t="shared" si="137"/>
        <v>-2.7827137040172811E-3</v>
      </c>
      <c r="Z905" s="215">
        <f t="shared" si="132"/>
        <v>4.6916890080428875E-2</v>
      </c>
      <c r="AA905" s="231">
        <v>6750077</v>
      </c>
      <c r="AC905" s="230">
        <v>44452</v>
      </c>
      <c r="AD905" s="1">
        <v>74.400000000000006</v>
      </c>
      <c r="AE905" s="1">
        <v>73.770569500265395</v>
      </c>
      <c r="AF905" s="1">
        <v>26374</v>
      </c>
      <c r="AG905" s="1">
        <v>58177.760000000002</v>
      </c>
      <c r="AH905" s="215">
        <f t="shared" si="138"/>
        <v>-1.1902740548925816E-3</v>
      </c>
      <c r="AI905" s="215">
        <f t="shared" si="133"/>
        <v>2.4793388429752206E-2</v>
      </c>
      <c r="AJ905" s="231">
        <v>1945625</v>
      </c>
      <c r="AL905" s="254"/>
      <c r="AQ905" s="215" t="str">
        <f t="shared" si="139"/>
        <v>NA</v>
      </c>
      <c r="AR905" s="215" t="str">
        <f t="shared" si="134"/>
        <v>NA</v>
      </c>
    </row>
    <row r="906" spans="2:44">
      <c r="B906" s="230">
        <v>44419</v>
      </c>
      <c r="C906" s="1">
        <v>348.05</v>
      </c>
      <c r="D906" s="1">
        <v>340.04476167432802</v>
      </c>
      <c r="E906" s="1">
        <v>4133</v>
      </c>
      <c r="F906" s="215">
        <v>54525.93</v>
      </c>
      <c r="G906" s="215">
        <f t="shared" si="135"/>
        <v>-5.7991779590029768E-3</v>
      </c>
      <c r="H906" s="215">
        <f t="shared" si="130"/>
        <v>-4.969283276450509E-2</v>
      </c>
      <c r="I906" s="231">
        <v>1405405</v>
      </c>
      <c r="K906" s="230">
        <v>44418</v>
      </c>
      <c r="L906" s="1">
        <v>1356.85</v>
      </c>
      <c r="M906" s="1">
        <v>1359.2226277372199</v>
      </c>
      <c r="N906" s="1">
        <v>11782</v>
      </c>
      <c r="O906" s="1">
        <v>54554.66</v>
      </c>
      <c r="P906" s="215">
        <f t="shared" si="136"/>
        <v>5.2690527240906171E-4</v>
      </c>
      <c r="Q906" s="215">
        <f t="shared" si="131"/>
        <v>-3.9941979763673752E-2</v>
      </c>
      <c r="R906" s="231">
        <v>16014361</v>
      </c>
      <c r="T906" s="230">
        <v>44418</v>
      </c>
      <c r="U906" s="1">
        <v>74.599999999999994</v>
      </c>
      <c r="V906" s="1">
        <v>75.750052485607796</v>
      </c>
      <c r="W906" s="1">
        <v>362004</v>
      </c>
      <c r="X906" s="1">
        <v>54554.66</v>
      </c>
      <c r="Y906" s="215">
        <f t="shared" si="137"/>
        <v>5.2690527240906171E-4</v>
      </c>
      <c r="Z906" s="215">
        <f t="shared" si="132"/>
        <v>1.7735334242837686E-2</v>
      </c>
      <c r="AA906" s="231">
        <v>27421822</v>
      </c>
      <c r="AC906" s="230">
        <v>44453</v>
      </c>
      <c r="AD906" s="1">
        <v>72.599999999999994</v>
      </c>
      <c r="AE906" s="1">
        <v>73.524881516587598</v>
      </c>
      <c r="AF906" s="1">
        <v>8440</v>
      </c>
      <c r="AG906" s="1">
        <v>58247.09</v>
      </c>
      <c r="AH906" s="215">
        <f t="shared" si="138"/>
        <v>-8.1076984905454896E-3</v>
      </c>
      <c r="AI906" s="215">
        <f t="shared" si="133"/>
        <v>6.8917987594763197E-4</v>
      </c>
      <c r="AJ906" s="231">
        <v>620550</v>
      </c>
      <c r="AL906" s="254"/>
      <c r="AQ906" s="215" t="str">
        <f t="shared" si="139"/>
        <v>NA</v>
      </c>
      <c r="AR906" s="215" t="str">
        <f t="shared" si="134"/>
        <v>NA</v>
      </c>
    </row>
    <row r="907" spans="2:44">
      <c r="B907" s="230">
        <v>44420</v>
      </c>
      <c r="C907" s="1">
        <v>366.25</v>
      </c>
      <c r="D907" s="1">
        <v>365.60840210052498</v>
      </c>
      <c r="E907" s="1">
        <v>1333</v>
      </c>
      <c r="F907" s="215">
        <v>54843.98</v>
      </c>
      <c r="G907" s="215">
        <f t="shared" si="135"/>
        <v>-1.0702362976256596E-2</v>
      </c>
      <c r="H907" s="215">
        <f t="shared" si="130"/>
        <v>-2.9544250132485406E-2</v>
      </c>
      <c r="I907" s="231">
        <v>487356</v>
      </c>
      <c r="K907" s="230">
        <v>44419</v>
      </c>
      <c r="L907" s="1">
        <v>1413.3</v>
      </c>
      <c r="M907" s="1">
        <v>1332.5615194869199</v>
      </c>
      <c r="N907" s="1">
        <v>20270</v>
      </c>
      <c r="O907" s="1">
        <v>54525.93</v>
      </c>
      <c r="P907" s="215">
        <f t="shared" si="136"/>
        <v>-5.7991779590029768E-3</v>
      </c>
      <c r="Q907" s="215">
        <f t="shared" si="131"/>
        <v>5.084806030650979E-3</v>
      </c>
      <c r="R907" s="231">
        <v>27011022</v>
      </c>
      <c r="T907" s="230">
        <v>44419</v>
      </c>
      <c r="U907" s="1">
        <v>73.3</v>
      </c>
      <c r="V907" s="1">
        <v>72.744462136641303</v>
      </c>
      <c r="W907" s="1">
        <v>135025</v>
      </c>
      <c r="X907" s="1">
        <v>54525.93</v>
      </c>
      <c r="Y907" s="215">
        <f t="shared" si="137"/>
        <v>-5.7991779590029768E-3</v>
      </c>
      <c r="Z907" s="215">
        <f t="shared" si="132"/>
        <v>-3.0423280423280352E-2</v>
      </c>
      <c r="AA907" s="231">
        <v>9822321</v>
      </c>
      <c r="AC907" s="230">
        <v>44454</v>
      </c>
      <c r="AD907" s="1">
        <v>72.55</v>
      </c>
      <c r="AE907" s="1">
        <v>72.961887477313894</v>
      </c>
      <c r="AF907" s="1">
        <v>3857</v>
      </c>
      <c r="AG907" s="1">
        <v>58723.199999999997</v>
      </c>
      <c r="AH907" s="215">
        <f t="shared" si="138"/>
        <v>-7.0671593184848946E-3</v>
      </c>
      <c r="AI907" s="215">
        <f t="shared" si="133"/>
        <v>-8.8797814207650649E-3</v>
      </c>
      <c r="AJ907" s="231">
        <v>281414</v>
      </c>
      <c r="AL907" s="254"/>
      <c r="AQ907" s="215" t="str">
        <f t="shared" si="139"/>
        <v>NA</v>
      </c>
      <c r="AR907" s="215" t="str">
        <f t="shared" si="134"/>
        <v>NA</v>
      </c>
    </row>
    <row r="908" spans="2:44">
      <c r="B908" s="230">
        <v>44421</v>
      </c>
      <c r="C908" s="1">
        <v>377.4</v>
      </c>
      <c r="D908" s="1">
        <v>378.14214362850902</v>
      </c>
      <c r="E908" s="1">
        <v>14816</v>
      </c>
      <c r="F908" s="215">
        <v>55437.29</v>
      </c>
      <c r="G908" s="215">
        <f t="shared" si="135"/>
        <v>-2.6139484709057914E-3</v>
      </c>
      <c r="H908" s="215">
        <f t="shared" si="130"/>
        <v>-5.9087509349289524E-2</v>
      </c>
      <c r="I908" s="231">
        <v>5602554</v>
      </c>
      <c r="K908" s="230">
        <v>44420</v>
      </c>
      <c r="L908" s="1">
        <v>1406.15</v>
      </c>
      <c r="M908" s="1">
        <v>1403.69053824362</v>
      </c>
      <c r="N908" s="1">
        <v>8825</v>
      </c>
      <c r="O908" s="1">
        <v>54843.98</v>
      </c>
      <c r="P908" s="215">
        <f t="shared" si="136"/>
        <v>-1.0702362976256596E-2</v>
      </c>
      <c r="Q908" s="215">
        <f t="shared" si="131"/>
        <v>5.2625669049668922E-2</v>
      </c>
      <c r="R908" s="231">
        <v>12387569</v>
      </c>
      <c r="T908" s="230">
        <v>44420</v>
      </c>
      <c r="U908" s="1">
        <v>75.599999999999994</v>
      </c>
      <c r="V908" s="1">
        <v>74.667956191721203</v>
      </c>
      <c r="W908" s="1">
        <v>74963</v>
      </c>
      <c r="X908" s="1">
        <v>54843.98</v>
      </c>
      <c r="Y908" s="215">
        <f t="shared" si="137"/>
        <v>-1.0702362976256596E-2</v>
      </c>
      <c r="Z908" s="215">
        <f t="shared" si="132"/>
        <v>1.272605492297374E-2</v>
      </c>
      <c r="AA908" s="231">
        <v>5597334</v>
      </c>
      <c r="AC908" s="230">
        <v>44455</v>
      </c>
      <c r="AD908" s="1">
        <v>73.2</v>
      </c>
      <c r="AE908" s="1">
        <v>73.069547325102803</v>
      </c>
      <c r="AF908" s="1">
        <v>4860</v>
      </c>
      <c r="AG908" s="1">
        <v>59141.16</v>
      </c>
      <c r="AH908" s="215">
        <f t="shared" si="138"/>
        <v>2.122648662927995E-3</v>
      </c>
      <c r="AI908" s="215">
        <f t="shared" si="133"/>
        <v>3.8297872340425476E-2</v>
      </c>
      <c r="AJ908" s="231">
        <v>355118</v>
      </c>
      <c r="AL908" s="254"/>
      <c r="AQ908" s="215" t="str">
        <f t="shared" si="139"/>
        <v>NA</v>
      </c>
      <c r="AR908" s="215" t="str">
        <f t="shared" si="134"/>
        <v>NA</v>
      </c>
    </row>
    <row r="909" spans="2:44">
      <c r="B909" s="230">
        <v>44424</v>
      </c>
      <c r="C909" s="1">
        <v>401.1</v>
      </c>
      <c r="D909" s="1">
        <v>404.97114263505603</v>
      </c>
      <c r="E909" s="1">
        <v>30876</v>
      </c>
      <c r="F909" s="215">
        <v>55582.58</v>
      </c>
      <c r="G909" s="215">
        <f t="shared" si="135"/>
        <v>-3.7584059583880558E-3</v>
      </c>
      <c r="H909" s="215">
        <f t="shared" si="130"/>
        <v>-8.8954781319494636E-3</v>
      </c>
      <c r="I909" s="231">
        <v>12503889</v>
      </c>
      <c r="K909" s="230">
        <v>44421</v>
      </c>
      <c r="L909" s="1">
        <v>1335.85</v>
      </c>
      <c r="M909" s="1">
        <v>1351.2658607753201</v>
      </c>
      <c r="N909" s="1">
        <v>11995</v>
      </c>
      <c r="O909" s="1">
        <v>55437.29</v>
      </c>
      <c r="P909" s="215">
        <f t="shared" si="136"/>
        <v>-2.6139484709057914E-3</v>
      </c>
      <c r="Q909" s="215">
        <f t="shared" si="131"/>
        <v>7.1625136653221677E-3</v>
      </c>
      <c r="R909" s="231">
        <v>16208434</v>
      </c>
      <c r="T909" s="230">
        <v>44421</v>
      </c>
      <c r="U909" s="1">
        <v>74.650000000000006</v>
      </c>
      <c r="V909" s="1">
        <v>75.234296335323705</v>
      </c>
      <c r="W909" s="1">
        <v>136656</v>
      </c>
      <c r="X909" s="1">
        <v>55437.29</v>
      </c>
      <c r="Y909" s="215">
        <f t="shared" si="137"/>
        <v>-2.6139484709057914E-3</v>
      </c>
      <c r="Z909" s="215">
        <f t="shared" si="132"/>
        <v>-4.6666666666665968E-3</v>
      </c>
      <c r="AA909" s="231">
        <v>10281218</v>
      </c>
      <c r="AC909" s="230">
        <v>44456</v>
      </c>
      <c r="AD909" s="1">
        <v>70.5</v>
      </c>
      <c r="AE909" s="1">
        <v>71.8788866891813</v>
      </c>
      <c r="AF909" s="1">
        <v>8587</v>
      </c>
      <c r="AG909" s="1">
        <v>59015.89</v>
      </c>
      <c r="AH909" s="215">
        <f t="shared" si="138"/>
        <v>8.9750667325685374E-3</v>
      </c>
      <c r="AI909" s="215">
        <f t="shared" si="133"/>
        <v>5.0670640834575398E-2</v>
      </c>
      <c r="AJ909" s="231">
        <v>617224</v>
      </c>
      <c r="AL909" s="254"/>
      <c r="AQ909" s="215" t="str">
        <f t="shared" si="139"/>
        <v>NA</v>
      </c>
      <c r="AR909" s="215" t="str">
        <f t="shared" si="134"/>
        <v>NA</v>
      </c>
    </row>
    <row r="910" spans="2:44">
      <c r="B910" s="230">
        <v>44425</v>
      </c>
      <c r="C910" s="1">
        <v>404.7</v>
      </c>
      <c r="D910" s="1">
        <v>405.837832372864</v>
      </c>
      <c r="E910" s="1">
        <v>9891</v>
      </c>
      <c r="F910" s="215">
        <v>55792.27</v>
      </c>
      <c r="G910" s="215">
        <f t="shared" si="135"/>
        <v>2.926145826610993E-3</v>
      </c>
      <c r="H910" s="215">
        <f t="shared" ref="H910:H973" si="140">IF(ISERROR(C910/C911-1),"NA",C910/C911-1)</f>
        <v>3.3584471970374175E-2</v>
      </c>
      <c r="I910" s="231">
        <v>4014142</v>
      </c>
      <c r="K910" s="230">
        <v>44424</v>
      </c>
      <c r="L910" s="1">
        <v>1326.35</v>
      </c>
      <c r="M910" s="1">
        <v>1296.8330539394501</v>
      </c>
      <c r="N910" s="1">
        <v>20282</v>
      </c>
      <c r="O910" s="1">
        <v>55582.58</v>
      </c>
      <c r="P910" s="215">
        <f t="shared" si="136"/>
        <v>-3.7584059583880558E-3</v>
      </c>
      <c r="Q910" s="215">
        <f t="shared" ref="Q910:Q973" si="141">IF(ISERROR(L910/L911-1),"NA",L910/L911-1)</f>
        <v>1.8037379590896796E-2</v>
      </c>
      <c r="R910" s="231">
        <v>26302368</v>
      </c>
      <c r="T910" s="230">
        <v>44424</v>
      </c>
      <c r="U910" s="1">
        <v>75</v>
      </c>
      <c r="V910" s="1">
        <v>74.474548653169506</v>
      </c>
      <c r="W910" s="1">
        <v>138696</v>
      </c>
      <c r="X910" s="1">
        <v>55582.58</v>
      </c>
      <c r="Y910" s="215">
        <f t="shared" si="137"/>
        <v>-3.7584059583880558E-3</v>
      </c>
      <c r="Z910" s="215">
        <f t="shared" ref="Z910:Z973" si="142">IF(ISERROR(U910/U911-1),"NA",U910/U911-1)</f>
        <v>2.3890784982935065E-2</v>
      </c>
      <c r="AA910" s="231">
        <v>10329322</v>
      </c>
      <c r="AC910" s="230">
        <v>44459</v>
      </c>
      <c r="AD910" s="1">
        <v>67.099999999999994</v>
      </c>
      <c r="AE910" s="1">
        <v>68.157510080645096</v>
      </c>
      <c r="AF910" s="1">
        <v>11904</v>
      </c>
      <c r="AG910" s="1">
        <v>58490.93</v>
      </c>
      <c r="AH910" s="215">
        <f t="shared" si="138"/>
        <v>-8.7168485120057149E-3</v>
      </c>
      <c r="AI910" s="215">
        <f t="shared" ref="AI910:AI973" si="143">IF(ISERROR(AD910/AD911-1),"NA",AD910/AD911-1)</f>
        <v>-8.5207907293796903E-2</v>
      </c>
      <c r="AJ910" s="231">
        <v>811347</v>
      </c>
      <c r="AL910" s="254"/>
      <c r="AQ910" s="215" t="str">
        <f t="shared" si="139"/>
        <v>NA</v>
      </c>
      <c r="AR910" s="215" t="str">
        <f t="shared" ref="AR910:AR973" si="144">IF(ISERROR(AM910/AM911-1),"NA",AM910/AM911-1)</f>
        <v>NA</v>
      </c>
    </row>
    <row r="911" spans="2:44">
      <c r="B911" s="230">
        <v>44426</v>
      </c>
      <c r="C911" s="1">
        <v>391.55</v>
      </c>
      <c r="D911" s="1">
        <v>394.56145702494098</v>
      </c>
      <c r="E911" s="1">
        <v>5573</v>
      </c>
      <c r="F911" s="215">
        <v>55629.49</v>
      </c>
      <c r="G911" s="215">
        <f t="shared" ref="G911:G974" si="145">IF(ISERROR(F911/F912-1),"NA",F911/F912-1)</f>
        <v>5.425152523110599E-3</v>
      </c>
      <c r="H911" s="215">
        <f t="shared" si="140"/>
        <v>5.5960086299892131E-2</v>
      </c>
      <c r="I911" s="231">
        <v>2198891</v>
      </c>
      <c r="K911" s="230">
        <v>44425</v>
      </c>
      <c r="L911" s="1">
        <v>1302.8499999999999</v>
      </c>
      <c r="M911" s="1">
        <v>1316.1989956790801</v>
      </c>
      <c r="N911" s="1">
        <v>8563</v>
      </c>
      <c r="O911" s="1">
        <v>55792.27</v>
      </c>
      <c r="P911" s="215">
        <f t="shared" ref="P911:P974" si="146">IF(ISERROR(O911/O912-1),"NA",O911/O912-1)</f>
        <v>2.926145826610993E-3</v>
      </c>
      <c r="Q911" s="215">
        <f t="shared" si="141"/>
        <v>-5.0022911257066038E-3</v>
      </c>
      <c r="R911" s="231">
        <v>11270612</v>
      </c>
      <c r="T911" s="230">
        <v>44425</v>
      </c>
      <c r="U911" s="1">
        <v>73.25</v>
      </c>
      <c r="V911" s="1">
        <v>74.067136947670406</v>
      </c>
      <c r="W911" s="1">
        <v>123047</v>
      </c>
      <c r="X911" s="1">
        <v>55792.27</v>
      </c>
      <c r="Y911" s="215">
        <f t="shared" ref="Y911:Y974" si="147">IF(ISERROR(X911/X912-1),"NA",X911/X912-1)</f>
        <v>2.926145826610993E-3</v>
      </c>
      <c r="Z911" s="215">
        <f t="shared" si="142"/>
        <v>3.0239099859353136E-2</v>
      </c>
      <c r="AA911" s="231">
        <v>9113739</v>
      </c>
      <c r="AC911" s="230">
        <v>44460</v>
      </c>
      <c r="AD911" s="1">
        <v>73.349999999999994</v>
      </c>
      <c r="AE911" s="1">
        <v>73.197895507975005</v>
      </c>
      <c r="AF911" s="1">
        <v>30031</v>
      </c>
      <c r="AG911" s="1">
        <v>59005.27</v>
      </c>
      <c r="AH911" s="215">
        <f t="shared" ref="AH911:AH974" si="148">IF(ISERROR(AG911/AG912-1),"NA",AG911/AG912-1)</f>
        <v>1.3226460455615374E-3</v>
      </c>
      <c r="AI911" s="215">
        <f t="shared" si="143"/>
        <v>-3.3967391304348116E-3</v>
      </c>
      <c r="AJ911" s="231">
        <v>2198206</v>
      </c>
      <c r="AL911" s="254"/>
      <c r="AQ911" s="215" t="str">
        <f t="shared" ref="AQ911:AQ974" si="149">IF(ISERROR(AP911/AP912-1),"NA",AP911/AP912-1)</f>
        <v>NA</v>
      </c>
      <c r="AR911" s="215" t="str">
        <f t="shared" si="144"/>
        <v>NA</v>
      </c>
    </row>
    <row r="912" spans="2:44">
      <c r="B912" s="230">
        <v>44428</v>
      </c>
      <c r="C912" s="1">
        <v>370.8</v>
      </c>
      <c r="D912" s="1">
        <v>374.38729486500699</v>
      </c>
      <c r="E912" s="1">
        <v>9445</v>
      </c>
      <c r="F912" s="215">
        <v>55329.32</v>
      </c>
      <c r="G912" s="215">
        <f t="shared" si="145"/>
        <v>-4.0764427974113726E-3</v>
      </c>
      <c r="H912" s="215">
        <f t="shared" si="140"/>
        <v>3.532039648192109E-2</v>
      </c>
      <c r="I912" s="231">
        <v>3536088</v>
      </c>
      <c r="K912" s="230">
        <v>44426</v>
      </c>
      <c r="L912" s="1">
        <v>1309.4000000000001</v>
      </c>
      <c r="M912" s="1">
        <v>1315.72552034058</v>
      </c>
      <c r="N912" s="1">
        <v>8456</v>
      </c>
      <c r="O912" s="1">
        <v>55629.49</v>
      </c>
      <c r="P912" s="215">
        <f t="shared" si="146"/>
        <v>5.425152523110599E-3</v>
      </c>
      <c r="Q912" s="215">
        <f t="shared" si="141"/>
        <v>5.2614654929860505E-2</v>
      </c>
      <c r="R912" s="231">
        <v>11125775</v>
      </c>
      <c r="T912" s="230">
        <v>44426</v>
      </c>
      <c r="U912" s="1">
        <v>71.099999999999994</v>
      </c>
      <c r="V912" s="1">
        <v>72.117834192275794</v>
      </c>
      <c r="W912" s="1">
        <v>62868</v>
      </c>
      <c r="X912" s="1">
        <v>55629.49</v>
      </c>
      <c r="Y912" s="215">
        <f t="shared" si="147"/>
        <v>5.425152523110599E-3</v>
      </c>
      <c r="Z912" s="215">
        <f t="shared" si="142"/>
        <v>5.7249070631970156E-2</v>
      </c>
      <c r="AA912" s="231">
        <v>4533904</v>
      </c>
      <c r="AC912" s="230">
        <v>44461</v>
      </c>
      <c r="AD912" s="1">
        <v>73.599999999999994</v>
      </c>
      <c r="AE912" s="1">
        <v>73.693263430048802</v>
      </c>
      <c r="AF912" s="1">
        <v>13924</v>
      </c>
      <c r="AG912" s="1">
        <v>58927.33</v>
      </c>
      <c r="AH912" s="215">
        <f t="shared" si="148"/>
        <v>-1.5997733001855474E-2</v>
      </c>
      <c r="AI912" s="215">
        <f t="shared" si="143"/>
        <v>1.8685121107266278E-2</v>
      </c>
      <c r="AJ912" s="231">
        <v>1026105</v>
      </c>
      <c r="AL912" s="254"/>
      <c r="AQ912" s="215" t="str">
        <f t="shared" si="149"/>
        <v>NA</v>
      </c>
      <c r="AR912" s="215" t="str">
        <f t="shared" si="144"/>
        <v>NA</v>
      </c>
    </row>
    <row r="913" spans="2:44">
      <c r="B913" s="230">
        <v>44431</v>
      </c>
      <c r="C913" s="1">
        <v>358.15</v>
      </c>
      <c r="D913" s="1">
        <v>363.42439794709799</v>
      </c>
      <c r="E913" s="1">
        <v>10132</v>
      </c>
      <c r="F913" s="215">
        <v>55555.79</v>
      </c>
      <c r="G913" s="215">
        <f t="shared" si="145"/>
        <v>-7.2050991637089279E-3</v>
      </c>
      <c r="H913" s="215">
        <f t="shared" si="140"/>
        <v>1.6780869808417087E-3</v>
      </c>
      <c r="I913" s="231">
        <v>3682216</v>
      </c>
      <c r="K913" s="230">
        <v>44428</v>
      </c>
      <c r="L913" s="1">
        <v>1243.95</v>
      </c>
      <c r="M913" s="1">
        <v>1243.94988925802</v>
      </c>
      <c r="N913" s="1">
        <v>7224</v>
      </c>
      <c r="O913" s="1">
        <v>55329.32</v>
      </c>
      <c r="P913" s="215">
        <f t="shared" si="146"/>
        <v>-4.0764427974113726E-3</v>
      </c>
      <c r="Q913" s="215">
        <f t="shared" si="141"/>
        <v>5.2589270604163296E-2</v>
      </c>
      <c r="R913" s="231">
        <v>8986294</v>
      </c>
      <c r="T913" s="230">
        <v>44428</v>
      </c>
      <c r="U913" s="1">
        <v>67.25</v>
      </c>
      <c r="V913" s="1">
        <v>68.345875343721303</v>
      </c>
      <c r="W913" s="1">
        <v>87280</v>
      </c>
      <c r="X913" s="1">
        <v>55329.32</v>
      </c>
      <c r="Y913" s="215">
        <f t="shared" si="147"/>
        <v>-4.0764427974113726E-3</v>
      </c>
      <c r="Z913" s="215">
        <f t="shared" si="142"/>
        <v>7.6000000000000068E-2</v>
      </c>
      <c r="AA913" s="231">
        <v>5965228</v>
      </c>
      <c r="AC913" s="230">
        <v>44462</v>
      </c>
      <c r="AD913" s="1">
        <v>72.25</v>
      </c>
      <c r="AE913" s="1">
        <v>73.261634728197095</v>
      </c>
      <c r="AF913" s="1">
        <v>7671</v>
      </c>
      <c r="AG913" s="1">
        <v>59885.36</v>
      </c>
      <c r="AH913" s="215">
        <f t="shared" si="148"/>
        <v>-2.7163056777300687E-3</v>
      </c>
      <c r="AI913" s="215">
        <f t="shared" si="143"/>
        <v>2.7007818052594335E-2</v>
      </c>
      <c r="AJ913" s="231">
        <v>561990</v>
      </c>
      <c r="AL913" s="254"/>
      <c r="AQ913" s="215" t="str">
        <f t="shared" si="149"/>
        <v>NA</v>
      </c>
      <c r="AR913" s="215" t="str">
        <f t="shared" si="144"/>
        <v>NA</v>
      </c>
    </row>
    <row r="914" spans="2:44">
      <c r="B914" s="230">
        <v>44432</v>
      </c>
      <c r="C914" s="1">
        <v>357.55</v>
      </c>
      <c r="D914" s="1">
        <v>356.16403641881601</v>
      </c>
      <c r="E914" s="1">
        <v>13180</v>
      </c>
      <c r="F914" s="215">
        <v>55958.98</v>
      </c>
      <c r="G914" s="215">
        <f t="shared" si="145"/>
        <v>2.6401302297429652E-4</v>
      </c>
      <c r="H914" s="215">
        <f t="shared" si="140"/>
        <v>-4.454963107336618E-3</v>
      </c>
      <c r="I914" s="231">
        <v>4694242</v>
      </c>
      <c r="K914" s="230">
        <v>44431</v>
      </c>
      <c r="L914" s="1">
        <v>1181.8</v>
      </c>
      <c r="M914" s="1">
        <v>1181.7999496728701</v>
      </c>
      <c r="N914" s="1">
        <v>3974</v>
      </c>
      <c r="O914" s="1">
        <v>55555.79</v>
      </c>
      <c r="P914" s="215">
        <f t="shared" si="146"/>
        <v>-7.2050991637089279E-3</v>
      </c>
      <c r="Q914" s="215">
        <f t="shared" si="141"/>
        <v>4.3854612904650425E-2</v>
      </c>
      <c r="R914" s="231">
        <v>4696473</v>
      </c>
      <c r="T914" s="230">
        <v>44431</v>
      </c>
      <c r="U914" s="1">
        <v>62.5</v>
      </c>
      <c r="V914" s="1">
        <v>63.299341367954597</v>
      </c>
      <c r="W914" s="1">
        <v>347994</v>
      </c>
      <c r="X914" s="1">
        <v>55555.79</v>
      </c>
      <c r="Y914" s="215">
        <f t="shared" si="147"/>
        <v>-7.2050991637089279E-3</v>
      </c>
      <c r="Z914" s="215">
        <f t="shared" si="142"/>
        <v>-3.3255993812838391E-2</v>
      </c>
      <c r="AA914" s="231">
        <v>22027791</v>
      </c>
      <c r="AC914" s="230">
        <v>44463</v>
      </c>
      <c r="AD914" s="1">
        <v>70.349999999999994</v>
      </c>
      <c r="AE914" s="1">
        <v>71.527010804321705</v>
      </c>
      <c r="AF914" s="1">
        <v>833</v>
      </c>
      <c r="AG914" s="1">
        <v>60048.47</v>
      </c>
      <c r="AH914" s="215">
        <f t="shared" si="148"/>
        <v>-4.895312550975417E-4</v>
      </c>
      <c r="AI914" s="215">
        <f t="shared" si="143"/>
        <v>1.1502516175413424E-2</v>
      </c>
      <c r="AJ914" s="231">
        <v>59582</v>
      </c>
      <c r="AL914" s="254"/>
      <c r="AQ914" s="215" t="str">
        <f t="shared" si="149"/>
        <v>NA</v>
      </c>
      <c r="AR914" s="215" t="str">
        <f t="shared" si="144"/>
        <v>NA</v>
      </c>
    </row>
    <row r="915" spans="2:44">
      <c r="B915" s="230">
        <v>44433</v>
      </c>
      <c r="C915" s="1">
        <v>359.15</v>
      </c>
      <c r="D915" s="1">
        <v>357.48368898699999</v>
      </c>
      <c r="E915" s="1">
        <v>20385</v>
      </c>
      <c r="F915" s="215">
        <v>55944.21</v>
      </c>
      <c r="G915" s="215">
        <f t="shared" si="145"/>
        <v>-8.7400869719034269E-5</v>
      </c>
      <c r="H915" s="215">
        <f t="shared" si="140"/>
        <v>-2.6429926809433457E-2</v>
      </c>
      <c r="I915" s="231">
        <v>7287305</v>
      </c>
      <c r="K915" s="230">
        <v>44432</v>
      </c>
      <c r="L915" s="1">
        <v>1132.1500000000001</v>
      </c>
      <c r="M915" s="1">
        <v>1133.5048756876699</v>
      </c>
      <c r="N915" s="1">
        <v>42353</v>
      </c>
      <c r="O915" s="1">
        <v>55958.98</v>
      </c>
      <c r="P915" s="215">
        <f t="shared" si="146"/>
        <v>2.6401302297429652E-4</v>
      </c>
      <c r="Q915" s="215">
        <f t="shared" si="141"/>
        <v>-4.5720314766780623E-3</v>
      </c>
      <c r="R915" s="231">
        <v>48007332</v>
      </c>
      <c r="T915" s="230">
        <v>44432</v>
      </c>
      <c r="U915" s="1">
        <v>64.650000000000006</v>
      </c>
      <c r="V915" s="1">
        <v>63.799476448030298</v>
      </c>
      <c r="W915" s="1">
        <v>190621</v>
      </c>
      <c r="X915" s="1">
        <v>55958.98</v>
      </c>
      <c r="Y915" s="215">
        <f t="shared" si="147"/>
        <v>2.6401302297429652E-4</v>
      </c>
      <c r="Z915" s="215">
        <f t="shared" si="142"/>
        <v>-1.4481707317072989E-2</v>
      </c>
      <c r="AA915" s="231">
        <v>12161520</v>
      </c>
      <c r="AC915" s="230">
        <v>44466</v>
      </c>
      <c r="AD915" s="1">
        <v>69.55</v>
      </c>
      <c r="AE915" s="1">
        <v>69.505421184320198</v>
      </c>
      <c r="AF915" s="1">
        <v>2398</v>
      </c>
      <c r="AG915" s="1">
        <v>60077.88</v>
      </c>
      <c r="AH915" s="215">
        <f t="shared" si="148"/>
        <v>6.876093558312979E-3</v>
      </c>
      <c r="AI915" s="215">
        <f t="shared" si="143"/>
        <v>-5.0511945392491486E-2</v>
      </c>
      <c r="AJ915" s="231">
        <v>166674</v>
      </c>
      <c r="AL915" s="254"/>
      <c r="AQ915" s="215" t="str">
        <f t="shared" si="149"/>
        <v>NA</v>
      </c>
      <c r="AR915" s="215" t="str">
        <f t="shared" si="144"/>
        <v>NA</v>
      </c>
    </row>
    <row r="916" spans="2:44">
      <c r="B916" s="230">
        <v>44434</v>
      </c>
      <c r="C916" s="1">
        <v>368.9</v>
      </c>
      <c r="D916" s="1">
        <v>366.68378694761401</v>
      </c>
      <c r="E916" s="1">
        <v>6834</v>
      </c>
      <c r="F916" s="215">
        <v>55949.1</v>
      </c>
      <c r="G916" s="215">
        <f t="shared" si="145"/>
        <v>-3.1291024703553605E-3</v>
      </c>
      <c r="H916" s="215">
        <f t="shared" si="140"/>
        <v>1.0684931506849349E-2</v>
      </c>
      <c r="I916" s="231">
        <v>2505917</v>
      </c>
      <c r="K916" s="230">
        <v>44433</v>
      </c>
      <c r="L916" s="1">
        <v>1137.3499999999999</v>
      </c>
      <c r="M916" s="1">
        <v>1129.36144963014</v>
      </c>
      <c r="N916" s="1">
        <v>18791</v>
      </c>
      <c r="O916" s="1">
        <v>55944.21</v>
      </c>
      <c r="P916" s="215">
        <f t="shared" si="146"/>
        <v>-8.7400869719034269E-5</v>
      </c>
      <c r="Q916" s="215">
        <f t="shared" si="141"/>
        <v>5.2419727954103656E-2</v>
      </c>
      <c r="R916" s="231">
        <v>21221831</v>
      </c>
      <c r="T916" s="230">
        <v>44433</v>
      </c>
      <c r="U916" s="1">
        <v>65.599999999999994</v>
      </c>
      <c r="V916" s="1">
        <v>65.607017169670399</v>
      </c>
      <c r="W916" s="1">
        <v>56262</v>
      </c>
      <c r="X916" s="1">
        <v>55944.21</v>
      </c>
      <c r="Y916" s="215">
        <f t="shared" si="147"/>
        <v>-8.7400869719034269E-5</v>
      </c>
      <c r="Z916" s="215">
        <f t="shared" si="142"/>
        <v>5.3639846743294139E-3</v>
      </c>
      <c r="AA916" s="231">
        <v>3691182</v>
      </c>
      <c r="AC916" s="230">
        <v>44467</v>
      </c>
      <c r="AD916" s="1">
        <v>73.25</v>
      </c>
      <c r="AE916" s="1">
        <v>72.929019607843102</v>
      </c>
      <c r="AF916" s="1">
        <v>2550</v>
      </c>
      <c r="AG916" s="1">
        <v>59667.6</v>
      </c>
      <c r="AH916" s="215">
        <f t="shared" si="148"/>
        <v>4.2806935218344666E-3</v>
      </c>
      <c r="AI916" s="215">
        <f t="shared" si="143"/>
        <v>-5.239327296248375E-2</v>
      </c>
      <c r="AJ916" s="231">
        <v>185969</v>
      </c>
      <c r="AL916" s="254"/>
      <c r="AQ916" s="215" t="str">
        <f t="shared" si="149"/>
        <v>NA</v>
      </c>
      <c r="AR916" s="215" t="str">
        <f t="shared" si="144"/>
        <v>NA</v>
      </c>
    </row>
    <row r="917" spans="2:44">
      <c r="B917" s="230">
        <v>44435</v>
      </c>
      <c r="C917" s="1">
        <v>365</v>
      </c>
      <c r="D917" s="1">
        <v>365.13703764053997</v>
      </c>
      <c r="E917" s="1">
        <v>6137</v>
      </c>
      <c r="F917" s="215">
        <v>56124.72</v>
      </c>
      <c r="G917" s="215">
        <f t="shared" si="145"/>
        <v>-1.3447762831131693E-2</v>
      </c>
      <c r="H917" s="215">
        <f t="shared" si="140"/>
        <v>-2.3542001070090968E-2</v>
      </c>
      <c r="I917" s="231">
        <v>2240846</v>
      </c>
      <c r="K917" s="230">
        <v>44434</v>
      </c>
      <c r="L917" s="1">
        <v>1080.7</v>
      </c>
      <c r="M917" s="1">
        <v>1091.3375043691001</v>
      </c>
      <c r="N917" s="1">
        <v>14305</v>
      </c>
      <c r="O917" s="1">
        <v>55949.1</v>
      </c>
      <c r="P917" s="215">
        <f t="shared" si="146"/>
        <v>-3.1291024703553605E-3</v>
      </c>
      <c r="Q917" s="215">
        <f t="shared" si="141"/>
        <v>-4.7211813973991545E-2</v>
      </c>
      <c r="R917" s="231">
        <v>15611583</v>
      </c>
      <c r="T917" s="230">
        <v>44434</v>
      </c>
      <c r="U917" s="1">
        <v>65.25</v>
      </c>
      <c r="V917" s="1">
        <v>65.360609247642998</v>
      </c>
      <c r="W917" s="1">
        <v>53246</v>
      </c>
      <c r="X917" s="1">
        <v>55949.1</v>
      </c>
      <c r="Y917" s="215">
        <f t="shared" si="147"/>
        <v>-3.1291024703553605E-3</v>
      </c>
      <c r="Z917" s="215">
        <f t="shared" si="142"/>
        <v>-6.0929169840061581E-3</v>
      </c>
      <c r="AA917" s="231">
        <v>3480191</v>
      </c>
      <c r="AC917" s="230">
        <v>44468</v>
      </c>
      <c r="AD917" s="1">
        <v>77.3</v>
      </c>
      <c r="AE917" s="1">
        <v>78.847598543723294</v>
      </c>
      <c r="AF917" s="1">
        <v>57132</v>
      </c>
      <c r="AG917" s="1">
        <v>59413.27</v>
      </c>
      <c r="AH917" s="215">
        <f t="shared" si="148"/>
        <v>4.8524888053314008E-3</v>
      </c>
      <c r="AI917" s="215">
        <f t="shared" si="143"/>
        <v>3.2732130928523784E-2</v>
      </c>
      <c r="AJ917" s="231">
        <v>4504721</v>
      </c>
      <c r="AL917" s="254"/>
      <c r="AQ917" s="215" t="str">
        <f t="shared" si="149"/>
        <v>NA</v>
      </c>
      <c r="AR917" s="215" t="str">
        <f t="shared" si="144"/>
        <v>NA</v>
      </c>
    </row>
    <row r="918" spans="2:44">
      <c r="B918" s="230">
        <v>44438</v>
      </c>
      <c r="C918" s="1">
        <v>373.8</v>
      </c>
      <c r="D918" s="1">
        <v>372.743182602692</v>
      </c>
      <c r="E918" s="1">
        <v>5794</v>
      </c>
      <c r="F918" s="215">
        <v>56889.760000000002</v>
      </c>
      <c r="G918" s="215">
        <f t="shared" si="145"/>
        <v>-1.1513509690909363E-2</v>
      </c>
      <c r="H918" s="215">
        <f t="shared" si="140"/>
        <v>3.7593984962407401E-3</v>
      </c>
      <c r="I918" s="231">
        <v>2159674</v>
      </c>
      <c r="K918" s="230">
        <v>44435</v>
      </c>
      <c r="L918" s="1">
        <v>1134.25</v>
      </c>
      <c r="M918" s="1">
        <v>1106.10188211427</v>
      </c>
      <c r="N918" s="1">
        <v>17746</v>
      </c>
      <c r="O918" s="1">
        <v>56124.72</v>
      </c>
      <c r="P918" s="215">
        <f t="shared" si="146"/>
        <v>-1.3447762831131693E-2</v>
      </c>
      <c r="Q918" s="215">
        <f t="shared" si="141"/>
        <v>-3.1672856106202185E-2</v>
      </c>
      <c r="R918" s="231">
        <v>19628884</v>
      </c>
      <c r="T918" s="230">
        <v>44435</v>
      </c>
      <c r="U918" s="1">
        <v>65.650000000000006</v>
      </c>
      <c r="V918" s="1">
        <v>65.9730423470928</v>
      </c>
      <c r="W918" s="1">
        <v>86098</v>
      </c>
      <c r="X918" s="1">
        <v>56124.72</v>
      </c>
      <c r="Y918" s="215">
        <f t="shared" si="147"/>
        <v>-1.3447762831131693E-2</v>
      </c>
      <c r="Z918" s="215">
        <f t="shared" si="142"/>
        <v>-3.3136966126656842E-2</v>
      </c>
      <c r="AA918" s="231">
        <v>5680147</v>
      </c>
      <c r="AC918" s="230">
        <v>44469</v>
      </c>
      <c r="AD918" s="1">
        <v>74.849999999999994</v>
      </c>
      <c r="AE918" s="1">
        <v>76.404132148917</v>
      </c>
      <c r="AF918" s="1">
        <v>10019</v>
      </c>
      <c r="AG918" s="1">
        <v>59126.36</v>
      </c>
      <c r="AH918" s="215">
        <f t="shared" si="148"/>
        <v>6.1393080779599263E-3</v>
      </c>
      <c r="AI918" s="215">
        <f t="shared" si="143"/>
        <v>-1.7716535433070946E-2</v>
      </c>
      <c r="AJ918" s="231">
        <v>765493</v>
      </c>
      <c r="AL918" s="254"/>
      <c r="AQ918" s="215" t="str">
        <f t="shared" si="149"/>
        <v>NA</v>
      </c>
      <c r="AR918" s="215" t="str">
        <f t="shared" si="144"/>
        <v>NA</v>
      </c>
    </row>
    <row r="919" spans="2:44">
      <c r="B919" s="230">
        <v>44439</v>
      </c>
      <c r="C919" s="1">
        <v>372.4</v>
      </c>
      <c r="D919" s="1">
        <v>372.15587599134801</v>
      </c>
      <c r="E919" s="1">
        <v>6935</v>
      </c>
      <c r="F919" s="215">
        <v>57552.39</v>
      </c>
      <c r="G919" s="215">
        <f t="shared" si="145"/>
        <v>3.7353799499495466E-3</v>
      </c>
      <c r="H919" s="215">
        <f t="shared" si="140"/>
        <v>-4.2780748663102663E-3</v>
      </c>
      <c r="I919" s="231">
        <v>2580901</v>
      </c>
      <c r="K919" s="230">
        <v>44438</v>
      </c>
      <c r="L919" s="1">
        <v>1171.3499999999999</v>
      </c>
      <c r="M919" s="1">
        <v>1169.9560155239301</v>
      </c>
      <c r="N919" s="1">
        <v>11595</v>
      </c>
      <c r="O919" s="1">
        <v>56889.760000000002</v>
      </c>
      <c r="P919" s="215">
        <f t="shared" si="146"/>
        <v>-1.1513509690909363E-2</v>
      </c>
      <c r="Q919" s="215">
        <f t="shared" si="141"/>
        <v>1.4595062797747804E-2</v>
      </c>
      <c r="R919" s="231">
        <v>13565640</v>
      </c>
      <c r="T919" s="230">
        <v>44438</v>
      </c>
      <c r="U919" s="1">
        <v>67.900000000000006</v>
      </c>
      <c r="V919" s="1">
        <v>67.809135747822296</v>
      </c>
      <c r="W919" s="1">
        <v>126514</v>
      </c>
      <c r="X919" s="1">
        <v>56889.760000000002</v>
      </c>
      <c r="Y919" s="215">
        <f t="shared" si="147"/>
        <v>-1.1513509690909363E-2</v>
      </c>
      <c r="Z919" s="215">
        <f t="shared" si="142"/>
        <v>-5.8565153733527442E-3</v>
      </c>
      <c r="AA919" s="231">
        <v>8578805</v>
      </c>
      <c r="AC919" s="230">
        <v>44470</v>
      </c>
      <c r="AD919" s="1">
        <v>76.2</v>
      </c>
      <c r="AE919" s="1">
        <v>76.613833455229297</v>
      </c>
      <c r="AF919" s="1">
        <v>9571</v>
      </c>
      <c r="AG919" s="1">
        <v>58765.58</v>
      </c>
      <c r="AH919" s="215">
        <f t="shared" si="148"/>
        <v>-9.0007777492220331E-3</v>
      </c>
      <c r="AI919" s="215">
        <f t="shared" si="143"/>
        <v>-1.3592233009708687E-2</v>
      </c>
      <c r="AJ919" s="231">
        <v>733271</v>
      </c>
      <c r="AL919" s="254"/>
      <c r="AQ919" s="215" t="str">
        <f t="shared" si="149"/>
        <v>NA</v>
      </c>
      <c r="AR919" s="215" t="str">
        <f t="shared" si="144"/>
        <v>NA</v>
      </c>
    </row>
    <row r="920" spans="2:44">
      <c r="B920" s="230">
        <v>44440</v>
      </c>
      <c r="C920" s="1">
        <v>374</v>
      </c>
      <c r="D920" s="1">
        <v>372.95144654088</v>
      </c>
      <c r="E920" s="1">
        <v>3975</v>
      </c>
      <c r="F920" s="215">
        <v>57338.21</v>
      </c>
      <c r="G920" s="215">
        <f t="shared" si="145"/>
        <v>-8.890361598643759E-3</v>
      </c>
      <c r="H920" s="215">
        <f t="shared" si="140"/>
        <v>-2.666666666666706E-3</v>
      </c>
      <c r="I920" s="231">
        <v>1482482</v>
      </c>
      <c r="K920" s="230">
        <v>44439</v>
      </c>
      <c r="L920" s="1">
        <v>1154.5</v>
      </c>
      <c r="M920" s="1">
        <v>1147.8882514342699</v>
      </c>
      <c r="N920" s="1">
        <v>4009</v>
      </c>
      <c r="O920" s="1">
        <v>57552.39</v>
      </c>
      <c r="P920" s="215">
        <f t="shared" si="146"/>
        <v>3.7353799499495466E-3</v>
      </c>
      <c r="Q920" s="215">
        <f t="shared" si="141"/>
        <v>1.659842381015264E-2</v>
      </c>
      <c r="R920" s="231">
        <v>4601884</v>
      </c>
      <c r="T920" s="230">
        <v>44439</v>
      </c>
      <c r="U920" s="1">
        <v>68.3</v>
      </c>
      <c r="V920" s="1">
        <v>68.5590273168918</v>
      </c>
      <c r="W920" s="1">
        <v>37669</v>
      </c>
      <c r="X920" s="1">
        <v>57552.39</v>
      </c>
      <c r="Y920" s="215">
        <f t="shared" si="147"/>
        <v>3.7353799499495466E-3</v>
      </c>
      <c r="Z920" s="215">
        <f t="shared" si="142"/>
        <v>3.1722054380664666E-2</v>
      </c>
      <c r="AA920" s="231">
        <v>2582550</v>
      </c>
      <c r="AC920" s="230">
        <v>44473</v>
      </c>
      <c r="AD920" s="1">
        <v>77.25</v>
      </c>
      <c r="AE920" s="1">
        <v>77.144326623912605</v>
      </c>
      <c r="AF920" s="1">
        <v>15749</v>
      </c>
      <c r="AG920" s="1">
        <v>59299.32</v>
      </c>
      <c r="AH920" s="215">
        <f t="shared" si="148"/>
        <v>-7.4577101837010051E-3</v>
      </c>
      <c r="AI920" s="215">
        <f t="shared" si="143"/>
        <v>1.3114754098360715E-2</v>
      </c>
      <c r="AJ920" s="231">
        <v>1214946</v>
      </c>
      <c r="AL920" s="254"/>
      <c r="AQ920" s="215" t="str">
        <f t="shared" si="149"/>
        <v>NA</v>
      </c>
      <c r="AR920" s="215" t="str">
        <f t="shared" si="144"/>
        <v>NA</v>
      </c>
    </row>
    <row r="921" spans="2:44">
      <c r="B921" s="230">
        <v>44441</v>
      </c>
      <c r="C921" s="1">
        <v>375</v>
      </c>
      <c r="D921" s="1">
        <v>373.87389380530902</v>
      </c>
      <c r="E921" s="1">
        <v>7232</v>
      </c>
      <c r="F921" s="215">
        <v>57852.54</v>
      </c>
      <c r="G921" s="215">
        <f t="shared" si="145"/>
        <v>-4.772238751280522E-3</v>
      </c>
      <c r="H921" s="215">
        <f t="shared" si="140"/>
        <v>-3.6113610075825808E-2</v>
      </c>
      <c r="I921" s="231">
        <v>2703856</v>
      </c>
      <c r="K921" s="230">
        <v>44440</v>
      </c>
      <c r="L921" s="1">
        <v>1135.6500000000001</v>
      </c>
      <c r="M921" s="1">
        <v>1112.1341227646201</v>
      </c>
      <c r="N921" s="1">
        <v>12414</v>
      </c>
      <c r="O921" s="1">
        <v>57338.21</v>
      </c>
      <c r="P921" s="215">
        <f t="shared" si="146"/>
        <v>-8.890361598643759E-3</v>
      </c>
      <c r="Q921" s="215">
        <f t="shared" si="141"/>
        <v>-1.3121877036715079E-2</v>
      </c>
      <c r="R921" s="231">
        <v>13806033</v>
      </c>
      <c r="T921" s="230">
        <v>44440</v>
      </c>
      <c r="U921" s="1">
        <v>66.2</v>
      </c>
      <c r="V921" s="1">
        <v>66.843119959677395</v>
      </c>
      <c r="W921" s="1">
        <v>39680</v>
      </c>
      <c r="X921" s="1">
        <v>57338.21</v>
      </c>
      <c r="Y921" s="215">
        <f t="shared" si="147"/>
        <v>-8.890361598643759E-3</v>
      </c>
      <c r="Z921" s="215">
        <f t="shared" si="142"/>
        <v>-3.2163742690058506E-2</v>
      </c>
      <c r="AA921" s="231">
        <v>2652335</v>
      </c>
      <c r="AC921" s="230">
        <v>44474</v>
      </c>
      <c r="AD921" s="1">
        <v>76.25</v>
      </c>
      <c r="AE921" s="1">
        <v>76.055401454381794</v>
      </c>
      <c r="AF921" s="1">
        <v>13339</v>
      </c>
      <c r="AG921" s="1">
        <v>59744.88</v>
      </c>
      <c r="AH921" s="215">
        <f t="shared" si="148"/>
        <v>9.3791608780779967E-3</v>
      </c>
      <c r="AI921" s="215">
        <f t="shared" si="143"/>
        <v>-3.2679738562091387E-3</v>
      </c>
      <c r="AJ921" s="231">
        <v>1014503</v>
      </c>
      <c r="AL921" s="254"/>
      <c r="AQ921" s="215" t="str">
        <f t="shared" si="149"/>
        <v>NA</v>
      </c>
      <c r="AR921" s="215" t="str">
        <f t="shared" si="144"/>
        <v>NA</v>
      </c>
    </row>
    <row r="922" spans="2:44">
      <c r="B922" s="230">
        <v>44442</v>
      </c>
      <c r="C922" s="1">
        <v>389.05</v>
      </c>
      <c r="D922" s="1">
        <v>383.90303445128899</v>
      </c>
      <c r="E922" s="1">
        <v>4383</v>
      </c>
      <c r="F922" s="215">
        <v>58129.95</v>
      </c>
      <c r="G922" s="215">
        <f t="shared" si="145"/>
        <v>-2.8639596849988624E-3</v>
      </c>
      <c r="H922" s="215">
        <f t="shared" si="140"/>
        <v>2.0459016393442608E-2</v>
      </c>
      <c r="I922" s="231">
        <v>1682647</v>
      </c>
      <c r="K922" s="230">
        <v>44441</v>
      </c>
      <c r="L922" s="1">
        <v>1150.75</v>
      </c>
      <c r="M922" s="1">
        <v>1129.3231867718901</v>
      </c>
      <c r="N922" s="1">
        <v>7983</v>
      </c>
      <c r="O922" s="1">
        <v>57852.54</v>
      </c>
      <c r="P922" s="215">
        <f t="shared" si="146"/>
        <v>-4.772238751280522E-3</v>
      </c>
      <c r="Q922" s="215">
        <f t="shared" si="141"/>
        <v>9.4298245614035103E-3</v>
      </c>
      <c r="R922" s="231">
        <v>9015387</v>
      </c>
      <c r="T922" s="230">
        <v>44441</v>
      </c>
      <c r="U922" s="1">
        <v>68.400000000000006</v>
      </c>
      <c r="V922" s="1">
        <v>68.3234677687892</v>
      </c>
      <c r="W922" s="1">
        <v>51053</v>
      </c>
      <c r="X922" s="1">
        <v>57852.54</v>
      </c>
      <c r="Y922" s="215">
        <f t="shared" si="147"/>
        <v>-4.772238751280522E-3</v>
      </c>
      <c r="Z922" s="215">
        <f t="shared" si="142"/>
        <v>-1.724137931034464E-2</v>
      </c>
      <c r="AA922" s="231">
        <v>3488118</v>
      </c>
      <c r="AC922" s="230">
        <v>44475</v>
      </c>
      <c r="AD922" s="1">
        <v>76.5</v>
      </c>
      <c r="AE922" s="1">
        <v>75.924536048612197</v>
      </c>
      <c r="AF922" s="1">
        <v>12178</v>
      </c>
      <c r="AG922" s="1">
        <v>59189.73</v>
      </c>
      <c r="AH922" s="215">
        <f t="shared" si="148"/>
        <v>-8.1789166931840462E-3</v>
      </c>
      <c r="AI922" s="215">
        <f t="shared" si="143"/>
        <v>1.458885941644561E-2</v>
      </c>
      <c r="AJ922" s="231">
        <v>924609</v>
      </c>
      <c r="AL922" s="254"/>
      <c r="AQ922" s="215" t="str">
        <f t="shared" si="149"/>
        <v>NA</v>
      </c>
      <c r="AR922" s="215" t="str">
        <f t="shared" si="144"/>
        <v>NA</v>
      </c>
    </row>
    <row r="923" spans="2:44">
      <c r="B923" s="230">
        <v>44445</v>
      </c>
      <c r="C923" s="1">
        <v>381.25</v>
      </c>
      <c r="D923" s="1">
        <v>382.20943396226397</v>
      </c>
      <c r="E923" s="1">
        <v>5830</v>
      </c>
      <c r="F923" s="215">
        <v>58296.91</v>
      </c>
      <c r="G923" s="215">
        <f t="shared" si="145"/>
        <v>2.9907610706203513E-4</v>
      </c>
      <c r="H923" s="215">
        <f t="shared" si="140"/>
        <v>2.8935946336972052E-3</v>
      </c>
      <c r="I923" s="231">
        <v>2228281</v>
      </c>
      <c r="K923" s="230">
        <v>44442</v>
      </c>
      <c r="L923" s="1">
        <v>1140</v>
      </c>
      <c r="M923" s="1">
        <v>1143.22653115806</v>
      </c>
      <c r="N923" s="1">
        <v>3739</v>
      </c>
      <c r="O923" s="1">
        <v>58129.95</v>
      </c>
      <c r="P923" s="215">
        <f t="shared" si="146"/>
        <v>-2.8639596849988624E-3</v>
      </c>
      <c r="Q923" s="215">
        <f t="shared" si="141"/>
        <v>3.6552100381887609E-2</v>
      </c>
      <c r="R923" s="231">
        <v>4274524</v>
      </c>
      <c r="T923" s="230">
        <v>44442</v>
      </c>
      <c r="U923" s="1">
        <v>69.599999999999994</v>
      </c>
      <c r="V923" s="1">
        <v>69.803745797982998</v>
      </c>
      <c r="W923" s="1">
        <v>118693</v>
      </c>
      <c r="X923" s="1">
        <v>58129.95</v>
      </c>
      <c r="Y923" s="215">
        <f t="shared" si="147"/>
        <v>-2.8639596849988624E-3</v>
      </c>
      <c r="Z923" s="215">
        <f t="shared" si="142"/>
        <v>1.9033674963396807E-2</v>
      </c>
      <c r="AA923" s="231">
        <v>8285216</v>
      </c>
      <c r="AC923" s="230">
        <v>44476</v>
      </c>
      <c r="AD923" s="1">
        <v>75.400000000000006</v>
      </c>
      <c r="AE923" s="1">
        <v>75.618571096113499</v>
      </c>
      <c r="AF923" s="1">
        <v>4297</v>
      </c>
      <c r="AG923" s="1">
        <v>59677.83</v>
      </c>
      <c r="AH923" s="215">
        <f t="shared" si="148"/>
        <v>-6.3475851936409811E-3</v>
      </c>
      <c r="AI923" s="215">
        <f t="shared" si="143"/>
        <v>1.5488215488215662E-2</v>
      </c>
      <c r="AJ923" s="231">
        <v>324933</v>
      </c>
      <c r="AL923" s="254"/>
      <c r="AQ923" s="215" t="str">
        <f t="shared" si="149"/>
        <v>NA</v>
      </c>
      <c r="AR923" s="215" t="str">
        <f t="shared" si="144"/>
        <v>NA</v>
      </c>
    </row>
    <row r="924" spans="2:44">
      <c r="B924" s="230">
        <v>44446</v>
      </c>
      <c r="C924" s="1">
        <v>380.15</v>
      </c>
      <c r="D924" s="1">
        <v>384.22039298990899</v>
      </c>
      <c r="E924" s="1">
        <v>1883</v>
      </c>
      <c r="F924" s="215">
        <v>58279.48</v>
      </c>
      <c r="G924" s="215">
        <f t="shared" si="145"/>
        <v>5.0162866225833547E-4</v>
      </c>
      <c r="H924" s="215">
        <f t="shared" si="140"/>
        <v>5.6878306878305196E-3</v>
      </c>
      <c r="I924" s="231">
        <v>723487</v>
      </c>
      <c r="K924" s="230">
        <v>44445</v>
      </c>
      <c r="L924" s="1">
        <v>1099.8</v>
      </c>
      <c r="M924" s="1">
        <v>1102.9981294964</v>
      </c>
      <c r="N924" s="1">
        <v>6950</v>
      </c>
      <c r="O924" s="1">
        <v>58296.91</v>
      </c>
      <c r="P924" s="215">
        <f t="shared" si="146"/>
        <v>2.9907610706203513E-4</v>
      </c>
      <c r="Q924" s="215">
        <f t="shared" si="141"/>
        <v>5.2591281045126115E-2</v>
      </c>
      <c r="R924" s="231">
        <v>7665837</v>
      </c>
      <c r="T924" s="230">
        <v>44445</v>
      </c>
      <c r="U924" s="1">
        <v>68.3</v>
      </c>
      <c r="V924" s="1">
        <v>68.810543776143007</v>
      </c>
      <c r="W924" s="1">
        <v>83196</v>
      </c>
      <c r="X924" s="1">
        <v>58296.91</v>
      </c>
      <c r="Y924" s="215">
        <f t="shared" si="147"/>
        <v>2.9907610706203513E-4</v>
      </c>
      <c r="Z924" s="215">
        <f t="shared" si="142"/>
        <v>1.7125837676842837E-2</v>
      </c>
      <c r="AA924" s="231">
        <v>5724762</v>
      </c>
      <c r="AC924" s="230">
        <v>44477</v>
      </c>
      <c r="AD924" s="1">
        <v>74.25</v>
      </c>
      <c r="AE924" s="1">
        <v>74.668338557993707</v>
      </c>
      <c r="AF924" s="1">
        <v>6380</v>
      </c>
      <c r="AG924" s="1">
        <v>60059.06</v>
      </c>
      <c r="AH924" s="215">
        <f t="shared" si="148"/>
        <v>-1.2757795774828162E-3</v>
      </c>
      <c r="AI924" s="215">
        <f t="shared" si="143"/>
        <v>6.0975609756097615E-3</v>
      </c>
      <c r="AJ924" s="231">
        <v>476384</v>
      </c>
      <c r="AL924" s="254"/>
      <c r="AQ924" s="215" t="str">
        <f t="shared" si="149"/>
        <v>NA</v>
      </c>
      <c r="AR924" s="215" t="str">
        <f t="shared" si="144"/>
        <v>NA</v>
      </c>
    </row>
    <row r="925" spans="2:44">
      <c r="B925" s="230">
        <v>44447</v>
      </c>
      <c r="C925" s="1">
        <v>378</v>
      </c>
      <c r="D925" s="1">
        <v>374.98186889818601</v>
      </c>
      <c r="E925" s="1">
        <v>1434</v>
      </c>
      <c r="F925" s="215">
        <v>58250.26</v>
      </c>
      <c r="G925" s="215">
        <f t="shared" si="145"/>
        <v>-9.400554703047348E-4</v>
      </c>
      <c r="H925" s="215">
        <f t="shared" si="140"/>
        <v>-1.2925969447708519E-2</v>
      </c>
      <c r="I925" s="231">
        <v>537724</v>
      </c>
      <c r="K925" s="230">
        <v>44446</v>
      </c>
      <c r="L925" s="1">
        <v>1044.8499999999999</v>
      </c>
      <c r="M925" s="1">
        <v>1051.3671268769499</v>
      </c>
      <c r="N925" s="1">
        <v>9923</v>
      </c>
      <c r="O925" s="1">
        <v>58279.48</v>
      </c>
      <c r="P925" s="215">
        <f t="shared" si="146"/>
        <v>5.0162866225833547E-4</v>
      </c>
      <c r="Q925" s="215">
        <f t="shared" si="141"/>
        <v>-4.7582152135271949E-2</v>
      </c>
      <c r="R925" s="231">
        <v>10432716</v>
      </c>
      <c r="T925" s="230">
        <v>44446</v>
      </c>
      <c r="U925" s="1">
        <v>67.150000000000006</v>
      </c>
      <c r="V925" s="1">
        <v>67.568288875313897</v>
      </c>
      <c r="W925" s="1">
        <v>73665</v>
      </c>
      <c r="X925" s="1">
        <v>58279.48</v>
      </c>
      <c r="Y925" s="215">
        <f t="shared" si="147"/>
        <v>5.0162866225833547E-4</v>
      </c>
      <c r="Z925" s="215">
        <f t="shared" si="142"/>
        <v>2.2388059701492491E-3</v>
      </c>
      <c r="AA925" s="231">
        <v>4977418</v>
      </c>
      <c r="AC925" s="230">
        <v>44480</v>
      </c>
      <c r="AD925" s="1">
        <v>73.8</v>
      </c>
      <c r="AE925" s="1">
        <v>73.748465748880406</v>
      </c>
      <c r="AF925" s="1">
        <v>12058</v>
      </c>
      <c r="AG925" s="1">
        <v>60135.78</v>
      </c>
      <c r="AH925" s="215">
        <f t="shared" si="148"/>
        <v>-2.4638251644581999E-3</v>
      </c>
      <c r="AI925" s="215">
        <f t="shared" si="143"/>
        <v>-0.12247324613555288</v>
      </c>
      <c r="AJ925" s="231">
        <v>889259</v>
      </c>
      <c r="AL925" s="254"/>
      <c r="AQ925" s="215" t="str">
        <f t="shared" si="149"/>
        <v>NA</v>
      </c>
      <c r="AR925" s="215" t="str">
        <f t="shared" si="144"/>
        <v>NA</v>
      </c>
    </row>
    <row r="926" spans="2:44">
      <c r="B926" s="230">
        <v>44448</v>
      </c>
      <c r="C926" s="1">
        <v>382.95</v>
      </c>
      <c r="D926" s="1">
        <v>378.976956521739</v>
      </c>
      <c r="E926" s="1">
        <v>2300</v>
      </c>
      <c r="F926" s="215">
        <v>58305.07</v>
      </c>
      <c r="G926" s="215">
        <f t="shared" si="145"/>
        <v>2.1882932584547099E-3</v>
      </c>
      <c r="H926" s="215">
        <f t="shared" si="140"/>
        <v>-2.8908330163560425E-2</v>
      </c>
      <c r="I926" s="231">
        <v>871647</v>
      </c>
      <c r="K926" s="230">
        <v>44447</v>
      </c>
      <c r="L926" s="1">
        <v>1097.05</v>
      </c>
      <c r="M926" s="1">
        <v>1044.2563575899801</v>
      </c>
      <c r="N926" s="1">
        <v>10224</v>
      </c>
      <c r="O926" s="1">
        <v>58250.26</v>
      </c>
      <c r="P926" s="215">
        <f t="shared" si="146"/>
        <v>-9.400554703047348E-4</v>
      </c>
      <c r="Q926" s="215">
        <f t="shared" si="141"/>
        <v>-4.7616980640680762E-2</v>
      </c>
      <c r="R926" s="231">
        <v>10676477</v>
      </c>
      <c r="T926" s="230">
        <v>44447</v>
      </c>
      <c r="U926" s="1">
        <v>67</v>
      </c>
      <c r="V926" s="1">
        <v>67.116540714952805</v>
      </c>
      <c r="W926" s="1">
        <v>47108</v>
      </c>
      <c r="X926" s="1">
        <v>58250.26</v>
      </c>
      <c r="Y926" s="215">
        <f t="shared" si="147"/>
        <v>-9.400554703047348E-4</v>
      </c>
      <c r="Z926" s="215">
        <f t="shared" si="142"/>
        <v>-3.7174721189591198E-3</v>
      </c>
      <c r="AA926" s="231">
        <v>3161726</v>
      </c>
      <c r="AC926" s="230">
        <v>44481</v>
      </c>
      <c r="AD926" s="1">
        <v>84.1</v>
      </c>
      <c r="AE926" s="1">
        <v>83.273924353319401</v>
      </c>
      <c r="AF926" s="1">
        <v>123786</v>
      </c>
      <c r="AG926" s="1">
        <v>60284.31</v>
      </c>
      <c r="AH926" s="215">
        <f t="shared" si="148"/>
        <v>-7.4540992688977292E-3</v>
      </c>
      <c r="AI926" s="215">
        <f t="shared" si="143"/>
        <v>3.1901840490797584E-2</v>
      </c>
      <c r="AJ926" s="231">
        <v>10308146</v>
      </c>
      <c r="AL926" s="254"/>
      <c r="AQ926" s="215" t="str">
        <f t="shared" si="149"/>
        <v>NA</v>
      </c>
      <c r="AR926" s="215" t="str">
        <f t="shared" si="144"/>
        <v>NA</v>
      </c>
    </row>
    <row r="927" spans="2:44">
      <c r="B927" s="230">
        <v>44452</v>
      </c>
      <c r="C927" s="1">
        <v>394.35</v>
      </c>
      <c r="D927" s="1">
        <v>394.37276731098598</v>
      </c>
      <c r="E927" s="1">
        <v>8174</v>
      </c>
      <c r="F927" s="215">
        <v>58177.760000000002</v>
      </c>
      <c r="G927" s="215">
        <f t="shared" si="145"/>
        <v>-1.1902740548925816E-3</v>
      </c>
      <c r="H927" s="215">
        <f t="shared" si="140"/>
        <v>3.3682830930537477E-2</v>
      </c>
      <c r="I927" s="231">
        <v>3223603</v>
      </c>
      <c r="K927" s="230">
        <v>44448</v>
      </c>
      <c r="L927" s="1">
        <v>1151.9000000000001</v>
      </c>
      <c r="M927" s="1">
        <v>1151.8994252873499</v>
      </c>
      <c r="N927" s="1">
        <v>348</v>
      </c>
      <c r="O927" s="1">
        <v>58305.07</v>
      </c>
      <c r="P927" s="215">
        <f t="shared" si="146"/>
        <v>2.1882932584547099E-3</v>
      </c>
      <c r="Q927" s="215">
        <f t="shared" si="141"/>
        <v>-4.7583612385795115E-2</v>
      </c>
      <c r="R927" s="231">
        <v>400861</v>
      </c>
      <c r="T927" s="230">
        <v>44448</v>
      </c>
      <c r="U927" s="1">
        <v>67.25</v>
      </c>
      <c r="V927" s="1">
        <v>67.136546933972397</v>
      </c>
      <c r="W927" s="1">
        <v>69683</v>
      </c>
      <c r="X927" s="1">
        <v>58305.07</v>
      </c>
      <c r="Y927" s="215">
        <f t="shared" si="147"/>
        <v>2.1882932584547099E-3</v>
      </c>
      <c r="Z927" s="215">
        <f t="shared" si="142"/>
        <v>-2.4655547498187103E-2</v>
      </c>
      <c r="AA927" s="231">
        <v>4678276</v>
      </c>
      <c r="AC927" s="230">
        <v>44482</v>
      </c>
      <c r="AD927" s="1">
        <v>81.5</v>
      </c>
      <c r="AE927" s="1">
        <v>83.166841208238296</v>
      </c>
      <c r="AF927" s="1">
        <v>48699</v>
      </c>
      <c r="AG927" s="1">
        <v>60737.05</v>
      </c>
      <c r="AH927" s="215">
        <f t="shared" si="148"/>
        <v>-9.2796865557094321E-3</v>
      </c>
      <c r="AI927" s="215">
        <f t="shared" si="143"/>
        <v>1.4312383322962141E-2</v>
      </c>
      <c r="AJ927" s="231">
        <v>4050142</v>
      </c>
      <c r="AL927" s="254"/>
      <c r="AQ927" s="215" t="str">
        <f t="shared" si="149"/>
        <v>NA</v>
      </c>
      <c r="AR927" s="215" t="str">
        <f t="shared" si="144"/>
        <v>NA</v>
      </c>
    </row>
    <row r="928" spans="2:44">
      <c r="B928" s="230">
        <v>44453</v>
      </c>
      <c r="C928" s="1">
        <v>381.5</v>
      </c>
      <c r="D928" s="1">
        <v>384.45134160993098</v>
      </c>
      <c r="E928" s="1">
        <v>4994</v>
      </c>
      <c r="F928" s="215">
        <v>58247.09</v>
      </c>
      <c r="G928" s="215">
        <f t="shared" si="145"/>
        <v>-8.1076984905454896E-3</v>
      </c>
      <c r="H928" s="215">
        <f t="shared" si="140"/>
        <v>-3.916449086161844E-3</v>
      </c>
      <c r="I928" s="231">
        <v>1919950</v>
      </c>
      <c r="K928" s="230">
        <v>44452</v>
      </c>
      <c r="L928" s="1">
        <v>1209.45</v>
      </c>
      <c r="M928" s="1">
        <v>1209.4491701244799</v>
      </c>
      <c r="N928" s="1">
        <v>964</v>
      </c>
      <c r="O928" s="1">
        <v>58177.760000000002</v>
      </c>
      <c r="P928" s="215">
        <f t="shared" si="146"/>
        <v>-1.1902740548925816E-3</v>
      </c>
      <c r="Q928" s="215">
        <f t="shared" si="141"/>
        <v>-4.7602173399480252E-2</v>
      </c>
      <c r="R928" s="231">
        <v>1165909</v>
      </c>
      <c r="T928" s="230">
        <v>44452</v>
      </c>
      <c r="U928" s="1">
        <v>68.95</v>
      </c>
      <c r="V928" s="1">
        <v>69.001315899565597</v>
      </c>
      <c r="W928" s="1">
        <v>131469</v>
      </c>
      <c r="X928" s="1">
        <v>58177.760000000002</v>
      </c>
      <c r="Y928" s="215">
        <f t="shared" si="147"/>
        <v>-1.1902740548925816E-3</v>
      </c>
      <c r="Z928" s="215">
        <f t="shared" si="142"/>
        <v>-3.092059030217853E-2</v>
      </c>
      <c r="AA928" s="231">
        <v>9071534</v>
      </c>
      <c r="AC928" s="230">
        <v>44483</v>
      </c>
      <c r="AD928" s="1">
        <v>80.349999999999994</v>
      </c>
      <c r="AE928" s="1">
        <v>81.585453872490007</v>
      </c>
      <c r="AF928" s="1">
        <v>10807</v>
      </c>
      <c r="AG928" s="1">
        <v>61305.95</v>
      </c>
      <c r="AH928" s="215">
        <f t="shared" si="148"/>
        <v>-7.4416839538001822E-3</v>
      </c>
      <c r="AI928" s="215">
        <f t="shared" si="143"/>
        <v>-6.1842918985776096E-3</v>
      </c>
      <c r="AJ928" s="231">
        <v>881694</v>
      </c>
      <c r="AL928" s="254"/>
      <c r="AQ928" s="215" t="str">
        <f t="shared" si="149"/>
        <v>NA</v>
      </c>
      <c r="AR928" s="215" t="str">
        <f t="shared" si="144"/>
        <v>NA</v>
      </c>
    </row>
    <row r="929" spans="2:44">
      <c r="B929" s="230">
        <v>44454</v>
      </c>
      <c r="C929" s="1">
        <v>383</v>
      </c>
      <c r="D929" s="1">
        <v>382.92765685019202</v>
      </c>
      <c r="E929" s="1">
        <v>3124</v>
      </c>
      <c r="F929" s="215">
        <v>58723.199999999997</v>
      </c>
      <c r="G929" s="215">
        <f t="shared" si="145"/>
        <v>-7.0671593184848946E-3</v>
      </c>
      <c r="H929" s="215">
        <f t="shared" si="140"/>
        <v>6.7025890392955478E-3</v>
      </c>
      <c r="I929" s="231">
        <v>1196266</v>
      </c>
      <c r="K929" s="230">
        <v>44453</v>
      </c>
      <c r="L929" s="1">
        <v>1269.9000000000001</v>
      </c>
      <c r="M929" s="1">
        <v>1269.8999636891699</v>
      </c>
      <c r="N929" s="1">
        <v>22032</v>
      </c>
      <c r="O929" s="1">
        <v>58247.09</v>
      </c>
      <c r="P929" s="215">
        <f t="shared" si="146"/>
        <v>-8.1076984905454896E-3</v>
      </c>
      <c r="Q929" s="215">
        <f t="shared" si="141"/>
        <v>-4.7586905163685356E-2</v>
      </c>
      <c r="R929" s="231">
        <v>27978436</v>
      </c>
      <c r="T929" s="230">
        <v>44453</v>
      </c>
      <c r="U929" s="1">
        <v>71.150000000000006</v>
      </c>
      <c r="V929" s="1">
        <v>70.322671080186396</v>
      </c>
      <c r="W929" s="1">
        <v>59212</v>
      </c>
      <c r="X929" s="1">
        <v>58247.09</v>
      </c>
      <c r="Y929" s="215">
        <f t="shared" si="147"/>
        <v>-8.1076984905454896E-3</v>
      </c>
      <c r="Z929" s="215">
        <f t="shared" si="142"/>
        <v>7.0323488045032079E-4</v>
      </c>
      <c r="AA929" s="231">
        <v>4163946</v>
      </c>
      <c r="AC929" s="230">
        <v>44487</v>
      </c>
      <c r="AD929" s="1">
        <v>80.849999999999994</v>
      </c>
      <c r="AE929" s="1">
        <v>80.500903557161806</v>
      </c>
      <c r="AF929" s="1">
        <v>21028</v>
      </c>
      <c r="AG929" s="1">
        <v>61765.59</v>
      </c>
      <c r="AH929" s="215">
        <f t="shared" si="148"/>
        <v>8.0270853367947481E-4</v>
      </c>
      <c r="AI929" s="215">
        <f t="shared" si="143"/>
        <v>4.3899289864428592E-2</v>
      </c>
      <c r="AJ929" s="231">
        <v>1692773</v>
      </c>
      <c r="AL929" s="254"/>
      <c r="AQ929" s="215" t="str">
        <f t="shared" si="149"/>
        <v>NA</v>
      </c>
      <c r="AR929" s="215" t="str">
        <f t="shared" si="144"/>
        <v>NA</v>
      </c>
    </row>
    <row r="930" spans="2:44">
      <c r="B930" s="230">
        <v>44455</v>
      </c>
      <c r="C930" s="1">
        <v>380.45</v>
      </c>
      <c r="D930" s="1">
        <v>380.34620786516803</v>
      </c>
      <c r="E930" s="1">
        <v>1424</v>
      </c>
      <c r="F930" s="215">
        <v>59141.16</v>
      </c>
      <c r="G930" s="215">
        <f t="shared" si="145"/>
        <v>2.122648662927995E-3</v>
      </c>
      <c r="H930" s="215">
        <f t="shared" si="140"/>
        <v>1.1842105263157876E-3</v>
      </c>
      <c r="I930" s="231">
        <v>541613</v>
      </c>
      <c r="K930" s="230">
        <v>44454</v>
      </c>
      <c r="L930" s="1">
        <v>1333.35</v>
      </c>
      <c r="M930" s="1">
        <v>1333.3498795180701</v>
      </c>
      <c r="N930" s="1">
        <v>2075</v>
      </c>
      <c r="O930" s="1">
        <v>58723.199999999997</v>
      </c>
      <c r="P930" s="215">
        <f t="shared" si="146"/>
        <v>-7.0671593184848946E-3</v>
      </c>
      <c r="Q930" s="215">
        <f t="shared" si="141"/>
        <v>-1.5214742051036012E-2</v>
      </c>
      <c r="R930" s="231">
        <v>2766701</v>
      </c>
      <c r="T930" s="230">
        <v>44454</v>
      </c>
      <c r="U930" s="1">
        <v>71.099999999999994</v>
      </c>
      <c r="V930" s="1">
        <v>71.301476830737002</v>
      </c>
      <c r="W930" s="1">
        <v>101298</v>
      </c>
      <c r="X930" s="1">
        <v>58723.199999999997</v>
      </c>
      <c r="Y930" s="215">
        <f t="shared" si="147"/>
        <v>-7.0671593184848946E-3</v>
      </c>
      <c r="Z930" s="215">
        <f t="shared" si="142"/>
        <v>-6.9832402234636382E-3</v>
      </c>
      <c r="AA930" s="231">
        <v>7222697</v>
      </c>
      <c r="AC930" s="230">
        <v>44488</v>
      </c>
      <c r="AD930" s="1">
        <v>77.45</v>
      </c>
      <c r="AE930" s="1">
        <v>78.881071607411101</v>
      </c>
      <c r="AF930" s="1">
        <v>3994</v>
      </c>
      <c r="AG930" s="1">
        <v>61716.05</v>
      </c>
      <c r="AH930" s="215">
        <f t="shared" si="148"/>
        <v>7.4451566732984809E-3</v>
      </c>
      <c r="AI930" s="215">
        <f t="shared" si="143"/>
        <v>2.0421607378129147E-2</v>
      </c>
      <c r="AJ930" s="231">
        <v>315051</v>
      </c>
      <c r="AL930" s="254"/>
      <c r="AQ930" s="215" t="str">
        <f t="shared" si="149"/>
        <v>NA</v>
      </c>
      <c r="AR930" s="215" t="str">
        <f t="shared" si="144"/>
        <v>NA</v>
      </c>
    </row>
    <row r="931" spans="2:44">
      <c r="B931" s="230">
        <v>44456</v>
      </c>
      <c r="C931" s="1">
        <v>380</v>
      </c>
      <c r="D931" s="1">
        <v>376.74796224796199</v>
      </c>
      <c r="E931" s="1">
        <v>4662</v>
      </c>
      <c r="F931" s="215">
        <v>59015.89</v>
      </c>
      <c r="G931" s="215">
        <f t="shared" si="145"/>
        <v>8.9750667325685374E-3</v>
      </c>
      <c r="H931" s="215">
        <f t="shared" si="140"/>
        <v>1.3333333333333419E-2</v>
      </c>
      <c r="I931" s="231">
        <v>1756399</v>
      </c>
      <c r="K931" s="230">
        <v>44455</v>
      </c>
      <c r="L931" s="1">
        <v>1353.95</v>
      </c>
      <c r="M931" s="1">
        <v>1386.6972107585</v>
      </c>
      <c r="N931" s="1">
        <v>70270</v>
      </c>
      <c r="O931" s="1">
        <v>59141.16</v>
      </c>
      <c r="P931" s="215">
        <f t="shared" si="146"/>
        <v>2.122648662927995E-3</v>
      </c>
      <c r="Q931" s="215">
        <f t="shared" si="141"/>
        <v>4.839521468117236E-2</v>
      </c>
      <c r="R931" s="231">
        <v>97443213</v>
      </c>
      <c r="T931" s="230">
        <v>44455</v>
      </c>
      <c r="U931" s="1">
        <v>71.599999999999994</v>
      </c>
      <c r="V931" s="1">
        <v>71.833791469194296</v>
      </c>
      <c r="W931" s="1">
        <v>63300</v>
      </c>
      <c r="X931" s="1">
        <v>59141.16</v>
      </c>
      <c r="Y931" s="215">
        <f t="shared" si="147"/>
        <v>2.122648662927995E-3</v>
      </c>
      <c r="Z931" s="215">
        <f t="shared" si="142"/>
        <v>9.1613812544044659E-3</v>
      </c>
      <c r="AA931" s="231">
        <v>4547079</v>
      </c>
      <c r="AC931" s="230">
        <v>44489</v>
      </c>
      <c r="AD931" s="1">
        <v>75.900000000000006</v>
      </c>
      <c r="AE931" s="1">
        <v>76.1567402117076</v>
      </c>
      <c r="AF931" s="1">
        <v>7841</v>
      </c>
      <c r="AG931" s="1">
        <v>61259.96</v>
      </c>
      <c r="AH931" s="215">
        <f t="shared" si="148"/>
        <v>5.5226636683709529E-3</v>
      </c>
      <c r="AI931" s="215">
        <f t="shared" si="143"/>
        <v>1.6744809109176195E-2</v>
      </c>
      <c r="AJ931" s="231">
        <v>597145</v>
      </c>
      <c r="AL931" s="254"/>
      <c r="AQ931" s="215" t="str">
        <f t="shared" si="149"/>
        <v>NA</v>
      </c>
      <c r="AR931" s="215" t="str">
        <f t="shared" si="144"/>
        <v>NA</v>
      </c>
    </row>
    <row r="932" spans="2:44">
      <c r="B932" s="230">
        <v>44459</v>
      </c>
      <c r="C932" s="1">
        <v>375</v>
      </c>
      <c r="D932" s="1">
        <v>374.77272172746098</v>
      </c>
      <c r="E932" s="1">
        <v>8197</v>
      </c>
      <c r="F932" s="215">
        <v>58490.93</v>
      </c>
      <c r="G932" s="215">
        <f t="shared" si="145"/>
        <v>-8.7168485120057149E-3</v>
      </c>
      <c r="H932" s="215">
        <f t="shared" si="140"/>
        <v>0</v>
      </c>
      <c r="I932" s="231">
        <v>3072012</v>
      </c>
      <c r="K932" s="230">
        <v>44456</v>
      </c>
      <c r="L932" s="1">
        <v>1291.45</v>
      </c>
      <c r="M932" s="1">
        <v>1292.20593874104</v>
      </c>
      <c r="N932" s="1">
        <v>43814</v>
      </c>
      <c r="O932" s="1">
        <v>59015.89</v>
      </c>
      <c r="P932" s="215">
        <f t="shared" si="146"/>
        <v>8.9750667325685374E-3</v>
      </c>
      <c r="Q932" s="215">
        <f t="shared" si="141"/>
        <v>5.2612274839025197E-2</v>
      </c>
      <c r="R932" s="231">
        <v>56616711</v>
      </c>
      <c r="T932" s="230">
        <v>44456</v>
      </c>
      <c r="U932" s="1">
        <v>70.95</v>
      </c>
      <c r="V932" s="1">
        <v>70.175622679293994</v>
      </c>
      <c r="W932" s="1">
        <v>47938</v>
      </c>
      <c r="X932" s="1">
        <v>59015.89</v>
      </c>
      <c r="Y932" s="215">
        <f t="shared" si="147"/>
        <v>8.9750667325685374E-3</v>
      </c>
      <c r="Z932" s="215">
        <f t="shared" si="142"/>
        <v>5.1111111111111107E-2</v>
      </c>
      <c r="AA932" s="231">
        <v>3364079</v>
      </c>
      <c r="AC932" s="230">
        <v>44490</v>
      </c>
      <c r="AD932" s="1">
        <v>74.650000000000006</v>
      </c>
      <c r="AE932" s="1">
        <v>74.5413631633714</v>
      </c>
      <c r="AF932" s="1">
        <v>3844</v>
      </c>
      <c r="AG932" s="1">
        <v>60923.5</v>
      </c>
      <c r="AH932" s="215">
        <f t="shared" si="148"/>
        <v>1.6750622558228123E-3</v>
      </c>
      <c r="AI932" s="215">
        <f t="shared" si="143"/>
        <v>5.3872053872054959E-3</v>
      </c>
      <c r="AJ932" s="231">
        <v>286537</v>
      </c>
      <c r="AL932" s="254"/>
      <c r="AQ932" s="215" t="str">
        <f t="shared" si="149"/>
        <v>NA</v>
      </c>
      <c r="AR932" s="215" t="str">
        <f t="shared" si="144"/>
        <v>NA</v>
      </c>
    </row>
    <row r="933" spans="2:44">
      <c r="B933" s="230">
        <v>44460</v>
      </c>
      <c r="C933" s="1">
        <v>375</v>
      </c>
      <c r="D933" s="1">
        <v>373.585097314959</v>
      </c>
      <c r="E933" s="1">
        <v>14078</v>
      </c>
      <c r="F933" s="215">
        <v>59005.27</v>
      </c>
      <c r="G933" s="215">
        <f t="shared" si="145"/>
        <v>1.3226460455615374E-3</v>
      </c>
      <c r="H933" s="215">
        <f t="shared" si="140"/>
        <v>-1.3331555792561733E-4</v>
      </c>
      <c r="I933" s="231">
        <v>5259331</v>
      </c>
      <c r="K933" s="230">
        <v>44459</v>
      </c>
      <c r="L933" s="1">
        <v>1226.9000000000001</v>
      </c>
      <c r="M933" s="1">
        <v>1226.8999599839899</v>
      </c>
      <c r="N933" s="1">
        <v>7497</v>
      </c>
      <c r="O933" s="1">
        <v>58490.93</v>
      </c>
      <c r="P933" s="215">
        <f t="shared" si="146"/>
        <v>-8.7168485120057149E-3</v>
      </c>
      <c r="Q933" s="215">
        <f t="shared" si="141"/>
        <v>5.259094028826361E-2</v>
      </c>
      <c r="R933" s="231">
        <v>9198069</v>
      </c>
      <c r="T933" s="230">
        <v>44459</v>
      </c>
      <c r="U933" s="1">
        <v>67.5</v>
      </c>
      <c r="V933" s="1">
        <v>68.673875424068498</v>
      </c>
      <c r="W933" s="1">
        <v>102283</v>
      </c>
      <c r="X933" s="1">
        <v>58490.93</v>
      </c>
      <c r="Y933" s="215">
        <f t="shared" si="147"/>
        <v>-8.7168485120057149E-3</v>
      </c>
      <c r="Z933" s="215">
        <f t="shared" si="142"/>
        <v>8.2150858849887598E-3</v>
      </c>
      <c r="AA933" s="231">
        <v>7024170</v>
      </c>
      <c r="AC933" s="230">
        <v>44491</v>
      </c>
      <c r="AD933" s="1">
        <v>74.25</v>
      </c>
      <c r="AE933" s="1">
        <v>74.735342535139907</v>
      </c>
      <c r="AF933" s="1">
        <v>7897</v>
      </c>
      <c r="AG933" s="1">
        <v>60821.62</v>
      </c>
      <c r="AH933" s="215">
        <f t="shared" si="148"/>
        <v>-2.385386860607519E-3</v>
      </c>
      <c r="AI933" s="215">
        <f t="shared" si="143"/>
        <v>2.3432115782219265E-2</v>
      </c>
      <c r="AJ933" s="231">
        <v>590185</v>
      </c>
      <c r="AL933" s="254"/>
      <c r="AQ933" s="215" t="str">
        <f t="shared" si="149"/>
        <v>NA</v>
      </c>
      <c r="AR933" s="215" t="str">
        <f t="shared" si="144"/>
        <v>NA</v>
      </c>
    </row>
    <row r="934" spans="2:44">
      <c r="B934" s="230">
        <v>44461</v>
      </c>
      <c r="C934" s="1">
        <v>375.05</v>
      </c>
      <c r="D934" s="1">
        <v>375.800334168755</v>
      </c>
      <c r="E934" s="1">
        <v>1197</v>
      </c>
      <c r="F934" s="215">
        <v>58927.33</v>
      </c>
      <c r="G934" s="215">
        <f t="shared" si="145"/>
        <v>-1.5997733001855474E-2</v>
      </c>
      <c r="H934" s="215">
        <f t="shared" si="140"/>
        <v>-2.6592208482913993E-3</v>
      </c>
      <c r="I934" s="231">
        <v>449833</v>
      </c>
      <c r="K934" s="230">
        <v>44460</v>
      </c>
      <c r="L934" s="1">
        <v>1165.5999999999999</v>
      </c>
      <c r="M934" s="1">
        <v>1165.5999332665899</v>
      </c>
      <c r="N934" s="1">
        <v>5994</v>
      </c>
      <c r="O934" s="1">
        <v>59005.27</v>
      </c>
      <c r="P934" s="215">
        <f t="shared" si="146"/>
        <v>1.3226460455615374E-3</v>
      </c>
      <c r="Q934" s="215">
        <f t="shared" si="141"/>
        <v>-4.6738908198732387E-2</v>
      </c>
      <c r="R934" s="231">
        <v>6986606</v>
      </c>
      <c r="T934" s="230">
        <v>44460</v>
      </c>
      <c r="U934" s="1">
        <v>66.95</v>
      </c>
      <c r="V934" s="1">
        <v>66.3068448908503</v>
      </c>
      <c r="W934" s="1">
        <v>118278</v>
      </c>
      <c r="X934" s="1">
        <v>59005.27</v>
      </c>
      <c r="Y934" s="215">
        <f t="shared" si="147"/>
        <v>1.3226460455615374E-3</v>
      </c>
      <c r="Z934" s="215">
        <f t="shared" si="142"/>
        <v>-3.7202380952381375E-3</v>
      </c>
      <c r="AA934" s="231">
        <v>7842641</v>
      </c>
      <c r="AC934" s="230">
        <v>44494</v>
      </c>
      <c r="AD934" s="1">
        <v>72.55</v>
      </c>
      <c r="AE934" s="1">
        <v>72.5841479524438</v>
      </c>
      <c r="AF934" s="1">
        <v>3785</v>
      </c>
      <c r="AG934" s="1">
        <v>60967.05</v>
      </c>
      <c r="AH934" s="215">
        <f t="shared" si="148"/>
        <v>-6.246265297001119E-3</v>
      </c>
      <c r="AI934" s="215">
        <f t="shared" si="143"/>
        <v>-2.157788267026306E-2</v>
      </c>
      <c r="AJ934" s="231">
        <v>274731</v>
      </c>
      <c r="AL934" s="254"/>
      <c r="AQ934" s="215" t="str">
        <f t="shared" si="149"/>
        <v>NA</v>
      </c>
      <c r="AR934" s="215" t="str">
        <f t="shared" si="144"/>
        <v>NA</v>
      </c>
    </row>
    <row r="935" spans="2:44">
      <c r="B935" s="230">
        <v>44462</v>
      </c>
      <c r="C935" s="1">
        <v>376.05</v>
      </c>
      <c r="D935" s="1">
        <v>379.37876614060201</v>
      </c>
      <c r="E935" s="1">
        <v>1394</v>
      </c>
      <c r="F935" s="215">
        <v>59885.36</v>
      </c>
      <c r="G935" s="215">
        <f t="shared" si="145"/>
        <v>-2.7163056777300687E-3</v>
      </c>
      <c r="H935" s="215">
        <f t="shared" si="140"/>
        <v>2.1319120586276163E-3</v>
      </c>
      <c r="I935" s="231">
        <v>528854</v>
      </c>
      <c r="K935" s="230">
        <v>44461</v>
      </c>
      <c r="L935" s="1">
        <v>1222.75</v>
      </c>
      <c r="M935" s="1">
        <v>1168.3435140700001</v>
      </c>
      <c r="N935" s="1">
        <v>37882</v>
      </c>
      <c r="O935" s="1">
        <v>58927.33</v>
      </c>
      <c r="P935" s="215">
        <f t="shared" si="146"/>
        <v>-1.5997733001855474E-2</v>
      </c>
      <c r="Q935" s="215">
        <f t="shared" si="141"/>
        <v>-6.2174902470741866E-3</v>
      </c>
      <c r="R935" s="231">
        <v>44259189</v>
      </c>
      <c r="T935" s="230">
        <v>44461</v>
      </c>
      <c r="U935" s="1">
        <v>67.2</v>
      </c>
      <c r="V935" s="1">
        <v>67.477783656606306</v>
      </c>
      <c r="W935" s="1">
        <v>88831</v>
      </c>
      <c r="X935" s="1">
        <v>58927.33</v>
      </c>
      <c r="Y935" s="215">
        <f t="shared" si="147"/>
        <v>-1.5997733001855474E-2</v>
      </c>
      <c r="Z935" s="215">
        <f t="shared" si="142"/>
        <v>-2.2271714922047492E-3</v>
      </c>
      <c r="AA935" s="231">
        <v>5994119</v>
      </c>
      <c r="AC935" s="230">
        <v>44495</v>
      </c>
      <c r="AD935" s="1">
        <v>74.150000000000006</v>
      </c>
      <c r="AE935" s="1">
        <v>73.798408057179898</v>
      </c>
      <c r="AF935" s="1">
        <v>6156</v>
      </c>
      <c r="AG935" s="1">
        <v>61350.26</v>
      </c>
      <c r="AH935" s="215">
        <f t="shared" si="148"/>
        <v>3.3843429855717755E-3</v>
      </c>
      <c r="AI935" s="215">
        <f t="shared" si="143"/>
        <v>1.7146776406035569E-2</v>
      </c>
      <c r="AJ935" s="231">
        <v>454303</v>
      </c>
      <c r="AL935" s="254"/>
      <c r="AQ935" s="215" t="str">
        <f t="shared" si="149"/>
        <v>NA</v>
      </c>
      <c r="AR935" s="215" t="str">
        <f t="shared" si="144"/>
        <v>NA</v>
      </c>
    </row>
    <row r="936" spans="2:44">
      <c r="B936" s="230">
        <v>44463</v>
      </c>
      <c r="C936" s="1">
        <v>375.25</v>
      </c>
      <c r="D936" s="1">
        <v>375.582664526484</v>
      </c>
      <c r="E936" s="1">
        <v>1246</v>
      </c>
      <c r="F936" s="215">
        <v>60048.47</v>
      </c>
      <c r="G936" s="215">
        <f t="shared" si="145"/>
        <v>-4.895312550975417E-4</v>
      </c>
      <c r="H936" s="215">
        <f t="shared" si="140"/>
        <v>-6.6577896138486636E-4</v>
      </c>
      <c r="I936" s="231">
        <v>467976</v>
      </c>
      <c r="K936" s="230">
        <v>44462</v>
      </c>
      <c r="L936" s="1">
        <v>1230.4000000000001</v>
      </c>
      <c r="M936" s="1">
        <v>1241.6369405752901</v>
      </c>
      <c r="N936" s="1">
        <v>12133</v>
      </c>
      <c r="O936" s="1">
        <v>59885.36</v>
      </c>
      <c r="P936" s="215">
        <f t="shared" si="146"/>
        <v>-2.7163056777300687E-3</v>
      </c>
      <c r="Q936" s="215">
        <f t="shared" si="141"/>
        <v>4.1564378227376686E-2</v>
      </c>
      <c r="R936" s="231">
        <v>15064781</v>
      </c>
      <c r="T936" s="230">
        <v>44462</v>
      </c>
      <c r="U936" s="1">
        <v>67.349999999999994</v>
      </c>
      <c r="V936" s="1">
        <v>67.615284435700602</v>
      </c>
      <c r="W936" s="1">
        <v>108267</v>
      </c>
      <c r="X936" s="1">
        <v>59885.36</v>
      </c>
      <c r="Y936" s="215">
        <f t="shared" si="147"/>
        <v>-2.7163056777300687E-3</v>
      </c>
      <c r="Z936" s="215">
        <f t="shared" si="142"/>
        <v>3.7257824143070994E-3</v>
      </c>
      <c r="AA936" s="231">
        <v>7320504</v>
      </c>
      <c r="AC936" s="230">
        <v>44496</v>
      </c>
      <c r="AD936" s="1">
        <v>72.900000000000006</v>
      </c>
      <c r="AE936" s="1">
        <v>73.909025787965604</v>
      </c>
      <c r="AF936" s="1">
        <v>6980</v>
      </c>
      <c r="AG936" s="1">
        <v>61143.33</v>
      </c>
      <c r="AH936" s="215">
        <f t="shared" si="148"/>
        <v>1.9315425433485522E-2</v>
      </c>
      <c r="AI936" s="215">
        <f t="shared" si="143"/>
        <v>2.603800140745971E-2</v>
      </c>
      <c r="AJ936" s="231">
        <v>515885</v>
      </c>
      <c r="AL936" s="254"/>
      <c r="AQ936" s="215" t="str">
        <f t="shared" si="149"/>
        <v>NA</v>
      </c>
      <c r="AR936" s="215" t="str">
        <f t="shared" si="144"/>
        <v>NA</v>
      </c>
    </row>
    <row r="937" spans="2:44">
      <c r="B937" s="230">
        <v>44466</v>
      </c>
      <c r="C937" s="1">
        <v>375.5</v>
      </c>
      <c r="D937" s="1">
        <v>377.17164476304202</v>
      </c>
      <c r="E937" s="1">
        <v>2511</v>
      </c>
      <c r="F937" s="215">
        <v>60077.88</v>
      </c>
      <c r="G937" s="215">
        <f t="shared" si="145"/>
        <v>6.876093558312979E-3</v>
      </c>
      <c r="H937" s="215">
        <f t="shared" si="140"/>
        <v>-2.2585359372925273E-3</v>
      </c>
      <c r="I937" s="231">
        <v>947078</v>
      </c>
      <c r="K937" s="230">
        <v>44463</v>
      </c>
      <c r="L937" s="1">
        <v>1181.3</v>
      </c>
      <c r="M937" s="1">
        <v>1187.3049561299499</v>
      </c>
      <c r="N937" s="1">
        <v>16868</v>
      </c>
      <c r="O937" s="1">
        <v>60048.47</v>
      </c>
      <c r="P937" s="215">
        <f t="shared" si="146"/>
        <v>-4.895312550975417E-4</v>
      </c>
      <c r="Q937" s="215">
        <f t="shared" si="141"/>
        <v>1.9548612609502358E-2</v>
      </c>
      <c r="R937" s="231">
        <v>20027460</v>
      </c>
      <c r="T937" s="230">
        <v>44463</v>
      </c>
      <c r="U937" s="1">
        <v>67.099999999999994</v>
      </c>
      <c r="V937" s="1">
        <v>67.419430865921697</v>
      </c>
      <c r="W937" s="1">
        <v>80192</v>
      </c>
      <c r="X937" s="1">
        <v>60048.47</v>
      </c>
      <c r="Y937" s="215">
        <f t="shared" si="147"/>
        <v>-4.895312550975417E-4</v>
      </c>
      <c r="Z937" s="215">
        <f t="shared" si="142"/>
        <v>1.0542168674698704E-2</v>
      </c>
      <c r="AA937" s="231">
        <v>5406499</v>
      </c>
      <c r="AC937" s="230">
        <v>44497</v>
      </c>
      <c r="AD937" s="1">
        <v>71.05</v>
      </c>
      <c r="AE937" s="1">
        <v>71.582857142857094</v>
      </c>
      <c r="AF937" s="1">
        <v>1925</v>
      </c>
      <c r="AG937" s="1">
        <v>59984.7</v>
      </c>
      <c r="AH937" s="215">
        <f t="shared" si="148"/>
        <v>1.1428175425704845E-2</v>
      </c>
      <c r="AI937" s="215">
        <f t="shared" si="143"/>
        <v>-2.9371584699453668E-2</v>
      </c>
      <c r="AJ937" s="231">
        <v>137797</v>
      </c>
      <c r="AL937" s="254"/>
      <c r="AQ937" s="215" t="str">
        <f t="shared" si="149"/>
        <v>NA</v>
      </c>
      <c r="AR937" s="215" t="str">
        <f t="shared" si="144"/>
        <v>NA</v>
      </c>
    </row>
    <row r="938" spans="2:44">
      <c r="B938" s="230">
        <v>44467</v>
      </c>
      <c r="C938" s="1">
        <v>376.35</v>
      </c>
      <c r="D938" s="1">
        <v>374.47819216182</v>
      </c>
      <c r="E938" s="1">
        <v>3164</v>
      </c>
      <c r="F938" s="215">
        <v>59667.6</v>
      </c>
      <c r="G938" s="215">
        <f t="shared" si="145"/>
        <v>4.2806935218344666E-3</v>
      </c>
      <c r="H938" s="215">
        <f t="shared" si="140"/>
        <v>3.6000000000000476E-3</v>
      </c>
      <c r="I938" s="231">
        <v>1184849</v>
      </c>
      <c r="K938" s="230">
        <v>44466</v>
      </c>
      <c r="L938" s="1">
        <v>1158.6500000000001</v>
      </c>
      <c r="M938" s="1">
        <v>1164.4792282287499</v>
      </c>
      <c r="N938" s="1">
        <v>23012</v>
      </c>
      <c r="O938" s="1">
        <v>60077.88</v>
      </c>
      <c r="P938" s="215">
        <f t="shared" si="146"/>
        <v>6.876093558312979E-3</v>
      </c>
      <c r="Q938" s="215">
        <f t="shared" si="141"/>
        <v>-1.0799965849910276E-2</v>
      </c>
      <c r="R938" s="231">
        <v>26796996</v>
      </c>
      <c r="T938" s="230">
        <v>44466</v>
      </c>
      <c r="U938" s="1">
        <v>66.400000000000006</v>
      </c>
      <c r="V938" s="1">
        <v>66.606061946902599</v>
      </c>
      <c r="W938" s="1">
        <v>22600</v>
      </c>
      <c r="X938" s="1">
        <v>60077.88</v>
      </c>
      <c r="Y938" s="215">
        <f t="shared" si="147"/>
        <v>6.876093558312979E-3</v>
      </c>
      <c r="Z938" s="215">
        <f t="shared" si="142"/>
        <v>9.8859315589354679E-3</v>
      </c>
      <c r="AA938" s="231">
        <v>1505297</v>
      </c>
      <c r="AC938" s="230">
        <v>44498</v>
      </c>
      <c r="AD938" s="1">
        <v>73.2</v>
      </c>
      <c r="AE938" s="1">
        <v>76.806802184807694</v>
      </c>
      <c r="AF938" s="1">
        <v>17759</v>
      </c>
      <c r="AG938" s="1">
        <v>59306.93</v>
      </c>
      <c r="AH938" s="215">
        <f t="shared" si="148"/>
        <v>-1.3826925398488732E-2</v>
      </c>
      <c r="AI938" s="215">
        <f t="shared" si="143"/>
        <v>-4.0816326530611624E-3</v>
      </c>
      <c r="AJ938" s="231">
        <v>1364012</v>
      </c>
      <c r="AL938" s="254"/>
      <c r="AQ938" s="215" t="str">
        <f t="shared" si="149"/>
        <v>NA</v>
      </c>
      <c r="AR938" s="215" t="str">
        <f t="shared" si="144"/>
        <v>NA</v>
      </c>
    </row>
    <row r="939" spans="2:44">
      <c r="B939" s="230">
        <v>44468</v>
      </c>
      <c r="C939" s="1">
        <v>375</v>
      </c>
      <c r="D939" s="1">
        <v>377.89807976366302</v>
      </c>
      <c r="E939" s="1">
        <v>677</v>
      </c>
      <c r="F939" s="215">
        <v>59413.27</v>
      </c>
      <c r="G939" s="215">
        <f t="shared" si="145"/>
        <v>4.8524888053314008E-3</v>
      </c>
      <c r="H939" s="215">
        <f t="shared" si="140"/>
        <v>-1.2378193310508268E-2</v>
      </c>
      <c r="I939" s="231">
        <v>255837</v>
      </c>
      <c r="K939" s="230">
        <v>44467</v>
      </c>
      <c r="L939" s="1">
        <v>1171.3</v>
      </c>
      <c r="M939" s="1">
        <v>1174.55059983808</v>
      </c>
      <c r="N939" s="1">
        <v>13587</v>
      </c>
      <c r="O939" s="1">
        <v>59667.6</v>
      </c>
      <c r="P939" s="215">
        <f t="shared" si="146"/>
        <v>4.2806935218344666E-3</v>
      </c>
      <c r="Q939" s="215">
        <f t="shared" si="141"/>
        <v>-4.7607431800626099E-2</v>
      </c>
      <c r="R939" s="231">
        <v>15958619</v>
      </c>
      <c r="T939" s="230">
        <v>44467</v>
      </c>
      <c r="U939" s="1">
        <v>65.75</v>
      </c>
      <c r="V939" s="1">
        <v>66.124594976817406</v>
      </c>
      <c r="W939" s="1">
        <v>55861</v>
      </c>
      <c r="X939" s="1">
        <v>59667.6</v>
      </c>
      <c r="Y939" s="215">
        <f t="shared" si="147"/>
        <v>4.2806935218344666E-3</v>
      </c>
      <c r="Z939" s="215">
        <f t="shared" si="142"/>
        <v>-2.1577380952381042E-2</v>
      </c>
      <c r="AA939" s="231">
        <v>3693786</v>
      </c>
      <c r="AC939" s="230">
        <v>44501</v>
      </c>
      <c r="AD939" s="1">
        <v>73.5</v>
      </c>
      <c r="AE939" s="1">
        <v>74.044176706827301</v>
      </c>
      <c r="AF939" s="1">
        <v>4482</v>
      </c>
      <c r="AG939" s="1">
        <v>60138.46</v>
      </c>
      <c r="AH939" s="215">
        <f t="shared" si="148"/>
        <v>1.8224506597304124E-3</v>
      </c>
      <c r="AI939" s="215">
        <f t="shared" si="143"/>
        <v>2.044989775051187E-3</v>
      </c>
      <c r="AJ939" s="231">
        <v>331866</v>
      </c>
      <c r="AL939" s="254"/>
      <c r="AQ939" s="215" t="str">
        <f t="shared" si="149"/>
        <v>NA</v>
      </c>
      <c r="AR939" s="215" t="str">
        <f t="shared" si="144"/>
        <v>NA</v>
      </c>
    </row>
    <row r="940" spans="2:44">
      <c r="B940" s="230">
        <v>44469</v>
      </c>
      <c r="C940" s="1">
        <v>379.7</v>
      </c>
      <c r="D940" s="1">
        <v>379.99873096446697</v>
      </c>
      <c r="E940" s="1">
        <v>1576</v>
      </c>
      <c r="F940" s="215">
        <v>59126.36</v>
      </c>
      <c r="G940" s="215">
        <f t="shared" si="145"/>
        <v>6.1393080779599263E-3</v>
      </c>
      <c r="H940" s="215">
        <f t="shared" si="140"/>
        <v>-4.8251660609098912E-2</v>
      </c>
      <c r="I940" s="231">
        <v>598878</v>
      </c>
      <c r="K940" s="230">
        <v>44468</v>
      </c>
      <c r="L940" s="1">
        <v>1229.8499999999999</v>
      </c>
      <c r="M940" s="1">
        <v>1209.0783408203499</v>
      </c>
      <c r="N940" s="1">
        <v>23819</v>
      </c>
      <c r="O940" s="1">
        <v>59413.27</v>
      </c>
      <c r="P940" s="215">
        <f t="shared" si="146"/>
        <v>4.8524888053314008E-3</v>
      </c>
      <c r="Q940" s="215">
        <f t="shared" si="141"/>
        <v>-3.8165252414656181E-2</v>
      </c>
      <c r="R940" s="231">
        <v>28799037</v>
      </c>
      <c r="T940" s="230">
        <v>44468</v>
      </c>
      <c r="U940" s="1">
        <v>67.2</v>
      </c>
      <c r="V940" s="1">
        <v>66.826597346381803</v>
      </c>
      <c r="W940" s="1">
        <v>127524</v>
      </c>
      <c r="X940" s="1">
        <v>59413.27</v>
      </c>
      <c r="Y940" s="215">
        <f t="shared" si="147"/>
        <v>4.8524888053314008E-3</v>
      </c>
      <c r="Z940" s="215">
        <f t="shared" si="142"/>
        <v>3.7341299477222645E-3</v>
      </c>
      <c r="AA940" s="231">
        <v>8521995</v>
      </c>
      <c r="AC940" s="230">
        <v>44502</v>
      </c>
      <c r="AD940" s="1">
        <v>73.349999999999994</v>
      </c>
      <c r="AE940" s="1">
        <v>73.109400998336099</v>
      </c>
      <c r="AF940" s="1">
        <v>2404</v>
      </c>
      <c r="AG940" s="1">
        <v>60029.06</v>
      </c>
      <c r="AH940" s="215">
        <f t="shared" si="148"/>
        <v>4.3020200789936069E-3</v>
      </c>
      <c r="AI940" s="215">
        <f t="shared" si="143"/>
        <v>1.0330578512396604E-2</v>
      </c>
      <c r="AJ940" s="231">
        <v>175755</v>
      </c>
      <c r="AL940" s="254"/>
      <c r="AQ940" s="215" t="str">
        <f t="shared" si="149"/>
        <v>NA</v>
      </c>
      <c r="AR940" s="215" t="str">
        <f t="shared" si="144"/>
        <v>NA</v>
      </c>
    </row>
    <row r="941" spans="2:44">
      <c r="B941" s="230">
        <v>44470</v>
      </c>
      <c r="C941" s="1">
        <v>398.95</v>
      </c>
      <c r="D941" s="1">
        <v>390.61759139356502</v>
      </c>
      <c r="E941" s="1">
        <v>10039</v>
      </c>
      <c r="F941" s="215">
        <v>58765.58</v>
      </c>
      <c r="G941" s="215">
        <f t="shared" si="145"/>
        <v>-9.0007777492220331E-3</v>
      </c>
      <c r="H941" s="215">
        <f t="shared" si="140"/>
        <v>-1.7122443951712252E-2</v>
      </c>
      <c r="I941" s="231">
        <v>3921410</v>
      </c>
      <c r="K941" s="230">
        <v>44469</v>
      </c>
      <c r="L941" s="1">
        <v>1278.6500000000001</v>
      </c>
      <c r="M941" s="1">
        <v>1265.6355966251499</v>
      </c>
      <c r="N941" s="1">
        <v>39824</v>
      </c>
      <c r="O941" s="1">
        <v>59126.36</v>
      </c>
      <c r="P941" s="215">
        <f t="shared" si="146"/>
        <v>6.1393080779599263E-3</v>
      </c>
      <c r="Q941" s="215">
        <f t="shared" si="141"/>
        <v>-2.4963919335334595E-3</v>
      </c>
      <c r="R941" s="231">
        <v>50402672</v>
      </c>
      <c r="T941" s="230">
        <v>44469</v>
      </c>
      <c r="U941" s="1">
        <v>66.95</v>
      </c>
      <c r="V941" s="1">
        <v>67.372874408272196</v>
      </c>
      <c r="W941" s="1">
        <v>75626</v>
      </c>
      <c r="X941" s="1">
        <v>59126.36</v>
      </c>
      <c r="Y941" s="215">
        <f t="shared" si="147"/>
        <v>6.1393080779599263E-3</v>
      </c>
      <c r="Z941" s="215">
        <f t="shared" si="142"/>
        <v>-6.7548746518105718E-2</v>
      </c>
      <c r="AA941" s="231">
        <v>5095141</v>
      </c>
      <c r="AC941" s="230">
        <v>44503</v>
      </c>
      <c r="AD941" s="1">
        <v>72.599999999999994</v>
      </c>
      <c r="AE941" s="1">
        <v>74.110796839949202</v>
      </c>
      <c r="AF941" s="1">
        <v>10253</v>
      </c>
      <c r="AG941" s="1">
        <v>59771.92</v>
      </c>
      <c r="AH941" s="215">
        <f t="shared" si="148"/>
        <v>-4.9227853542391786E-3</v>
      </c>
      <c r="AI941" s="215">
        <f t="shared" si="143"/>
        <v>-2.5503355704698083E-2</v>
      </c>
      <c r="AJ941" s="231">
        <v>759858</v>
      </c>
      <c r="AL941" s="254"/>
      <c r="AQ941" s="215" t="str">
        <f t="shared" si="149"/>
        <v>NA</v>
      </c>
      <c r="AR941" s="215" t="str">
        <f t="shared" si="144"/>
        <v>NA</v>
      </c>
    </row>
    <row r="942" spans="2:44">
      <c r="B942" s="230">
        <v>44473</v>
      </c>
      <c r="C942" s="1">
        <v>405.9</v>
      </c>
      <c r="D942" s="1">
        <v>404.37112946033602</v>
      </c>
      <c r="E942" s="1">
        <v>6782</v>
      </c>
      <c r="F942" s="215">
        <v>59299.32</v>
      </c>
      <c r="G942" s="215">
        <f t="shared" si="145"/>
        <v>-7.4577101837010051E-3</v>
      </c>
      <c r="H942" s="215">
        <f t="shared" si="140"/>
        <v>-5.1857042747021853E-2</v>
      </c>
      <c r="I942" s="231">
        <v>2742445</v>
      </c>
      <c r="K942" s="230">
        <v>44470</v>
      </c>
      <c r="L942" s="1">
        <v>1281.8499999999999</v>
      </c>
      <c r="M942" s="1">
        <v>1280.48792912513</v>
      </c>
      <c r="N942" s="1">
        <v>9030</v>
      </c>
      <c r="O942" s="1">
        <v>58765.58</v>
      </c>
      <c r="P942" s="215">
        <f t="shared" si="146"/>
        <v>-9.0007777492220331E-3</v>
      </c>
      <c r="Q942" s="215">
        <f t="shared" si="141"/>
        <v>4.2925154140327493E-4</v>
      </c>
      <c r="R942" s="231">
        <v>11562806</v>
      </c>
      <c r="T942" s="230">
        <v>44470</v>
      </c>
      <c r="U942" s="1">
        <v>71.8</v>
      </c>
      <c r="V942" s="1">
        <v>69.998198751407202</v>
      </c>
      <c r="W942" s="1">
        <v>293130</v>
      </c>
      <c r="X942" s="1">
        <v>58765.58</v>
      </c>
      <c r="Y942" s="215">
        <f t="shared" si="147"/>
        <v>-9.0007777492220331E-3</v>
      </c>
      <c r="Z942" s="215">
        <f t="shared" si="142"/>
        <v>-7.1151358344113791E-2</v>
      </c>
      <c r="AA942" s="231">
        <v>20518572</v>
      </c>
      <c r="AC942" s="230">
        <v>44504</v>
      </c>
      <c r="AD942" s="1">
        <v>74.5</v>
      </c>
      <c r="AE942" s="1">
        <v>73.636631330977593</v>
      </c>
      <c r="AF942" s="1">
        <v>1698</v>
      </c>
      <c r="AG942" s="1">
        <v>60067.62</v>
      </c>
      <c r="AH942" s="215">
        <f t="shared" si="148"/>
        <v>-7.8947094595297473E-3</v>
      </c>
      <c r="AI942" s="215">
        <f t="shared" si="143"/>
        <v>3.3670033670034627E-3</v>
      </c>
      <c r="AJ942" s="231">
        <v>125035</v>
      </c>
      <c r="AL942" s="254"/>
      <c r="AQ942" s="215" t="str">
        <f t="shared" si="149"/>
        <v>NA</v>
      </c>
      <c r="AR942" s="215" t="str">
        <f t="shared" si="144"/>
        <v>NA</v>
      </c>
    </row>
    <row r="943" spans="2:44">
      <c r="B943" s="230">
        <v>44474</v>
      </c>
      <c r="C943" s="1">
        <v>428.1</v>
      </c>
      <c r="D943" s="1">
        <v>416.64711515441701</v>
      </c>
      <c r="E943" s="1">
        <v>12531</v>
      </c>
      <c r="F943" s="215">
        <v>59744.88</v>
      </c>
      <c r="G943" s="215">
        <f t="shared" si="145"/>
        <v>9.3791608780779967E-3</v>
      </c>
      <c r="H943" s="215">
        <f t="shared" si="140"/>
        <v>8.2430522845031717E-3</v>
      </c>
      <c r="I943" s="231">
        <v>5221005</v>
      </c>
      <c r="K943" s="230">
        <v>44473</v>
      </c>
      <c r="L943" s="1">
        <v>1281.3</v>
      </c>
      <c r="M943" s="1">
        <v>1287.8846828779101</v>
      </c>
      <c r="N943" s="1">
        <v>15956</v>
      </c>
      <c r="O943" s="1">
        <v>59299.32</v>
      </c>
      <c r="P943" s="215">
        <f t="shared" si="146"/>
        <v>-7.4577101837010051E-3</v>
      </c>
      <c r="Q943" s="215">
        <f t="shared" si="141"/>
        <v>9.3347512702350866E-3</v>
      </c>
      <c r="R943" s="231">
        <v>20549488</v>
      </c>
      <c r="T943" s="230">
        <v>44473</v>
      </c>
      <c r="U943" s="1">
        <v>77.3</v>
      </c>
      <c r="V943" s="1">
        <v>76.310880152424801</v>
      </c>
      <c r="W943" s="1">
        <v>336953</v>
      </c>
      <c r="X943" s="1">
        <v>59299.32</v>
      </c>
      <c r="Y943" s="215">
        <f t="shared" si="147"/>
        <v>-7.4577101837010051E-3</v>
      </c>
      <c r="Z943" s="215">
        <f t="shared" si="142"/>
        <v>2.7242524916943456E-2</v>
      </c>
      <c r="AA943" s="231">
        <v>25713180</v>
      </c>
      <c r="AC943" s="230">
        <v>44508</v>
      </c>
      <c r="AD943" s="1">
        <v>74.25</v>
      </c>
      <c r="AE943" s="1">
        <v>74.557670772676303</v>
      </c>
      <c r="AF943" s="1">
        <v>1786</v>
      </c>
      <c r="AG943" s="1">
        <v>60545.61</v>
      </c>
      <c r="AH943" s="215">
        <f t="shared" si="148"/>
        <v>1.8559258159183134E-3</v>
      </c>
      <c r="AI943" s="215">
        <f t="shared" si="143"/>
        <v>-6.7294751009416842E-4</v>
      </c>
      <c r="AJ943" s="231">
        <v>133160</v>
      </c>
      <c r="AL943" s="254"/>
      <c r="AQ943" s="215" t="str">
        <f t="shared" si="149"/>
        <v>NA</v>
      </c>
      <c r="AR943" s="215" t="str">
        <f t="shared" si="144"/>
        <v>NA</v>
      </c>
    </row>
    <row r="944" spans="2:44">
      <c r="B944" s="230">
        <v>44475</v>
      </c>
      <c r="C944" s="1">
        <v>424.6</v>
      </c>
      <c r="D944" s="1">
        <v>428.65204196653002</v>
      </c>
      <c r="E944" s="1">
        <v>11533</v>
      </c>
      <c r="F944" s="215">
        <v>59189.73</v>
      </c>
      <c r="G944" s="215">
        <f t="shared" si="145"/>
        <v>-8.1789166931840462E-3</v>
      </c>
      <c r="H944" s="215">
        <f t="shared" si="140"/>
        <v>1.0952380952381047E-2</v>
      </c>
      <c r="I944" s="231">
        <v>4943644</v>
      </c>
      <c r="K944" s="230">
        <v>44474</v>
      </c>
      <c r="L944" s="1">
        <v>1269.45</v>
      </c>
      <c r="M944" s="1">
        <v>1274.23964958598</v>
      </c>
      <c r="N944" s="1">
        <v>16666</v>
      </c>
      <c r="O944" s="1">
        <v>59744.88</v>
      </c>
      <c r="P944" s="215">
        <f t="shared" si="146"/>
        <v>9.3791608780779967E-3</v>
      </c>
      <c r="Q944" s="215">
        <f t="shared" si="141"/>
        <v>1.5779715176140741E-3</v>
      </c>
      <c r="R944" s="231">
        <v>21236478</v>
      </c>
      <c r="T944" s="230">
        <v>44474</v>
      </c>
      <c r="U944" s="1">
        <v>75.25</v>
      </c>
      <c r="V944" s="1">
        <v>76.150529778586801</v>
      </c>
      <c r="W944" s="1">
        <v>250482</v>
      </c>
      <c r="X944" s="1">
        <v>59744.88</v>
      </c>
      <c r="Y944" s="215">
        <f t="shared" si="147"/>
        <v>9.3791608780779967E-3</v>
      </c>
      <c r="Z944" s="215">
        <f t="shared" si="142"/>
        <v>1.82679296346413E-2</v>
      </c>
      <c r="AA944" s="231">
        <v>19074337</v>
      </c>
      <c r="AC944" s="230">
        <v>44509</v>
      </c>
      <c r="AD944" s="1">
        <v>74.3</v>
      </c>
      <c r="AE944" s="1">
        <v>74.483301343570005</v>
      </c>
      <c r="AF944" s="1">
        <v>5210</v>
      </c>
      <c r="AG944" s="1">
        <v>60433.45</v>
      </c>
      <c r="AH944" s="215">
        <f t="shared" si="148"/>
        <v>1.3359773412409126E-3</v>
      </c>
      <c r="AI944" s="215">
        <f t="shared" si="143"/>
        <v>2.0229265003370855E-3</v>
      </c>
      <c r="AJ944" s="231">
        <v>388058</v>
      </c>
      <c r="AL944" s="254"/>
      <c r="AQ944" s="215" t="str">
        <f t="shared" si="149"/>
        <v>NA</v>
      </c>
      <c r="AR944" s="215" t="str">
        <f t="shared" si="144"/>
        <v>NA</v>
      </c>
    </row>
    <row r="945" spans="2:44">
      <c r="B945" s="230">
        <v>44476</v>
      </c>
      <c r="C945" s="1">
        <v>420</v>
      </c>
      <c r="D945" s="1">
        <v>416.18508520330602</v>
      </c>
      <c r="E945" s="1">
        <v>5927</v>
      </c>
      <c r="F945" s="215">
        <v>59677.83</v>
      </c>
      <c r="G945" s="215">
        <f t="shared" si="145"/>
        <v>-6.3475851936409811E-3</v>
      </c>
      <c r="H945" s="215">
        <f t="shared" si="140"/>
        <v>-1.8347551712048715E-2</v>
      </c>
      <c r="I945" s="231">
        <v>2466729</v>
      </c>
      <c r="K945" s="230">
        <v>44475</v>
      </c>
      <c r="L945" s="1">
        <v>1267.45</v>
      </c>
      <c r="M945" s="1">
        <v>1273.6516637478101</v>
      </c>
      <c r="N945" s="1">
        <v>17130</v>
      </c>
      <c r="O945" s="1">
        <v>59189.73</v>
      </c>
      <c r="P945" s="215">
        <f t="shared" si="146"/>
        <v>-8.1789166931840462E-3</v>
      </c>
      <c r="Q945" s="215">
        <f t="shared" si="141"/>
        <v>-1.2774077968609965E-2</v>
      </c>
      <c r="R945" s="231">
        <v>21817653</v>
      </c>
      <c r="T945" s="230">
        <v>44475</v>
      </c>
      <c r="U945" s="1">
        <v>73.900000000000006</v>
      </c>
      <c r="V945" s="1">
        <v>74.976366518790797</v>
      </c>
      <c r="W945" s="1">
        <v>150126</v>
      </c>
      <c r="X945" s="1">
        <v>59189.73</v>
      </c>
      <c r="Y945" s="215">
        <f t="shared" si="147"/>
        <v>-8.1789166931840462E-3</v>
      </c>
      <c r="Z945" s="215">
        <f t="shared" si="142"/>
        <v>2.7137042062415073E-3</v>
      </c>
      <c r="AA945" s="231">
        <v>11255902</v>
      </c>
      <c r="AC945" s="230">
        <v>44510</v>
      </c>
      <c r="AD945" s="1">
        <v>74.150000000000006</v>
      </c>
      <c r="AE945" s="1">
        <v>74.456938698758904</v>
      </c>
      <c r="AF945" s="1">
        <v>2659</v>
      </c>
      <c r="AG945" s="1">
        <v>60352.82</v>
      </c>
      <c r="AH945" s="215">
        <f t="shared" si="148"/>
        <v>7.2285086922179165E-3</v>
      </c>
      <c r="AI945" s="215">
        <f t="shared" si="143"/>
        <v>-9.3520374081494939E-3</v>
      </c>
      <c r="AJ945" s="231">
        <v>197981</v>
      </c>
      <c r="AL945" s="254"/>
      <c r="AQ945" s="215" t="str">
        <f t="shared" si="149"/>
        <v>NA</v>
      </c>
      <c r="AR945" s="215" t="str">
        <f t="shared" si="144"/>
        <v>NA</v>
      </c>
    </row>
    <row r="946" spans="2:44">
      <c r="B946" s="230">
        <v>44477</v>
      </c>
      <c r="C946" s="1">
        <v>427.85</v>
      </c>
      <c r="D946" s="1">
        <v>428.42763713080097</v>
      </c>
      <c r="E946" s="1">
        <v>4740</v>
      </c>
      <c r="F946" s="215">
        <v>60059.06</v>
      </c>
      <c r="G946" s="215">
        <f t="shared" si="145"/>
        <v>-1.2757795774828162E-3</v>
      </c>
      <c r="H946" s="215">
        <f t="shared" si="140"/>
        <v>1.7963359505115406E-2</v>
      </c>
      <c r="I946" s="231">
        <v>2030747</v>
      </c>
      <c r="K946" s="230">
        <v>44476</v>
      </c>
      <c r="L946" s="1">
        <v>1283.8499999999999</v>
      </c>
      <c r="M946" s="1">
        <v>1275.84540723027</v>
      </c>
      <c r="N946" s="1">
        <v>14218</v>
      </c>
      <c r="O946" s="1">
        <v>59677.83</v>
      </c>
      <c r="P946" s="215">
        <f t="shared" si="146"/>
        <v>-6.3475851936409811E-3</v>
      </c>
      <c r="Q946" s="215">
        <f t="shared" si="141"/>
        <v>-1.6056100551808727E-2</v>
      </c>
      <c r="R946" s="231">
        <v>18139970</v>
      </c>
      <c r="T946" s="230">
        <v>44476</v>
      </c>
      <c r="U946" s="1">
        <v>73.7</v>
      </c>
      <c r="V946" s="1">
        <v>74.114030855964501</v>
      </c>
      <c r="W946" s="1">
        <v>105717</v>
      </c>
      <c r="X946" s="1">
        <v>59677.83</v>
      </c>
      <c r="Y946" s="215">
        <f t="shared" si="147"/>
        <v>-6.3475851936409811E-3</v>
      </c>
      <c r="Z946" s="215">
        <f t="shared" si="142"/>
        <v>6.830601092896238E-3</v>
      </c>
      <c r="AA946" s="231">
        <v>7835113</v>
      </c>
      <c r="AC946" s="230">
        <v>44511</v>
      </c>
      <c r="AD946" s="1">
        <v>74.849999999999994</v>
      </c>
      <c r="AE946" s="1">
        <v>75.467704607616199</v>
      </c>
      <c r="AF946" s="1">
        <v>9506</v>
      </c>
      <c r="AG946" s="1">
        <v>59919.69</v>
      </c>
      <c r="AH946" s="215">
        <f t="shared" si="148"/>
        <v>-1.2638685682148765E-2</v>
      </c>
      <c r="AI946" s="215">
        <f t="shared" si="143"/>
        <v>-1.2532981530343101E-2</v>
      </c>
      <c r="AJ946" s="231">
        <v>717396</v>
      </c>
      <c r="AL946" s="254"/>
      <c r="AQ946" s="215" t="str">
        <f t="shared" si="149"/>
        <v>NA</v>
      </c>
      <c r="AR946" s="215" t="str">
        <f t="shared" si="144"/>
        <v>NA</v>
      </c>
    </row>
    <row r="947" spans="2:44">
      <c r="B947" s="230">
        <v>44480</v>
      </c>
      <c r="C947" s="1">
        <v>420.3</v>
      </c>
      <c r="D947" s="1">
        <v>421.10048773490098</v>
      </c>
      <c r="E947" s="1">
        <v>13942</v>
      </c>
      <c r="F947" s="215">
        <v>60135.78</v>
      </c>
      <c r="G947" s="215">
        <f t="shared" si="145"/>
        <v>-2.4638251644581999E-3</v>
      </c>
      <c r="H947" s="215">
        <f t="shared" si="140"/>
        <v>-3.3126293995859202E-2</v>
      </c>
      <c r="I947" s="231">
        <v>5870983</v>
      </c>
      <c r="K947" s="230">
        <v>44477</v>
      </c>
      <c r="L947" s="1">
        <v>1304.8</v>
      </c>
      <c r="M947" s="1">
        <v>1308.37038276978</v>
      </c>
      <c r="N947" s="1">
        <v>8961</v>
      </c>
      <c r="O947" s="1">
        <v>60059.06</v>
      </c>
      <c r="P947" s="215">
        <f t="shared" si="146"/>
        <v>-1.2757795774828162E-3</v>
      </c>
      <c r="Q947" s="215">
        <f t="shared" si="141"/>
        <v>-4.4067548261841116E-2</v>
      </c>
      <c r="R947" s="231">
        <v>11724307</v>
      </c>
      <c r="T947" s="230">
        <v>44477</v>
      </c>
      <c r="U947" s="1">
        <v>73.2</v>
      </c>
      <c r="V947" s="1">
        <v>73.533755713948196</v>
      </c>
      <c r="W947" s="1">
        <v>143946</v>
      </c>
      <c r="X947" s="1">
        <v>60059.06</v>
      </c>
      <c r="Y947" s="215">
        <f t="shared" si="147"/>
        <v>-1.2757795774828162E-3</v>
      </c>
      <c r="Z947" s="215">
        <f t="shared" si="142"/>
        <v>-1.2145748987854144E-2</v>
      </c>
      <c r="AA947" s="231">
        <v>10584890</v>
      </c>
      <c r="AC947" s="230">
        <v>44512</v>
      </c>
      <c r="AD947" s="1">
        <v>75.8</v>
      </c>
      <c r="AE947" s="1">
        <v>75.675488139422299</v>
      </c>
      <c r="AF947" s="1">
        <v>6197</v>
      </c>
      <c r="AG947" s="1">
        <v>60686.69</v>
      </c>
      <c r="AH947" s="215">
        <f t="shared" si="148"/>
        <v>-5.2734980700341882E-4</v>
      </c>
      <c r="AI947" s="215">
        <f t="shared" si="143"/>
        <v>6.9111424541607791E-2</v>
      </c>
      <c r="AJ947" s="231">
        <v>468961</v>
      </c>
      <c r="AL947" s="254"/>
      <c r="AQ947" s="215" t="str">
        <f t="shared" si="149"/>
        <v>NA</v>
      </c>
      <c r="AR947" s="215" t="str">
        <f t="shared" si="144"/>
        <v>NA</v>
      </c>
    </row>
    <row r="948" spans="2:44">
      <c r="B948" s="230">
        <v>44481</v>
      </c>
      <c r="C948" s="1">
        <v>434.7</v>
      </c>
      <c r="D948" s="1">
        <v>423.93223220791799</v>
      </c>
      <c r="E948" s="1">
        <v>20585</v>
      </c>
      <c r="F948" s="215">
        <v>60284.31</v>
      </c>
      <c r="G948" s="215">
        <f t="shared" si="145"/>
        <v>-7.4540992688977292E-3</v>
      </c>
      <c r="H948" s="215">
        <f t="shared" si="140"/>
        <v>8.584686774941952E-3</v>
      </c>
      <c r="I948" s="231">
        <v>8726645</v>
      </c>
      <c r="K948" s="230">
        <v>44480</v>
      </c>
      <c r="L948" s="1">
        <v>1364.95</v>
      </c>
      <c r="M948" s="1">
        <v>1351.7220614288899</v>
      </c>
      <c r="N948" s="1">
        <v>57009</v>
      </c>
      <c r="O948" s="1">
        <v>60135.78</v>
      </c>
      <c r="P948" s="215">
        <f t="shared" si="146"/>
        <v>-2.4638251644581999E-3</v>
      </c>
      <c r="Q948" s="215">
        <f t="shared" si="141"/>
        <v>-1.607496846278611E-2</v>
      </c>
      <c r="R948" s="231">
        <v>77060323</v>
      </c>
      <c r="T948" s="230">
        <v>44480</v>
      </c>
      <c r="U948" s="1">
        <v>74.099999999999994</v>
      </c>
      <c r="V948" s="1">
        <v>74.958032758446194</v>
      </c>
      <c r="W948" s="1">
        <v>69173</v>
      </c>
      <c r="X948" s="1">
        <v>60135.78</v>
      </c>
      <c r="Y948" s="215">
        <f t="shared" si="147"/>
        <v>-2.4638251644581999E-3</v>
      </c>
      <c r="Z948" s="215">
        <f t="shared" si="142"/>
        <v>-1.7241379310344973E-2</v>
      </c>
      <c r="AA948" s="231">
        <v>5185072</v>
      </c>
      <c r="AC948" s="230">
        <v>44515</v>
      </c>
      <c r="AD948" s="1">
        <v>70.900000000000006</v>
      </c>
      <c r="AE948" s="1">
        <v>71.965800273597793</v>
      </c>
      <c r="AF948" s="1">
        <v>8041</v>
      </c>
      <c r="AG948" s="1">
        <v>60718.71</v>
      </c>
      <c r="AH948" s="215">
        <f t="shared" si="148"/>
        <v>6.570365189563887E-3</v>
      </c>
      <c r="AI948" s="215">
        <f t="shared" si="143"/>
        <v>5.6737588652482351E-3</v>
      </c>
      <c r="AJ948" s="231">
        <v>578677</v>
      </c>
      <c r="AL948" s="254"/>
      <c r="AQ948" s="215" t="str">
        <f t="shared" si="149"/>
        <v>NA</v>
      </c>
      <c r="AR948" s="215" t="str">
        <f t="shared" si="144"/>
        <v>NA</v>
      </c>
    </row>
    <row r="949" spans="2:44">
      <c r="B949" s="230">
        <v>44482</v>
      </c>
      <c r="C949" s="1">
        <v>431</v>
      </c>
      <c r="D949" s="1">
        <v>427.182260024301</v>
      </c>
      <c r="E949" s="1">
        <v>2469</v>
      </c>
      <c r="F949" s="215">
        <v>60737.05</v>
      </c>
      <c r="G949" s="215">
        <f t="shared" si="145"/>
        <v>-9.2796865557094321E-3</v>
      </c>
      <c r="H949" s="215">
        <f t="shared" si="140"/>
        <v>-1.274475727030544E-3</v>
      </c>
      <c r="I949" s="231">
        <v>1054713</v>
      </c>
      <c r="K949" s="230">
        <v>44481</v>
      </c>
      <c r="L949" s="1">
        <v>1387.25</v>
      </c>
      <c r="M949" s="1">
        <v>1397.4230702212899</v>
      </c>
      <c r="N949" s="1">
        <v>17217</v>
      </c>
      <c r="O949" s="1">
        <v>60284.31</v>
      </c>
      <c r="P949" s="215">
        <f t="shared" si="146"/>
        <v>-7.4540992688977292E-3</v>
      </c>
      <c r="Q949" s="215">
        <f t="shared" si="141"/>
        <v>-6.0899158158695954E-3</v>
      </c>
      <c r="R949" s="231">
        <v>24059433</v>
      </c>
      <c r="T949" s="230">
        <v>44481</v>
      </c>
      <c r="U949" s="1">
        <v>75.400000000000006</v>
      </c>
      <c r="V949" s="1">
        <v>74.335039885700596</v>
      </c>
      <c r="W949" s="1">
        <v>125985</v>
      </c>
      <c r="X949" s="1">
        <v>60284.31</v>
      </c>
      <c r="Y949" s="215">
        <f t="shared" si="147"/>
        <v>-7.4540992688977292E-3</v>
      </c>
      <c r="Z949" s="215">
        <f t="shared" si="142"/>
        <v>-3.7651563497128171E-2</v>
      </c>
      <c r="AA949" s="231">
        <v>9365100</v>
      </c>
      <c r="AC949" s="230">
        <v>44516</v>
      </c>
      <c r="AD949" s="1">
        <v>70.5</v>
      </c>
      <c r="AE949" s="1">
        <v>70.680604203152299</v>
      </c>
      <c r="AF949" s="1">
        <v>4568</v>
      </c>
      <c r="AG949" s="1">
        <v>60322.37</v>
      </c>
      <c r="AH949" s="215">
        <f t="shared" si="148"/>
        <v>5.2332734472031461E-3</v>
      </c>
      <c r="AI949" s="215">
        <f t="shared" si="143"/>
        <v>4.9893086243761875E-3</v>
      </c>
      <c r="AJ949" s="231">
        <v>322869</v>
      </c>
      <c r="AL949" s="254"/>
      <c r="AQ949" s="215" t="str">
        <f t="shared" si="149"/>
        <v>NA</v>
      </c>
      <c r="AR949" s="215" t="str">
        <f t="shared" si="144"/>
        <v>NA</v>
      </c>
    </row>
    <row r="950" spans="2:44">
      <c r="B950" s="230">
        <v>44483</v>
      </c>
      <c r="C950" s="1">
        <v>431.55</v>
      </c>
      <c r="D950" s="1">
        <v>431.18261751775401</v>
      </c>
      <c r="E950" s="1">
        <v>2957</v>
      </c>
      <c r="F950" s="215">
        <v>61305.95</v>
      </c>
      <c r="G950" s="215">
        <f t="shared" si="145"/>
        <v>-7.4416839538001822E-3</v>
      </c>
      <c r="H950" s="215">
        <f t="shared" si="140"/>
        <v>-1.2584372497425944E-2</v>
      </c>
      <c r="I950" s="231">
        <v>1275007</v>
      </c>
      <c r="K950" s="230">
        <v>44482</v>
      </c>
      <c r="L950" s="1">
        <v>1395.75</v>
      </c>
      <c r="M950" s="1">
        <v>1393.7588899469399</v>
      </c>
      <c r="N950" s="1">
        <v>36755</v>
      </c>
      <c r="O950" s="1">
        <v>60737.05</v>
      </c>
      <c r="P950" s="215">
        <f t="shared" si="146"/>
        <v>-9.2796865557094321E-3</v>
      </c>
      <c r="Q950" s="215">
        <f t="shared" si="141"/>
        <v>2.7987479285582761E-2</v>
      </c>
      <c r="R950" s="231">
        <v>51227608</v>
      </c>
      <c r="T950" s="230">
        <v>44482</v>
      </c>
      <c r="U950" s="1">
        <v>78.349999999999994</v>
      </c>
      <c r="V950" s="1">
        <v>78.211819523398503</v>
      </c>
      <c r="W950" s="1">
        <v>499411</v>
      </c>
      <c r="X950" s="1">
        <v>60737.05</v>
      </c>
      <c r="Y950" s="215">
        <f t="shared" si="147"/>
        <v>-9.2796865557094321E-3</v>
      </c>
      <c r="Z950" s="215">
        <f t="shared" si="142"/>
        <v>3.227931488801028E-2</v>
      </c>
      <c r="AA950" s="231">
        <v>39059843</v>
      </c>
      <c r="AC950" s="230">
        <v>44517</v>
      </c>
      <c r="AD950" s="1">
        <v>70.150000000000006</v>
      </c>
      <c r="AE950" s="1">
        <v>70.210102489018993</v>
      </c>
      <c r="AF950" s="1">
        <v>1366</v>
      </c>
      <c r="AG950" s="1">
        <v>60008.33</v>
      </c>
      <c r="AH950" s="215">
        <f t="shared" si="148"/>
        <v>6.2432077531680008E-3</v>
      </c>
      <c r="AI950" s="215">
        <f t="shared" si="143"/>
        <v>1.7403915881073262E-2</v>
      </c>
      <c r="AJ950" s="231">
        <v>95907</v>
      </c>
      <c r="AL950" s="254"/>
      <c r="AQ950" s="215" t="str">
        <f t="shared" si="149"/>
        <v>NA</v>
      </c>
      <c r="AR950" s="215" t="str">
        <f t="shared" si="144"/>
        <v>NA</v>
      </c>
    </row>
    <row r="951" spans="2:44">
      <c r="B951" s="230">
        <v>44487</v>
      </c>
      <c r="C951" s="1">
        <v>437.05</v>
      </c>
      <c r="D951" s="1">
        <v>442.326663156047</v>
      </c>
      <c r="E951" s="1">
        <v>5697</v>
      </c>
      <c r="F951" s="215">
        <v>61765.59</v>
      </c>
      <c r="G951" s="215">
        <f t="shared" si="145"/>
        <v>8.0270853367947481E-4</v>
      </c>
      <c r="H951" s="215">
        <f t="shared" si="140"/>
        <v>8.654511885529681E-3</v>
      </c>
      <c r="I951" s="231">
        <v>2519935</v>
      </c>
      <c r="K951" s="230">
        <v>44483</v>
      </c>
      <c r="L951" s="1">
        <v>1357.75</v>
      </c>
      <c r="M951" s="1">
        <v>1369.6719196537899</v>
      </c>
      <c r="N951" s="1">
        <v>12247</v>
      </c>
      <c r="O951" s="1">
        <v>61305.95</v>
      </c>
      <c r="P951" s="215">
        <f t="shared" si="146"/>
        <v>-7.4416839538001822E-3</v>
      </c>
      <c r="Q951" s="215">
        <f t="shared" si="141"/>
        <v>-4.7593995510662124E-2</v>
      </c>
      <c r="R951" s="231">
        <v>16774372</v>
      </c>
      <c r="T951" s="230">
        <v>44483</v>
      </c>
      <c r="U951" s="1">
        <v>75.900000000000006</v>
      </c>
      <c r="V951" s="1">
        <v>77.003543594593594</v>
      </c>
      <c r="W951" s="1">
        <v>167062</v>
      </c>
      <c r="X951" s="1">
        <v>61305.95</v>
      </c>
      <c r="Y951" s="215">
        <f t="shared" si="147"/>
        <v>-7.4416839538001822E-3</v>
      </c>
      <c r="Z951" s="215">
        <f t="shared" si="142"/>
        <v>1.0652463382157196E-2</v>
      </c>
      <c r="AA951" s="231">
        <v>12864366</v>
      </c>
      <c r="AC951" s="230">
        <v>44518</v>
      </c>
      <c r="AD951" s="1">
        <v>68.95</v>
      </c>
      <c r="AE951" s="1">
        <v>69.2450736560168</v>
      </c>
      <c r="AF951" s="1">
        <v>5227</v>
      </c>
      <c r="AG951" s="1">
        <v>59636.01</v>
      </c>
      <c r="AH951" s="215">
        <f t="shared" si="148"/>
        <v>2.001372082080688E-2</v>
      </c>
      <c r="AI951" s="215">
        <f t="shared" si="143"/>
        <v>2.375649591685236E-2</v>
      </c>
      <c r="AJ951" s="231">
        <v>361944</v>
      </c>
      <c r="AL951" s="254"/>
      <c r="AQ951" s="215" t="str">
        <f t="shared" si="149"/>
        <v>NA</v>
      </c>
      <c r="AR951" s="215" t="str">
        <f t="shared" si="144"/>
        <v>NA</v>
      </c>
    </row>
    <row r="952" spans="2:44">
      <c r="B952" s="230">
        <v>44488</v>
      </c>
      <c r="C952" s="1">
        <v>433.3</v>
      </c>
      <c r="D952" s="1">
        <v>432.327518689925</v>
      </c>
      <c r="E952" s="1">
        <v>2809</v>
      </c>
      <c r="F952" s="215">
        <v>61716.05</v>
      </c>
      <c r="G952" s="215">
        <f t="shared" si="145"/>
        <v>7.4451566732984809E-3</v>
      </c>
      <c r="H952" s="215">
        <f t="shared" si="140"/>
        <v>5.7990477353192516E-2</v>
      </c>
      <c r="I952" s="231">
        <v>1214408</v>
      </c>
      <c r="K952" s="230">
        <v>44487</v>
      </c>
      <c r="L952" s="1">
        <v>1425.6</v>
      </c>
      <c r="M952" s="1">
        <v>1425.4021564750201</v>
      </c>
      <c r="N952" s="1">
        <v>26803</v>
      </c>
      <c r="O952" s="1">
        <v>61765.59</v>
      </c>
      <c r="P952" s="215">
        <f t="shared" si="146"/>
        <v>8.0270853367947481E-4</v>
      </c>
      <c r="Q952" s="215">
        <f t="shared" si="141"/>
        <v>-2.9279586000272362E-2</v>
      </c>
      <c r="R952" s="231">
        <v>38205054</v>
      </c>
      <c r="T952" s="230">
        <v>44487</v>
      </c>
      <c r="U952" s="1">
        <v>75.099999999999994</v>
      </c>
      <c r="V952" s="1">
        <v>75.472337943245904</v>
      </c>
      <c r="W952" s="1">
        <v>193713</v>
      </c>
      <c r="X952" s="1">
        <v>61765.59</v>
      </c>
      <c r="Y952" s="215">
        <f t="shared" si="147"/>
        <v>8.0270853367947481E-4</v>
      </c>
      <c r="Z952" s="215">
        <f t="shared" si="142"/>
        <v>2.1768707482993088E-2</v>
      </c>
      <c r="AA952" s="231">
        <v>14619973</v>
      </c>
      <c r="AC952" s="230">
        <v>44522</v>
      </c>
      <c r="AD952" s="1">
        <v>67.349999999999994</v>
      </c>
      <c r="AE952" s="1">
        <v>67.469185577698397</v>
      </c>
      <c r="AF952" s="1">
        <v>8681</v>
      </c>
      <c r="AG952" s="1">
        <v>58465.89</v>
      </c>
      <c r="AH952" s="215">
        <f t="shared" si="148"/>
        <v>-3.3826347288037351E-3</v>
      </c>
      <c r="AI952" s="215">
        <f t="shared" si="143"/>
        <v>-1.6070124178232392E-2</v>
      </c>
      <c r="AJ952" s="231">
        <v>585700</v>
      </c>
      <c r="AL952" s="254"/>
      <c r="AQ952" s="215" t="str">
        <f t="shared" si="149"/>
        <v>NA</v>
      </c>
      <c r="AR952" s="215" t="str">
        <f t="shared" si="144"/>
        <v>NA</v>
      </c>
    </row>
    <row r="953" spans="2:44">
      <c r="B953" s="230">
        <v>44489</v>
      </c>
      <c r="C953" s="1">
        <v>409.55</v>
      </c>
      <c r="D953" s="1">
        <v>409.80605723812101</v>
      </c>
      <c r="E953" s="1">
        <v>3599</v>
      </c>
      <c r="F953" s="215">
        <v>61259.96</v>
      </c>
      <c r="G953" s="215">
        <f t="shared" si="145"/>
        <v>5.5226636683709529E-3</v>
      </c>
      <c r="H953" s="215">
        <f t="shared" si="140"/>
        <v>2.0939798080518601E-2</v>
      </c>
      <c r="I953" s="231">
        <v>1474892</v>
      </c>
      <c r="K953" s="230">
        <v>44488</v>
      </c>
      <c r="L953" s="1">
        <v>1468.6</v>
      </c>
      <c r="M953" s="1">
        <v>1485.29265251681</v>
      </c>
      <c r="N953" s="1">
        <v>103464</v>
      </c>
      <c r="O953" s="1">
        <v>61716.05</v>
      </c>
      <c r="P953" s="215">
        <f t="shared" si="146"/>
        <v>7.4451566732984809E-3</v>
      </c>
      <c r="Q953" s="215">
        <f t="shared" si="141"/>
        <v>5.2307251361421558E-2</v>
      </c>
      <c r="R953" s="231">
        <v>153674319</v>
      </c>
      <c r="T953" s="230">
        <v>44488</v>
      </c>
      <c r="U953" s="1">
        <v>73.5</v>
      </c>
      <c r="V953" s="1">
        <v>74.762065493389301</v>
      </c>
      <c r="W953" s="1">
        <v>228420</v>
      </c>
      <c r="X953" s="1">
        <v>61716.05</v>
      </c>
      <c r="Y953" s="215">
        <f t="shared" si="147"/>
        <v>7.4451566732984809E-3</v>
      </c>
      <c r="Z953" s="215">
        <f t="shared" si="142"/>
        <v>3.5211267605633756E-2</v>
      </c>
      <c r="AA953" s="231">
        <v>17077151</v>
      </c>
      <c r="AC953" s="230">
        <v>44523</v>
      </c>
      <c r="AD953" s="1">
        <v>68.45</v>
      </c>
      <c r="AE953" s="1">
        <v>67.8378054623862</v>
      </c>
      <c r="AF953" s="1">
        <v>4174</v>
      </c>
      <c r="AG953" s="1">
        <v>58664.33</v>
      </c>
      <c r="AH953" s="215">
        <f t="shared" si="148"/>
        <v>5.5422439694630121E-3</v>
      </c>
      <c r="AI953" s="215">
        <f t="shared" si="143"/>
        <v>6.6176470588235059E-3</v>
      </c>
      <c r="AJ953" s="231">
        <v>283155</v>
      </c>
      <c r="AL953" s="254"/>
      <c r="AQ953" s="215" t="str">
        <f t="shared" si="149"/>
        <v>NA</v>
      </c>
      <c r="AR953" s="215" t="str">
        <f t="shared" si="144"/>
        <v>NA</v>
      </c>
    </row>
    <row r="954" spans="2:44">
      <c r="B954" s="230">
        <v>44490</v>
      </c>
      <c r="C954" s="1">
        <v>401.15</v>
      </c>
      <c r="D954" s="1">
        <v>413.75618006765501</v>
      </c>
      <c r="E954" s="1">
        <v>3843</v>
      </c>
      <c r="F954" s="215">
        <v>60923.5</v>
      </c>
      <c r="G954" s="215">
        <f t="shared" si="145"/>
        <v>1.6750622558228123E-3</v>
      </c>
      <c r="H954" s="215">
        <f t="shared" si="140"/>
        <v>1.4285714285714235E-2</v>
      </c>
      <c r="I954" s="231">
        <v>1590065</v>
      </c>
      <c r="K954" s="230">
        <v>44489</v>
      </c>
      <c r="L954" s="1">
        <v>1395.6</v>
      </c>
      <c r="M954" s="1">
        <v>1418.1688332753999</v>
      </c>
      <c r="N954" s="1">
        <v>43155</v>
      </c>
      <c r="O954" s="1">
        <v>61259.96</v>
      </c>
      <c r="P954" s="215">
        <f t="shared" si="146"/>
        <v>5.5226636683709529E-3</v>
      </c>
      <c r="Q954" s="215">
        <f t="shared" si="141"/>
        <v>-2.6574597196066252E-2</v>
      </c>
      <c r="R954" s="231">
        <v>61201076</v>
      </c>
      <c r="T954" s="230">
        <v>44489</v>
      </c>
      <c r="U954" s="1">
        <v>71</v>
      </c>
      <c r="V954" s="1">
        <v>71.875822451862604</v>
      </c>
      <c r="W954" s="1">
        <v>128123</v>
      </c>
      <c r="X954" s="1">
        <v>61259.96</v>
      </c>
      <c r="Y954" s="215">
        <f t="shared" si="147"/>
        <v>5.5226636683709529E-3</v>
      </c>
      <c r="Z954" s="215">
        <f t="shared" si="142"/>
        <v>2.1582733812949728E-2</v>
      </c>
      <c r="AA954" s="231">
        <v>9208946</v>
      </c>
      <c r="AC954" s="230">
        <v>44524</v>
      </c>
      <c r="AD954" s="1">
        <v>68</v>
      </c>
      <c r="AE954" s="1">
        <v>68.6530596496643</v>
      </c>
      <c r="AF954" s="1">
        <v>12959</v>
      </c>
      <c r="AG954" s="1">
        <v>58340.99</v>
      </c>
      <c r="AH954" s="215">
        <f t="shared" si="148"/>
        <v>-7.7234340486594943E-3</v>
      </c>
      <c r="AI954" s="215">
        <f t="shared" si="143"/>
        <v>-9.4683175528041952E-3</v>
      </c>
      <c r="AJ954" s="231">
        <v>889675</v>
      </c>
      <c r="AL954" s="254"/>
      <c r="AQ954" s="215" t="str">
        <f t="shared" si="149"/>
        <v>NA</v>
      </c>
      <c r="AR954" s="215" t="str">
        <f t="shared" si="144"/>
        <v>NA</v>
      </c>
    </row>
    <row r="955" spans="2:44">
      <c r="B955" s="230">
        <v>44491</v>
      </c>
      <c r="C955" s="1">
        <v>395.5</v>
      </c>
      <c r="D955" s="1">
        <v>400.81508515815</v>
      </c>
      <c r="E955" s="1">
        <v>822</v>
      </c>
      <c r="F955" s="215">
        <v>60821.62</v>
      </c>
      <c r="G955" s="215">
        <f t="shared" si="145"/>
        <v>-2.385386860607519E-3</v>
      </c>
      <c r="H955" s="215">
        <f t="shared" si="140"/>
        <v>-3.2889106247707467E-2</v>
      </c>
      <c r="I955" s="231">
        <v>329470</v>
      </c>
      <c r="K955" s="230">
        <v>44490</v>
      </c>
      <c r="L955" s="1">
        <v>1433.7</v>
      </c>
      <c r="M955" s="1">
        <v>1404.02240788014</v>
      </c>
      <c r="N955" s="1">
        <v>38781</v>
      </c>
      <c r="O955" s="1">
        <v>60923.5</v>
      </c>
      <c r="P955" s="215">
        <f t="shared" si="146"/>
        <v>1.6750622558228123E-3</v>
      </c>
      <c r="Q955" s="215">
        <f t="shared" si="141"/>
        <v>5.1485148514851531E-2</v>
      </c>
      <c r="R955" s="231">
        <v>54449393</v>
      </c>
      <c r="T955" s="230">
        <v>44490</v>
      </c>
      <c r="U955" s="1">
        <v>69.5</v>
      </c>
      <c r="V955" s="1">
        <v>70.0555722712419</v>
      </c>
      <c r="W955" s="1">
        <v>142913</v>
      </c>
      <c r="X955" s="1">
        <v>60923.5</v>
      </c>
      <c r="Y955" s="215">
        <f t="shared" si="147"/>
        <v>1.6750622558228123E-3</v>
      </c>
      <c r="Z955" s="215">
        <f t="shared" si="142"/>
        <v>-1.4184397163120588E-2</v>
      </c>
      <c r="AA955" s="231">
        <v>10011852</v>
      </c>
      <c r="AC955" s="230">
        <v>44525</v>
      </c>
      <c r="AD955" s="1">
        <v>68.650000000000006</v>
      </c>
      <c r="AE955" s="1">
        <v>68.560171044593702</v>
      </c>
      <c r="AF955" s="1">
        <v>1637</v>
      </c>
      <c r="AG955" s="1">
        <v>58795.09</v>
      </c>
      <c r="AH955" s="215">
        <f t="shared" si="148"/>
        <v>2.955741969263026E-2</v>
      </c>
      <c r="AI955" s="215">
        <f t="shared" si="143"/>
        <v>3.0007501875468856E-2</v>
      </c>
      <c r="AJ955" s="231">
        <v>112233</v>
      </c>
      <c r="AL955" s="254"/>
      <c r="AQ955" s="215" t="str">
        <f t="shared" si="149"/>
        <v>NA</v>
      </c>
      <c r="AR955" s="215" t="str">
        <f t="shared" si="144"/>
        <v>NA</v>
      </c>
    </row>
    <row r="956" spans="2:44">
      <c r="B956" s="230">
        <v>44494</v>
      </c>
      <c r="C956" s="1">
        <v>408.95</v>
      </c>
      <c r="D956" s="1">
        <v>407.09384164222803</v>
      </c>
      <c r="E956" s="1">
        <v>3410</v>
      </c>
      <c r="F956" s="215">
        <v>60967.05</v>
      </c>
      <c r="G956" s="215">
        <f t="shared" si="145"/>
        <v>-6.246265297001119E-3</v>
      </c>
      <c r="H956" s="215">
        <f t="shared" si="140"/>
        <v>3.8075897956593385E-2</v>
      </c>
      <c r="I956" s="231">
        <v>1388190</v>
      </c>
      <c r="K956" s="230">
        <v>44491</v>
      </c>
      <c r="L956" s="1">
        <v>1363.5</v>
      </c>
      <c r="M956" s="1">
        <v>1393.2432166203901</v>
      </c>
      <c r="N956" s="1">
        <v>33501</v>
      </c>
      <c r="O956" s="1">
        <v>60821.62</v>
      </c>
      <c r="P956" s="215">
        <f t="shared" si="146"/>
        <v>-2.385386860607519E-3</v>
      </c>
      <c r="Q956" s="215">
        <f t="shared" si="141"/>
        <v>3.652742407541143E-2</v>
      </c>
      <c r="R956" s="231">
        <v>46675041</v>
      </c>
      <c r="T956" s="230">
        <v>44491</v>
      </c>
      <c r="U956" s="1">
        <v>70.5</v>
      </c>
      <c r="V956" s="1">
        <v>70.542669795249196</v>
      </c>
      <c r="W956" s="1">
        <v>93333</v>
      </c>
      <c r="X956" s="1">
        <v>60821.62</v>
      </c>
      <c r="Y956" s="215">
        <f t="shared" si="147"/>
        <v>-2.385386860607519E-3</v>
      </c>
      <c r="Z956" s="215">
        <f t="shared" si="142"/>
        <v>2.4709302325581328E-2</v>
      </c>
      <c r="AA956" s="231">
        <v>6583959</v>
      </c>
      <c r="AC956" s="230">
        <v>44526</v>
      </c>
      <c r="AD956" s="1">
        <v>66.650000000000006</v>
      </c>
      <c r="AE956" s="1">
        <v>67.753859348198901</v>
      </c>
      <c r="AF956" s="1">
        <v>12826</v>
      </c>
      <c r="AG956" s="1">
        <v>57107.15</v>
      </c>
      <c r="AH956" s="215">
        <f t="shared" si="148"/>
        <v>-2.6795048181489367E-3</v>
      </c>
      <c r="AI956" s="215">
        <f t="shared" si="143"/>
        <v>-1.4981273408238849E-3</v>
      </c>
      <c r="AJ956" s="231">
        <v>869011</v>
      </c>
      <c r="AL956" s="254"/>
      <c r="AQ956" s="215" t="str">
        <f t="shared" si="149"/>
        <v>NA</v>
      </c>
      <c r="AR956" s="215" t="str">
        <f t="shared" si="144"/>
        <v>NA</v>
      </c>
    </row>
    <row r="957" spans="2:44">
      <c r="B957" s="230">
        <v>44495</v>
      </c>
      <c r="C957" s="1">
        <v>393.95</v>
      </c>
      <c r="D957" s="1">
        <v>398.32108108108099</v>
      </c>
      <c r="E957" s="1">
        <v>925</v>
      </c>
      <c r="F957" s="215">
        <v>61350.26</v>
      </c>
      <c r="G957" s="215">
        <f t="shared" si="145"/>
        <v>3.3843429855717755E-3</v>
      </c>
      <c r="H957" s="215">
        <f t="shared" si="140"/>
        <v>-3.5411660553940072E-3</v>
      </c>
      <c r="I957" s="231">
        <v>368447</v>
      </c>
      <c r="K957" s="230">
        <v>44494</v>
      </c>
      <c r="L957" s="1">
        <v>1315.45</v>
      </c>
      <c r="M957" s="1">
        <v>1337.7645032356199</v>
      </c>
      <c r="N957" s="1">
        <v>52540</v>
      </c>
      <c r="O957" s="1">
        <v>60967.05</v>
      </c>
      <c r="P957" s="215">
        <f t="shared" si="146"/>
        <v>-6.246265297001119E-3</v>
      </c>
      <c r="Q957" s="215">
        <f t="shared" si="141"/>
        <v>2.6368537461985073</v>
      </c>
      <c r="R957" s="231">
        <v>70286147</v>
      </c>
      <c r="T957" s="230">
        <v>44494</v>
      </c>
      <c r="U957" s="1">
        <v>68.8</v>
      </c>
      <c r="V957" s="1">
        <v>69.627877123734294</v>
      </c>
      <c r="W957" s="1">
        <v>291350</v>
      </c>
      <c r="X957" s="1">
        <v>60967.05</v>
      </c>
      <c r="Y957" s="215">
        <f t="shared" si="147"/>
        <v>-6.246265297001119E-3</v>
      </c>
      <c r="Z957" s="215">
        <f t="shared" si="142"/>
        <v>-8.6455331412105263E-3</v>
      </c>
      <c r="AA957" s="231">
        <v>20286082</v>
      </c>
      <c r="AC957" s="230">
        <v>44529</v>
      </c>
      <c r="AD957" s="1">
        <v>66.75</v>
      </c>
      <c r="AE957" s="1">
        <v>66.628638964916604</v>
      </c>
      <c r="AF957" s="1">
        <v>16076</v>
      </c>
      <c r="AG957" s="1">
        <v>57260.58</v>
      </c>
      <c r="AH957" s="215">
        <f t="shared" si="148"/>
        <v>3.4296056400373587E-3</v>
      </c>
      <c r="AI957" s="215">
        <f t="shared" si="143"/>
        <v>1.5003750937734317E-3</v>
      </c>
      <c r="AJ957" s="231">
        <v>1071122</v>
      </c>
      <c r="AL957" s="254"/>
      <c r="AQ957" s="215" t="str">
        <f t="shared" si="149"/>
        <v>NA</v>
      </c>
      <c r="AR957" s="215" t="str">
        <f t="shared" si="144"/>
        <v>NA</v>
      </c>
    </row>
    <row r="958" spans="2:44">
      <c r="B958" s="230">
        <v>44496</v>
      </c>
      <c r="C958" s="1">
        <v>395.35</v>
      </c>
      <c r="D958" s="1">
        <v>397.14379905808403</v>
      </c>
      <c r="E958" s="1">
        <v>3185</v>
      </c>
      <c r="F958" s="215">
        <v>61143.33</v>
      </c>
      <c r="G958" s="215">
        <f t="shared" si="145"/>
        <v>1.9315425433485522E-2</v>
      </c>
      <c r="H958" s="215">
        <f t="shared" si="140"/>
        <v>1.099603631249213E-2</v>
      </c>
      <c r="I958" s="231">
        <v>1264903</v>
      </c>
      <c r="K958" s="230">
        <v>44495</v>
      </c>
      <c r="L958" s="1">
        <v>361.7</v>
      </c>
      <c r="M958" s="1">
        <v>360.54687364172599</v>
      </c>
      <c r="N958" s="1">
        <v>161050</v>
      </c>
      <c r="O958" s="1">
        <v>61350.26</v>
      </c>
      <c r="P958" s="215">
        <f t="shared" si="146"/>
        <v>3.3843429855717755E-3</v>
      </c>
      <c r="Q958" s="215">
        <f t="shared" si="141"/>
        <v>-7.4344209852847065E-2</v>
      </c>
      <c r="R958" s="231">
        <v>58066074</v>
      </c>
      <c r="T958" s="230">
        <v>44495</v>
      </c>
      <c r="U958" s="1">
        <v>69.400000000000006</v>
      </c>
      <c r="V958" s="1">
        <v>69.305017627488894</v>
      </c>
      <c r="W958" s="1">
        <v>80556</v>
      </c>
      <c r="X958" s="1">
        <v>61350.26</v>
      </c>
      <c r="Y958" s="215">
        <f t="shared" si="147"/>
        <v>3.3843429855717755E-3</v>
      </c>
      <c r="Z958" s="215">
        <f t="shared" si="142"/>
        <v>1.3878743608473298E-2</v>
      </c>
      <c r="AA958" s="231">
        <v>5582935</v>
      </c>
      <c r="AC958" s="230">
        <v>44530</v>
      </c>
      <c r="AD958" s="1">
        <v>66.650000000000006</v>
      </c>
      <c r="AE958" s="1">
        <v>66.839697774147396</v>
      </c>
      <c r="AF958" s="1">
        <v>14691</v>
      </c>
      <c r="AG958" s="1">
        <v>57064.87</v>
      </c>
      <c r="AH958" s="215">
        <f t="shared" si="148"/>
        <v>-1.0746680364095984E-2</v>
      </c>
      <c r="AI958" s="215">
        <f t="shared" si="143"/>
        <v>-3.7369207772794955E-3</v>
      </c>
      <c r="AJ958" s="231">
        <v>981942</v>
      </c>
      <c r="AL958" s="254"/>
      <c r="AQ958" s="215" t="str">
        <f t="shared" si="149"/>
        <v>NA</v>
      </c>
      <c r="AR958" s="215" t="str">
        <f t="shared" si="144"/>
        <v>NA</v>
      </c>
    </row>
    <row r="959" spans="2:44">
      <c r="B959" s="230">
        <v>44497</v>
      </c>
      <c r="C959" s="1">
        <v>391.05</v>
      </c>
      <c r="D959" s="1">
        <v>390.66856187290898</v>
      </c>
      <c r="E959" s="1">
        <v>5980</v>
      </c>
      <c r="F959" s="215">
        <v>59984.7</v>
      </c>
      <c r="G959" s="215">
        <f t="shared" si="145"/>
        <v>1.1428175425704845E-2</v>
      </c>
      <c r="H959" s="215">
        <f t="shared" si="140"/>
        <v>1.4084507042253502E-3</v>
      </c>
      <c r="I959" s="231">
        <v>2336198</v>
      </c>
      <c r="K959" s="230">
        <v>44496</v>
      </c>
      <c r="L959" s="1">
        <v>390.75</v>
      </c>
      <c r="M959" s="1">
        <v>395.33498583010299</v>
      </c>
      <c r="N959" s="1">
        <v>380031</v>
      </c>
      <c r="O959" s="1">
        <v>61143.33</v>
      </c>
      <c r="P959" s="215">
        <f t="shared" si="146"/>
        <v>1.9315425433485522E-2</v>
      </c>
      <c r="Q959" s="215">
        <f t="shared" si="141"/>
        <v>8.6321934945788215E-2</v>
      </c>
      <c r="R959" s="231">
        <v>150239550</v>
      </c>
      <c r="T959" s="230">
        <v>44496</v>
      </c>
      <c r="U959" s="1">
        <v>68.45</v>
      </c>
      <c r="V959" s="1">
        <v>69.012477718360003</v>
      </c>
      <c r="W959" s="1">
        <v>63393</v>
      </c>
      <c r="X959" s="1">
        <v>61143.33</v>
      </c>
      <c r="Y959" s="215">
        <f t="shared" si="147"/>
        <v>1.9315425433485522E-2</v>
      </c>
      <c r="Z959" s="215">
        <f t="shared" si="142"/>
        <v>4.2650418888042552E-2</v>
      </c>
      <c r="AA959" s="231">
        <v>4374908</v>
      </c>
      <c r="AC959" s="230">
        <v>44531</v>
      </c>
      <c r="AD959" s="1">
        <v>66.900000000000006</v>
      </c>
      <c r="AE959" s="1">
        <v>67.309791332263202</v>
      </c>
      <c r="AF959" s="1">
        <v>3115</v>
      </c>
      <c r="AG959" s="1">
        <v>57684.79</v>
      </c>
      <c r="AH959" s="215">
        <f t="shared" si="148"/>
        <v>-1.328229329185171E-2</v>
      </c>
      <c r="AI959" s="215">
        <f t="shared" si="143"/>
        <v>-5.0390347764371901E-2</v>
      </c>
      <c r="AJ959" s="231">
        <v>209670</v>
      </c>
      <c r="AL959" s="254"/>
      <c r="AQ959" s="215" t="str">
        <f t="shared" si="149"/>
        <v>NA</v>
      </c>
      <c r="AR959" s="215" t="str">
        <f t="shared" si="144"/>
        <v>NA</v>
      </c>
    </row>
    <row r="960" spans="2:44">
      <c r="B960" s="230">
        <v>44498</v>
      </c>
      <c r="C960" s="1">
        <v>390.5</v>
      </c>
      <c r="D960" s="1">
        <v>391.15636822194102</v>
      </c>
      <c r="E960" s="1">
        <v>793</v>
      </c>
      <c r="F960" s="215">
        <v>59306.93</v>
      </c>
      <c r="G960" s="215">
        <f t="shared" si="145"/>
        <v>-1.3826925398488732E-2</v>
      </c>
      <c r="H960" s="215">
        <f t="shared" si="140"/>
        <v>-1.0232796111536713E-3</v>
      </c>
      <c r="I960" s="231">
        <v>310187</v>
      </c>
      <c r="K960" s="230">
        <v>44497</v>
      </c>
      <c r="L960" s="1">
        <v>359.7</v>
      </c>
      <c r="M960" s="1">
        <v>363.97350630679898</v>
      </c>
      <c r="N960" s="1">
        <v>58429</v>
      </c>
      <c r="O960" s="1">
        <v>59984.7</v>
      </c>
      <c r="P960" s="215">
        <f t="shared" si="146"/>
        <v>1.1428175425704845E-2</v>
      </c>
      <c r="Q960" s="215">
        <f t="shared" si="141"/>
        <v>2.1439727388896879E-2</v>
      </c>
      <c r="R960" s="231">
        <v>21266608</v>
      </c>
      <c r="T960" s="230">
        <v>44497</v>
      </c>
      <c r="U960" s="1">
        <v>65.650000000000006</v>
      </c>
      <c r="V960" s="1">
        <v>66.616920105698298</v>
      </c>
      <c r="W960" s="1">
        <v>143427</v>
      </c>
      <c r="X960" s="1">
        <v>59984.7</v>
      </c>
      <c r="Y960" s="215">
        <f t="shared" si="147"/>
        <v>1.1428175425704845E-2</v>
      </c>
      <c r="Z960" s="215">
        <f t="shared" si="142"/>
        <v>4.5906656465188878E-3</v>
      </c>
      <c r="AA960" s="231">
        <v>9554665</v>
      </c>
      <c r="AC960" s="230">
        <v>44532</v>
      </c>
      <c r="AD960" s="1">
        <v>70.45</v>
      </c>
      <c r="AE960" s="1">
        <v>71.687955331028903</v>
      </c>
      <c r="AF960" s="1">
        <v>18805</v>
      </c>
      <c r="AG960" s="1">
        <v>58461.29</v>
      </c>
      <c r="AH960" s="215">
        <f t="shared" si="148"/>
        <v>1.3256099247683562E-2</v>
      </c>
      <c r="AI960" s="215">
        <f t="shared" si="143"/>
        <v>1.5861571737563196E-2</v>
      </c>
      <c r="AJ960" s="231">
        <v>1348092</v>
      </c>
      <c r="AL960" s="254"/>
      <c r="AQ960" s="215" t="str">
        <f t="shared" si="149"/>
        <v>NA</v>
      </c>
      <c r="AR960" s="215" t="str">
        <f t="shared" si="144"/>
        <v>NA</v>
      </c>
    </row>
    <row r="961" spans="2:44">
      <c r="B961" s="230">
        <v>44501</v>
      </c>
      <c r="C961" s="1">
        <v>390.9</v>
      </c>
      <c r="D961" s="1">
        <v>392.44736842105198</v>
      </c>
      <c r="E961" s="1">
        <v>646</v>
      </c>
      <c r="F961" s="215">
        <v>60138.46</v>
      </c>
      <c r="G961" s="215">
        <f t="shared" si="145"/>
        <v>1.8224506597304124E-3</v>
      </c>
      <c r="H961" s="215">
        <f t="shared" si="140"/>
        <v>2.9632556301856905E-2</v>
      </c>
      <c r="I961" s="231">
        <v>253521</v>
      </c>
      <c r="K961" s="230">
        <v>44498</v>
      </c>
      <c r="L961" s="1">
        <v>352.15</v>
      </c>
      <c r="M961" s="1">
        <v>351.46429351386701</v>
      </c>
      <c r="N961" s="1">
        <v>18316</v>
      </c>
      <c r="O961" s="1">
        <v>59306.93</v>
      </c>
      <c r="P961" s="215">
        <f t="shared" si="146"/>
        <v>-1.3826925398488732E-2</v>
      </c>
      <c r="Q961" s="215">
        <f t="shared" si="141"/>
        <v>2.0281037230189813E-2</v>
      </c>
      <c r="R961" s="231">
        <v>6437420</v>
      </c>
      <c r="T961" s="230">
        <v>44498</v>
      </c>
      <c r="U961" s="1">
        <v>65.349999999999994</v>
      </c>
      <c r="V961" s="1">
        <v>65.782252873563195</v>
      </c>
      <c r="W961" s="1">
        <v>119625</v>
      </c>
      <c r="X961" s="1">
        <v>59306.93</v>
      </c>
      <c r="Y961" s="215">
        <f t="shared" si="147"/>
        <v>-1.3826925398488732E-2</v>
      </c>
      <c r="Z961" s="215">
        <f t="shared" si="142"/>
        <v>-4.5696877380047018E-3</v>
      </c>
      <c r="AA961" s="231">
        <v>7869202</v>
      </c>
      <c r="AC961" s="230">
        <v>44533</v>
      </c>
      <c r="AD961" s="1">
        <v>69.349999999999994</v>
      </c>
      <c r="AE961" s="1">
        <v>69.628888515217696</v>
      </c>
      <c r="AF961" s="1">
        <v>5947</v>
      </c>
      <c r="AG961" s="1">
        <v>57696.46</v>
      </c>
      <c r="AH961" s="215">
        <f t="shared" si="148"/>
        <v>1.672894880693554E-2</v>
      </c>
      <c r="AI961" s="215">
        <f t="shared" si="143"/>
        <v>2.0603384841795247E-2</v>
      </c>
      <c r="AJ961" s="231">
        <v>414083</v>
      </c>
      <c r="AL961" s="254"/>
      <c r="AQ961" s="215" t="str">
        <f t="shared" si="149"/>
        <v>NA</v>
      </c>
      <c r="AR961" s="215" t="str">
        <f t="shared" si="144"/>
        <v>NA</v>
      </c>
    </row>
    <row r="962" spans="2:44">
      <c r="B962" s="230">
        <v>44502</v>
      </c>
      <c r="C962" s="1">
        <v>379.65</v>
      </c>
      <c r="D962" s="1">
        <v>386.42959358900902</v>
      </c>
      <c r="E962" s="1">
        <v>3494</v>
      </c>
      <c r="F962" s="215">
        <v>60029.06</v>
      </c>
      <c r="G962" s="215">
        <f t="shared" si="145"/>
        <v>4.3020200789936069E-3</v>
      </c>
      <c r="H962" s="215">
        <f t="shared" si="140"/>
        <v>8.0987785448751737E-3</v>
      </c>
      <c r="I962" s="231">
        <v>1350185</v>
      </c>
      <c r="K962" s="230">
        <v>44501</v>
      </c>
      <c r="L962" s="1">
        <v>345.15</v>
      </c>
      <c r="M962" s="1">
        <v>347.91848486659802</v>
      </c>
      <c r="N962" s="1">
        <v>50187</v>
      </c>
      <c r="O962" s="1">
        <v>60138.46</v>
      </c>
      <c r="P962" s="215">
        <f t="shared" si="146"/>
        <v>1.8224506597304124E-3</v>
      </c>
      <c r="Q962" s="215">
        <f t="shared" si="141"/>
        <v>4.3537414965986398E-2</v>
      </c>
      <c r="R962" s="231">
        <v>17460985</v>
      </c>
      <c r="T962" s="230">
        <v>44501</v>
      </c>
      <c r="U962" s="1">
        <v>65.650000000000006</v>
      </c>
      <c r="V962" s="1">
        <v>65.954488959407598</v>
      </c>
      <c r="W962" s="1">
        <v>75630</v>
      </c>
      <c r="X962" s="1">
        <v>60138.46</v>
      </c>
      <c r="Y962" s="215">
        <f t="shared" si="147"/>
        <v>1.8224506597304124E-3</v>
      </c>
      <c r="Z962" s="215">
        <f t="shared" si="142"/>
        <v>-1.5209125475283969E-3</v>
      </c>
      <c r="AA962" s="231">
        <v>4988138</v>
      </c>
      <c r="AC962" s="230">
        <v>44536</v>
      </c>
      <c r="AD962" s="1">
        <v>67.95</v>
      </c>
      <c r="AE962" s="1">
        <v>68.839708029196998</v>
      </c>
      <c r="AF962" s="1">
        <v>6850</v>
      </c>
      <c r="AG962" s="1">
        <v>56747.14</v>
      </c>
      <c r="AH962" s="215">
        <f t="shared" si="148"/>
        <v>-1.5381812534864703E-2</v>
      </c>
      <c r="AI962" s="215">
        <f t="shared" si="143"/>
        <v>-1.8772563176895241E-2</v>
      </c>
      <c r="AJ962" s="231">
        <v>471552</v>
      </c>
      <c r="AL962" s="254"/>
      <c r="AQ962" s="215" t="str">
        <f t="shared" si="149"/>
        <v>NA</v>
      </c>
      <c r="AR962" s="215" t="str">
        <f t="shared" si="144"/>
        <v>NA</v>
      </c>
    </row>
    <row r="963" spans="2:44">
      <c r="B963" s="230">
        <v>44503</v>
      </c>
      <c r="C963" s="1">
        <v>376.6</v>
      </c>
      <c r="D963" s="1">
        <v>375.84018657174403</v>
      </c>
      <c r="E963" s="1">
        <v>8147</v>
      </c>
      <c r="F963" s="215">
        <v>59771.92</v>
      </c>
      <c r="G963" s="215">
        <f t="shared" si="145"/>
        <v>-4.9227853542391786E-3</v>
      </c>
      <c r="H963" s="215">
        <f t="shared" si="140"/>
        <v>-4.3798400406246052E-2</v>
      </c>
      <c r="I963" s="231">
        <v>3061970</v>
      </c>
      <c r="K963" s="230">
        <v>44502</v>
      </c>
      <c r="L963" s="1">
        <v>330.75</v>
      </c>
      <c r="M963" s="1">
        <v>331.51310688573</v>
      </c>
      <c r="N963" s="1">
        <v>21668</v>
      </c>
      <c r="O963" s="1">
        <v>60029.06</v>
      </c>
      <c r="P963" s="215">
        <f t="shared" si="146"/>
        <v>4.3020200789936069E-3</v>
      </c>
      <c r="Q963" s="215">
        <f t="shared" si="141"/>
        <v>-7.5528700906346558E-4</v>
      </c>
      <c r="R963" s="231">
        <v>7183226</v>
      </c>
      <c r="T963" s="230">
        <v>44502</v>
      </c>
      <c r="U963" s="1">
        <v>65.75</v>
      </c>
      <c r="V963" s="1">
        <v>65.752345976759401</v>
      </c>
      <c r="W963" s="1">
        <v>91220</v>
      </c>
      <c r="X963" s="1">
        <v>60029.06</v>
      </c>
      <c r="Y963" s="215">
        <f t="shared" si="147"/>
        <v>4.3020200789936069E-3</v>
      </c>
      <c r="Z963" s="215">
        <f t="shared" si="142"/>
        <v>2.2865853658537993E-3</v>
      </c>
      <c r="AA963" s="231">
        <v>5997929</v>
      </c>
      <c r="AC963" s="230">
        <v>44537</v>
      </c>
      <c r="AD963" s="1">
        <v>69.25</v>
      </c>
      <c r="AE963" s="1">
        <v>70.331701784754898</v>
      </c>
      <c r="AF963" s="1">
        <v>16753</v>
      </c>
      <c r="AG963" s="1">
        <v>57633.65</v>
      </c>
      <c r="AH963" s="215">
        <f t="shared" si="148"/>
        <v>-1.7323709183068026E-2</v>
      </c>
      <c r="AI963" s="215">
        <f t="shared" si="143"/>
        <v>-1.0714285714285676E-2</v>
      </c>
      <c r="AJ963" s="231">
        <v>1178267</v>
      </c>
      <c r="AL963" s="254"/>
      <c r="AQ963" s="215" t="str">
        <f t="shared" si="149"/>
        <v>NA</v>
      </c>
      <c r="AR963" s="215" t="str">
        <f t="shared" si="144"/>
        <v>NA</v>
      </c>
    </row>
    <row r="964" spans="2:44">
      <c r="B964" s="230">
        <v>44504</v>
      </c>
      <c r="C964" s="1">
        <v>393.85</v>
      </c>
      <c r="D964" s="1">
        <v>395.41448516579402</v>
      </c>
      <c r="E964" s="1">
        <v>1146</v>
      </c>
      <c r="F964" s="215">
        <v>60067.62</v>
      </c>
      <c r="G964" s="215">
        <f t="shared" si="145"/>
        <v>-7.8947094595297473E-3</v>
      </c>
      <c r="H964" s="215">
        <f t="shared" si="140"/>
        <v>-3.6688271982389664E-2</v>
      </c>
      <c r="I964" s="231">
        <v>453145</v>
      </c>
      <c r="K964" s="230">
        <v>44503</v>
      </c>
      <c r="L964" s="1">
        <v>331</v>
      </c>
      <c r="M964" s="1">
        <v>333.20483928359602</v>
      </c>
      <c r="N964" s="1">
        <v>25293</v>
      </c>
      <c r="O964" s="1">
        <v>59771.92</v>
      </c>
      <c r="P964" s="215">
        <f t="shared" si="146"/>
        <v>-4.9227853542391786E-3</v>
      </c>
      <c r="Q964" s="215">
        <f t="shared" si="141"/>
        <v>-4.679625629949602E-2</v>
      </c>
      <c r="R964" s="231">
        <v>8427750</v>
      </c>
      <c r="T964" s="230">
        <v>44503</v>
      </c>
      <c r="U964" s="1">
        <v>65.599999999999994</v>
      </c>
      <c r="V964" s="1">
        <v>65.705446700262399</v>
      </c>
      <c r="W964" s="1">
        <v>62111</v>
      </c>
      <c r="X964" s="1">
        <v>59771.92</v>
      </c>
      <c r="Y964" s="215">
        <f t="shared" si="147"/>
        <v>-4.9227853542391786E-3</v>
      </c>
      <c r="Z964" s="215">
        <f t="shared" si="142"/>
        <v>-5.3070507960577551E-3</v>
      </c>
      <c r="AA964" s="231">
        <v>4081031</v>
      </c>
      <c r="AC964" s="230">
        <v>44538</v>
      </c>
      <c r="AD964" s="1">
        <v>70</v>
      </c>
      <c r="AE964" s="1">
        <v>70.144071020925793</v>
      </c>
      <c r="AF964" s="1">
        <v>7885</v>
      </c>
      <c r="AG964" s="1">
        <v>58649.68</v>
      </c>
      <c r="AH964" s="215">
        <f t="shared" si="148"/>
        <v>-2.677396431351009E-3</v>
      </c>
      <c r="AI964" s="215">
        <f t="shared" si="143"/>
        <v>-1.4265335235377208E-3</v>
      </c>
      <c r="AJ964" s="231">
        <v>553086</v>
      </c>
      <c r="AL964" s="254"/>
      <c r="AQ964" s="215" t="str">
        <f t="shared" si="149"/>
        <v>NA</v>
      </c>
      <c r="AR964" s="215" t="str">
        <f t="shared" si="144"/>
        <v>NA</v>
      </c>
    </row>
    <row r="965" spans="2:44">
      <c r="B965" s="230">
        <v>44508</v>
      </c>
      <c r="C965" s="1">
        <v>408.85</v>
      </c>
      <c r="D965" s="1">
        <v>409.73531886252698</v>
      </c>
      <c r="E965" s="1">
        <v>5943</v>
      </c>
      <c r="F965" s="215">
        <v>60545.61</v>
      </c>
      <c r="G965" s="215">
        <f t="shared" si="145"/>
        <v>1.8559258159183134E-3</v>
      </c>
      <c r="H965" s="215">
        <f t="shared" si="140"/>
        <v>2.4518818192962311E-3</v>
      </c>
      <c r="I965" s="231">
        <v>2435057</v>
      </c>
      <c r="K965" s="230">
        <v>44504</v>
      </c>
      <c r="L965" s="1">
        <v>347.25</v>
      </c>
      <c r="M965" s="1">
        <v>346.50530257032898</v>
      </c>
      <c r="N965" s="1">
        <v>49410</v>
      </c>
      <c r="O965" s="1">
        <v>60067.62</v>
      </c>
      <c r="P965" s="215">
        <f t="shared" si="146"/>
        <v>-7.8947094595297473E-3</v>
      </c>
      <c r="Q965" s="215">
        <f t="shared" si="141"/>
        <v>2.3279799616914731E-2</v>
      </c>
      <c r="R965" s="231">
        <v>17120827</v>
      </c>
      <c r="T965" s="230">
        <v>44504</v>
      </c>
      <c r="U965" s="1">
        <v>65.95</v>
      </c>
      <c r="V965" s="1">
        <v>65.935245076900898</v>
      </c>
      <c r="W965" s="1">
        <v>13914</v>
      </c>
      <c r="X965" s="1">
        <v>60067.62</v>
      </c>
      <c r="Y965" s="215">
        <f t="shared" si="147"/>
        <v>-7.8947094595297473E-3</v>
      </c>
      <c r="Z965" s="215">
        <f t="shared" si="142"/>
        <v>-4.8340548340548239E-2</v>
      </c>
      <c r="AA965" s="231">
        <v>917423</v>
      </c>
      <c r="AC965" s="230">
        <v>44539</v>
      </c>
      <c r="AD965" s="1">
        <v>70.099999999999994</v>
      </c>
      <c r="AE965" s="1">
        <v>70.2927569755674</v>
      </c>
      <c r="AF965" s="1">
        <v>6917</v>
      </c>
      <c r="AG965" s="1">
        <v>58807.13</v>
      </c>
      <c r="AH965" s="215">
        <f t="shared" si="148"/>
        <v>3.4803808414385351E-4</v>
      </c>
      <c r="AI965" s="215">
        <f t="shared" si="143"/>
        <v>-2.9085872576177452E-2</v>
      </c>
      <c r="AJ965" s="231">
        <v>486215</v>
      </c>
      <c r="AL965" s="254"/>
      <c r="AQ965" s="215" t="str">
        <f t="shared" si="149"/>
        <v>NA</v>
      </c>
      <c r="AR965" s="215" t="str">
        <f t="shared" si="144"/>
        <v>NA</v>
      </c>
    </row>
    <row r="966" spans="2:44">
      <c r="B966" s="230">
        <v>44509</v>
      </c>
      <c r="C966" s="1">
        <v>407.85</v>
      </c>
      <c r="D966" s="1">
        <v>410.35737351991298</v>
      </c>
      <c r="E966" s="1">
        <v>1858</v>
      </c>
      <c r="F966" s="215">
        <v>60433.45</v>
      </c>
      <c r="G966" s="215">
        <f t="shared" si="145"/>
        <v>1.3359773412409126E-3</v>
      </c>
      <c r="H966" s="215">
        <f t="shared" si="140"/>
        <v>5.4233945519537308E-3</v>
      </c>
      <c r="I966" s="231">
        <v>762444</v>
      </c>
      <c r="K966" s="230">
        <v>44508</v>
      </c>
      <c r="L966" s="1">
        <v>339.35</v>
      </c>
      <c r="M966" s="1">
        <v>342.018157711409</v>
      </c>
      <c r="N966" s="1">
        <v>44499</v>
      </c>
      <c r="O966" s="1">
        <v>60545.61</v>
      </c>
      <c r="P966" s="215">
        <f t="shared" si="146"/>
        <v>1.8559258159183134E-3</v>
      </c>
      <c r="Q966" s="215">
        <f t="shared" si="141"/>
        <v>3.287170902450165E-2</v>
      </c>
      <c r="R966" s="231">
        <v>15219466</v>
      </c>
      <c r="T966" s="230">
        <v>44508</v>
      </c>
      <c r="U966" s="1">
        <v>69.3</v>
      </c>
      <c r="V966" s="1">
        <v>67.676129377171804</v>
      </c>
      <c r="W966" s="1">
        <v>187050</v>
      </c>
      <c r="X966" s="1">
        <v>60545.61</v>
      </c>
      <c r="Y966" s="215">
        <f t="shared" si="147"/>
        <v>1.8559258159183134E-3</v>
      </c>
      <c r="Z966" s="215">
        <f t="shared" si="142"/>
        <v>-4.9382716049382824E-2</v>
      </c>
      <c r="AA966" s="231">
        <v>12658820</v>
      </c>
      <c r="AC966" s="230">
        <v>44540</v>
      </c>
      <c r="AD966" s="1">
        <v>72.2</v>
      </c>
      <c r="AE966" s="1">
        <v>73.829902724780894</v>
      </c>
      <c r="AF966" s="1">
        <v>18607</v>
      </c>
      <c r="AG966" s="1">
        <v>58786.67</v>
      </c>
      <c r="AH966" s="215">
        <f t="shared" si="148"/>
        <v>8.6345310553155308E-3</v>
      </c>
      <c r="AI966" s="215">
        <f t="shared" si="143"/>
        <v>-4.1379310344826781E-3</v>
      </c>
      <c r="AJ966" s="231">
        <v>1373753</v>
      </c>
      <c r="AL966" s="254"/>
      <c r="AQ966" s="215" t="str">
        <f t="shared" si="149"/>
        <v>NA</v>
      </c>
      <c r="AR966" s="215" t="str">
        <f t="shared" si="144"/>
        <v>NA</v>
      </c>
    </row>
    <row r="967" spans="2:44">
      <c r="B967" s="230">
        <v>44510</v>
      </c>
      <c r="C967" s="1">
        <v>405.65</v>
      </c>
      <c r="D967" s="1">
        <v>405.96410579345002</v>
      </c>
      <c r="E967" s="1">
        <v>1588</v>
      </c>
      <c r="F967" s="215">
        <v>60352.82</v>
      </c>
      <c r="G967" s="215">
        <f t="shared" si="145"/>
        <v>7.2285086922179165E-3</v>
      </c>
      <c r="H967" s="215">
        <f t="shared" si="140"/>
        <v>-1.08510119483054E-2</v>
      </c>
      <c r="I967" s="231">
        <v>644671</v>
      </c>
      <c r="K967" s="230">
        <v>44509</v>
      </c>
      <c r="L967" s="1">
        <v>328.55</v>
      </c>
      <c r="M967" s="1">
        <v>332.30435383074899</v>
      </c>
      <c r="N967" s="1">
        <v>28963</v>
      </c>
      <c r="O967" s="1">
        <v>60433.45</v>
      </c>
      <c r="P967" s="215">
        <f t="shared" si="146"/>
        <v>1.3359773412409126E-3</v>
      </c>
      <c r="Q967" s="215">
        <f t="shared" si="141"/>
        <v>5.2538843504725374E-2</v>
      </c>
      <c r="R967" s="231">
        <v>9624531</v>
      </c>
      <c r="T967" s="230">
        <v>44509</v>
      </c>
      <c r="U967" s="1">
        <v>72.900000000000006</v>
      </c>
      <c r="V967" s="1">
        <v>72.024881425654996</v>
      </c>
      <c r="W967" s="1">
        <v>325745</v>
      </c>
      <c r="X967" s="1">
        <v>60433.45</v>
      </c>
      <c r="Y967" s="215">
        <f t="shared" si="147"/>
        <v>1.3359773412409126E-3</v>
      </c>
      <c r="Z967" s="215">
        <f t="shared" si="142"/>
        <v>3.9942938659058624E-2</v>
      </c>
      <c r="AA967" s="231">
        <v>23461745</v>
      </c>
      <c r="AC967" s="230">
        <v>44543</v>
      </c>
      <c r="AD967" s="1">
        <v>72.5</v>
      </c>
      <c r="AE967" s="1">
        <v>73.072993437657701</v>
      </c>
      <c r="AF967" s="1">
        <v>9905</v>
      </c>
      <c r="AG967" s="1">
        <v>58283.42</v>
      </c>
      <c r="AH967" s="215">
        <f t="shared" si="148"/>
        <v>2.8619808734402508E-3</v>
      </c>
      <c r="AI967" s="215">
        <f t="shared" si="143"/>
        <v>1.469559132260323E-2</v>
      </c>
      <c r="AJ967" s="231">
        <v>723788</v>
      </c>
      <c r="AL967" s="254"/>
      <c r="AQ967" s="215" t="str">
        <f t="shared" si="149"/>
        <v>NA</v>
      </c>
      <c r="AR967" s="215" t="str">
        <f t="shared" si="144"/>
        <v>NA</v>
      </c>
    </row>
    <row r="968" spans="2:44">
      <c r="B968" s="230">
        <v>44511</v>
      </c>
      <c r="C968" s="1">
        <v>410.1</v>
      </c>
      <c r="D968" s="1">
        <v>414.34086629001803</v>
      </c>
      <c r="E968" s="1">
        <v>3186</v>
      </c>
      <c r="F968" s="215">
        <v>59919.69</v>
      </c>
      <c r="G968" s="215">
        <f t="shared" si="145"/>
        <v>-1.2638685682148765E-2</v>
      </c>
      <c r="H968" s="215">
        <f t="shared" si="140"/>
        <v>3.5475318772882236E-2</v>
      </c>
      <c r="I968" s="231">
        <v>1320090</v>
      </c>
      <c r="K968" s="230">
        <v>44510</v>
      </c>
      <c r="L968" s="1">
        <v>312.14999999999998</v>
      </c>
      <c r="M968" s="1">
        <v>313.12421499444298</v>
      </c>
      <c r="N968" s="1">
        <v>149362</v>
      </c>
      <c r="O968" s="1">
        <v>60352.82</v>
      </c>
      <c r="P968" s="215">
        <f t="shared" si="146"/>
        <v>7.2285086922179165E-3</v>
      </c>
      <c r="Q968" s="215">
        <f t="shared" si="141"/>
        <v>2.0765206017004489E-2</v>
      </c>
      <c r="R968" s="231">
        <v>46768859</v>
      </c>
      <c r="T968" s="230">
        <v>44510</v>
      </c>
      <c r="U968" s="1">
        <v>70.099999999999994</v>
      </c>
      <c r="V968" s="1">
        <v>71.757797990380396</v>
      </c>
      <c r="W968" s="1">
        <v>83996</v>
      </c>
      <c r="X968" s="1">
        <v>60352.82</v>
      </c>
      <c r="Y968" s="215">
        <f t="shared" si="147"/>
        <v>7.2285086922179165E-3</v>
      </c>
      <c r="Z968" s="215">
        <f t="shared" si="142"/>
        <v>2.710622710622701E-2</v>
      </c>
      <c r="AA968" s="231">
        <v>6027368</v>
      </c>
      <c r="AC968" s="230">
        <v>44544</v>
      </c>
      <c r="AD968" s="1">
        <v>71.45</v>
      </c>
      <c r="AE968" s="1">
        <v>72.293899657924698</v>
      </c>
      <c r="AF968" s="1">
        <v>3508</v>
      </c>
      <c r="AG968" s="1">
        <v>58117.09</v>
      </c>
      <c r="AH968" s="215">
        <f t="shared" si="148"/>
        <v>5.6942588283421802E-3</v>
      </c>
      <c r="AI968" s="215">
        <f t="shared" si="143"/>
        <v>-1.7193947730398951E-2</v>
      </c>
      <c r="AJ968" s="231">
        <v>253607</v>
      </c>
      <c r="AL968" s="254"/>
      <c r="AQ968" s="215" t="str">
        <f t="shared" si="149"/>
        <v>NA</v>
      </c>
      <c r="AR968" s="215" t="str">
        <f t="shared" si="144"/>
        <v>NA</v>
      </c>
    </row>
    <row r="969" spans="2:44">
      <c r="B969" s="230">
        <v>44512</v>
      </c>
      <c r="C969" s="1">
        <v>396.05</v>
      </c>
      <c r="D969" s="1">
        <v>398.49930619796402</v>
      </c>
      <c r="E969" s="1">
        <v>4324</v>
      </c>
      <c r="F969" s="215">
        <v>60686.69</v>
      </c>
      <c r="G969" s="215">
        <f t="shared" si="145"/>
        <v>-5.2734980700341882E-4</v>
      </c>
      <c r="H969" s="215">
        <f t="shared" si="140"/>
        <v>7.0984315846403412E-2</v>
      </c>
      <c r="I969" s="231">
        <v>1723111</v>
      </c>
      <c r="K969" s="230">
        <v>44511</v>
      </c>
      <c r="L969" s="1">
        <v>305.8</v>
      </c>
      <c r="M969" s="1">
        <v>304.61266522921102</v>
      </c>
      <c r="N969" s="1">
        <v>106670</v>
      </c>
      <c r="O969" s="1">
        <v>59919.69</v>
      </c>
      <c r="P969" s="215">
        <f t="shared" si="146"/>
        <v>-1.2638685682148765E-2</v>
      </c>
      <c r="Q969" s="215">
        <f t="shared" si="141"/>
        <v>3.1018206338502941E-2</v>
      </c>
      <c r="R969" s="231">
        <v>32493033</v>
      </c>
      <c r="T969" s="230">
        <v>44511</v>
      </c>
      <c r="U969" s="1">
        <v>68.25</v>
      </c>
      <c r="V969" s="1">
        <v>69.049750012375597</v>
      </c>
      <c r="W969" s="1">
        <v>101005</v>
      </c>
      <c r="X969" s="1">
        <v>59919.69</v>
      </c>
      <c r="Y969" s="215">
        <f t="shared" si="147"/>
        <v>-1.2638685682148765E-2</v>
      </c>
      <c r="Z969" s="215">
        <f t="shared" si="142"/>
        <v>1.4673514306675628E-3</v>
      </c>
      <c r="AA969" s="231">
        <v>6974370</v>
      </c>
      <c r="AC969" s="230">
        <v>44545</v>
      </c>
      <c r="AD969" s="1">
        <v>72.7</v>
      </c>
      <c r="AE969" s="1">
        <v>72.761334847558302</v>
      </c>
      <c r="AF969" s="1">
        <v>11447</v>
      </c>
      <c r="AG969" s="1">
        <v>57788.03</v>
      </c>
      <c r="AH969" s="215">
        <f t="shared" si="148"/>
        <v>-1.9535021244831974E-3</v>
      </c>
      <c r="AI969" s="215">
        <f t="shared" si="143"/>
        <v>1.6783216783216925E-2</v>
      </c>
      <c r="AJ969" s="231">
        <v>832899</v>
      </c>
      <c r="AL969" s="254"/>
      <c r="AQ969" s="215" t="str">
        <f t="shared" si="149"/>
        <v>NA</v>
      </c>
      <c r="AR969" s="215" t="str">
        <f t="shared" si="144"/>
        <v>NA</v>
      </c>
    </row>
    <row r="970" spans="2:44">
      <c r="B970" s="230">
        <v>44515</v>
      </c>
      <c r="C970" s="1">
        <v>369.8</v>
      </c>
      <c r="D970" s="1">
        <v>374.83444662737298</v>
      </c>
      <c r="E970" s="1">
        <v>7635</v>
      </c>
      <c r="F970" s="215">
        <v>60718.71</v>
      </c>
      <c r="G970" s="215">
        <f t="shared" si="145"/>
        <v>6.570365189563887E-3</v>
      </c>
      <c r="H970" s="215">
        <f t="shared" si="140"/>
        <v>-8.3132207026010985E-3</v>
      </c>
      <c r="I970" s="231">
        <v>2861861</v>
      </c>
      <c r="K970" s="230">
        <v>44512</v>
      </c>
      <c r="L970" s="1">
        <v>296.60000000000002</v>
      </c>
      <c r="M970" s="1">
        <v>295.58472072776999</v>
      </c>
      <c r="N970" s="1">
        <v>51115</v>
      </c>
      <c r="O970" s="1">
        <v>60686.69</v>
      </c>
      <c r="P970" s="215">
        <f t="shared" si="146"/>
        <v>-5.2734980700341882E-4</v>
      </c>
      <c r="Q970" s="215">
        <f t="shared" si="141"/>
        <v>5.2519517388218695E-2</v>
      </c>
      <c r="R970" s="231">
        <v>15108813</v>
      </c>
      <c r="T970" s="230">
        <v>44512</v>
      </c>
      <c r="U970" s="1">
        <v>68.150000000000006</v>
      </c>
      <c r="V970" s="1">
        <v>68.359985534450303</v>
      </c>
      <c r="W970" s="1">
        <v>58069</v>
      </c>
      <c r="X970" s="1">
        <v>60686.69</v>
      </c>
      <c r="Y970" s="215">
        <f t="shared" si="147"/>
        <v>-5.2734980700341882E-4</v>
      </c>
      <c r="Z970" s="215">
        <f t="shared" si="142"/>
        <v>2.3273273273273443E-2</v>
      </c>
      <c r="AA970" s="231">
        <v>3969596</v>
      </c>
      <c r="AC970" s="230">
        <v>44546</v>
      </c>
      <c r="AD970" s="1">
        <v>71.5</v>
      </c>
      <c r="AE970" s="1">
        <v>71.963333333333296</v>
      </c>
      <c r="AF970" s="1">
        <v>1200</v>
      </c>
      <c r="AG970" s="1">
        <v>57901.14</v>
      </c>
      <c r="AH970" s="215">
        <f t="shared" si="148"/>
        <v>1.560029565840293E-2</v>
      </c>
      <c r="AI970" s="215">
        <f t="shared" si="143"/>
        <v>2.0699500356887945E-2</v>
      </c>
      <c r="AJ970" s="231">
        <v>86356</v>
      </c>
      <c r="AL970" s="254"/>
      <c r="AQ970" s="215" t="str">
        <f t="shared" si="149"/>
        <v>NA</v>
      </c>
      <c r="AR970" s="215" t="str">
        <f t="shared" si="144"/>
        <v>NA</v>
      </c>
    </row>
    <row r="971" spans="2:44">
      <c r="B971" s="230">
        <v>44516</v>
      </c>
      <c r="C971" s="1">
        <v>372.9</v>
      </c>
      <c r="D971" s="1">
        <v>379.08810572687202</v>
      </c>
      <c r="E971" s="1">
        <v>5448</v>
      </c>
      <c r="F971" s="215">
        <v>60322.37</v>
      </c>
      <c r="G971" s="215">
        <f t="shared" si="145"/>
        <v>5.2332734472031461E-3</v>
      </c>
      <c r="H971" s="215">
        <f t="shared" si="140"/>
        <v>-6.5272412415080527E-3</v>
      </c>
      <c r="I971" s="231">
        <v>2065272</v>
      </c>
      <c r="K971" s="230">
        <v>44515</v>
      </c>
      <c r="L971" s="1">
        <v>281.8</v>
      </c>
      <c r="M971" s="1">
        <v>285.32111552576498</v>
      </c>
      <c r="N971" s="1">
        <v>65942</v>
      </c>
      <c r="O971" s="1">
        <v>60718.71</v>
      </c>
      <c r="P971" s="215">
        <f t="shared" si="146"/>
        <v>6.570365189563887E-3</v>
      </c>
      <c r="Q971" s="215">
        <f t="shared" si="141"/>
        <v>-9.8383696416023403E-3</v>
      </c>
      <c r="R971" s="231">
        <v>18814645</v>
      </c>
      <c r="T971" s="230">
        <v>44515</v>
      </c>
      <c r="U971" s="1">
        <v>66.599999999999994</v>
      </c>
      <c r="V971" s="1">
        <v>67.0685956744652</v>
      </c>
      <c r="W971" s="1">
        <v>84845</v>
      </c>
      <c r="X971" s="1">
        <v>60718.71</v>
      </c>
      <c r="Y971" s="215">
        <f t="shared" si="147"/>
        <v>6.570365189563887E-3</v>
      </c>
      <c r="Z971" s="215">
        <f t="shared" si="142"/>
        <v>3.0120481927708997E-3</v>
      </c>
      <c r="AA971" s="231">
        <v>5690435</v>
      </c>
      <c r="AC971" s="230">
        <v>44547</v>
      </c>
      <c r="AD971" s="1">
        <v>70.05</v>
      </c>
      <c r="AE971" s="1">
        <v>70.988680827277804</v>
      </c>
      <c r="AF971" s="1">
        <v>7156</v>
      </c>
      <c r="AG971" s="1">
        <v>57011.74</v>
      </c>
      <c r="AH971" s="215">
        <f t="shared" si="148"/>
        <v>2.1312919402221464E-2</v>
      </c>
      <c r="AI971" s="215">
        <f t="shared" si="143"/>
        <v>4.7085201793721776E-2</v>
      </c>
      <c r="AJ971" s="231">
        <v>507995</v>
      </c>
      <c r="AL971" s="254"/>
      <c r="AQ971" s="215" t="str">
        <f t="shared" si="149"/>
        <v>NA</v>
      </c>
      <c r="AR971" s="215" t="str">
        <f t="shared" si="144"/>
        <v>NA</v>
      </c>
    </row>
    <row r="972" spans="2:44">
      <c r="B972" s="230">
        <v>44517</v>
      </c>
      <c r="C972" s="1">
        <v>375.35</v>
      </c>
      <c r="D972" s="1">
        <v>379.70636550308001</v>
      </c>
      <c r="E972" s="1">
        <v>974</v>
      </c>
      <c r="F972" s="215">
        <v>60008.33</v>
      </c>
      <c r="G972" s="215">
        <f t="shared" si="145"/>
        <v>6.2432077531680008E-3</v>
      </c>
      <c r="H972" s="215">
        <f t="shared" si="140"/>
        <v>7.4577726882336215E-2</v>
      </c>
      <c r="I972" s="231">
        <v>369834</v>
      </c>
      <c r="K972" s="230">
        <v>44516</v>
      </c>
      <c r="L972" s="1">
        <v>284.60000000000002</v>
      </c>
      <c r="M972" s="1">
        <v>283.54464970105698</v>
      </c>
      <c r="N972" s="1">
        <v>104368</v>
      </c>
      <c r="O972" s="1">
        <v>60322.37</v>
      </c>
      <c r="P972" s="215">
        <f t="shared" si="146"/>
        <v>5.2332734472031461E-3</v>
      </c>
      <c r="Q972" s="215">
        <f t="shared" si="141"/>
        <v>-2.8834669851561134E-2</v>
      </c>
      <c r="R972" s="231">
        <v>29592988</v>
      </c>
      <c r="T972" s="230">
        <v>44516</v>
      </c>
      <c r="U972" s="1">
        <v>66.400000000000006</v>
      </c>
      <c r="V972" s="1">
        <v>66.703692184653605</v>
      </c>
      <c r="W972" s="1">
        <v>45014</v>
      </c>
      <c r="X972" s="1">
        <v>60322.37</v>
      </c>
      <c r="Y972" s="215">
        <f t="shared" si="147"/>
        <v>5.2332734472031461E-3</v>
      </c>
      <c r="Z972" s="215">
        <f t="shared" si="142"/>
        <v>-8.9552238805968853E-3</v>
      </c>
      <c r="AA972" s="231">
        <v>3002600</v>
      </c>
      <c r="AC972" s="230">
        <v>44550</v>
      </c>
      <c r="AD972" s="1">
        <v>66.900000000000006</v>
      </c>
      <c r="AE972" s="1">
        <v>67.598615916954998</v>
      </c>
      <c r="AF972" s="1">
        <v>3468</v>
      </c>
      <c r="AG972" s="1">
        <v>55822.01</v>
      </c>
      <c r="AH972" s="215">
        <f t="shared" si="148"/>
        <v>-8.8247289858255362E-3</v>
      </c>
      <c r="AI972" s="215">
        <f t="shared" si="143"/>
        <v>6.7720090293454938E-3</v>
      </c>
      <c r="AJ972" s="231">
        <v>234432</v>
      </c>
      <c r="AL972" s="254"/>
      <c r="AQ972" s="215" t="str">
        <f t="shared" si="149"/>
        <v>NA</v>
      </c>
      <c r="AR972" s="215" t="str">
        <f t="shared" si="144"/>
        <v>NA</v>
      </c>
    </row>
    <row r="973" spans="2:44">
      <c r="B973" s="230">
        <v>44518</v>
      </c>
      <c r="C973" s="1">
        <v>349.3</v>
      </c>
      <c r="D973" s="1">
        <v>354.98439175503302</v>
      </c>
      <c r="E973" s="1">
        <v>8393</v>
      </c>
      <c r="F973" s="215">
        <v>59636.01</v>
      </c>
      <c r="G973" s="215">
        <f t="shared" si="145"/>
        <v>2.001372082080688E-2</v>
      </c>
      <c r="H973" s="215">
        <f t="shared" si="140"/>
        <v>3.435001480604094E-2</v>
      </c>
      <c r="I973" s="231">
        <v>2979384</v>
      </c>
      <c r="K973" s="230">
        <v>44517</v>
      </c>
      <c r="L973" s="1">
        <v>293.05</v>
      </c>
      <c r="M973" s="1">
        <v>291.70465662611798</v>
      </c>
      <c r="N973" s="1">
        <v>62148</v>
      </c>
      <c r="O973" s="1">
        <v>60008.33</v>
      </c>
      <c r="P973" s="215">
        <f t="shared" si="146"/>
        <v>6.2432077531680008E-3</v>
      </c>
      <c r="Q973" s="215">
        <f t="shared" si="141"/>
        <v>1.261230131306168E-2</v>
      </c>
      <c r="R973" s="231">
        <v>18128861</v>
      </c>
      <c r="T973" s="230">
        <v>44517</v>
      </c>
      <c r="U973" s="1">
        <v>67</v>
      </c>
      <c r="V973" s="1">
        <v>67.655719038553897</v>
      </c>
      <c r="W973" s="1">
        <v>112414</v>
      </c>
      <c r="X973" s="1">
        <v>60008.33</v>
      </c>
      <c r="Y973" s="215">
        <f t="shared" si="147"/>
        <v>6.2432077531680008E-3</v>
      </c>
      <c r="Z973" s="215">
        <f t="shared" si="142"/>
        <v>-1.9751280175566821E-2</v>
      </c>
      <c r="AA973" s="231">
        <v>7605450</v>
      </c>
      <c r="AC973" s="230">
        <v>44551</v>
      </c>
      <c r="AD973" s="1">
        <v>66.45</v>
      </c>
      <c r="AE973" s="1">
        <v>67.2200206398348</v>
      </c>
      <c r="AF973" s="1">
        <v>4845</v>
      </c>
      <c r="AG973" s="1">
        <v>56319.01</v>
      </c>
      <c r="AH973" s="215">
        <f t="shared" si="148"/>
        <v>-1.0742033803988527E-2</v>
      </c>
      <c r="AI973" s="215">
        <f t="shared" si="143"/>
        <v>-4.5944005743000726E-2</v>
      </c>
      <c r="AJ973" s="231">
        <v>325681</v>
      </c>
      <c r="AL973" s="254"/>
      <c r="AQ973" s="215" t="str">
        <f t="shared" si="149"/>
        <v>NA</v>
      </c>
      <c r="AR973" s="215" t="str">
        <f t="shared" si="144"/>
        <v>NA</v>
      </c>
    </row>
    <row r="974" spans="2:44">
      <c r="B974" s="230">
        <v>44522</v>
      </c>
      <c r="C974" s="1">
        <v>337.7</v>
      </c>
      <c r="D974" s="1">
        <v>344.33882082695197</v>
      </c>
      <c r="E974" s="1">
        <v>5224</v>
      </c>
      <c r="F974" s="215">
        <v>58465.89</v>
      </c>
      <c r="G974" s="215">
        <f t="shared" si="145"/>
        <v>-3.3826347288037351E-3</v>
      </c>
      <c r="H974" s="215">
        <f t="shared" ref="H974:H999" si="150">IF(ISERROR(C974/C975-1),"NA",C974/C975-1)</f>
        <v>-6.4724919093850364E-3</v>
      </c>
      <c r="I974" s="231">
        <v>1798826</v>
      </c>
      <c r="K974" s="230">
        <v>44518</v>
      </c>
      <c r="L974" s="1">
        <v>289.39999999999998</v>
      </c>
      <c r="M974" s="1">
        <v>286.38008661602498</v>
      </c>
      <c r="N974" s="1">
        <v>72273</v>
      </c>
      <c r="O974" s="1">
        <v>59636.01</v>
      </c>
      <c r="P974" s="215">
        <f t="shared" si="146"/>
        <v>2.001372082080688E-2</v>
      </c>
      <c r="Q974" s="215">
        <f t="shared" ref="Q974:Q1037" si="151">IF(ISERROR(L974/L975-1),"NA",L974/L975-1)</f>
        <v>5.2555010001818392E-2</v>
      </c>
      <c r="R974" s="231">
        <v>20697548</v>
      </c>
      <c r="T974" s="230">
        <v>44518</v>
      </c>
      <c r="U974" s="1">
        <v>68.349999999999994</v>
      </c>
      <c r="V974" s="1">
        <v>67.115858253445793</v>
      </c>
      <c r="W974" s="1">
        <v>104835</v>
      </c>
      <c r="X974" s="1">
        <v>59636.01</v>
      </c>
      <c r="Y974" s="215">
        <f t="shared" si="147"/>
        <v>2.001372082080688E-2</v>
      </c>
      <c r="Z974" s="215">
        <f t="shared" ref="Z974:Z1037" si="152">IF(ISERROR(U974/U975-1),"NA",U974/U975-1)</f>
        <v>5.0730207532667215E-2</v>
      </c>
      <c r="AA974" s="231">
        <v>7036091</v>
      </c>
      <c r="AC974" s="230">
        <v>44552</v>
      </c>
      <c r="AD974" s="1">
        <v>69.650000000000006</v>
      </c>
      <c r="AE974" s="1">
        <v>69.562803103782699</v>
      </c>
      <c r="AF974" s="1">
        <v>8248</v>
      </c>
      <c r="AG974" s="1">
        <v>56930.559999999998</v>
      </c>
      <c r="AH974" s="215">
        <f t="shared" si="148"/>
        <v>-6.7123461666767081E-3</v>
      </c>
      <c r="AI974" s="215">
        <f t="shared" ref="AI974:AI1037" si="153">IF(ISERROR(AD974/AD975-1),"NA",AD974/AD975-1)</f>
        <v>3.6023054755043304E-3</v>
      </c>
      <c r="AJ974" s="231">
        <v>573754</v>
      </c>
      <c r="AL974" s="254"/>
      <c r="AQ974" s="215" t="str">
        <f t="shared" si="149"/>
        <v>NA</v>
      </c>
      <c r="AR974" s="215" t="str">
        <f t="shared" ref="AR974:AR1037" si="154">IF(ISERROR(AM974/AM975-1),"NA",AM974/AM975-1)</f>
        <v>NA</v>
      </c>
    </row>
    <row r="975" spans="2:44">
      <c r="B975" s="230">
        <v>44523</v>
      </c>
      <c r="C975" s="1">
        <v>339.9</v>
      </c>
      <c r="D975" s="1">
        <v>341.89292412617198</v>
      </c>
      <c r="E975" s="1">
        <v>5865</v>
      </c>
      <c r="F975" s="215">
        <v>58664.33</v>
      </c>
      <c r="G975" s="215">
        <f t="shared" ref="G975:G999" si="155">IF(ISERROR(F975/F976-1),"NA",F975/F976-1)</f>
        <v>5.5422439694630121E-3</v>
      </c>
      <c r="H975" s="215">
        <f t="shared" si="150"/>
        <v>1.0307760270946709E-3</v>
      </c>
      <c r="I975" s="231">
        <v>2005202</v>
      </c>
      <c r="K975" s="230">
        <v>44522</v>
      </c>
      <c r="L975" s="1">
        <v>274.95</v>
      </c>
      <c r="M975" s="1">
        <v>276.39930786636398</v>
      </c>
      <c r="N975" s="1">
        <v>37565</v>
      </c>
      <c r="O975" s="1">
        <v>58465.89</v>
      </c>
      <c r="P975" s="215">
        <f t="shared" ref="P975:P1038" si="156">IF(ISERROR(O975/O976-1),"NA",O975/O976-1)</f>
        <v>-3.3826347288037351E-3</v>
      </c>
      <c r="Q975" s="215">
        <f t="shared" si="151"/>
        <v>1.889938854919393E-2</v>
      </c>
      <c r="R975" s="231">
        <v>10382940</v>
      </c>
      <c r="T975" s="230">
        <v>44522</v>
      </c>
      <c r="U975" s="1">
        <v>65.05</v>
      </c>
      <c r="V975" s="1">
        <v>65.945674418604597</v>
      </c>
      <c r="W975" s="1">
        <v>129000</v>
      </c>
      <c r="X975" s="1">
        <v>58465.89</v>
      </c>
      <c r="Y975" s="215">
        <f t="shared" ref="Y975:Y1038" si="157">IF(ISERROR(X975/X976-1),"NA",X975/X976-1)</f>
        <v>-3.3826347288037351E-3</v>
      </c>
      <c r="Z975" s="215">
        <f t="shared" si="152"/>
        <v>-1.6628873771731056E-2</v>
      </c>
      <c r="AA975" s="231">
        <v>8506992</v>
      </c>
      <c r="AC975" s="230">
        <v>44553</v>
      </c>
      <c r="AD975" s="1">
        <v>69.400000000000006</v>
      </c>
      <c r="AE975" s="1">
        <v>69.9540581929555</v>
      </c>
      <c r="AF975" s="1">
        <v>3918</v>
      </c>
      <c r="AG975" s="1">
        <v>57315.28</v>
      </c>
      <c r="AH975" s="215">
        <f t="shared" ref="AH975:AH1038" si="158">IF(ISERROR(AG975/AG976-1),"NA",AG975/AG976-1)</f>
        <v>3.3430600737234251E-3</v>
      </c>
      <c r="AI975" s="215">
        <f t="shared" si="153"/>
        <v>-2.0465772759350576E-2</v>
      </c>
      <c r="AJ975" s="231">
        <v>274080</v>
      </c>
      <c r="AL975" s="254"/>
      <c r="AQ975" s="215" t="str">
        <f t="shared" ref="AQ975:AQ1038" si="159">IF(ISERROR(AP975/AP976-1),"NA",AP975/AP976-1)</f>
        <v>NA</v>
      </c>
      <c r="AR975" s="215" t="str">
        <f t="shared" si="154"/>
        <v>NA</v>
      </c>
    </row>
    <row r="976" spans="2:44">
      <c r="B976" s="230">
        <v>44524</v>
      </c>
      <c r="C976" s="1">
        <v>339.55</v>
      </c>
      <c r="D976" s="1">
        <v>340.092640198038</v>
      </c>
      <c r="E976" s="1">
        <v>10503</v>
      </c>
      <c r="F976" s="215">
        <v>58340.99</v>
      </c>
      <c r="G976" s="215">
        <f t="shared" si="155"/>
        <v>-7.7234340486594943E-3</v>
      </c>
      <c r="H976" s="215">
        <f t="shared" si="150"/>
        <v>-5.8866813833702292E-4</v>
      </c>
      <c r="I976" s="231">
        <v>3571993</v>
      </c>
      <c r="K976" s="230">
        <v>44523</v>
      </c>
      <c r="L976" s="1">
        <v>269.85000000000002</v>
      </c>
      <c r="M976" s="1">
        <v>271.04042875977501</v>
      </c>
      <c r="N976" s="1">
        <v>110738</v>
      </c>
      <c r="O976" s="1">
        <v>58664.33</v>
      </c>
      <c r="P976" s="215">
        <f t="shared" si="156"/>
        <v>5.5422439694630121E-3</v>
      </c>
      <c r="Q976" s="215">
        <f t="shared" si="151"/>
        <v>1.715039577836408E-2</v>
      </c>
      <c r="R976" s="231">
        <v>30014475</v>
      </c>
      <c r="T976" s="230">
        <v>44523</v>
      </c>
      <c r="U976" s="1">
        <v>66.150000000000006</v>
      </c>
      <c r="V976" s="1">
        <v>65.518670733665104</v>
      </c>
      <c r="W976" s="1">
        <v>93435</v>
      </c>
      <c r="X976" s="1">
        <v>58664.33</v>
      </c>
      <c r="Y976" s="215">
        <f t="shared" si="157"/>
        <v>5.5422439694630121E-3</v>
      </c>
      <c r="Z976" s="215">
        <f t="shared" si="152"/>
        <v>-3.0143180105499656E-3</v>
      </c>
      <c r="AA976" s="231">
        <v>6121737</v>
      </c>
      <c r="AC976" s="230">
        <v>44554</v>
      </c>
      <c r="AD976" s="1">
        <v>70.849999999999994</v>
      </c>
      <c r="AE976" s="1">
        <v>70.037250786988395</v>
      </c>
      <c r="AF976" s="1">
        <v>5718</v>
      </c>
      <c r="AG976" s="1">
        <v>57124.31</v>
      </c>
      <c r="AH976" s="215">
        <f t="shared" si="158"/>
        <v>-5.1537576297138177E-3</v>
      </c>
      <c r="AI976" s="215">
        <f t="shared" si="153"/>
        <v>1.2142857142857011E-2</v>
      </c>
      <c r="AJ976" s="231">
        <v>400473</v>
      </c>
      <c r="AL976" s="254"/>
      <c r="AQ976" s="215" t="str">
        <f t="shared" si="159"/>
        <v>NA</v>
      </c>
      <c r="AR976" s="215" t="str">
        <f t="shared" si="154"/>
        <v>NA</v>
      </c>
    </row>
    <row r="977" spans="2:44">
      <c r="B977" s="230">
        <v>44525</v>
      </c>
      <c r="C977" s="1">
        <v>339.75</v>
      </c>
      <c r="D977" s="1">
        <v>341.734915924826</v>
      </c>
      <c r="E977" s="1">
        <v>4044</v>
      </c>
      <c r="F977" s="215">
        <v>58795.09</v>
      </c>
      <c r="G977" s="215">
        <f t="shared" si="155"/>
        <v>2.955741969263026E-2</v>
      </c>
      <c r="H977" s="215">
        <f t="shared" si="150"/>
        <v>1.6214622641510523E-3</v>
      </c>
      <c r="I977" s="231">
        <v>1381976</v>
      </c>
      <c r="K977" s="230">
        <v>44524</v>
      </c>
      <c r="L977" s="1">
        <v>265.3</v>
      </c>
      <c r="M977" s="1">
        <v>269.28757889722499</v>
      </c>
      <c r="N977" s="1">
        <v>41985</v>
      </c>
      <c r="O977" s="1">
        <v>58340.99</v>
      </c>
      <c r="P977" s="215">
        <f t="shared" si="156"/>
        <v>-7.7234340486594943E-3</v>
      </c>
      <c r="Q977" s="215">
        <f t="shared" si="151"/>
        <v>-9.8899048329911254E-3</v>
      </c>
      <c r="R977" s="231">
        <v>11306039</v>
      </c>
      <c r="T977" s="230">
        <v>44524</v>
      </c>
      <c r="U977" s="1">
        <v>66.349999999999994</v>
      </c>
      <c r="V977" s="1">
        <v>67.200255301995298</v>
      </c>
      <c r="W977" s="1">
        <v>44653</v>
      </c>
      <c r="X977" s="1">
        <v>58340.99</v>
      </c>
      <c r="Y977" s="215">
        <f t="shared" si="157"/>
        <v>-7.7234340486594943E-3</v>
      </c>
      <c r="Z977" s="215">
        <f t="shared" si="152"/>
        <v>3.023431594860071E-3</v>
      </c>
      <c r="AA977" s="231">
        <v>3000693</v>
      </c>
      <c r="AC977" s="230">
        <v>44557</v>
      </c>
      <c r="AD977" s="1">
        <v>70</v>
      </c>
      <c r="AE977" s="1">
        <v>69.073607748184003</v>
      </c>
      <c r="AF977" s="1">
        <v>6195</v>
      </c>
      <c r="AG977" s="1">
        <v>57420.24</v>
      </c>
      <c r="AH977" s="215">
        <f t="shared" si="158"/>
        <v>-8.2428458026153617E-3</v>
      </c>
      <c r="AI977" s="215">
        <f t="shared" si="153"/>
        <v>-9.7938144329896892E-2</v>
      </c>
      <c r="AJ977" s="231">
        <v>427911</v>
      </c>
      <c r="AL977" s="254"/>
      <c r="AQ977" s="215" t="str">
        <f t="shared" si="159"/>
        <v>NA</v>
      </c>
      <c r="AR977" s="215" t="str">
        <f t="shared" si="154"/>
        <v>NA</v>
      </c>
    </row>
    <row r="978" spans="2:44">
      <c r="B978" s="230">
        <v>44526</v>
      </c>
      <c r="C978" s="1">
        <v>339.2</v>
      </c>
      <c r="D978" s="1">
        <v>341.44588296219501</v>
      </c>
      <c r="E978" s="1">
        <v>3862</v>
      </c>
      <c r="F978" s="215">
        <v>57107.15</v>
      </c>
      <c r="G978" s="215">
        <f t="shared" si="155"/>
        <v>-2.6795048181489367E-3</v>
      </c>
      <c r="H978" s="215">
        <f t="shared" si="150"/>
        <v>3.0846375930709602E-2</v>
      </c>
      <c r="I978" s="231">
        <v>1318664</v>
      </c>
      <c r="K978" s="230">
        <v>44525</v>
      </c>
      <c r="L978" s="1">
        <v>267.95</v>
      </c>
      <c r="M978" s="1">
        <v>268.54470415168299</v>
      </c>
      <c r="N978" s="1">
        <v>24472</v>
      </c>
      <c r="O978" s="1">
        <v>58795.09</v>
      </c>
      <c r="P978" s="215">
        <f t="shared" si="156"/>
        <v>2.955741969263026E-2</v>
      </c>
      <c r="Q978" s="215">
        <f t="shared" si="151"/>
        <v>4.9960815047021878E-2</v>
      </c>
      <c r="R978" s="231">
        <v>6571826</v>
      </c>
      <c r="T978" s="230">
        <v>44525</v>
      </c>
      <c r="U978" s="1">
        <v>66.150000000000006</v>
      </c>
      <c r="V978" s="1">
        <v>66.265297470441297</v>
      </c>
      <c r="W978" s="1">
        <v>42458</v>
      </c>
      <c r="X978" s="1">
        <v>58795.09</v>
      </c>
      <c r="Y978" s="215">
        <f t="shared" si="157"/>
        <v>2.955741969263026E-2</v>
      </c>
      <c r="Z978" s="215">
        <f t="shared" si="152"/>
        <v>4.4198895027624419E-2</v>
      </c>
      <c r="AA978" s="231">
        <v>2813492</v>
      </c>
      <c r="AC978" s="230">
        <v>44558</v>
      </c>
      <c r="AD978" s="1">
        <v>77.599999999999994</v>
      </c>
      <c r="AE978" s="1">
        <v>76.034200345018107</v>
      </c>
      <c r="AF978" s="1">
        <v>59707</v>
      </c>
      <c r="AG978" s="1">
        <v>57897.48</v>
      </c>
      <c r="AH978" s="215">
        <f t="shared" si="158"/>
        <v>1.574044713664513E-3</v>
      </c>
      <c r="AI978" s="215">
        <f t="shared" si="153"/>
        <v>3.4666666666666623E-2</v>
      </c>
      <c r="AJ978" s="231">
        <v>4539774</v>
      </c>
      <c r="AL978" s="254"/>
      <c r="AQ978" s="215" t="str">
        <f t="shared" si="159"/>
        <v>NA</v>
      </c>
      <c r="AR978" s="215" t="str">
        <f t="shared" si="154"/>
        <v>NA</v>
      </c>
    </row>
    <row r="979" spans="2:44">
      <c r="B979" s="230">
        <v>44529</v>
      </c>
      <c r="C979" s="1">
        <v>329.05</v>
      </c>
      <c r="D979" s="1">
        <v>333.03943748089199</v>
      </c>
      <c r="E979" s="1">
        <v>3271</v>
      </c>
      <c r="F979" s="215">
        <v>57260.58</v>
      </c>
      <c r="G979" s="215">
        <f t="shared" si="155"/>
        <v>3.4296056400373587E-3</v>
      </c>
      <c r="H979" s="215">
        <f t="shared" si="150"/>
        <v>-1.8201122402546899E-3</v>
      </c>
      <c r="I979" s="231">
        <v>1089372</v>
      </c>
      <c r="K979" s="230">
        <v>44526</v>
      </c>
      <c r="L979" s="1">
        <v>255.2</v>
      </c>
      <c r="M979" s="1">
        <v>257.67263406939998</v>
      </c>
      <c r="N979" s="1">
        <v>63400</v>
      </c>
      <c r="O979" s="1">
        <v>57107.15</v>
      </c>
      <c r="P979" s="215">
        <f t="shared" si="156"/>
        <v>-2.6795048181489367E-3</v>
      </c>
      <c r="Q979" s="215">
        <f t="shared" si="151"/>
        <v>-5.1477420553800446E-2</v>
      </c>
      <c r="R979" s="231">
        <v>16336445</v>
      </c>
      <c r="T979" s="230">
        <v>44526</v>
      </c>
      <c r="U979" s="1">
        <v>63.35</v>
      </c>
      <c r="V979" s="1">
        <v>64.013722175260597</v>
      </c>
      <c r="W979" s="1">
        <v>106470</v>
      </c>
      <c r="X979" s="1">
        <v>57107.15</v>
      </c>
      <c r="Y979" s="215">
        <f t="shared" si="157"/>
        <v>-2.6795048181489367E-3</v>
      </c>
      <c r="Z979" s="215">
        <f t="shared" si="152"/>
        <v>5.8479532163742798E-2</v>
      </c>
      <c r="AA979" s="231">
        <v>6815541</v>
      </c>
      <c r="AC979" s="230">
        <v>44559</v>
      </c>
      <c r="AD979" s="1">
        <v>75</v>
      </c>
      <c r="AE979" s="1">
        <v>75.715896056638798</v>
      </c>
      <c r="AF979" s="1">
        <v>25283</v>
      </c>
      <c r="AG979" s="1">
        <v>57806.49</v>
      </c>
      <c r="AH979" s="215">
        <f t="shared" si="158"/>
        <v>2.1057432633520001E-4</v>
      </c>
      <c r="AI979" s="215">
        <f t="shared" si="153"/>
        <v>3.0219780219780334E-2</v>
      </c>
      <c r="AJ979" s="231">
        <v>1914325</v>
      </c>
      <c r="AL979" s="254"/>
      <c r="AQ979" s="215" t="str">
        <f t="shared" si="159"/>
        <v>NA</v>
      </c>
      <c r="AR979" s="215" t="str">
        <f t="shared" si="154"/>
        <v>NA</v>
      </c>
    </row>
    <row r="980" spans="2:44">
      <c r="B980" s="230">
        <v>44530</v>
      </c>
      <c r="C980" s="1">
        <v>329.65</v>
      </c>
      <c r="D980" s="1">
        <v>330.89776474899202</v>
      </c>
      <c r="E980" s="1">
        <v>5458</v>
      </c>
      <c r="F980" s="215">
        <v>57064.87</v>
      </c>
      <c r="G980" s="215">
        <f t="shared" si="155"/>
        <v>-1.0746680364095984E-2</v>
      </c>
      <c r="H980" s="215">
        <f t="shared" si="150"/>
        <v>2.3757763975155166E-2</v>
      </c>
      <c r="I980" s="231">
        <v>1806040</v>
      </c>
      <c r="K980" s="230">
        <v>44529</v>
      </c>
      <c r="L980" s="1">
        <v>269.05</v>
      </c>
      <c r="M980" s="1">
        <v>252.997279138208</v>
      </c>
      <c r="N980" s="1">
        <v>108054</v>
      </c>
      <c r="O980" s="1">
        <v>57260.58</v>
      </c>
      <c r="P980" s="215">
        <f t="shared" si="156"/>
        <v>3.4296056400373587E-3</v>
      </c>
      <c r="Q980" s="215">
        <f t="shared" si="151"/>
        <v>1.9708167519423947E-2</v>
      </c>
      <c r="R980" s="231">
        <v>27337368</v>
      </c>
      <c r="T980" s="230">
        <v>44529</v>
      </c>
      <c r="U980" s="1">
        <v>59.85</v>
      </c>
      <c r="V980" s="1">
        <v>60.641949746576003</v>
      </c>
      <c r="W980" s="1">
        <v>185460</v>
      </c>
      <c r="X980" s="1">
        <v>57260.58</v>
      </c>
      <c r="Y980" s="215">
        <f t="shared" si="157"/>
        <v>3.4296056400373587E-3</v>
      </c>
      <c r="Z980" s="215">
        <f t="shared" si="152"/>
        <v>3.2786885245901676E-2</v>
      </c>
      <c r="AA980" s="231">
        <v>11246656</v>
      </c>
      <c r="AC980" s="230">
        <v>44560</v>
      </c>
      <c r="AD980" s="1">
        <v>72.8</v>
      </c>
      <c r="AE980" s="1">
        <v>73.559955018939306</v>
      </c>
      <c r="AF980" s="1">
        <v>16896</v>
      </c>
      <c r="AG980" s="1">
        <v>57794.32</v>
      </c>
      <c r="AH980" s="215">
        <f t="shared" si="158"/>
        <v>-7.8878947337702732E-3</v>
      </c>
      <c r="AI980" s="215">
        <f t="shared" si="153"/>
        <v>6.8728522336769515E-4</v>
      </c>
      <c r="AJ980" s="231">
        <v>1242869</v>
      </c>
      <c r="AL980" s="254"/>
      <c r="AQ980" s="215" t="str">
        <f t="shared" si="159"/>
        <v>NA</v>
      </c>
      <c r="AR980" s="215" t="str">
        <f t="shared" si="154"/>
        <v>NA</v>
      </c>
    </row>
    <row r="981" spans="2:44">
      <c r="B981" s="230">
        <v>44531</v>
      </c>
      <c r="C981" s="1">
        <v>322</v>
      </c>
      <c r="D981" s="1">
        <v>327.07234617985102</v>
      </c>
      <c r="E981" s="1">
        <v>4437</v>
      </c>
      <c r="F981" s="215">
        <v>57684.79</v>
      </c>
      <c r="G981" s="215">
        <f t="shared" si="155"/>
        <v>-1.328229329185171E-2</v>
      </c>
      <c r="H981" s="215">
        <f t="shared" si="150"/>
        <v>-1.9786910197869156E-2</v>
      </c>
      <c r="I981" s="231">
        <v>1451220</v>
      </c>
      <c r="K981" s="230">
        <v>44530</v>
      </c>
      <c r="L981" s="1">
        <v>263.85000000000002</v>
      </c>
      <c r="M981" s="1">
        <v>269.35479346377701</v>
      </c>
      <c r="N981" s="1">
        <v>28518</v>
      </c>
      <c r="O981" s="1">
        <v>57064.87</v>
      </c>
      <c r="P981" s="215">
        <f t="shared" si="156"/>
        <v>-1.0746680364095984E-2</v>
      </c>
      <c r="Q981" s="215">
        <f t="shared" si="151"/>
        <v>-5.6818181818174551E-4</v>
      </c>
      <c r="R981" s="231">
        <v>7681460</v>
      </c>
      <c r="T981" s="230">
        <v>44530</v>
      </c>
      <c r="U981" s="1">
        <v>57.95</v>
      </c>
      <c r="V981" s="1">
        <v>58.993418649190197</v>
      </c>
      <c r="W981" s="1">
        <v>180662</v>
      </c>
      <c r="X981" s="1">
        <v>57064.87</v>
      </c>
      <c r="Y981" s="215">
        <f t="shared" si="157"/>
        <v>-1.0746680364095984E-2</v>
      </c>
      <c r="Z981" s="215">
        <f t="shared" si="152"/>
        <v>-1.0247651579846195E-2</v>
      </c>
      <c r="AA981" s="231">
        <v>10657869</v>
      </c>
      <c r="AC981" s="230">
        <v>44561</v>
      </c>
      <c r="AD981" s="1">
        <v>72.75</v>
      </c>
      <c r="AE981" s="1">
        <v>75.342860655233807</v>
      </c>
      <c r="AF981" s="1">
        <v>16269</v>
      </c>
      <c r="AG981" s="1">
        <v>58253.82</v>
      </c>
      <c r="AH981" s="215">
        <f t="shared" si="158"/>
        <v>-1.570377549582469E-2</v>
      </c>
      <c r="AI981" s="215">
        <f t="shared" si="153"/>
        <v>-6.8259385665528916E-3</v>
      </c>
      <c r="AJ981" s="231">
        <v>1225753</v>
      </c>
      <c r="AL981" s="254"/>
      <c r="AQ981" s="215" t="str">
        <f t="shared" si="159"/>
        <v>NA</v>
      </c>
      <c r="AR981" s="215" t="str">
        <f t="shared" si="154"/>
        <v>NA</v>
      </c>
    </row>
    <row r="982" spans="2:44">
      <c r="B982" s="230">
        <v>44532</v>
      </c>
      <c r="C982" s="1">
        <v>328.5</v>
      </c>
      <c r="D982" s="1">
        <v>329.02536231884</v>
      </c>
      <c r="E982" s="1">
        <v>6348</v>
      </c>
      <c r="F982" s="215">
        <v>58461.29</v>
      </c>
      <c r="G982" s="215">
        <f t="shared" si="155"/>
        <v>1.3256099247683562E-2</v>
      </c>
      <c r="H982" s="215">
        <f t="shared" si="150"/>
        <v>4.4335728481883496E-3</v>
      </c>
      <c r="I982" s="231">
        <v>2088653</v>
      </c>
      <c r="K982" s="230">
        <v>44531</v>
      </c>
      <c r="L982" s="1">
        <v>264</v>
      </c>
      <c r="M982" s="1">
        <v>263.685318828091</v>
      </c>
      <c r="N982" s="1">
        <v>18568</v>
      </c>
      <c r="O982" s="1">
        <v>57684.79</v>
      </c>
      <c r="P982" s="215">
        <f t="shared" si="156"/>
        <v>-1.328229329185171E-2</v>
      </c>
      <c r="Q982" s="215">
        <f t="shared" si="151"/>
        <v>3.6114807070899424E-3</v>
      </c>
      <c r="R982" s="231">
        <v>4896109</v>
      </c>
      <c r="T982" s="230">
        <v>44531</v>
      </c>
      <c r="U982" s="1">
        <v>58.55</v>
      </c>
      <c r="V982" s="1">
        <v>58.512251479064503</v>
      </c>
      <c r="W982" s="1">
        <v>39383</v>
      </c>
      <c r="X982" s="1">
        <v>57684.79</v>
      </c>
      <c r="Y982" s="215">
        <f t="shared" si="157"/>
        <v>-1.328229329185171E-2</v>
      </c>
      <c r="Z982" s="215">
        <f t="shared" si="152"/>
        <v>-3.542009884678754E-2</v>
      </c>
      <c r="AA982" s="231">
        <v>2304388</v>
      </c>
      <c r="AC982" s="230">
        <v>44564</v>
      </c>
      <c r="AD982" s="1">
        <v>73.25</v>
      </c>
      <c r="AE982" s="1">
        <v>74.2226573426573</v>
      </c>
      <c r="AF982" s="1">
        <v>3575</v>
      </c>
      <c r="AG982" s="1">
        <v>59183.22</v>
      </c>
      <c r="AH982" s="215">
        <f t="shared" si="158"/>
        <v>-1.1238819612359174E-2</v>
      </c>
      <c r="AI982" s="215">
        <f t="shared" si="153"/>
        <v>-1.0135135135135087E-2</v>
      </c>
      <c r="AJ982" s="231">
        <v>265346</v>
      </c>
      <c r="AL982" s="254"/>
      <c r="AQ982" s="215" t="str">
        <f t="shared" si="159"/>
        <v>NA</v>
      </c>
      <c r="AR982" s="215" t="str">
        <f t="shared" si="154"/>
        <v>NA</v>
      </c>
    </row>
    <row r="983" spans="2:44">
      <c r="B983" s="230">
        <v>44533</v>
      </c>
      <c r="C983" s="1">
        <v>327.05</v>
      </c>
      <c r="D983" s="1">
        <v>329.09290709290701</v>
      </c>
      <c r="E983" s="1">
        <v>3003</v>
      </c>
      <c r="F983" s="215">
        <v>57696.46</v>
      </c>
      <c r="G983" s="215">
        <f t="shared" si="155"/>
        <v>1.672894880693554E-2</v>
      </c>
      <c r="H983" s="215">
        <f t="shared" si="150"/>
        <v>4.1394682375417879E-2</v>
      </c>
      <c r="I983" s="231">
        <v>988266</v>
      </c>
      <c r="K983" s="230">
        <v>44532</v>
      </c>
      <c r="L983" s="1">
        <v>263.05</v>
      </c>
      <c r="M983" s="1">
        <v>261.982359629982</v>
      </c>
      <c r="N983" s="1">
        <v>32539</v>
      </c>
      <c r="O983" s="1">
        <v>58461.29</v>
      </c>
      <c r="P983" s="215">
        <f t="shared" si="156"/>
        <v>1.3256099247683562E-2</v>
      </c>
      <c r="Q983" s="215">
        <f t="shared" si="151"/>
        <v>3.6245707745135025E-3</v>
      </c>
      <c r="R983" s="231">
        <v>8524644</v>
      </c>
      <c r="T983" s="230">
        <v>44532</v>
      </c>
      <c r="U983" s="1">
        <v>60.7</v>
      </c>
      <c r="V983" s="1">
        <v>59.808368188016097</v>
      </c>
      <c r="W983" s="1">
        <v>65271</v>
      </c>
      <c r="X983" s="1">
        <v>58461.29</v>
      </c>
      <c r="Y983" s="215">
        <f t="shared" si="157"/>
        <v>1.3256099247683562E-2</v>
      </c>
      <c r="Z983" s="215">
        <f t="shared" si="152"/>
        <v>-6.5466448445171688E-3</v>
      </c>
      <c r="AA983" s="231">
        <v>3903752</v>
      </c>
      <c r="AC983" s="230">
        <v>44565</v>
      </c>
      <c r="AD983" s="1">
        <v>74</v>
      </c>
      <c r="AE983" s="1">
        <v>73.572065378900405</v>
      </c>
      <c r="AF983" s="1">
        <v>5384</v>
      </c>
      <c r="AG983" s="1">
        <v>59855.93</v>
      </c>
      <c r="AH983" s="215">
        <f t="shared" si="158"/>
        <v>-6.0976551376007437E-3</v>
      </c>
      <c r="AI983" s="215">
        <f t="shared" si="153"/>
        <v>1.1619958988379864E-2</v>
      </c>
      <c r="AJ983" s="231">
        <v>396112</v>
      </c>
      <c r="AL983" s="254"/>
      <c r="AQ983" s="215" t="str">
        <f t="shared" si="159"/>
        <v>NA</v>
      </c>
      <c r="AR983" s="215" t="str">
        <f t="shared" si="154"/>
        <v>NA</v>
      </c>
    </row>
    <row r="984" spans="2:44">
      <c r="B984" s="230">
        <v>44536</v>
      </c>
      <c r="C984" s="1">
        <v>314.05</v>
      </c>
      <c r="D984" s="1">
        <v>321.72926124638798</v>
      </c>
      <c r="E984" s="1">
        <v>2423</v>
      </c>
      <c r="F984" s="215">
        <v>56747.14</v>
      </c>
      <c r="G984" s="215">
        <f t="shared" si="155"/>
        <v>-1.5381812534864703E-2</v>
      </c>
      <c r="H984" s="215">
        <f t="shared" si="150"/>
        <v>-3.806502775574927E-3</v>
      </c>
      <c r="I984" s="231">
        <v>779550</v>
      </c>
      <c r="K984" s="230">
        <v>44533</v>
      </c>
      <c r="L984" s="1">
        <v>262.10000000000002</v>
      </c>
      <c r="M984" s="1">
        <v>263.93857667325602</v>
      </c>
      <c r="N984" s="1">
        <v>21246</v>
      </c>
      <c r="O984" s="1">
        <v>57696.46</v>
      </c>
      <c r="P984" s="215">
        <f t="shared" si="156"/>
        <v>1.672894880693554E-2</v>
      </c>
      <c r="Q984" s="215">
        <f t="shared" si="151"/>
        <v>3.5150078988941624E-2</v>
      </c>
      <c r="R984" s="231">
        <v>5607639</v>
      </c>
      <c r="T984" s="230">
        <v>44533</v>
      </c>
      <c r="U984" s="1">
        <v>61.1</v>
      </c>
      <c r="V984" s="1">
        <v>61.458105620433699</v>
      </c>
      <c r="W984" s="1">
        <v>69532</v>
      </c>
      <c r="X984" s="1">
        <v>57696.46</v>
      </c>
      <c r="Y984" s="215">
        <f t="shared" si="157"/>
        <v>1.672894880693554E-2</v>
      </c>
      <c r="Z984" s="215">
        <f t="shared" si="152"/>
        <v>9.4982078853046659E-2</v>
      </c>
      <c r="AA984" s="231">
        <v>4273305</v>
      </c>
      <c r="AC984" s="230">
        <v>44566</v>
      </c>
      <c r="AD984" s="1">
        <v>73.150000000000006</v>
      </c>
      <c r="AE984" s="1">
        <v>74.311373320222799</v>
      </c>
      <c r="AF984" s="1">
        <v>6102</v>
      </c>
      <c r="AG984" s="1">
        <v>60223.15</v>
      </c>
      <c r="AH984" s="215">
        <f t="shared" si="158"/>
        <v>1.0424342604188119E-2</v>
      </c>
      <c r="AI984" s="215">
        <f t="shared" si="153"/>
        <v>3.4293552812070249E-3</v>
      </c>
      <c r="AJ984" s="231">
        <v>453448</v>
      </c>
      <c r="AL984" s="254"/>
      <c r="AQ984" s="215" t="str">
        <f t="shared" si="159"/>
        <v>NA</v>
      </c>
      <c r="AR984" s="215" t="str">
        <f t="shared" si="154"/>
        <v>NA</v>
      </c>
    </row>
    <row r="985" spans="2:44">
      <c r="B985" s="230">
        <v>44537</v>
      </c>
      <c r="C985" s="1">
        <v>315.25</v>
      </c>
      <c r="D985" s="1">
        <v>317.77670666928901</v>
      </c>
      <c r="E985" s="1">
        <v>5083</v>
      </c>
      <c r="F985" s="215">
        <v>57633.65</v>
      </c>
      <c r="G985" s="215">
        <f t="shared" si="155"/>
        <v>-1.7323709183068026E-2</v>
      </c>
      <c r="H985" s="215">
        <f t="shared" si="150"/>
        <v>-1.5835312747426444E-3</v>
      </c>
      <c r="I985" s="231">
        <v>1615259</v>
      </c>
      <c r="K985" s="230">
        <v>44536</v>
      </c>
      <c r="L985" s="1">
        <v>253.2</v>
      </c>
      <c r="M985" s="1">
        <v>256.067475916886</v>
      </c>
      <c r="N985" s="1">
        <v>23149</v>
      </c>
      <c r="O985" s="1">
        <v>56747.14</v>
      </c>
      <c r="P985" s="215">
        <f t="shared" si="156"/>
        <v>-1.5381812534864703E-2</v>
      </c>
      <c r="Q985" s="215">
        <f t="shared" si="151"/>
        <v>-2.8209556706966121E-2</v>
      </c>
      <c r="R985" s="231">
        <v>5927706</v>
      </c>
      <c r="T985" s="230">
        <v>44536</v>
      </c>
      <c r="U985" s="1">
        <v>55.8</v>
      </c>
      <c r="V985" s="1">
        <v>54.896307133524701</v>
      </c>
      <c r="W985" s="1">
        <v>549546</v>
      </c>
      <c r="X985" s="1">
        <v>56747.14</v>
      </c>
      <c r="Y985" s="215">
        <f t="shared" si="157"/>
        <v>-1.5381812534864703E-2</v>
      </c>
      <c r="Z985" s="215">
        <f t="shared" si="152"/>
        <v>-4.9403747870528258E-2</v>
      </c>
      <c r="AA985" s="231">
        <v>30168046</v>
      </c>
      <c r="AC985" s="230">
        <v>44567</v>
      </c>
      <c r="AD985" s="1">
        <v>72.900000000000006</v>
      </c>
      <c r="AE985" s="1">
        <v>73.051236749116597</v>
      </c>
      <c r="AF985" s="1">
        <v>566</v>
      </c>
      <c r="AG985" s="1">
        <v>59601.84</v>
      </c>
      <c r="AH985" s="215">
        <f t="shared" si="158"/>
        <v>-2.3903395534161653E-3</v>
      </c>
      <c r="AI985" s="215">
        <f t="shared" si="153"/>
        <v>2.0618556701030855E-3</v>
      </c>
      <c r="AJ985" s="231">
        <v>41347</v>
      </c>
      <c r="AL985" s="254"/>
      <c r="AQ985" s="215" t="str">
        <f t="shared" si="159"/>
        <v>NA</v>
      </c>
      <c r="AR985" s="215" t="str">
        <f t="shared" si="154"/>
        <v>NA</v>
      </c>
    </row>
    <row r="986" spans="2:44">
      <c r="B986" s="230">
        <v>44538</v>
      </c>
      <c r="C986" s="1">
        <v>315.75</v>
      </c>
      <c r="D986" s="1">
        <v>317.051896863195</v>
      </c>
      <c r="E986" s="1">
        <v>6089</v>
      </c>
      <c r="F986" s="215">
        <v>58649.68</v>
      </c>
      <c r="G986" s="215">
        <f t="shared" si="155"/>
        <v>-2.677396431351009E-3</v>
      </c>
      <c r="H986" s="215">
        <f t="shared" si="150"/>
        <v>-1.2652222046496409E-3</v>
      </c>
      <c r="I986" s="231">
        <v>1930529</v>
      </c>
      <c r="K986" s="230">
        <v>44537</v>
      </c>
      <c r="L986" s="1">
        <v>260.55</v>
      </c>
      <c r="M986" s="1">
        <v>258.634951372751</v>
      </c>
      <c r="N986" s="1">
        <v>23238</v>
      </c>
      <c r="O986" s="1">
        <v>57633.65</v>
      </c>
      <c r="P986" s="215">
        <f t="shared" si="156"/>
        <v>-1.7323709183068026E-2</v>
      </c>
      <c r="Q986" s="215">
        <f t="shared" si="151"/>
        <v>-2.5434823265382489E-2</v>
      </c>
      <c r="R986" s="231">
        <v>6010159</v>
      </c>
      <c r="T986" s="230">
        <v>44537</v>
      </c>
      <c r="U986" s="1">
        <v>58.7</v>
      </c>
      <c r="V986" s="1">
        <v>57.410043014774601</v>
      </c>
      <c r="W986" s="1">
        <v>149716</v>
      </c>
      <c r="X986" s="1">
        <v>57633.65</v>
      </c>
      <c r="Y986" s="215">
        <f t="shared" si="157"/>
        <v>-1.7323709183068026E-2</v>
      </c>
      <c r="Z986" s="215">
        <f t="shared" si="152"/>
        <v>1.8213356461405095E-2</v>
      </c>
      <c r="AA986" s="231">
        <v>8595202</v>
      </c>
      <c r="AC986" s="230">
        <v>44568</v>
      </c>
      <c r="AD986" s="1">
        <v>72.75</v>
      </c>
      <c r="AE986" s="1">
        <v>73.651399136850799</v>
      </c>
      <c r="AF986" s="1">
        <v>7183</v>
      </c>
      <c r="AG986" s="1">
        <v>59744.65</v>
      </c>
      <c r="AH986" s="215">
        <f t="shared" si="158"/>
        <v>-1.0778594411549269E-2</v>
      </c>
      <c r="AI986" s="215">
        <f t="shared" si="153"/>
        <v>-4.1067761806981018E-3</v>
      </c>
      <c r="AJ986" s="231">
        <v>529038</v>
      </c>
      <c r="AL986" s="254"/>
      <c r="AQ986" s="215" t="str">
        <f t="shared" si="159"/>
        <v>NA</v>
      </c>
      <c r="AR986" s="215" t="str">
        <f t="shared" si="154"/>
        <v>NA</v>
      </c>
    </row>
    <row r="987" spans="2:44">
      <c r="B987" s="230">
        <v>44539</v>
      </c>
      <c r="C987" s="1">
        <v>316.14999999999998</v>
      </c>
      <c r="D987" s="1">
        <v>318.26581089542799</v>
      </c>
      <c r="E987" s="1">
        <v>9582</v>
      </c>
      <c r="F987" s="215">
        <v>58807.13</v>
      </c>
      <c r="G987" s="215">
        <f t="shared" si="155"/>
        <v>3.4803808414385351E-4</v>
      </c>
      <c r="H987" s="215">
        <f t="shared" si="150"/>
        <v>-6.3221115852707399E-4</v>
      </c>
      <c r="I987" s="231">
        <v>3049623</v>
      </c>
      <c r="K987" s="230">
        <v>44538</v>
      </c>
      <c r="L987" s="1">
        <v>267.35000000000002</v>
      </c>
      <c r="M987" s="1">
        <v>264.43843966791701</v>
      </c>
      <c r="N987" s="1">
        <v>43965</v>
      </c>
      <c r="O987" s="1">
        <v>58649.68</v>
      </c>
      <c r="P987" s="215">
        <f t="shared" si="156"/>
        <v>-2.677396431351009E-3</v>
      </c>
      <c r="Q987" s="215">
        <f t="shared" si="151"/>
        <v>8.2971902696589162E-3</v>
      </c>
      <c r="R987" s="231">
        <v>11626036</v>
      </c>
      <c r="T987" s="230">
        <v>44538</v>
      </c>
      <c r="U987" s="1">
        <v>57.65</v>
      </c>
      <c r="V987" s="1">
        <v>58.260396508420101</v>
      </c>
      <c r="W987" s="1">
        <v>97148</v>
      </c>
      <c r="X987" s="1">
        <v>58649.68</v>
      </c>
      <c r="Y987" s="215">
        <f t="shared" si="157"/>
        <v>-2.677396431351009E-3</v>
      </c>
      <c r="Z987" s="215">
        <f t="shared" si="152"/>
        <v>8.6805555555558023E-4</v>
      </c>
      <c r="AA987" s="231">
        <v>5659881</v>
      </c>
      <c r="AC987" s="230">
        <v>44571</v>
      </c>
      <c r="AD987" s="1">
        <v>73.05</v>
      </c>
      <c r="AE987" s="1">
        <v>73.390439847358905</v>
      </c>
      <c r="AF987" s="1">
        <v>4979</v>
      </c>
      <c r="AG987" s="1">
        <v>60395.63</v>
      </c>
      <c r="AH987" s="215">
        <f t="shared" si="158"/>
        <v>-3.6501377751316788E-3</v>
      </c>
      <c r="AI987" s="215">
        <f t="shared" si="153"/>
        <v>2.8873239436619569E-2</v>
      </c>
      <c r="AJ987" s="231">
        <v>365411</v>
      </c>
      <c r="AL987" s="254"/>
      <c r="AQ987" s="215" t="str">
        <f t="shared" si="159"/>
        <v>NA</v>
      </c>
      <c r="AR987" s="215" t="str">
        <f t="shared" si="154"/>
        <v>NA</v>
      </c>
    </row>
    <row r="988" spans="2:44">
      <c r="B988" s="230">
        <v>44540</v>
      </c>
      <c r="C988" s="1">
        <v>316.35000000000002</v>
      </c>
      <c r="D988" s="1">
        <v>317.37249250634</v>
      </c>
      <c r="E988" s="1">
        <v>8674</v>
      </c>
      <c r="F988" s="215">
        <v>58786.67</v>
      </c>
      <c r="G988" s="215">
        <f t="shared" si="155"/>
        <v>8.6345310553155308E-3</v>
      </c>
      <c r="H988" s="215">
        <f t="shared" si="150"/>
        <v>-0.16662276080084293</v>
      </c>
      <c r="I988" s="231">
        <v>2752889</v>
      </c>
      <c r="K988" s="230">
        <v>44539</v>
      </c>
      <c r="L988" s="1">
        <v>265.14999999999998</v>
      </c>
      <c r="M988" s="1">
        <v>264.92063829787202</v>
      </c>
      <c r="N988" s="1">
        <v>32900</v>
      </c>
      <c r="O988" s="1">
        <v>58807.13</v>
      </c>
      <c r="P988" s="215">
        <f t="shared" si="156"/>
        <v>3.4803808414385351E-4</v>
      </c>
      <c r="Q988" s="215">
        <f t="shared" si="151"/>
        <v>7.5485940743535984E-4</v>
      </c>
      <c r="R988" s="231">
        <v>8715889</v>
      </c>
      <c r="T988" s="230">
        <v>44539</v>
      </c>
      <c r="U988" s="1">
        <v>57.6</v>
      </c>
      <c r="V988" s="1">
        <v>57.785432745639497</v>
      </c>
      <c r="W988" s="1">
        <v>84738</v>
      </c>
      <c r="X988" s="1">
        <v>58807.13</v>
      </c>
      <c r="Y988" s="215">
        <f t="shared" si="157"/>
        <v>3.4803808414385351E-4</v>
      </c>
      <c r="Z988" s="215">
        <f t="shared" si="152"/>
        <v>0</v>
      </c>
      <c r="AA988" s="231">
        <v>4896622</v>
      </c>
      <c r="AC988" s="230">
        <v>44572</v>
      </c>
      <c r="AD988" s="1">
        <v>71</v>
      </c>
      <c r="AE988" s="1">
        <v>71.135941739254605</v>
      </c>
      <c r="AF988" s="1">
        <v>21009</v>
      </c>
      <c r="AG988" s="1">
        <v>60616.89</v>
      </c>
      <c r="AH988" s="215">
        <f t="shared" si="158"/>
        <v>-8.7187187449100367E-3</v>
      </c>
      <c r="AI988" s="215">
        <f t="shared" si="153"/>
        <v>4.71976401179941E-2</v>
      </c>
      <c r="AJ988" s="231">
        <v>1494495</v>
      </c>
      <c r="AL988" s="254"/>
      <c r="AQ988" s="215" t="str">
        <f t="shared" si="159"/>
        <v>NA</v>
      </c>
      <c r="AR988" s="215" t="str">
        <f t="shared" si="154"/>
        <v>NA</v>
      </c>
    </row>
    <row r="989" spans="2:44">
      <c r="B989" s="230">
        <v>44543</v>
      </c>
      <c r="C989" s="1">
        <v>379.6</v>
      </c>
      <c r="D989" s="1">
        <v>372.95303667198101</v>
      </c>
      <c r="E989" s="1">
        <v>20697</v>
      </c>
      <c r="F989" s="215">
        <v>58283.42</v>
      </c>
      <c r="G989" s="215">
        <f t="shared" si="155"/>
        <v>2.8619808734402508E-3</v>
      </c>
      <c r="H989" s="215">
        <f t="shared" si="150"/>
        <v>2.5253207292370128E-2</v>
      </c>
      <c r="I989" s="231">
        <v>7719009</v>
      </c>
      <c r="K989" s="230">
        <v>44540</v>
      </c>
      <c r="L989" s="1">
        <v>264.95</v>
      </c>
      <c r="M989" s="1">
        <v>265.39357510184902</v>
      </c>
      <c r="N989" s="1">
        <v>29946</v>
      </c>
      <c r="O989" s="1">
        <v>58786.67</v>
      </c>
      <c r="P989" s="215">
        <f t="shared" si="156"/>
        <v>8.6345310553155308E-3</v>
      </c>
      <c r="Q989" s="215">
        <f t="shared" si="151"/>
        <v>-2.0517560073937235E-2</v>
      </c>
      <c r="R989" s="231">
        <v>7947476</v>
      </c>
      <c r="T989" s="230">
        <v>44540</v>
      </c>
      <c r="U989" s="1">
        <v>57.6</v>
      </c>
      <c r="V989" s="1">
        <v>57.6099006242329</v>
      </c>
      <c r="W989" s="1">
        <v>75773</v>
      </c>
      <c r="X989" s="1">
        <v>58786.67</v>
      </c>
      <c r="Y989" s="215">
        <f t="shared" si="157"/>
        <v>8.6345310553155308E-3</v>
      </c>
      <c r="Z989" s="215">
        <f t="shared" si="152"/>
        <v>8.6880973066905121E-4</v>
      </c>
      <c r="AA989" s="231">
        <v>4365275</v>
      </c>
      <c r="AC989" s="230">
        <v>44573</v>
      </c>
      <c r="AD989" s="1">
        <v>67.8</v>
      </c>
      <c r="AE989" s="1">
        <v>69.723042100497906</v>
      </c>
      <c r="AF989" s="1">
        <v>11045</v>
      </c>
      <c r="AG989" s="1">
        <v>61150.04</v>
      </c>
      <c r="AH989" s="215">
        <f t="shared" si="158"/>
        <v>-1.3923341601984607E-3</v>
      </c>
      <c r="AI989" s="215">
        <f t="shared" si="153"/>
        <v>-3.4875444839857717E-2</v>
      </c>
      <c r="AJ989" s="231">
        <v>770091</v>
      </c>
      <c r="AL989" s="254"/>
      <c r="AQ989" s="215" t="str">
        <f t="shared" si="159"/>
        <v>NA</v>
      </c>
      <c r="AR989" s="215" t="str">
        <f t="shared" si="154"/>
        <v>NA</v>
      </c>
    </row>
    <row r="990" spans="2:44">
      <c r="B990" s="230">
        <v>44544</v>
      </c>
      <c r="C990" s="1">
        <v>370.25</v>
      </c>
      <c r="D990" s="1">
        <v>379.64641217685403</v>
      </c>
      <c r="E990" s="1">
        <v>8278</v>
      </c>
      <c r="F990" s="215">
        <v>58117.09</v>
      </c>
      <c r="G990" s="215">
        <f t="shared" si="155"/>
        <v>5.6942588283421802E-3</v>
      </c>
      <c r="H990" s="215">
        <f t="shared" si="150"/>
        <v>1.3689253935660561E-2</v>
      </c>
      <c r="I990" s="231">
        <v>3142713</v>
      </c>
      <c r="K990" s="230">
        <v>44543</v>
      </c>
      <c r="L990" s="1">
        <v>270.5</v>
      </c>
      <c r="M990" s="1">
        <v>270.33658662638101</v>
      </c>
      <c r="N990" s="1">
        <v>50308</v>
      </c>
      <c r="O990" s="1">
        <v>58283.42</v>
      </c>
      <c r="P990" s="215">
        <f t="shared" si="156"/>
        <v>2.8619808734402508E-3</v>
      </c>
      <c r="Q990" s="215">
        <f t="shared" si="151"/>
        <v>1.768246802106832E-2</v>
      </c>
      <c r="R990" s="231">
        <v>13600093</v>
      </c>
      <c r="T990" s="230">
        <v>44543</v>
      </c>
      <c r="U990" s="1">
        <v>57.55</v>
      </c>
      <c r="V990" s="1">
        <v>57.942114510522799</v>
      </c>
      <c r="W990" s="1">
        <v>104724</v>
      </c>
      <c r="X990" s="1">
        <v>58283.42</v>
      </c>
      <c r="Y990" s="215">
        <f t="shared" si="157"/>
        <v>2.8619808734402508E-3</v>
      </c>
      <c r="Z990" s="215">
        <f t="shared" si="152"/>
        <v>1.4991181657848296E-2</v>
      </c>
      <c r="AA990" s="231">
        <v>6067930</v>
      </c>
      <c r="AC990" s="230">
        <v>44574</v>
      </c>
      <c r="AD990" s="1">
        <v>70.25</v>
      </c>
      <c r="AE990" s="1">
        <v>70.416515426497199</v>
      </c>
      <c r="AF990" s="1">
        <v>12122</v>
      </c>
      <c r="AG990" s="1">
        <v>61235.3</v>
      </c>
      <c r="AH990" s="215">
        <f t="shared" si="158"/>
        <v>2.0041477855636813E-4</v>
      </c>
      <c r="AI990" s="215">
        <f t="shared" si="153"/>
        <v>-1.6106442577030866E-2</v>
      </c>
      <c r="AJ990" s="231">
        <v>853589</v>
      </c>
      <c r="AL990" s="254"/>
      <c r="AQ990" s="215" t="str">
        <f t="shared" si="159"/>
        <v>NA</v>
      </c>
      <c r="AR990" s="215" t="str">
        <f t="shared" si="154"/>
        <v>NA</v>
      </c>
    </row>
    <row r="991" spans="2:44">
      <c r="B991" s="230">
        <v>44545</v>
      </c>
      <c r="C991" s="1">
        <v>365.25</v>
      </c>
      <c r="D991" s="1">
        <v>368.90609137055799</v>
      </c>
      <c r="E991" s="1">
        <v>1576</v>
      </c>
      <c r="F991" s="215">
        <v>57788.03</v>
      </c>
      <c r="G991" s="215">
        <f t="shared" si="155"/>
        <v>-1.9535021244831974E-3</v>
      </c>
      <c r="H991" s="215">
        <f t="shared" si="150"/>
        <v>3.8970274498648871E-2</v>
      </c>
      <c r="I991" s="231">
        <v>581396</v>
      </c>
      <c r="K991" s="230">
        <v>44544</v>
      </c>
      <c r="L991" s="1">
        <v>265.8</v>
      </c>
      <c r="M991" s="1">
        <v>267.686325716358</v>
      </c>
      <c r="N991" s="1">
        <v>27570</v>
      </c>
      <c r="O991" s="1">
        <v>58117.09</v>
      </c>
      <c r="P991" s="215">
        <f t="shared" si="156"/>
        <v>5.6942588283421802E-3</v>
      </c>
      <c r="Q991" s="215">
        <f t="shared" si="151"/>
        <v>1.8976423231742423E-2</v>
      </c>
      <c r="R991" s="231">
        <v>7380112</v>
      </c>
      <c r="T991" s="230">
        <v>44544</v>
      </c>
      <c r="U991" s="1">
        <v>56.7</v>
      </c>
      <c r="V991" s="1">
        <v>57.1345081872024</v>
      </c>
      <c r="W991" s="1">
        <v>34444</v>
      </c>
      <c r="X991" s="1">
        <v>58117.09</v>
      </c>
      <c r="Y991" s="215">
        <f t="shared" si="157"/>
        <v>5.6942588283421802E-3</v>
      </c>
      <c r="Z991" s="215">
        <f t="shared" si="152"/>
        <v>5.3191489361703592E-3</v>
      </c>
      <c r="AA991" s="231">
        <v>1967941</v>
      </c>
      <c r="AC991" s="230">
        <v>44575</v>
      </c>
      <c r="AD991" s="1">
        <v>71.400000000000006</v>
      </c>
      <c r="AE991" s="1">
        <v>71.172093640161805</v>
      </c>
      <c r="AF991" s="1">
        <v>15079</v>
      </c>
      <c r="AG991" s="1">
        <v>61223.03</v>
      </c>
      <c r="AH991" s="215">
        <f t="shared" si="158"/>
        <v>-1.4007751891201847E-3</v>
      </c>
      <c r="AI991" s="215">
        <f t="shared" si="153"/>
        <v>-3.2520325203251876E-2</v>
      </c>
      <c r="AJ991" s="231">
        <v>1073204</v>
      </c>
      <c r="AL991" s="254"/>
      <c r="AQ991" s="215" t="str">
        <f t="shared" si="159"/>
        <v>NA</v>
      </c>
      <c r="AR991" s="215" t="str">
        <f t="shared" si="154"/>
        <v>NA</v>
      </c>
    </row>
    <row r="992" spans="2:44">
      <c r="B992" s="230">
        <v>44546</v>
      </c>
      <c r="C992" s="1">
        <v>351.55</v>
      </c>
      <c r="D992" s="1">
        <v>353.806631892697</v>
      </c>
      <c r="E992" s="1">
        <v>2684</v>
      </c>
      <c r="F992" s="215">
        <v>57901.14</v>
      </c>
      <c r="G992" s="215">
        <f t="shared" si="155"/>
        <v>1.560029565840293E-2</v>
      </c>
      <c r="H992" s="215">
        <f t="shared" si="150"/>
        <v>-3.2608695652173836E-2</v>
      </c>
      <c r="I992" s="231">
        <v>949617</v>
      </c>
      <c r="K992" s="230">
        <v>44545</v>
      </c>
      <c r="L992" s="1">
        <v>260.85000000000002</v>
      </c>
      <c r="M992" s="1">
        <v>260.72664003623902</v>
      </c>
      <c r="N992" s="1">
        <v>24283</v>
      </c>
      <c r="O992" s="1">
        <v>57788.03</v>
      </c>
      <c r="P992" s="215">
        <f t="shared" si="156"/>
        <v>-1.9535021244831974E-3</v>
      </c>
      <c r="Q992" s="215">
        <f t="shared" si="151"/>
        <v>2.858832807570999E-2</v>
      </c>
      <c r="R992" s="231">
        <v>6331225</v>
      </c>
      <c r="T992" s="230">
        <v>44545</v>
      </c>
      <c r="U992" s="1">
        <v>56.4</v>
      </c>
      <c r="V992" s="1">
        <v>56.693535709919097</v>
      </c>
      <c r="W992" s="1">
        <v>57253</v>
      </c>
      <c r="X992" s="1">
        <v>57788.03</v>
      </c>
      <c r="Y992" s="215">
        <f t="shared" si="157"/>
        <v>-1.9535021244831974E-3</v>
      </c>
      <c r="Z992" s="215">
        <f t="shared" si="152"/>
        <v>1.4388489208633004E-2</v>
      </c>
      <c r="AA992" s="231">
        <v>3245875</v>
      </c>
      <c r="AC992" s="230">
        <v>44578</v>
      </c>
      <c r="AD992" s="1">
        <v>73.8</v>
      </c>
      <c r="AE992" s="1">
        <v>73.494021956531398</v>
      </c>
      <c r="AF992" s="1">
        <v>22499</v>
      </c>
      <c r="AG992" s="1">
        <v>61308.91</v>
      </c>
      <c r="AH992" s="215">
        <f t="shared" si="158"/>
        <v>9.1194350542491698E-3</v>
      </c>
      <c r="AI992" s="215">
        <f t="shared" si="153"/>
        <v>3.0006978367062009E-2</v>
      </c>
      <c r="AJ992" s="231">
        <v>1653542</v>
      </c>
      <c r="AL992" s="254"/>
      <c r="AQ992" s="215" t="str">
        <f t="shared" si="159"/>
        <v>NA</v>
      </c>
      <c r="AR992" s="215" t="str">
        <f t="shared" si="154"/>
        <v>NA</v>
      </c>
    </row>
    <row r="993" spans="2:44">
      <c r="B993" s="230">
        <v>44547</v>
      </c>
      <c r="C993" s="1">
        <v>363.4</v>
      </c>
      <c r="D993" s="1">
        <v>356.93133433283299</v>
      </c>
      <c r="E993" s="1">
        <v>3335</v>
      </c>
      <c r="F993" s="215">
        <v>57011.74</v>
      </c>
      <c r="G993" s="215">
        <f t="shared" si="155"/>
        <v>2.1312919402221464E-2</v>
      </c>
      <c r="H993" s="215">
        <f t="shared" si="150"/>
        <v>9.4444444444443665E-3</v>
      </c>
      <c r="I993" s="231">
        <v>1190366</v>
      </c>
      <c r="K993" s="230">
        <v>44546</v>
      </c>
      <c r="L993" s="1">
        <v>253.6</v>
      </c>
      <c r="M993" s="1">
        <v>255.880785219399</v>
      </c>
      <c r="N993" s="1">
        <v>21650</v>
      </c>
      <c r="O993" s="1">
        <v>57901.14</v>
      </c>
      <c r="P993" s="215">
        <f t="shared" si="156"/>
        <v>1.560029565840293E-2</v>
      </c>
      <c r="Q993" s="215">
        <f t="shared" si="151"/>
        <v>2.0317843492255072E-2</v>
      </c>
      <c r="R993" s="231">
        <v>5539819</v>
      </c>
      <c r="T993" s="230">
        <v>44546</v>
      </c>
      <c r="U993" s="1">
        <v>55.6</v>
      </c>
      <c r="V993" s="1">
        <v>55.980042002755503</v>
      </c>
      <c r="W993" s="1">
        <v>74757</v>
      </c>
      <c r="X993" s="1">
        <v>57901.14</v>
      </c>
      <c r="Y993" s="215">
        <f t="shared" si="157"/>
        <v>1.560029565840293E-2</v>
      </c>
      <c r="Z993" s="215">
        <f t="shared" si="152"/>
        <v>3.8281979458450133E-2</v>
      </c>
      <c r="AA993" s="231">
        <v>4184900</v>
      </c>
      <c r="AC993" s="230">
        <v>44579</v>
      </c>
      <c r="AD993" s="1">
        <v>71.650000000000006</v>
      </c>
      <c r="AE993" s="1">
        <v>72.298887122416502</v>
      </c>
      <c r="AF993" s="1">
        <v>13209</v>
      </c>
      <c r="AG993" s="1">
        <v>60754.86</v>
      </c>
      <c r="AH993" s="215">
        <f t="shared" si="158"/>
        <v>1.0916021312897595E-2</v>
      </c>
      <c r="AI993" s="215">
        <f t="shared" si="153"/>
        <v>6.9832402234659696E-4</v>
      </c>
      <c r="AJ993" s="231">
        <v>954996</v>
      </c>
      <c r="AL993" s="254"/>
      <c r="AQ993" s="215" t="str">
        <f t="shared" si="159"/>
        <v>NA</v>
      </c>
      <c r="AR993" s="215" t="str">
        <f t="shared" si="154"/>
        <v>NA</v>
      </c>
    </row>
    <row r="994" spans="2:44">
      <c r="B994" s="230">
        <v>44550</v>
      </c>
      <c r="C994" s="1">
        <v>360</v>
      </c>
      <c r="D994" s="1">
        <v>359.80346475507702</v>
      </c>
      <c r="E994" s="1">
        <v>1674</v>
      </c>
      <c r="F994" s="215">
        <v>55822.01</v>
      </c>
      <c r="G994" s="215">
        <f t="shared" si="155"/>
        <v>-8.8247289858255362E-3</v>
      </c>
      <c r="H994" s="215">
        <f t="shared" si="150"/>
        <v>-1.3698630136986356E-2</v>
      </c>
      <c r="I994" s="231">
        <v>602311</v>
      </c>
      <c r="K994" s="230">
        <v>44547</v>
      </c>
      <c r="L994" s="1">
        <v>248.55</v>
      </c>
      <c r="M994" s="1">
        <v>249.627195309933</v>
      </c>
      <c r="N994" s="1">
        <v>39573</v>
      </c>
      <c r="O994" s="1">
        <v>57011.74</v>
      </c>
      <c r="P994" s="215">
        <f t="shared" si="156"/>
        <v>2.1312919402221464E-2</v>
      </c>
      <c r="Q994" s="215">
        <f t="shared" si="151"/>
        <v>3.2613211466556047E-2</v>
      </c>
      <c r="R994" s="231">
        <v>9878497</v>
      </c>
      <c r="T994" s="230">
        <v>44547</v>
      </c>
      <c r="U994" s="1">
        <v>53.55</v>
      </c>
      <c r="V994" s="1">
        <v>54.102569245942099</v>
      </c>
      <c r="W994" s="1">
        <v>59823</v>
      </c>
      <c r="X994" s="1">
        <v>57011.74</v>
      </c>
      <c r="Y994" s="215">
        <f t="shared" si="157"/>
        <v>2.1312919402221464E-2</v>
      </c>
      <c r="Z994" s="215">
        <f t="shared" si="152"/>
        <v>3.779069767441845E-2</v>
      </c>
      <c r="AA994" s="231">
        <v>3236578</v>
      </c>
      <c r="AC994" s="230">
        <v>44580</v>
      </c>
      <c r="AD994" s="1">
        <v>71.599999999999994</v>
      </c>
      <c r="AE994" s="1">
        <v>70.695843464165705</v>
      </c>
      <c r="AF994" s="1">
        <v>8637</v>
      </c>
      <c r="AG994" s="1">
        <v>60098.82</v>
      </c>
      <c r="AH994" s="215">
        <f t="shared" si="158"/>
        <v>1.0665165269701404E-2</v>
      </c>
      <c r="AI994" s="215">
        <f t="shared" si="153"/>
        <v>7.7410274454610128E-3</v>
      </c>
      <c r="AJ994" s="231">
        <v>610600</v>
      </c>
      <c r="AL994" s="254"/>
      <c r="AQ994" s="215" t="str">
        <f t="shared" si="159"/>
        <v>NA</v>
      </c>
      <c r="AR994" s="215" t="str">
        <f t="shared" si="154"/>
        <v>NA</v>
      </c>
    </row>
    <row r="995" spans="2:44">
      <c r="B995" s="230">
        <v>44551</v>
      </c>
      <c r="C995" s="1">
        <v>365</v>
      </c>
      <c r="D995" s="1">
        <v>365.86012163336198</v>
      </c>
      <c r="E995" s="1">
        <v>2302</v>
      </c>
      <c r="F995" s="215">
        <v>56319.01</v>
      </c>
      <c r="G995" s="215">
        <f t="shared" si="155"/>
        <v>-1.0742033803988527E-2</v>
      </c>
      <c r="H995" s="215">
        <f t="shared" si="150"/>
        <v>-3.2856385797562226E-2</v>
      </c>
      <c r="I995" s="231">
        <v>842210</v>
      </c>
      <c r="K995" s="230">
        <v>44550</v>
      </c>
      <c r="L995" s="1">
        <v>240.7</v>
      </c>
      <c r="M995" s="1">
        <v>239.56993087030099</v>
      </c>
      <c r="N995" s="1">
        <v>43686</v>
      </c>
      <c r="O995" s="1">
        <v>55822.01</v>
      </c>
      <c r="P995" s="215">
        <f t="shared" si="156"/>
        <v>-8.8247289858255362E-3</v>
      </c>
      <c r="Q995" s="215">
        <f t="shared" si="151"/>
        <v>-8.3022000830224041E-4</v>
      </c>
      <c r="R995" s="231">
        <v>10465852</v>
      </c>
      <c r="T995" s="230">
        <v>44550</v>
      </c>
      <c r="U995" s="1">
        <v>51.6</v>
      </c>
      <c r="V995" s="1">
        <v>51.588316455366602</v>
      </c>
      <c r="W995" s="1">
        <v>115239</v>
      </c>
      <c r="X995" s="1">
        <v>55822.01</v>
      </c>
      <c r="Y995" s="215">
        <f t="shared" si="157"/>
        <v>-8.8247289858255362E-3</v>
      </c>
      <c r="Z995" s="215">
        <f t="shared" si="152"/>
        <v>-1.7142857142857126E-2</v>
      </c>
      <c r="AA995" s="231">
        <v>5944986</v>
      </c>
      <c r="AC995" s="230">
        <v>44581</v>
      </c>
      <c r="AD995" s="1">
        <v>71.05</v>
      </c>
      <c r="AE995" s="1">
        <v>71.867072733787097</v>
      </c>
      <c r="AF995" s="1">
        <v>8373</v>
      </c>
      <c r="AG995" s="1">
        <v>59464.62</v>
      </c>
      <c r="AH995" s="215">
        <f t="shared" si="158"/>
        <v>7.2401832201334226E-3</v>
      </c>
      <c r="AI995" s="215">
        <f t="shared" si="153"/>
        <v>2.1156558533144132E-3</v>
      </c>
      <c r="AJ995" s="231">
        <v>601743</v>
      </c>
      <c r="AL995" s="254"/>
      <c r="AQ995" s="215" t="str">
        <f t="shared" si="159"/>
        <v>NA</v>
      </c>
      <c r="AR995" s="215" t="str">
        <f t="shared" si="154"/>
        <v>NA</v>
      </c>
    </row>
    <row r="996" spans="2:44">
      <c r="B996" s="230">
        <v>44552</v>
      </c>
      <c r="C996" s="1">
        <v>377.4</v>
      </c>
      <c r="D996" s="1">
        <v>372.74694675134299</v>
      </c>
      <c r="E996" s="1">
        <v>2047</v>
      </c>
      <c r="F996" s="215">
        <v>56930.559999999998</v>
      </c>
      <c r="G996" s="215">
        <f t="shared" si="155"/>
        <v>-6.7123461666767081E-3</v>
      </c>
      <c r="H996" s="215">
        <f t="shared" si="150"/>
        <v>1.2746545015430044E-2</v>
      </c>
      <c r="I996" s="231">
        <v>763013</v>
      </c>
      <c r="K996" s="230">
        <v>44551</v>
      </c>
      <c r="L996" s="1">
        <v>240.9</v>
      </c>
      <c r="M996" s="1">
        <v>242.300793992737</v>
      </c>
      <c r="N996" s="1">
        <v>32494</v>
      </c>
      <c r="O996" s="1">
        <v>56319.01</v>
      </c>
      <c r="P996" s="215">
        <f t="shared" si="156"/>
        <v>-1.0742033803988527E-2</v>
      </c>
      <c r="Q996" s="215">
        <f t="shared" si="151"/>
        <v>-1.913680781758953E-2</v>
      </c>
      <c r="R996" s="231">
        <v>7873322</v>
      </c>
      <c r="T996" s="230">
        <v>44551</v>
      </c>
      <c r="U996" s="1">
        <v>52.5</v>
      </c>
      <c r="V996" s="1">
        <v>53.117542842950499</v>
      </c>
      <c r="W996" s="1">
        <v>60395</v>
      </c>
      <c r="X996" s="1">
        <v>56319.01</v>
      </c>
      <c r="Y996" s="215">
        <f t="shared" si="157"/>
        <v>-1.0742033803988527E-2</v>
      </c>
      <c r="Z996" s="215">
        <f t="shared" si="152"/>
        <v>-1.8691588785046731E-2</v>
      </c>
      <c r="AA996" s="231">
        <v>3208034</v>
      </c>
      <c r="AC996" s="230">
        <v>44582</v>
      </c>
      <c r="AD996" s="1">
        <v>70.900000000000006</v>
      </c>
      <c r="AE996" s="1">
        <v>70.561956071280505</v>
      </c>
      <c r="AF996" s="1">
        <v>2413</v>
      </c>
      <c r="AG996" s="1">
        <v>59037.18</v>
      </c>
      <c r="AH996" s="215">
        <f t="shared" si="158"/>
        <v>2.6885187047617887E-2</v>
      </c>
      <c r="AI996" s="215">
        <f t="shared" si="153"/>
        <v>5.1148999258710193E-2</v>
      </c>
      <c r="AJ996" s="231">
        <v>170266</v>
      </c>
      <c r="AL996" s="254"/>
      <c r="AQ996" s="215" t="str">
        <f t="shared" si="159"/>
        <v>NA</v>
      </c>
      <c r="AR996" s="215" t="str">
        <f t="shared" si="154"/>
        <v>NA</v>
      </c>
    </row>
    <row r="997" spans="2:44">
      <c r="B997" s="230">
        <v>44553</v>
      </c>
      <c r="C997" s="1">
        <v>372.65</v>
      </c>
      <c r="D997" s="1">
        <v>379.4144</v>
      </c>
      <c r="E997" s="1">
        <v>1875</v>
      </c>
      <c r="F997" s="215">
        <v>57315.28</v>
      </c>
      <c r="G997" s="215">
        <f t="shared" si="155"/>
        <v>3.3430600737234251E-3</v>
      </c>
      <c r="H997" s="215">
        <f t="shared" si="150"/>
        <v>8.7980508933405144E-3</v>
      </c>
      <c r="I997" s="231">
        <v>711402</v>
      </c>
      <c r="K997" s="230">
        <v>44552</v>
      </c>
      <c r="L997" s="1">
        <v>245.6</v>
      </c>
      <c r="M997" s="1">
        <v>243.527562158884</v>
      </c>
      <c r="N997" s="1">
        <v>32980</v>
      </c>
      <c r="O997" s="1">
        <v>56930.559999999998</v>
      </c>
      <c r="P997" s="215">
        <f t="shared" si="156"/>
        <v>-6.7123461666767081E-3</v>
      </c>
      <c r="Q997" s="215">
        <f t="shared" si="151"/>
        <v>-1.1670020120724378E-2</v>
      </c>
      <c r="R997" s="231">
        <v>8031539</v>
      </c>
      <c r="T997" s="230">
        <v>44552</v>
      </c>
      <c r="U997" s="1">
        <v>53.5</v>
      </c>
      <c r="V997" s="1">
        <v>53.598872568197102</v>
      </c>
      <c r="W997" s="1">
        <v>56234</v>
      </c>
      <c r="X997" s="1">
        <v>56930.559999999998</v>
      </c>
      <c r="Y997" s="215">
        <f t="shared" si="157"/>
        <v>-6.7123461666767081E-3</v>
      </c>
      <c r="Z997" s="215">
        <f t="shared" si="152"/>
        <v>-1.4732965009208066E-2</v>
      </c>
      <c r="AA997" s="231">
        <v>3014079</v>
      </c>
      <c r="AC997" s="230">
        <v>44585</v>
      </c>
      <c r="AD997" s="1">
        <v>67.45</v>
      </c>
      <c r="AE997" s="1">
        <v>68.1864175022789</v>
      </c>
      <c r="AF997" s="1">
        <v>8776</v>
      </c>
      <c r="AG997" s="1">
        <v>57491.51</v>
      </c>
      <c r="AH997" s="215">
        <f t="shared" si="158"/>
        <v>-6.3368773457153083E-3</v>
      </c>
      <c r="AI997" s="215">
        <f t="shared" si="153"/>
        <v>-1.6763848396501357E-2</v>
      </c>
      <c r="AJ997" s="231">
        <v>598404</v>
      </c>
      <c r="AL997" s="254"/>
      <c r="AQ997" s="215" t="str">
        <f t="shared" si="159"/>
        <v>NA</v>
      </c>
      <c r="AR997" s="215" t="str">
        <f t="shared" si="154"/>
        <v>NA</v>
      </c>
    </row>
    <row r="998" spans="2:44">
      <c r="B998" s="230">
        <v>44554</v>
      </c>
      <c r="C998" s="1">
        <v>369.4</v>
      </c>
      <c r="D998" s="1">
        <v>374.39167208848397</v>
      </c>
      <c r="E998" s="1">
        <v>3074</v>
      </c>
      <c r="F998" s="215">
        <v>57124.31</v>
      </c>
      <c r="G998" s="215">
        <f t="shared" si="155"/>
        <v>-5.1537576297138177E-3</v>
      </c>
      <c r="H998" s="215">
        <f t="shared" si="150"/>
        <v>-7.1226985620213012E-3</v>
      </c>
      <c r="I998" s="231">
        <v>1150880</v>
      </c>
      <c r="K998" s="230">
        <v>44553</v>
      </c>
      <c r="L998" s="1">
        <v>248.5</v>
      </c>
      <c r="M998" s="1">
        <v>248.85712558195701</v>
      </c>
      <c r="N998" s="1">
        <v>16539</v>
      </c>
      <c r="O998" s="1">
        <v>57315.28</v>
      </c>
      <c r="P998" s="215">
        <f t="shared" si="156"/>
        <v>3.3430600737234251E-3</v>
      </c>
      <c r="Q998" s="215">
        <f t="shared" si="151"/>
        <v>-6.7945643485211038E-3</v>
      </c>
      <c r="R998" s="231">
        <v>4115848</v>
      </c>
      <c r="T998" s="230">
        <v>44553</v>
      </c>
      <c r="U998" s="1">
        <v>54.3</v>
      </c>
      <c r="V998" s="1">
        <v>54.519960409105899</v>
      </c>
      <c r="W998" s="1">
        <v>57589</v>
      </c>
      <c r="X998" s="1">
        <v>57315.28</v>
      </c>
      <c r="Y998" s="215">
        <f t="shared" si="157"/>
        <v>3.3430600737234251E-3</v>
      </c>
      <c r="Z998" s="215">
        <f t="shared" si="152"/>
        <v>1.2115563839701693E-2</v>
      </c>
      <c r="AA998" s="231">
        <v>3139750</v>
      </c>
      <c r="AC998" s="230">
        <v>44586</v>
      </c>
      <c r="AD998" s="1">
        <v>68.599999999999994</v>
      </c>
      <c r="AE998" s="1">
        <v>68.079273327828204</v>
      </c>
      <c r="AF998" s="1">
        <v>1211</v>
      </c>
      <c r="AG998" s="1">
        <v>57858.15</v>
      </c>
      <c r="AH998" s="215">
        <f t="shared" si="158"/>
        <v>1.0147364716061924E-2</v>
      </c>
      <c r="AI998" s="215">
        <f t="shared" si="153"/>
        <v>1.8559762435040872E-2</v>
      </c>
      <c r="AJ998" s="231">
        <v>82444</v>
      </c>
      <c r="AL998" s="254"/>
      <c r="AQ998" s="215" t="str">
        <f t="shared" si="159"/>
        <v>NA</v>
      </c>
      <c r="AR998" s="215" t="str">
        <f t="shared" si="154"/>
        <v>NA</v>
      </c>
    </row>
    <row r="999" spans="2:44">
      <c r="B999" s="230">
        <v>44557</v>
      </c>
      <c r="C999" s="1">
        <v>372.05</v>
      </c>
      <c r="D999" s="1">
        <v>377.98006134969302</v>
      </c>
      <c r="E999" s="1">
        <v>3260</v>
      </c>
      <c r="F999" s="215">
        <v>57420.24</v>
      </c>
      <c r="G999" s="215">
        <f t="shared" si="155"/>
        <v>-8.2428458026153617E-3</v>
      </c>
      <c r="H999" s="215">
        <f t="shared" si="150"/>
        <v>2.0013708019191334E-2</v>
      </c>
      <c r="I999" s="231">
        <v>1232215</v>
      </c>
      <c r="K999" s="230">
        <v>44554</v>
      </c>
      <c r="L999" s="1">
        <v>250.2</v>
      </c>
      <c r="M999" s="1">
        <v>250.99832325288901</v>
      </c>
      <c r="N999" s="1">
        <v>33398</v>
      </c>
      <c r="O999" s="1">
        <v>57124.31</v>
      </c>
      <c r="P999" s="215">
        <f t="shared" si="156"/>
        <v>-5.1537576297138177E-3</v>
      </c>
      <c r="Q999" s="215">
        <f t="shared" si="151"/>
        <v>1.3160558817574497E-2</v>
      </c>
      <c r="R999" s="231">
        <v>8382842</v>
      </c>
      <c r="T999" s="230">
        <v>44554</v>
      </c>
      <c r="U999" s="1">
        <v>53.65</v>
      </c>
      <c r="V999" s="1">
        <v>53.7273101630703</v>
      </c>
      <c r="W999" s="1">
        <v>36426</v>
      </c>
      <c r="X999" s="1">
        <v>57124.31</v>
      </c>
      <c r="Y999" s="215">
        <f t="shared" si="157"/>
        <v>-5.1537576297138177E-3</v>
      </c>
      <c r="Z999" s="215">
        <f t="shared" si="152"/>
        <v>-1.8604651162791308E-3</v>
      </c>
      <c r="AA999" s="231">
        <v>1957071</v>
      </c>
      <c r="AC999" s="230">
        <v>44588</v>
      </c>
      <c r="AD999" s="1">
        <v>67.349999999999994</v>
      </c>
      <c r="AE999" s="1">
        <v>67.693865807342604</v>
      </c>
      <c r="AF999" s="1">
        <v>8689</v>
      </c>
      <c r="AG999" s="1">
        <v>57276.94</v>
      </c>
      <c r="AH999" s="215">
        <f t="shared" si="158"/>
        <v>1.3410785236351863E-3</v>
      </c>
      <c r="AI999" s="215">
        <f t="shared" si="153"/>
        <v>-1.2463343108504499E-2</v>
      </c>
      <c r="AJ999" s="231">
        <v>588192</v>
      </c>
      <c r="AL999" s="254"/>
      <c r="AQ999" s="215" t="str">
        <f t="shared" si="159"/>
        <v>NA</v>
      </c>
      <c r="AR999" s="215" t="str">
        <f t="shared" si="154"/>
        <v>NA</v>
      </c>
    </row>
    <row r="1000" spans="2:44">
      <c r="B1000" s="230">
        <v>44558</v>
      </c>
      <c r="C1000" s="1">
        <v>364.75</v>
      </c>
      <c r="D1000" s="1">
        <v>366.60666137985697</v>
      </c>
      <c r="E1000" s="1">
        <v>2522</v>
      </c>
      <c r="F1000" s="215">
        <v>57897.48</v>
      </c>
      <c r="G1000" s="215">
        <f t="shared" ref="G1000:G1063" si="160">IF(ISERROR(F1000/F1001-1),"NA",F1000/F1001-1)</f>
        <v>1.574044713664513E-3</v>
      </c>
      <c r="H1000" s="215">
        <f t="shared" ref="H1000:H1063" si="161">IF(ISERROR(C1000/C1001-1),"NA",C1000/C1001-1)</f>
        <v>-3.9595849262697991E-3</v>
      </c>
      <c r="I1000" s="231">
        <v>924582</v>
      </c>
      <c r="K1000" s="230">
        <v>44557</v>
      </c>
      <c r="L1000" s="1">
        <v>246.95</v>
      </c>
      <c r="M1000" s="1">
        <v>248.678532509989</v>
      </c>
      <c r="N1000" s="1">
        <v>16518</v>
      </c>
      <c r="O1000" s="1">
        <v>57420.24</v>
      </c>
      <c r="P1000" s="215">
        <f t="shared" si="156"/>
        <v>-8.2428458026153617E-3</v>
      </c>
      <c r="Q1000" s="215">
        <f t="shared" si="151"/>
        <v>-4.0477636106062143E-4</v>
      </c>
      <c r="R1000" s="231">
        <v>4107672</v>
      </c>
      <c r="T1000" s="230">
        <v>44557</v>
      </c>
      <c r="U1000" s="1">
        <v>53.75</v>
      </c>
      <c r="V1000" s="1">
        <v>53.390285505421701</v>
      </c>
      <c r="W1000" s="1">
        <v>49246</v>
      </c>
      <c r="X1000" s="1">
        <v>57420.24</v>
      </c>
      <c r="Y1000" s="215">
        <f t="shared" si="157"/>
        <v>-8.2428458026153617E-3</v>
      </c>
      <c r="Z1000" s="215">
        <f t="shared" si="152"/>
        <v>-1.5567765567765623E-2</v>
      </c>
      <c r="AA1000" s="231">
        <v>2629258</v>
      </c>
      <c r="AC1000" s="230">
        <v>44589</v>
      </c>
      <c r="AD1000" s="1">
        <v>68.2</v>
      </c>
      <c r="AE1000" s="1">
        <v>68.823966408268703</v>
      </c>
      <c r="AF1000" s="1">
        <v>6192</v>
      </c>
      <c r="AG1000" s="1">
        <v>57200.23</v>
      </c>
      <c r="AH1000" s="215">
        <f t="shared" si="158"/>
        <v>-1.4030020596692117E-2</v>
      </c>
      <c r="AI1000" s="215">
        <f t="shared" si="153"/>
        <v>-3.1937544357700465E-2</v>
      </c>
      <c r="AJ1000" s="231">
        <v>426158</v>
      </c>
      <c r="AL1000" s="254"/>
      <c r="AQ1000" s="215" t="str">
        <f t="shared" si="159"/>
        <v>NA</v>
      </c>
      <c r="AR1000" s="215" t="str">
        <f t="shared" si="154"/>
        <v>NA</v>
      </c>
    </row>
    <row r="1001" spans="2:44">
      <c r="B1001" s="230">
        <v>44559</v>
      </c>
      <c r="C1001" s="1">
        <v>366.2</v>
      </c>
      <c r="D1001" s="1">
        <v>368.02992957746397</v>
      </c>
      <c r="E1001" s="1">
        <v>1136</v>
      </c>
      <c r="F1001" s="215">
        <v>57806.49</v>
      </c>
      <c r="G1001" s="215">
        <f t="shared" si="160"/>
        <v>2.1057432633520001E-4</v>
      </c>
      <c r="H1001" s="215">
        <f t="shared" si="161"/>
        <v>9.7890528057356097E-3</v>
      </c>
      <c r="I1001" s="231">
        <v>418082</v>
      </c>
      <c r="K1001" s="230">
        <v>44558</v>
      </c>
      <c r="L1001" s="1">
        <v>247.05</v>
      </c>
      <c r="M1001" s="1">
        <v>249.25117943387099</v>
      </c>
      <c r="N1001" s="1">
        <v>50024</v>
      </c>
      <c r="O1001" s="1">
        <v>57897.48</v>
      </c>
      <c r="P1001" s="215">
        <f t="shared" si="156"/>
        <v>1.574044713664513E-3</v>
      </c>
      <c r="Q1001" s="215">
        <f t="shared" si="151"/>
        <v>-2.6403940886699506E-2</v>
      </c>
      <c r="R1001" s="231">
        <v>12468541</v>
      </c>
      <c r="T1001" s="230">
        <v>44558</v>
      </c>
      <c r="U1001" s="1">
        <v>54.6</v>
      </c>
      <c r="V1001" s="1">
        <v>54.557965295642902</v>
      </c>
      <c r="W1001" s="1">
        <v>292701</v>
      </c>
      <c r="X1001" s="1">
        <v>57897.48</v>
      </c>
      <c r="Y1001" s="215">
        <f t="shared" si="157"/>
        <v>1.574044713664513E-3</v>
      </c>
      <c r="Z1001" s="215">
        <f t="shared" si="152"/>
        <v>8.3102493074793671E-3</v>
      </c>
      <c r="AA1001" s="231">
        <v>15969171</v>
      </c>
      <c r="AC1001" s="230">
        <v>44592</v>
      </c>
      <c r="AD1001" s="1">
        <v>70.45</v>
      </c>
      <c r="AE1001" s="1">
        <v>70.204892489872194</v>
      </c>
      <c r="AF1001" s="1">
        <v>6418</v>
      </c>
      <c r="AG1001" s="1">
        <v>58014.17</v>
      </c>
      <c r="AH1001" s="215">
        <f t="shared" si="158"/>
        <v>-1.4413234080673076E-2</v>
      </c>
      <c r="AI1001" s="215">
        <f t="shared" si="153"/>
        <v>2.846975088967918E-3</v>
      </c>
      <c r="AJ1001" s="231">
        <v>450575</v>
      </c>
      <c r="AL1001" s="254"/>
      <c r="AQ1001" s="215" t="str">
        <f t="shared" si="159"/>
        <v>NA</v>
      </c>
      <c r="AR1001" s="215" t="str">
        <f t="shared" si="154"/>
        <v>NA</v>
      </c>
    </row>
    <row r="1002" spans="2:44">
      <c r="B1002" s="230">
        <v>44560</v>
      </c>
      <c r="C1002" s="1">
        <v>362.65</v>
      </c>
      <c r="D1002" s="1">
        <v>365.85583941605802</v>
      </c>
      <c r="E1002" s="1">
        <v>548</v>
      </c>
      <c r="F1002" s="215">
        <v>57794.32</v>
      </c>
      <c r="G1002" s="215">
        <f t="shared" si="160"/>
        <v>-7.8878947337702732E-3</v>
      </c>
      <c r="H1002" s="215">
        <f t="shared" si="161"/>
        <v>-4.6658432825581464E-3</v>
      </c>
      <c r="I1002" s="231">
        <v>200489</v>
      </c>
      <c r="K1002" s="230">
        <v>44559</v>
      </c>
      <c r="L1002" s="1">
        <v>253.75</v>
      </c>
      <c r="M1002" s="1">
        <v>250.07350542174399</v>
      </c>
      <c r="N1002" s="1">
        <v>31263</v>
      </c>
      <c r="O1002" s="1">
        <v>57806.49</v>
      </c>
      <c r="P1002" s="215">
        <f t="shared" si="156"/>
        <v>2.1057432633520001E-4</v>
      </c>
      <c r="Q1002" s="215">
        <f t="shared" si="151"/>
        <v>-9.08276603367969E-2</v>
      </c>
      <c r="R1002" s="231">
        <v>7818048</v>
      </c>
      <c r="T1002" s="230">
        <v>44559</v>
      </c>
      <c r="U1002" s="1">
        <v>54.15</v>
      </c>
      <c r="V1002" s="1">
        <v>54.4298652757425</v>
      </c>
      <c r="W1002" s="1">
        <v>154909</v>
      </c>
      <c r="X1002" s="1">
        <v>57806.49</v>
      </c>
      <c r="Y1002" s="215">
        <f t="shared" si="157"/>
        <v>2.1057432633520001E-4</v>
      </c>
      <c r="Z1002" s="215">
        <f t="shared" si="152"/>
        <v>3.707136237256714E-3</v>
      </c>
      <c r="AA1002" s="231">
        <v>8431676</v>
      </c>
      <c r="AC1002" s="230">
        <v>44593</v>
      </c>
      <c r="AD1002" s="1">
        <v>70.25</v>
      </c>
      <c r="AE1002" s="1">
        <v>70.493873358280098</v>
      </c>
      <c r="AF1002" s="1">
        <v>13629</v>
      </c>
      <c r="AG1002" s="1">
        <v>58862.57</v>
      </c>
      <c r="AH1002" s="215">
        <f t="shared" si="158"/>
        <v>-1.1681993098194732E-2</v>
      </c>
      <c r="AI1002" s="215">
        <f t="shared" si="153"/>
        <v>0</v>
      </c>
      <c r="AJ1002" s="231">
        <v>960761</v>
      </c>
      <c r="AL1002" s="254"/>
      <c r="AQ1002" s="215" t="str">
        <f t="shared" si="159"/>
        <v>NA</v>
      </c>
      <c r="AR1002" s="215" t="str">
        <f t="shared" si="154"/>
        <v>NA</v>
      </c>
    </row>
    <row r="1003" spans="2:44">
      <c r="B1003" s="230">
        <v>44561</v>
      </c>
      <c r="C1003" s="1">
        <v>364.35</v>
      </c>
      <c r="D1003" s="1">
        <v>366.605208333333</v>
      </c>
      <c r="E1003" s="1">
        <v>960</v>
      </c>
      <c r="F1003" s="215">
        <v>58253.82</v>
      </c>
      <c r="G1003" s="215">
        <f t="shared" si="160"/>
        <v>-1.570377549582469E-2</v>
      </c>
      <c r="H1003" s="215">
        <f t="shared" si="161"/>
        <v>5.3807947019868241E-3</v>
      </c>
      <c r="I1003" s="231">
        <v>351941</v>
      </c>
      <c r="K1003" s="230">
        <v>44560</v>
      </c>
      <c r="L1003" s="1">
        <v>279.10000000000002</v>
      </c>
      <c r="M1003" s="1">
        <v>267.92132493062701</v>
      </c>
      <c r="N1003" s="1">
        <v>119644</v>
      </c>
      <c r="O1003" s="1">
        <v>57794.32</v>
      </c>
      <c r="P1003" s="215">
        <f t="shared" si="156"/>
        <v>-7.8878947337702732E-3</v>
      </c>
      <c r="Q1003" s="215">
        <f t="shared" si="151"/>
        <v>2.3343508708926208E-3</v>
      </c>
      <c r="R1003" s="231">
        <v>32055179</v>
      </c>
      <c r="T1003" s="230">
        <v>44560</v>
      </c>
      <c r="U1003" s="1">
        <v>53.95</v>
      </c>
      <c r="V1003" s="1">
        <v>54.022660340314097</v>
      </c>
      <c r="W1003" s="1">
        <v>61120</v>
      </c>
      <c r="X1003" s="1">
        <v>57794.32</v>
      </c>
      <c r="Y1003" s="215">
        <f t="shared" si="157"/>
        <v>-7.8878947337702732E-3</v>
      </c>
      <c r="Z1003" s="215">
        <f t="shared" si="152"/>
        <v>-1.0091743119265972E-2</v>
      </c>
      <c r="AA1003" s="231">
        <v>3301865</v>
      </c>
      <c r="AC1003" s="230">
        <v>44594</v>
      </c>
      <c r="AD1003" s="1">
        <v>70.25</v>
      </c>
      <c r="AE1003" s="1">
        <v>70.807113543091603</v>
      </c>
      <c r="AF1003" s="1">
        <v>2193</v>
      </c>
      <c r="AG1003" s="1">
        <v>59558.33</v>
      </c>
      <c r="AH1003" s="215">
        <f t="shared" si="158"/>
        <v>1.3103179865557646E-2</v>
      </c>
      <c r="AI1003" s="215">
        <f t="shared" si="153"/>
        <v>7.1684587813620748E-3</v>
      </c>
      <c r="AJ1003" s="231">
        <v>155280</v>
      </c>
      <c r="AL1003" s="254"/>
      <c r="AQ1003" s="215" t="str">
        <f t="shared" si="159"/>
        <v>NA</v>
      </c>
      <c r="AR1003" s="215" t="str">
        <f t="shared" si="154"/>
        <v>NA</v>
      </c>
    </row>
    <row r="1004" spans="2:44">
      <c r="B1004" s="230">
        <v>44564</v>
      </c>
      <c r="C1004" s="1">
        <v>362.4</v>
      </c>
      <c r="D1004" s="1">
        <v>363.99977512930002</v>
      </c>
      <c r="E1004" s="1">
        <v>4447</v>
      </c>
      <c r="F1004" s="215">
        <v>59183.22</v>
      </c>
      <c r="G1004" s="215">
        <f t="shared" si="160"/>
        <v>-1.1238819612359174E-2</v>
      </c>
      <c r="H1004" s="215">
        <f t="shared" si="161"/>
        <v>-1.2401818933445163E-3</v>
      </c>
      <c r="I1004" s="231">
        <v>1618707</v>
      </c>
      <c r="K1004" s="230">
        <v>44561</v>
      </c>
      <c r="L1004" s="1">
        <v>278.45</v>
      </c>
      <c r="M1004" s="1">
        <v>283.81061671353899</v>
      </c>
      <c r="N1004" s="1">
        <v>119472</v>
      </c>
      <c r="O1004" s="1">
        <v>58253.82</v>
      </c>
      <c r="P1004" s="215">
        <f t="shared" si="156"/>
        <v>-1.570377549582469E-2</v>
      </c>
      <c r="Q1004" s="215">
        <f t="shared" si="151"/>
        <v>7.5990591641033056E-3</v>
      </c>
      <c r="R1004" s="231">
        <v>33907422</v>
      </c>
      <c r="T1004" s="230">
        <v>44561</v>
      </c>
      <c r="U1004" s="1">
        <v>54.5</v>
      </c>
      <c r="V1004" s="1">
        <v>54.610520034234398</v>
      </c>
      <c r="W1004" s="1">
        <v>127357</v>
      </c>
      <c r="X1004" s="1">
        <v>58253.82</v>
      </c>
      <c r="Y1004" s="215">
        <f t="shared" si="157"/>
        <v>-1.570377549582469E-2</v>
      </c>
      <c r="Z1004" s="215">
        <f t="shared" si="152"/>
        <v>-2.7447392497712553E-3</v>
      </c>
      <c r="AA1004" s="231">
        <v>6955032</v>
      </c>
      <c r="AC1004" s="230">
        <v>44595</v>
      </c>
      <c r="AD1004" s="1">
        <v>69.75</v>
      </c>
      <c r="AE1004" s="1">
        <v>70.438256658595606</v>
      </c>
      <c r="AF1004" s="1">
        <v>2065</v>
      </c>
      <c r="AG1004" s="1">
        <v>58788.02</v>
      </c>
      <c r="AH1004" s="215">
        <f t="shared" si="158"/>
        <v>2.4418183907801705E-3</v>
      </c>
      <c r="AI1004" s="215">
        <f t="shared" si="153"/>
        <v>2.1551724137931494E-3</v>
      </c>
      <c r="AJ1004" s="231">
        <v>145455</v>
      </c>
      <c r="AL1004" s="254"/>
      <c r="AQ1004" s="215" t="str">
        <f t="shared" si="159"/>
        <v>NA</v>
      </c>
      <c r="AR1004" s="215" t="str">
        <f t="shared" si="154"/>
        <v>NA</v>
      </c>
    </row>
    <row r="1005" spans="2:44">
      <c r="B1005" s="230">
        <v>44565</v>
      </c>
      <c r="C1005" s="1">
        <v>362.85</v>
      </c>
      <c r="D1005" s="1">
        <v>363.79167704958797</v>
      </c>
      <c r="E1005" s="1">
        <v>4013</v>
      </c>
      <c r="F1005" s="215">
        <v>59855.93</v>
      </c>
      <c r="G1005" s="215">
        <f t="shared" si="160"/>
        <v>-6.0976551376007437E-3</v>
      </c>
      <c r="H1005" s="215">
        <f t="shared" si="161"/>
        <v>-1.0364107459429839E-2</v>
      </c>
      <c r="I1005" s="231">
        <v>1459896</v>
      </c>
      <c r="K1005" s="230">
        <v>44564</v>
      </c>
      <c r="L1005" s="1">
        <v>276.35000000000002</v>
      </c>
      <c r="M1005" s="1">
        <v>279.66324524061599</v>
      </c>
      <c r="N1005" s="1">
        <v>46277</v>
      </c>
      <c r="O1005" s="1">
        <v>59183.22</v>
      </c>
      <c r="P1005" s="215">
        <f t="shared" si="156"/>
        <v>-1.1238819612359174E-2</v>
      </c>
      <c r="Q1005" s="215">
        <f t="shared" si="151"/>
        <v>1.3013196480938349E-2</v>
      </c>
      <c r="R1005" s="231">
        <v>12941976</v>
      </c>
      <c r="T1005" s="230">
        <v>44564</v>
      </c>
      <c r="U1005" s="1">
        <v>54.65</v>
      </c>
      <c r="V1005" s="1">
        <v>54.608670715884003</v>
      </c>
      <c r="W1005" s="1">
        <v>106358</v>
      </c>
      <c r="X1005" s="1">
        <v>59183.22</v>
      </c>
      <c r="Y1005" s="215">
        <f t="shared" si="157"/>
        <v>-1.1238819612359174E-2</v>
      </c>
      <c r="Z1005" s="215">
        <f t="shared" si="152"/>
        <v>4.5955882352941568E-3</v>
      </c>
      <c r="AA1005" s="231">
        <v>5808069</v>
      </c>
      <c r="AC1005" s="230">
        <v>44596</v>
      </c>
      <c r="AD1005" s="1">
        <v>69.599999999999994</v>
      </c>
      <c r="AE1005" s="1">
        <v>69.955405658609706</v>
      </c>
      <c r="AF1005" s="1">
        <v>5337</v>
      </c>
      <c r="AG1005" s="1">
        <v>58644.82</v>
      </c>
      <c r="AH1005" s="215">
        <f t="shared" si="158"/>
        <v>1.7764818810579897E-2</v>
      </c>
      <c r="AI1005" s="215">
        <f t="shared" si="153"/>
        <v>0</v>
      </c>
      <c r="AJ1005" s="231">
        <v>373352</v>
      </c>
      <c r="AL1005" s="254"/>
      <c r="AQ1005" s="215" t="str">
        <f t="shared" si="159"/>
        <v>NA</v>
      </c>
      <c r="AR1005" s="215" t="str">
        <f t="shared" si="154"/>
        <v>NA</v>
      </c>
    </row>
    <row r="1006" spans="2:44">
      <c r="B1006" s="230">
        <v>44566</v>
      </c>
      <c r="C1006" s="1">
        <v>366.65</v>
      </c>
      <c r="D1006" s="1">
        <v>363.153418565869</v>
      </c>
      <c r="E1006" s="1">
        <v>5397</v>
      </c>
      <c r="F1006" s="215">
        <v>60223.15</v>
      </c>
      <c r="G1006" s="215">
        <f t="shared" si="160"/>
        <v>1.0424342604188119E-2</v>
      </c>
      <c r="H1006" s="215">
        <f t="shared" si="161"/>
        <v>-1.5968867418142851E-2</v>
      </c>
      <c r="I1006" s="231">
        <v>1959939</v>
      </c>
      <c r="K1006" s="230">
        <v>44565</v>
      </c>
      <c r="L1006" s="1">
        <v>272.8</v>
      </c>
      <c r="M1006" s="1">
        <v>272.664857014419</v>
      </c>
      <c r="N1006" s="1">
        <v>28919</v>
      </c>
      <c r="O1006" s="1">
        <v>59855.93</v>
      </c>
      <c r="P1006" s="215">
        <f t="shared" si="156"/>
        <v>-6.0976551376007437E-3</v>
      </c>
      <c r="Q1006" s="215">
        <f t="shared" si="151"/>
        <v>5.5289347585698589E-3</v>
      </c>
      <c r="R1006" s="231">
        <v>7885195</v>
      </c>
      <c r="T1006" s="230">
        <v>44565</v>
      </c>
      <c r="U1006" s="1">
        <v>54.4</v>
      </c>
      <c r="V1006" s="1">
        <v>54.485780486576303</v>
      </c>
      <c r="W1006" s="1">
        <v>99265</v>
      </c>
      <c r="X1006" s="1">
        <v>59855.93</v>
      </c>
      <c r="Y1006" s="215">
        <f t="shared" si="157"/>
        <v>-6.0976551376007437E-3</v>
      </c>
      <c r="Z1006" s="215">
        <f t="shared" si="152"/>
        <v>-2.2461814914645051E-2</v>
      </c>
      <c r="AA1006" s="231">
        <v>5408531</v>
      </c>
      <c r="AC1006" s="230">
        <v>44599</v>
      </c>
      <c r="AD1006" s="1">
        <v>69.599999999999994</v>
      </c>
      <c r="AE1006" s="1">
        <v>69.312101910828005</v>
      </c>
      <c r="AF1006" s="1">
        <v>942</v>
      </c>
      <c r="AG1006" s="1">
        <v>57621.19</v>
      </c>
      <c r="AH1006" s="215">
        <f t="shared" si="158"/>
        <v>-3.2415603358532108E-3</v>
      </c>
      <c r="AI1006" s="215">
        <f t="shared" si="153"/>
        <v>2.8818443804032867E-3</v>
      </c>
      <c r="AJ1006" s="231">
        <v>65292</v>
      </c>
      <c r="AL1006" s="254"/>
      <c r="AQ1006" s="215" t="str">
        <f t="shared" si="159"/>
        <v>NA</v>
      </c>
      <c r="AR1006" s="215" t="str">
        <f t="shared" si="154"/>
        <v>NA</v>
      </c>
    </row>
    <row r="1007" spans="2:44">
      <c r="B1007" s="230">
        <v>44567</v>
      </c>
      <c r="C1007" s="1">
        <v>372.6</v>
      </c>
      <c r="D1007" s="1">
        <v>371.090931312637</v>
      </c>
      <c r="E1007" s="1">
        <v>4091</v>
      </c>
      <c r="F1007" s="215">
        <v>59601.84</v>
      </c>
      <c r="G1007" s="215">
        <f t="shared" si="160"/>
        <v>-2.3903395534161653E-3</v>
      </c>
      <c r="H1007" s="215">
        <f t="shared" si="161"/>
        <v>6.3470627954085312E-3</v>
      </c>
      <c r="I1007" s="231">
        <v>1518133</v>
      </c>
      <c r="K1007" s="230">
        <v>44566</v>
      </c>
      <c r="L1007" s="1">
        <v>271.3</v>
      </c>
      <c r="M1007" s="1">
        <v>272.34356301872202</v>
      </c>
      <c r="N1007" s="1">
        <v>36267</v>
      </c>
      <c r="O1007" s="1">
        <v>60223.15</v>
      </c>
      <c r="P1007" s="215">
        <f t="shared" si="156"/>
        <v>1.0424342604188119E-2</v>
      </c>
      <c r="Q1007" s="215">
        <f t="shared" si="151"/>
        <v>6.3056379821957442E-3</v>
      </c>
      <c r="R1007" s="231">
        <v>9877084</v>
      </c>
      <c r="T1007" s="230">
        <v>44566</v>
      </c>
      <c r="U1007" s="1">
        <v>55.65</v>
      </c>
      <c r="V1007" s="1">
        <v>55.298994822481099</v>
      </c>
      <c r="W1007" s="1">
        <v>181361</v>
      </c>
      <c r="X1007" s="1">
        <v>60223.15</v>
      </c>
      <c r="Y1007" s="215">
        <f t="shared" si="157"/>
        <v>1.0424342604188119E-2</v>
      </c>
      <c r="Z1007" s="215">
        <f t="shared" si="152"/>
        <v>-6.2499999999999778E-3</v>
      </c>
      <c r="AA1007" s="231">
        <v>10029081</v>
      </c>
      <c r="AC1007" s="230">
        <v>44600</v>
      </c>
      <c r="AD1007" s="1">
        <v>69.400000000000006</v>
      </c>
      <c r="AE1007" s="1">
        <v>69.779331848552303</v>
      </c>
      <c r="AF1007" s="1">
        <v>11225</v>
      </c>
      <c r="AG1007" s="1">
        <v>57808.58</v>
      </c>
      <c r="AH1007" s="215">
        <f t="shared" si="158"/>
        <v>-1.1243976624350838E-2</v>
      </c>
      <c r="AI1007" s="215">
        <f t="shared" si="153"/>
        <v>1.3878743608473298E-2</v>
      </c>
      <c r="AJ1007" s="231">
        <v>783273</v>
      </c>
      <c r="AL1007" s="254"/>
      <c r="AQ1007" s="215" t="str">
        <f t="shared" si="159"/>
        <v>NA</v>
      </c>
      <c r="AR1007" s="215" t="str">
        <f t="shared" si="154"/>
        <v>NA</v>
      </c>
    </row>
    <row r="1008" spans="2:44">
      <c r="B1008" s="230">
        <v>44568</v>
      </c>
      <c r="C1008" s="1">
        <v>370.25</v>
      </c>
      <c r="D1008" s="1">
        <v>370.26525998492798</v>
      </c>
      <c r="E1008" s="1">
        <v>3981</v>
      </c>
      <c r="F1008" s="215">
        <v>59744.65</v>
      </c>
      <c r="G1008" s="215">
        <f t="shared" si="160"/>
        <v>-1.0778594411549269E-2</v>
      </c>
      <c r="H1008" s="215">
        <f t="shared" si="161"/>
        <v>-0.11147108231341485</v>
      </c>
      <c r="I1008" s="231">
        <v>1474026</v>
      </c>
      <c r="K1008" s="230">
        <v>44567</v>
      </c>
      <c r="L1008" s="1">
        <v>269.60000000000002</v>
      </c>
      <c r="M1008" s="1">
        <v>270.41477853342201</v>
      </c>
      <c r="N1008" s="1">
        <v>28379</v>
      </c>
      <c r="O1008" s="1">
        <v>59601.84</v>
      </c>
      <c r="P1008" s="215">
        <f t="shared" si="156"/>
        <v>-2.3903395534161653E-3</v>
      </c>
      <c r="Q1008" s="215">
        <f t="shared" si="151"/>
        <v>-3.3171956248879364E-2</v>
      </c>
      <c r="R1008" s="231">
        <v>7674101</v>
      </c>
      <c r="T1008" s="230">
        <v>44567</v>
      </c>
      <c r="U1008" s="1">
        <v>56</v>
      </c>
      <c r="V1008" s="1">
        <v>56.001409849722798</v>
      </c>
      <c r="W1008" s="1">
        <v>156045</v>
      </c>
      <c r="X1008" s="1">
        <v>59601.84</v>
      </c>
      <c r="Y1008" s="215">
        <f t="shared" si="157"/>
        <v>-2.3903395534161653E-3</v>
      </c>
      <c r="Z1008" s="215">
        <f t="shared" si="152"/>
        <v>1.7889087656530744E-3</v>
      </c>
      <c r="AA1008" s="231">
        <v>8738740</v>
      </c>
      <c r="AC1008" s="230">
        <v>44601</v>
      </c>
      <c r="AD1008" s="1">
        <v>68.45</v>
      </c>
      <c r="AE1008" s="1">
        <v>69.548992923244398</v>
      </c>
      <c r="AF1008" s="1">
        <v>3674</v>
      </c>
      <c r="AG1008" s="1">
        <v>58465.97</v>
      </c>
      <c r="AH1008" s="215">
        <f t="shared" si="158"/>
        <v>-7.8074155004163037E-3</v>
      </c>
      <c r="AI1008" s="215">
        <f t="shared" si="153"/>
        <v>-1.1552346570397054E-2</v>
      </c>
      <c r="AJ1008" s="231">
        <v>255523</v>
      </c>
      <c r="AL1008" s="254"/>
      <c r="AQ1008" s="215" t="str">
        <f t="shared" si="159"/>
        <v>NA</v>
      </c>
      <c r="AR1008" s="215" t="str">
        <f t="shared" si="154"/>
        <v>NA</v>
      </c>
    </row>
    <row r="1009" spans="2:44">
      <c r="B1009" s="230">
        <v>44571</v>
      </c>
      <c r="C1009" s="1">
        <v>416.7</v>
      </c>
      <c r="D1009" s="1">
        <v>397.463267652539</v>
      </c>
      <c r="E1009" s="1">
        <v>25223</v>
      </c>
      <c r="F1009" s="215">
        <v>60395.63</v>
      </c>
      <c r="G1009" s="215">
        <f t="shared" si="160"/>
        <v>-3.6501377751316788E-3</v>
      </c>
      <c r="H1009" s="215">
        <f t="shared" si="161"/>
        <v>4.4491790951247001E-2</v>
      </c>
      <c r="I1009" s="231">
        <v>10025216</v>
      </c>
      <c r="K1009" s="230">
        <v>44568</v>
      </c>
      <c r="L1009" s="1">
        <v>278.85000000000002</v>
      </c>
      <c r="M1009" s="1">
        <v>279.05777869668998</v>
      </c>
      <c r="N1009" s="1">
        <v>53203</v>
      </c>
      <c r="O1009" s="1">
        <v>59744.65</v>
      </c>
      <c r="P1009" s="215">
        <f t="shared" si="156"/>
        <v>-1.0778594411549269E-2</v>
      </c>
      <c r="Q1009" s="215">
        <f t="shared" si="151"/>
        <v>1.36314067611778E-2</v>
      </c>
      <c r="R1009" s="231">
        <v>14846711</v>
      </c>
      <c r="T1009" s="230">
        <v>44568</v>
      </c>
      <c r="U1009" s="1">
        <v>55.9</v>
      </c>
      <c r="V1009" s="1">
        <v>56.449422009394198</v>
      </c>
      <c r="W1009" s="1">
        <v>131144</v>
      </c>
      <c r="X1009" s="1">
        <v>59744.65</v>
      </c>
      <c r="Y1009" s="215">
        <f t="shared" si="157"/>
        <v>-1.0778594411549269E-2</v>
      </c>
      <c r="Z1009" s="215">
        <f t="shared" si="152"/>
        <v>-1.1494252873563204E-2</v>
      </c>
      <c r="AA1009" s="231">
        <v>7403003</v>
      </c>
      <c r="AC1009" s="230">
        <v>44602</v>
      </c>
      <c r="AD1009" s="1">
        <v>69.25</v>
      </c>
      <c r="AE1009" s="1">
        <v>69.388323917137399</v>
      </c>
      <c r="AF1009" s="1">
        <v>10620</v>
      </c>
      <c r="AG1009" s="1">
        <v>58926.03</v>
      </c>
      <c r="AH1009" s="215">
        <f t="shared" si="158"/>
        <v>1.3294431302847798E-2</v>
      </c>
      <c r="AI1009" s="215">
        <f t="shared" si="153"/>
        <v>3.6231884057971175E-3</v>
      </c>
      <c r="AJ1009" s="231">
        <v>736904</v>
      </c>
      <c r="AL1009" s="254"/>
      <c r="AQ1009" s="215" t="str">
        <f t="shared" si="159"/>
        <v>NA</v>
      </c>
      <c r="AR1009" s="215" t="str">
        <f t="shared" si="154"/>
        <v>NA</v>
      </c>
    </row>
    <row r="1010" spans="2:44">
      <c r="B1010" s="230">
        <v>44572</v>
      </c>
      <c r="C1010" s="1">
        <v>398.95</v>
      </c>
      <c r="D1010" s="1">
        <v>415.391347038969</v>
      </c>
      <c r="E1010" s="1">
        <v>16295</v>
      </c>
      <c r="F1010" s="215">
        <v>60616.89</v>
      </c>
      <c r="G1010" s="215">
        <f t="shared" si="160"/>
        <v>-8.7187187449100367E-3</v>
      </c>
      <c r="H1010" s="215">
        <f t="shared" si="161"/>
        <v>-1.1766162992321028E-2</v>
      </c>
      <c r="I1010" s="231">
        <v>6768802</v>
      </c>
      <c r="K1010" s="230">
        <v>44571</v>
      </c>
      <c r="L1010" s="1">
        <v>275.10000000000002</v>
      </c>
      <c r="M1010" s="1">
        <v>278.706597536223</v>
      </c>
      <c r="N1010" s="1">
        <v>49761</v>
      </c>
      <c r="O1010" s="1">
        <v>60395.63</v>
      </c>
      <c r="P1010" s="215">
        <f t="shared" si="156"/>
        <v>-3.6501377751316788E-3</v>
      </c>
      <c r="Q1010" s="215">
        <f t="shared" si="151"/>
        <v>2.6301063234471123E-2</v>
      </c>
      <c r="R1010" s="231">
        <v>13868719</v>
      </c>
      <c r="T1010" s="230">
        <v>44571</v>
      </c>
      <c r="U1010" s="1">
        <v>56.55</v>
      </c>
      <c r="V1010" s="1">
        <v>56.6193189397259</v>
      </c>
      <c r="W1010" s="1">
        <v>52477</v>
      </c>
      <c r="X1010" s="1">
        <v>60395.63</v>
      </c>
      <c r="Y1010" s="215">
        <f t="shared" si="157"/>
        <v>-3.6501377751316788E-3</v>
      </c>
      <c r="Z1010" s="215">
        <f t="shared" si="152"/>
        <v>-5.3556485355648609E-2</v>
      </c>
      <c r="AA1010" s="231">
        <v>2971212</v>
      </c>
      <c r="AC1010" s="230">
        <v>44603</v>
      </c>
      <c r="AD1010" s="1">
        <v>69</v>
      </c>
      <c r="AE1010" s="1">
        <v>69.354312354312299</v>
      </c>
      <c r="AF1010" s="1">
        <v>429</v>
      </c>
      <c r="AG1010" s="1">
        <v>58152.92</v>
      </c>
      <c r="AH1010" s="215">
        <f t="shared" si="158"/>
        <v>3.0973388571112537E-2</v>
      </c>
      <c r="AI1010" s="215">
        <f t="shared" si="153"/>
        <v>2.5260029717682153E-2</v>
      </c>
      <c r="AJ1010" s="231">
        <v>29753</v>
      </c>
      <c r="AL1010" s="254"/>
      <c r="AQ1010" s="215" t="str">
        <f t="shared" si="159"/>
        <v>NA</v>
      </c>
      <c r="AR1010" s="215" t="str">
        <f t="shared" si="154"/>
        <v>NA</v>
      </c>
    </row>
    <row r="1011" spans="2:44">
      <c r="B1011" s="230">
        <v>44573</v>
      </c>
      <c r="C1011" s="1">
        <v>403.7</v>
      </c>
      <c r="D1011" s="1">
        <v>407.88367096378101</v>
      </c>
      <c r="E1011" s="1">
        <v>6516</v>
      </c>
      <c r="F1011" s="215">
        <v>61150.04</v>
      </c>
      <c r="G1011" s="215">
        <f t="shared" si="160"/>
        <v>-1.3923341601984607E-3</v>
      </c>
      <c r="H1011" s="215">
        <f t="shared" si="161"/>
        <v>1.8929833417465902E-2</v>
      </c>
      <c r="I1011" s="231">
        <v>2657770</v>
      </c>
      <c r="K1011" s="230">
        <v>44572</v>
      </c>
      <c r="L1011" s="1">
        <v>268.05</v>
      </c>
      <c r="M1011" s="1">
        <v>270.72256861729602</v>
      </c>
      <c r="N1011" s="1">
        <v>48275</v>
      </c>
      <c r="O1011" s="1">
        <v>60616.89</v>
      </c>
      <c r="P1011" s="215">
        <f t="shared" si="156"/>
        <v>-8.7187187449100367E-3</v>
      </c>
      <c r="Q1011" s="215">
        <f t="shared" si="151"/>
        <v>2.2506198741178762E-2</v>
      </c>
      <c r="R1011" s="231">
        <v>13069132</v>
      </c>
      <c r="T1011" s="230">
        <v>44572</v>
      </c>
      <c r="U1011" s="1">
        <v>59.75</v>
      </c>
      <c r="V1011" s="1">
        <v>59.307968755944501</v>
      </c>
      <c r="W1011" s="1">
        <v>341697</v>
      </c>
      <c r="X1011" s="1">
        <v>60616.89</v>
      </c>
      <c r="Y1011" s="215">
        <f t="shared" si="157"/>
        <v>-8.7187187449100367E-3</v>
      </c>
      <c r="Z1011" s="215">
        <f t="shared" si="152"/>
        <v>-1.1579818031430933E-2</v>
      </c>
      <c r="AA1011" s="231">
        <v>20265355</v>
      </c>
      <c r="AC1011" s="230">
        <v>44606</v>
      </c>
      <c r="AD1011" s="1">
        <v>67.3</v>
      </c>
      <c r="AE1011" s="1">
        <v>67.680130070169398</v>
      </c>
      <c r="AF1011" s="1">
        <v>5843</v>
      </c>
      <c r="AG1011" s="1">
        <v>56405.84</v>
      </c>
      <c r="AH1011" s="215">
        <f t="shared" si="158"/>
        <v>-2.9861520190636703E-2</v>
      </c>
      <c r="AI1011" s="215">
        <f t="shared" si="153"/>
        <v>2.9839326702371993E-2</v>
      </c>
      <c r="AJ1011" s="231">
        <v>395455</v>
      </c>
      <c r="AL1011" s="254"/>
      <c r="AQ1011" s="215" t="str">
        <f t="shared" si="159"/>
        <v>NA</v>
      </c>
      <c r="AR1011" s="215" t="str">
        <f t="shared" si="154"/>
        <v>NA</v>
      </c>
    </row>
    <row r="1012" spans="2:44">
      <c r="B1012" s="230">
        <v>44574</v>
      </c>
      <c r="C1012" s="1">
        <v>396.2</v>
      </c>
      <c r="D1012" s="1">
        <v>396.36144334076602</v>
      </c>
      <c r="E1012" s="1">
        <v>4933</v>
      </c>
      <c r="F1012" s="215">
        <v>61235.3</v>
      </c>
      <c r="G1012" s="215">
        <f t="shared" si="160"/>
        <v>2.0041477855636813E-4</v>
      </c>
      <c r="H1012" s="215">
        <f t="shared" si="161"/>
        <v>-1.1970074812967635E-2</v>
      </c>
      <c r="I1012" s="231">
        <v>1955251</v>
      </c>
      <c r="K1012" s="230">
        <v>44573</v>
      </c>
      <c r="L1012" s="1">
        <v>262.14999999999998</v>
      </c>
      <c r="M1012" s="1">
        <v>262.69960212201499</v>
      </c>
      <c r="N1012" s="1">
        <v>96512</v>
      </c>
      <c r="O1012" s="1">
        <v>61150.04</v>
      </c>
      <c r="P1012" s="215">
        <f t="shared" si="156"/>
        <v>-1.3923341601984607E-3</v>
      </c>
      <c r="Q1012" s="215">
        <f t="shared" si="151"/>
        <v>-6.2242890359506475E-2</v>
      </c>
      <c r="R1012" s="231">
        <v>25353664</v>
      </c>
      <c r="T1012" s="230">
        <v>44573</v>
      </c>
      <c r="U1012" s="1">
        <v>60.45</v>
      </c>
      <c r="V1012" s="1">
        <v>61.181394746740501</v>
      </c>
      <c r="W1012" s="1">
        <v>409422</v>
      </c>
      <c r="X1012" s="1">
        <v>61150.04</v>
      </c>
      <c r="Y1012" s="215">
        <f t="shared" si="157"/>
        <v>-1.3923341601984607E-3</v>
      </c>
      <c r="Z1012" s="215">
        <f t="shared" si="152"/>
        <v>-1.4669926650366705E-2</v>
      </c>
      <c r="AA1012" s="231">
        <v>25049009</v>
      </c>
      <c r="AC1012" s="230">
        <v>44607</v>
      </c>
      <c r="AD1012" s="1">
        <v>65.349999999999994</v>
      </c>
      <c r="AE1012" s="1">
        <v>65.885276885276795</v>
      </c>
      <c r="AF1012" s="1">
        <v>10582</v>
      </c>
      <c r="AG1012" s="1">
        <v>58142.05</v>
      </c>
      <c r="AH1012" s="215">
        <f t="shared" si="158"/>
        <v>2.5065227871665652E-3</v>
      </c>
      <c r="AI1012" s="215">
        <f t="shared" si="153"/>
        <v>-1.5071590052750605E-2</v>
      </c>
      <c r="AJ1012" s="231">
        <v>697198</v>
      </c>
      <c r="AL1012" s="254"/>
      <c r="AQ1012" s="215" t="str">
        <f t="shared" si="159"/>
        <v>NA</v>
      </c>
      <c r="AR1012" s="215" t="str">
        <f t="shared" si="154"/>
        <v>NA</v>
      </c>
    </row>
    <row r="1013" spans="2:44">
      <c r="B1013" s="230">
        <v>44575</v>
      </c>
      <c r="C1013" s="1">
        <v>401</v>
      </c>
      <c r="D1013" s="1">
        <v>401.94439043359898</v>
      </c>
      <c r="E1013" s="1">
        <v>5143</v>
      </c>
      <c r="F1013" s="215">
        <v>61223.03</v>
      </c>
      <c r="G1013" s="215">
        <f t="shared" si="160"/>
        <v>-1.4007751891201847E-3</v>
      </c>
      <c r="H1013" s="215">
        <f t="shared" si="161"/>
        <v>-6.2305295950160211E-4</v>
      </c>
      <c r="I1013" s="231">
        <v>2067200</v>
      </c>
      <c r="K1013" s="230">
        <v>44574</v>
      </c>
      <c r="L1013" s="1">
        <v>279.55</v>
      </c>
      <c r="M1013" s="1">
        <v>278.30619856450301</v>
      </c>
      <c r="N1013" s="1">
        <v>106444</v>
      </c>
      <c r="O1013" s="1">
        <v>61235.3</v>
      </c>
      <c r="P1013" s="215">
        <f t="shared" si="156"/>
        <v>2.0041477855636813E-4</v>
      </c>
      <c r="Q1013" s="215">
        <f t="shared" si="151"/>
        <v>-4.4515669515668987E-3</v>
      </c>
      <c r="R1013" s="231">
        <v>29624025</v>
      </c>
      <c r="T1013" s="230">
        <v>44574</v>
      </c>
      <c r="U1013" s="1">
        <v>61.35</v>
      </c>
      <c r="V1013" s="1">
        <v>61.484325486645503</v>
      </c>
      <c r="W1013" s="1">
        <v>141376</v>
      </c>
      <c r="X1013" s="1">
        <v>61235.3</v>
      </c>
      <c r="Y1013" s="215">
        <f t="shared" si="157"/>
        <v>2.0041477855636813E-4</v>
      </c>
      <c r="Z1013" s="215">
        <f t="shared" si="152"/>
        <v>3.270645952575757E-3</v>
      </c>
      <c r="AA1013" s="231">
        <v>8692408</v>
      </c>
      <c r="AC1013" s="230">
        <v>44608</v>
      </c>
      <c r="AD1013" s="1">
        <v>66.349999999999994</v>
      </c>
      <c r="AE1013" s="1">
        <v>66.411509229098797</v>
      </c>
      <c r="AF1013" s="1">
        <v>921</v>
      </c>
      <c r="AG1013" s="1">
        <v>57996.68</v>
      </c>
      <c r="AH1013" s="215">
        <f t="shared" si="158"/>
        <v>1.8080215214499873E-3</v>
      </c>
      <c r="AI1013" s="215">
        <f t="shared" si="153"/>
        <v>1.920122887864828E-2</v>
      </c>
      <c r="AJ1013" s="231">
        <v>61165</v>
      </c>
      <c r="AL1013" s="254"/>
      <c r="AQ1013" s="215" t="str">
        <f t="shared" si="159"/>
        <v>NA</v>
      </c>
      <c r="AR1013" s="215" t="str">
        <f t="shared" si="154"/>
        <v>NA</v>
      </c>
    </row>
    <row r="1014" spans="2:44">
      <c r="B1014" s="230">
        <v>44578</v>
      </c>
      <c r="C1014" s="1">
        <v>401.25</v>
      </c>
      <c r="D1014" s="1">
        <v>397.70507761115402</v>
      </c>
      <c r="E1014" s="1">
        <v>3801</v>
      </c>
      <c r="F1014" s="215">
        <v>61308.91</v>
      </c>
      <c r="G1014" s="215">
        <f t="shared" si="160"/>
        <v>9.1194350542491698E-3</v>
      </c>
      <c r="H1014" s="215">
        <f t="shared" si="161"/>
        <v>1.3129655346547198E-2</v>
      </c>
      <c r="I1014" s="231">
        <v>1511677</v>
      </c>
      <c r="K1014" s="230">
        <v>44575</v>
      </c>
      <c r="L1014" s="1">
        <v>280.8</v>
      </c>
      <c r="M1014" s="1">
        <v>282.13256146186399</v>
      </c>
      <c r="N1014" s="1">
        <v>46899</v>
      </c>
      <c r="O1014" s="1">
        <v>61223.03</v>
      </c>
      <c r="P1014" s="215">
        <f t="shared" si="156"/>
        <v>-1.4007751891201847E-3</v>
      </c>
      <c r="Q1014" s="215">
        <f t="shared" si="151"/>
        <v>1.9237749546279437E-2</v>
      </c>
      <c r="R1014" s="231">
        <v>13231735</v>
      </c>
      <c r="T1014" s="230">
        <v>44575</v>
      </c>
      <c r="U1014" s="1">
        <v>61.15</v>
      </c>
      <c r="V1014" s="1">
        <v>61.008943684523501</v>
      </c>
      <c r="W1014" s="1">
        <v>174872</v>
      </c>
      <c r="X1014" s="1">
        <v>61223.03</v>
      </c>
      <c r="Y1014" s="215">
        <f t="shared" si="157"/>
        <v>-1.4007751891201847E-3</v>
      </c>
      <c r="Z1014" s="215">
        <f t="shared" si="152"/>
        <v>-3.7765538945711996E-2</v>
      </c>
      <c r="AA1014" s="231">
        <v>10668756</v>
      </c>
      <c r="AC1014" s="230">
        <v>44609</v>
      </c>
      <c r="AD1014" s="1">
        <v>65.099999999999994</v>
      </c>
      <c r="AE1014" s="1">
        <v>66.578285474743197</v>
      </c>
      <c r="AF1014" s="1">
        <v>4771</v>
      </c>
      <c r="AG1014" s="1">
        <v>57892.01</v>
      </c>
      <c r="AH1014" s="215">
        <f t="shared" si="158"/>
        <v>1.020870966855103E-3</v>
      </c>
      <c r="AI1014" s="215">
        <f t="shared" si="153"/>
        <v>1.2441679626749469E-2</v>
      </c>
      <c r="AJ1014" s="231">
        <v>317645</v>
      </c>
      <c r="AL1014" s="254"/>
      <c r="AQ1014" s="215" t="str">
        <f t="shared" si="159"/>
        <v>NA</v>
      </c>
      <c r="AR1014" s="215" t="str">
        <f t="shared" si="154"/>
        <v>NA</v>
      </c>
    </row>
    <row r="1015" spans="2:44">
      <c r="B1015" s="230">
        <v>44579</v>
      </c>
      <c r="C1015" s="1">
        <v>396.05</v>
      </c>
      <c r="D1015" s="1">
        <v>400.44172086043</v>
      </c>
      <c r="E1015" s="1">
        <v>1999</v>
      </c>
      <c r="F1015" s="215">
        <v>60754.86</v>
      </c>
      <c r="G1015" s="215">
        <f t="shared" si="160"/>
        <v>1.0916021312897595E-2</v>
      </c>
      <c r="H1015" s="215">
        <f t="shared" si="161"/>
        <v>1.046051792320446E-2</v>
      </c>
      <c r="I1015" s="231">
        <v>800483</v>
      </c>
      <c r="K1015" s="230">
        <v>44578</v>
      </c>
      <c r="L1015" s="1">
        <v>275.5</v>
      </c>
      <c r="M1015" s="1">
        <v>277.32368950419999</v>
      </c>
      <c r="N1015" s="1">
        <v>33804</v>
      </c>
      <c r="O1015" s="1">
        <v>61308.91</v>
      </c>
      <c r="P1015" s="215">
        <f t="shared" si="156"/>
        <v>9.1194350542491698E-3</v>
      </c>
      <c r="Q1015" s="215">
        <f t="shared" si="151"/>
        <v>2.5688756515264144E-2</v>
      </c>
      <c r="R1015" s="231">
        <v>9374650</v>
      </c>
      <c r="T1015" s="230">
        <v>44578</v>
      </c>
      <c r="U1015" s="1">
        <v>63.55</v>
      </c>
      <c r="V1015" s="1">
        <v>62.717655357378099</v>
      </c>
      <c r="W1015" s="1">
        <v>258018</v>
      </c>
      <c r="X1015" s="1">
        <v>61308.91</v>
      </c>
      <c r="Y1015" s="215">
        <f t="shared" si="157"/>
        <v>9.1194350542491698E-3</v>
      </c>
      <c r="Z1015" s="215">
        <f t="shared" si="152"/>
        <v>3.839869281045738E-2</v>
      </c>
      <c r="AA1015" s="231">
        <v>16182284</v>
      </c>
      <c r="AC1015" s="230">
        <v>44610</v>
      </c>
      <c r="AD1015" s="1">
        <v>64.3</v>
      </c>
      <c r="AE1015" s="1">
        <v>64.437285223367596</v>
      </c>
      <c r="AF1015" s="1">
        <v>1164</v>
      </c>
      <c r="AG1015" s="1">
        <v>57832.97</v>
      </c>
      <c r="AH1015" s="215">
        <f t="shared" si="158"/>
        <v>2.5896446459037215E-3</v>
      </c>
      <c r="AI1015" s="215">
        <f t="shared" si="153"/>
        <v>3.2931726907630576E-2</v>
      </c>
      <c r="AJ1015" s="231">
        <v>75005</v>
      </c>
      <c r="AL1015" s="254"/>
      <c r="AQ1015" s="215" t="str">
        <f t="shared" si="159"/>
        <v>NA</v>
      </c>
      <c r="AR1015" s="215" t="str">
        <f t="shared" si="154"/>
        <v>NA</v>
      </c>
    </row>
    <row r="1016" spans="2:44">
      <c r="B1016" s="230">
        <v>44580</v>
      </c>
      <c r="C1016" s="1">
        <v>391.95</v>
      </c>
      <c r="D1016" s="1">
        <v>393.78318584070701</v>
      </c>
      <c r="E1016" s="1">
        <v>1130</v>
      </c>
      <c r="F1016" s="215">
        <v>60098.82</v>
      </c>
      <c r="G1016" s="215">
        <f t="shared" si="160"/>
        <v>1.0665165269701404E-2</v>
      </c>
      <c r="H1016" s="215">
        <f t="shared" si="161"/>
        <v>-6.085964244960107E-3</v>
      </c>
      <c r="I1016" s="231">
        <v>444975</v>
      </c>
      <c r="K1016" s="230">
        <v>44579</v>
      </c>
      <c r="L1016" s="1">
        <v>268.60000000000002</v>
      </c>
      <c r="M1016" s="1">
        <v>272.00625462924802</v>
      </c>
      <c r="N1016" s="1">
        <v>36453</v>
      </c>
      <c r="O1016" s="1">
        <v>60754.86</v>
      </c>
      <c r="P1016" s="215">
        <f t="shared" si="156"/>
        <v>1.0916021312897595E-2</v>
      </c>
      <c r="Q1016" s="215">
        <f t="shared" si="151"/>
        <v>-5.1851851851850705E-3</v>
      </c>
      <c r="R1016" s="231">
        <v>9915444</v>
      </c>
      <c r="T1016" s="230">
        <v>44579</v>
      </c>
      <c r="U1016" s="1">
        <v>61.2</v>
      </c>
      <c r="V1016" s="1">
        <v>62.678350564505799</v>
      </c>
      <c r="W1016" s="1">
        <v>126128</v>
      </c>
      <c r="X1016" s="1">
        <v>60754.86</v>
      </c>
      <c r="Y1016" s="215">
        <f t="shared" si="157"/>
        <v>1.0916021312897595E-2</v>
      </c>
      <c r="Z1016" s="215">
        <f t="shared" si="152"/>
        <v>1.7456359102244523E-2</v>
      </c>
      <c r="AA1016" s="231">
        <v>7905495</v>
      </c>
      <c r="AC1016" s="230">
        <v>44613</v>
      </c>
      <c r="AD1016" s="1">
        <v>62.25</v>
      </c>
      <c r="AE1016" s="1">
        <v>62.149696816574</v>
      </c>
      <c r="AF1016" s="1">
        <v>7916</v>
      </c>
      <c r="AG1016" s="1">
        <v>57683.59</v>
      </c>
      <c r="AH1016" s="215">
        <f t="shared" si="158"/>
        <v>6.6824686897257735E-3</v>
      </c>
      <c r="AI1016" s="215">
        <f t="shared" si="153"/>
        <v>2.977667493796532E-2</v>
      </c>
      <c r="AJ1016" s="231">
        <v>491977</v>
      </c>
      <c r="AL1016" s="254"/>
      <c r="AQ1016" s="215" t="str">
        <f t="shared" si="159"/>
        <v>NA</v>
      </c>
      <c r="AR1016" s="215" t="str">
        <f t="shared" si="154"/>
        <v>NA</v>
      </c>
    </row>
    <row r="1017" spans="2:44">
      <c r="B1017" s="230">
        <v>44581</v>
      </c>
      <c r="C1017" s="1">
        <v>394.35</v>
      </c>
      <c r="D1017" s="1">
        <v>394.46611667648699</v>
      </c>
      <c r="E1017" s="1">
        <v>1697</v>
      </c>
      <c r="F1017" s="215">
        <v>59464.62</v>
      </c>
      <c r="G1017" s="215">
        <f t="shared" si="160"/>
        <v>7.2401832201334226E-3</v>
      </c>
      <c r="H1017" s="215">
        <f t="shared" si="161"/>
        <v>2.7972027972027469E-3</v>
      </c>
      <c r="I1017" s="231">
        <v>669409</v>
      </c>
      <c r="K1017" s="230">
        <v>44580</v>
      </c>
      <c r="L1017" s="1">
        <v>270</v>
      </c>
      <c r="M1017" s="1">
        <v>269.68995542655699</v>
      </c>
      <c r="N1017" s="1">
        <v>19294</v>
      </c>
      <c r="O1017" s="1">
        <v>60098.82</v>
      </c>
      <c r="P1017" s="215">
        <f t="shared" si="156"/>
        <v>1.0665165269701404E-2</v>
      </c>
      <c r="Q1017" s="215">
        <f t="shared" si="151"/>
        <v>-4.1022908897176413E-2</v>
      </c>
      <c r="R1017" s="231">
        <v>5203398</v>
      </c>
      <c r="T1017" s="230">
        <v>44580</v>
      </c>
      <c r="U1017" s="1">
        <v>60.15</v>
      </c>
      <c r="V1017" s="1">
        <v>60.458851099256798</v>
      </c>
      <c r="W1017" s="1">
        <v>97293</v>
      </c>
      <c r="X1017" s="1">
        <v>60098.82</v>
      </c>
      <c r="Y1017" s="215">
        <f t="shared" si="157"/>
        <v>1.0665165269701404E-2</v>
      </c>
      <c r="Z1017" s="215">
        <f t="shared" si="152"/>
        <v>-9.8765432098765205E-3</v>
      </c>
      <c r="AA1017" s="231">
        <v>5882223</v>
      </c>
      <c r="AC1017" s="230">
        <v>44614</v>
      </c>
      <c r="AD1017" s="1">
        <v>60.45</v>
      </c>
      <c r="AE1017" s="1">
        <v>59.350780734550199</v>
      </c>
      <c r="AF1017" s="1">
        <v>13641</v>
      </c>
      <c r="AG1017" s="1">
        <v>57300.68</v>
      </c>
      <c r="AH1017" s="215">
        <f t="shared" si="158"/>
        <v>1.1989783348704819E-3</v>
      </c>
      <c r="AI1017" s="215">
        <f t="shared" si="153"/>
        <v>-4.9382716049382047E-3</v>
      </c>
      <c r="AJ1017" s="231">
        <v>809604</v>
      </c>
      <c r="AL1017" s="254"/>
      <c r="AQ1017" s="215" t="str">
        <f t="shared" si="159"/>
        <v>NA</v>
      </c>
      <c r="AR1017" s="215" t="str">
        <f t="shared" si="154"/>
        <v>NA</v>
      </c>
    </row>
    <row r="1018" spans="2:44">
      <c r="B1018" s="230">
        <v>44582</v>
      </c>
      <c r="C1018" s="1">
        <v>393.25</v>
      </c>
      <c r="D1018" s="1">
        <v>395.90636168691901</v>
      </c>
      <c r="E1018" s="1">
        <v>1399</v>
      </c>
      <c r="F1018" s="215">
        <v>59037.18</v>
      </c>
      <c r="G1018" s="215">
        <f t="shared" si="160"/>
        <v>2.6885187047617887E-2</v>
      </c>
      <c r="H1018" s="215">
        <f t="shared" si="161"/>
        <v>6.3268892794376086E-2</v>
      </c>
      <c r="I1018" s="231">
        <v>553873</v>
      </c>
      <c r="K1018" s="230">
        <v>44581</v>
      </c>
      <c r="L1018" s="1">
        <v>281.55</v>
      </c>
      <c r="M1018" s="1">
        <v>280.64089444224498</v>
      </c>
      <c r="N1018" s="1">
        <v>35374</v>
      </c>
      <c r="O1018" s="1">
        <v>59464.62</v>
      </c>
      <c r="P1018" s="215">
        <f t="shared" si="156"/>
        <v>7.2401832201334226E-3</v>
      </c>
      <c r="Q1018" s="215">
        <f t="shared" si="151"/>
        <v>2.2145579960065387E-2</v>
      </c>
      <c r="R1018" s="231">
        <v>9927391</v>
      </c>
      <c r="T1018" s="230">
        <v>44581</v>
      </c>
      <c r="U1018" s="1">
        <v>60.75</v>
      </c>
      <c r="V1018" s="1">
        <v>60.7231616892822</v>
      </c>
      <c r="W1018" s="1">
        <v>102363</v>
      </c>
      <c r="X1018" s="1">
        <v>59464.62</v>
      </c>
      <c r="Y1018" s="215">
        <f t="shared" si="157"/>
        <v>7.2401832201334226E-3</v>
      </c>
      <c r="Z1018" s="215">
        <f t="shared" si="152"/>
        <v>2.4752475247524774E-3</v>
      </c>
      <c r="AA1018" s="231">
        <v>6215805</v>
      </c>
      <c r="AC1018" s="230">
        <v>44615</v>
      </c>
      <c r="AD1018" s="1">
        <v>60.75</v>
      </c>
      <c r="AE1018" s="1">
        <v>62.199038076152299</v>
      </c>
      <c r="AF1018" s="1">
        <v>12475</v>
      </c>
      <c r="AG1018" s="1">
        <v>57232.06</v>
      </c>
      <c r="AH1018" s="215">
        <f t="shared" si="158"/>
        <v>4.9553538599275138E-2</v>
      </c>
      <c r="AI1018" s="215">
        <f t="shared" si="153"/>
        <v>7.0484581497797461E-2</v>
      </c>
      <c r="AJ1018" s="231">
        <v>775933</v>
      </c>
      <c r="AL1018" s="254"/>
      <c r="AQ1018" s="215" t="str">
        <f t="shared" si="159"/>
        <v>NA</v>
      </c>
      <c r="AR1018" s="215" t="str">
        <f t="shared" si="154"/>
        <v>NA</v>
      </c>
    </row>
    <row r="1019" spans="2:44">
      <c r="B1019" s="230">
        <v>44585</v>
      </c>
      <c r="C1019" s="1">
        <v>369.85</v>
      </c>
      <c r="D1019" s="1">
        <v>378.37311408713299</v>
      </c>
      <c r="E1019" s="1">
        <v>5899</v>
      </c>
      <c r="F1019" s="215">
        <v>57491.51</v>
      </c>
      <c r="G1019" s="215">
        <f t="shared" si="160"/>
        <v>-6.3368773457153083E-3</v>
      </c>
      <c r="H1019" s="215">
        <f t="shared" si="161"/>
        <v>-1.9745560561887032E-2</v>
      </c>
      <c r="I1019" s="231">
        <v>2232023</v>
      </c>
      <c r="K1019" s="230">
        <v>44582</v>
      </c>
      <c r="L1019" s="1">
        <v>275.45</v>
      </c>
      <c r="M1019" s="1">
        <v>277.28402559155001</v>
      </c>
      <c r="N1019" s="1">
        <v>49235</v>
      </c>
      <c r="O1019" s="1">
        <v>59037.18</v>
      </c>
      <c r="P1019" s="215">
        <f t="shared" si="156"/>
        <v>2.6885187047617887E-2</v>
      </c>
      <c r="Q1019" s="215">
        <f t="shared" si="151"/>
        <v>3.0104712041884918E-2</v>
      </c>
      <c r="R1019" s="231">
        <v>13652079</v>
      </c>
      <c r="T1019" s="230">
        <v>44582</v>
      </c>
      <c r="U1019" s="1">
        <v>60.6</v>
      </c>
      <c r="V1019" s="1">
        <v>61.282163972696502</v>
      </c>
      <c r="W1019" s="1">
        <v>197045</v>
      </c>
      <c r="X1019" s="1">
        <v>59037.18</v>
      </c>
      <c r="Y1019" s="215">
        <f t="shared" si="157"/>
        <v>2.6885187047617887E-2</v>
      </c>
      <c r="Z1019" s="215">
        <f t="shared" si="152"/>
        <v>6.1295971978984287E-2</v>
      </c>
      <c r="AA1019" s="231">
        <v>12075344</v>
      </c>
      <c r="AC1019" s="230">
        <v>44616</v>
      </c>
      <c r="AD1019" s="1">
        <v>56.75</v>
      </c>
      <c r="AE1019" s="1">
        <v>56.630217953454</v>
      </c>
      <c r="AF1019" s="1">
        <v>13535</v>
      </c>
      <c r="AG1019" s="1">
        <v>54529.91</v>
      </c>
      <c r="AH1019" s="215">
        <f t="shared" si="158"/>
        <v>-2.3785270358040123E-2</v>
      </c>
      <c r="AI1019" s="215">
        <f t="shared" si="153"/>
        <v>-5.5740432612312873E-2</v>
      </c>
      <c r="AJ1019" s="231">
        <v>766490</v>
      </c>
      <c r="AL1019" s="254"/>
      <c r="AQ1019" s="215" t="str">
        <f t="shared" si="159"/>
        <v>NA</v>
      </c>
      <c r="AR1019" s="215" t="str">
        <f t="shared" si="154"/>
        <v>NA</v>
      </c>
    </row>
    <row r="1020" spans="2:44">
      <c r="B1020" s="230">
        <v>44586</v>
      </c>
      <c r="C1020" s="1">
        <v>377.3</v>
      </c>
      <c r="D1020" s="1">
        <v>372.82769400514798</v>
      </c>
      <c r="E1020" s="1">
        <v>5438</v>
      </c>
      <c r="F1020" s="215">
        <v>57858.15</v>
      </c>
      <c r="G1020" s="215">
        <f t="shared" si="160"/>
        <v>1.0147364716061924E-2</v>
      </c>
      <c r="H1020" s="215">
        <f t="shared" si="161"/>
        <v>-4.4568245125348072E-2</v>
      </c>
      <c r="I1020" s="231">
        <v>2027437</v>
      </c>
      <c r="K1020" s="230">
        <v>44585</v>
      </c>
      <c r="L1020" s="1">
        <v>267.39999999999998</v>
      </c>
      <c r="M1020" s="1">
        <v>266.37237861108201</v>
      </c>
      <c r="N1020" s="1">
        <v>86643</v>
      </c>
      <c r="O1020" s="1">
        <v>57491.51</v>
      </c>
      <c r="P1020" s="215">
        <f t="shared" si="156"/>
        <v>-6.3368773457153083E-3</v>
      </c>
      <c r="Q1020" s="215">
        <f t="shared" si="151"/>
        <v>-2.7989821882951849E-2</v>
      </c>
      <c r="R1020" s="231">
        <v>23079302</v>
      </c>
      <c r="T1020" s="230">
        <v>44585</v>
      </c>
      <c r="U1020" s="1">
        <v>57.1</v>
      </c>
      <c r="V1020" s="1">
        <v>58.284799738771</v>
      </c>
      <c r="W1020" s="1">
        <v>116373</v>
      </c>
      <c r="X1020" s="1">
        <v>57491.51</v>
      </c>
      <c r="Y1020" s="215">
        <f t="shared" si="157"/>
        <v>-6.3368773457153083E-3</v>
      </c>
      <c r="Z1020" s="215">
        <f t="shared" si="152"/>
        <v>-2.4765157984628416E-2</v>
      </c>
      <c r="AA1020" s="231">
        <v>6782777</v>
      </c>
      <c r="AC1020" s="230">
        <v>44617</v>
      </c>
      <c r="AD1020" s="1">
        <v>60.1</v>
      </c>
      <c r="AE1020" s="1">
        <v>59.843773443360803</v>
      </c>
      <c r="AF1020" s="1">
        <v>5332</v>
      </c>
      <c r="AG1020" s="1">
        <v>55858.52</v>
      </c>
      <c r="AH1020" s="215">
        <f t="shared" si="158"/>
        <v>-6.9116231042639642E-3</v>
      </c>
      <c r="AI1020" s="215">
        <f t="shared" si="153"/>
        <v>-3.7630104083266613E-2</v>
      </c>
      <c r="AJ1020" s="231">
        <v>319087</v>
      </c>
      <c r="AL1020" s="254"/>
      <c r="AQ1020" s="215" t="str">
        <f t="shared" si="159"/>
        <v>NA</v>
      </c>
      <c r="AR1020" s="215" t="str">
        <f t="shared" si="154"/>
        <v>NA</v>
      </c>
    </row>
    <row r="1021" spans="2:44">
      <c r="B1021" s="230">
        <v>44588</v>
      </c>
      <c r="C1021" s="1">
        <v>394.9</v>
      </c>
      <c r="D1021" s="1">
        <v>373.391918399372</v>
      </c>
      <c r="E1021" s="1">
        <v>2549</v>
      </c>
      <c r="F1021" s="215">
        <v>57276.94</v>
      </c>
      <c r="G1021" s="215">
        <f t="shared" si="160"/>
        <v>1.3410785236351863E-3</v>
      </c>
      <c r="H1021" s="215">
        <f t="shared" si="161"/>
        <v>1.7128139085640592E-2</v>
      </c>
      <c r="I1021" s="231">
        <v>951776</v>
      </c>
      <c r="K1021" s="230">
        <v>44586</v>
      </c>
      <c r="L1021" s="1">
        <v>275.10000000000002</v>
      </c>
      <c r="M1021" s="1">
        <v>271.24511425462401</v>
      </c>
      <c r="N1021" s="1">
        <v>45950</v>
      </c>
      <c r="O1021" s="1">
        <v>57858.15</v>
      </c>
      <c r="P1021" s="215">
        <f t="shared" si="156"/>
        <v>1.0147364716061924E-2</v>
      </c>
      <c r="Q1021" s="215">
        <f t="shared" si="151"/>
        <v>-1.0787486515641875E-2</v>
      </c>
      <c r="R1021" s="231">
        <v>12463713</v>
      </c>
      <c r="T1021" s="230">
        <v>44586</v>
      </c>
      <c r="U1021" s="1">
        <v>58.55</v>
      </c>
      <c r="V1021" s="1">
        <v>57.749461677239097</v>
      </c>
      <c r="W1021" s="1">
        <v>85915</v>
      </c>
      <c r="X1021" s="1">
        <v>57858.15</v>
      </c>
      <c r="Y1021" s="215">
        <f t="shared" si="157"/>
        <v>1.0147364716061924E-2</v>
      </c>
      <c r="Z1021" s="215">
        <f t="shared" si="152"/>
        <v>-5.0977060322855428E-3</v>
      </c>
      <c r="AA1021" s="231">
        <v>4961545</v>
      </c>
      <c r="AC1021" s="230">
        <v>44620</v>
      </c>
      <c r="AD1021" s="1">
        <v>62.45</v>
      </c>
      <c r="AE1021" s="1">
        <v>61.172757475083003</v>
      </c>
      <c r="AF1021" s="1">
        <v>3311</v>
      </c>
      <c r="AG1021" s="1">
        <v>56247.28</v>
      </c>
      <c r="AH1021" s="215">
        <f t="shared" si="158"/>
        <v>1.4032728249523618E-2</v>
      </c>
      <c r="AI1021" s="215">
        <f t="shared" si="153"/>
        <v>-1.7309205350117929E-2</v>
      </c>
      <c r="AJ1021" s="231">
        <v>202543</v>
      </c>
      <c r="AL1021" s="254"/>
      <c r="AQ1021" s="215" t="str">
        <f t="shared" si="159"/>
        <v>NA</v>
      </c>
      <c r="AR1021" s="215" t="str">
        <f t="shared" si="154"/>
        <v>NA</v>
      </c>
    </row>
    <row r="1022" spans="2:44">
      <c r="B1022" s="230">
        <v>44589</v>
      </c>
      <c r="C1022" s="1">
        <v>388.25</v>
      </c>
      <c r="D1022" s="1">
        <v>391.54435872709701</v>
      </c>
      <c r="E1022" s="1">
        <v>2074</v>
      </c>
      <c r="F1022" s="215">
        <v>57200.23</v>
      </c>
      <c r="G1022" s="215">
        <f t="shared" si="160"/>
        <v>-1.4030020596692117E-2</v>
      </c>
      <c r="H1022" s="215">
        <f t="shared" si="161"/>
        <v>-1.7834556033392346E-2</v>
      </c>
      <c r="I1022" s="231">
        <v>812063</v>
      </c>
      <c r="K1022" s="230">
        <v>44588</v>
      </c>
      <c r="L1022" s="1">
        <v>278.10000000000002</v>
      </c>
      <c r="M1022" s="1">
        <v>273.30966646006902</v>
      </c>
      <c r="N1022" s="1">
        <v>43563</v>
      </c>
      <c r="O1022" s="1">
        <v>57276.94</v>
      </c>
      <c r="P1022" s="215">
        <f t="shared" si="156"/>
        <v>1.3410785236351863E-3</v>
      </c>
      <c r="Q1022" s="215">
        <f t="shared" si="151"/>
        <v>-4.0207075064710884E-2</v>
      </c>
      <c r="R1022" s="231">
        <v>11906189</v>
      </c>
      <c r="T1022" s="230">
        <v>44588</v>
      </c>
      <c r="U1022" s="1">
        <v>58.85</v>
      </c>
      <c r="V1022" s="1">
        <v>57.898636464579099</v>
      </c>
      <c r="W1022" s="1">
        <v>112575</v>
      </c>
      <c r="X1022" s="1">
        <v>57276.94</v>
      </c>
      <c r="Y1022" s="215">
        <f t="shared" si="157"/>
        <v>1.3410785236351863E-3</v>
      </c>
      <c r="Z1022" s="215">
        <f t="shared" si="152"/>
        <v>-1.7529215358931483E-2</v>
      </c>
      <c r="AA1022" s="231">
        <v>6517939</v>
      </c>
      <c r="AC1022" s="230">
        <v>44622</v>
      </c>
      <c r="AD1022" s="1">
        <v>63.55</v>
      </c>
      <c r="AE1022" s="1">
        <v>63.697085262871099</v>
      </c>
      <c r="AF1022" s="1">
        <v>3671</v>
      </c>
      <c r="AG1022" s="1">
        <v>55468.9</v>
      </c>
      <c r="AH1022" s="215">
        <f t="shared" si="158"/>
        <v>6.6461377196171956E-3</v>
      </c>
      <c r="AI1022" s="215">
        <f t="shared" si="153"/>
        <v>-7.0312500000000444E-3</v>
      </c>
      <c r="AJ1022" s="231">
        <v>233832</v>
      </c>
      <c r="AL1022" s="254"/>
      <c r="AQ1022" s="215" t="str">
        <f t="shared" si="159"/>
        <v>NA</v>
      </c>
      <c r="AR1022" s="215" t="str">
        <f t="shared" si="154"/>
        <v>NA</v>
      </c>
    </row>
    <row r="1023" spans="2:44">
      <c r="B1023" s="230">
        <v>44592</v>
      </c>
      <c r="C1023" s="1">
        <v>395.3</v>
      </c>
      <c r="D1023" s="1">
        <v>405.01450725362599</v>
      </c>
      <c r="E1023" s="1">
        <v>3998</v>
      </c>
      <c r="F1023" s="215">
        <v>58014.17</v>
      </c>
      <c r="G1023" s="215">
        <f t="shared" si="160"/>
        <v>-1.4413234080673076E-2</v>
      </c>
      <c r="H1023" s="215">
        <f t="shared" si="161"/>
        <v>5.2129688493325332E-3</v>
      </c>
      <c r="I1023" s="231">
        <v>1619248</v>
      </c>
      <c r="K1023" s="230">
        <v>44589</v>
      </c>
      <c r="L1023" s="1">
        <v>289.75</v>
      </c>
      <c r="M1023" s="1">
        <v>291.85520322959002</v>
      </c>
      <c r="N1023" s="1">
        <v>115928</v>
      </c>
      <c r="O1023" s="1">
        <v>57200.23</v>
      </c>
      <c r="P1023" s="215">
        <f t="shared" si="156"/>
        <v>-1.4030020596692117E-2</v>
      </c>
      <c r="Q1023" s="215">
        <f t="shared" si="151"/>
        <v>-3.3522348232154831E-2</v>
      </c>
      <c r="R1023" s="231">
        <v>33834190</v>
      </c>
      <c r="T1023" s="230">
        <v>44589</v>
      </c>
      <c r="U1023" s="1">
        <v>59.9</v>
      </c>
      <c r="V1023" s="1">
        <v>60.743973328341603</v>
      </c>
      <c r="W1023" s="1">
        <v>197663</v>
      </c>
      <c r="X1023" s="1">
        <v>57200.23</v>
      </c>
      <c r="Y1023" s="215">
        <f t="shared" si="157"/>
        <v>-1.4030020596692117E-2</v>
      </c>
      <c r="Z1023" s="215">
        <f t="shared" si="152"/>
        <v>-4.983388704319025E-3</v>
      </c>
      <c r="AA1023" s="231">
        <v>12006836</v>
      </c>
      <c r="AC1023" s="230">
        <v>44623</v>
      </c>
      <c r="AD1023" s="1">
        <v>64</v>
      </c>
      <c r="AE1023" s="1">
        <v>65.072480181200405</v>
      </c>
      <c r="AF1023" s="1">
        <v>883</v>
      </c>
      <c r="AG1023" s="1">
        <v>55102.68</v>
      </c>
      <c r="AH1023" s="215">
        <f t="shared" si="158"/>
        <v>1.4150857449532817E-2</v>
      </c>
      <c r="AI1023" s="215">
        <f t="shared" si="153"/>
        <v>1.7488076311605649E-2</v>
      </c>
      <c r="AJ1023" s="231">
        <v>57459</v>
      </c>
      <c r="AL1023" s="254"/>
      <c r="AQ1023" s="215" t="str">
        <f t="shared" si="159"/>
        <v>NA</v>
      </c>
      <c r="AR1023" s="215" t="str">
        <f t="shared" si="154"/>
        <v>NA</v>
      </c>
    </row>
    <row r="1024" spans="2:44">
      <c r="B1024" s="230">
        <v>44593</v>
      </c>
      <c r="C1024" s="1">
        <v>393.25</v>
      </c>
      <c r="D1024" s="1">
        <v>399.81309786607699</v>
      </c>
      <c r="E1024" s="1">
        <v>1359</v>
      </c>
      <c r="F1024" s="215">
        <v>58862.57</v>
      </c>
      <c r="G1024" s="215">
        <f t="shared" si="160"/>
        <v>-1.1681993098194732E-2</v>
      </c>
      <c r="H1024" s="215">
        <f t="shared" si="161"/>
        <v>-3.1045952938277721E-2</v>
      </c>
      <c r="I1024" s="231">
        <v>543346</v>
      </c>
      <c r="K1024" s="230">
        <v>44592</v>
      </c>
      <c r="L1024" s="1">
        <v>299.8</v>
      </c>
      <c r="M1024" s="1">
        <v>299.38756277512499</v>
      </c>
      <c r="N1024" s="1">
        <v>64516</v>
      </c>
      <c r="O1024" s="1">
        <v>58014.17</v>
      </c>
      <c r="P1024" s="215">
        <f t="shared" si="156"/>
        <v>-1.4413234080673076E-2</v>
      </c>
      <c r="Q1024" s="215">
        <f t="shared" si="151"/>
        <v>-9.0826383623957563E-2</v>
      </c>
      <c r="R1024" s="231">
        <v>19315288</v>
      </c>
      <c r="T1024" s="230">
        <v>44592</v>
      </c>
      <c r="U1024" s="1">
        <v>60.2</v>
      </c>
      <c r="V1024" s="1">
        <v>60.711337422944801</v>
      </c>
      <c r="W1024" s="1">
        <v>133346</v>
      </c>
      <c r="X1024" s="1">
        <v>58014.17</v>
      </c>
      <c r="Y1024" s="215">
        <f t="shared" si="157"/>
        <v>-1.4413234080673076E-2</v>
      </c>
      <c r="Z1024" s="215">
        <f t="shared" si="152"/>
        <v>-8.2987551867219622E-4</v>
      </c>
      <c r="AA1024" s="231">
        <v>8095614</v>
      </c>
      <c r="AC1024" s="230">
        <v>44624</v>
      </c>
      <c r="AD1024" s="1">
        <v>62.9</v>
      </c>
      <c r="AE1024" s="1">
        <v>63.190882134914702</v>
      </c>
      <c r="AF1024" s="1">
        <v>5396</v>
      </c>
      <c r="AG1024" s="1">
        <v>54333.81</v>
      </c>
      <c r="AH1024" s="215">
        <f t="shared" si="158"/>
        <v>2.8216926636104311E-2</v>
      </c>
      <c r="AI1024" s="215">
        <f t="shared" si="153"/>
        <v>1.9448946515397081E-2</v>
      </c>
      <c r="AJ1024" s="231">
        <v>340978</v>
      </c>
      <c r="AL1024" s="254"/>
      <c r="AQ1024" s="215" t="str">
        <f t="shared" si="159"/>
        <v>NA</v>
      </c>
      <c r="AR1024" s="215" t="str">
        <f t="shared" si="154"/>
        <v>NA</v>
      </c>
    </row>
    <row r="1025" spans="2:44">
      <c r="B1025" s="230">
        <v>44594</v>
      </c>
      <c r="C1025" s="1">
        <v>405.85</v>
      </c>
      <c r="D1025" s="1">
        <v>403.86195472114798</v>
      </c>
      <c r="E1025" s="1">
        <v>3622</v>
      </c>
      <c r="F1025" s="215">
        <v>59558.33</v>
      </c>
      <c r="G1025" s="215">
        <f t="shared" si="160"/>
        <v>1.3103179865557646E-2</v>
      </c>
      <c r="H1025" s="215">
        <f t="shared" si="161"/>
        <v>1.2094763092269423E-2</v>
      </c>
      <c r="I1025" s="231">
        <v>1462788</v>
      </c>
      <c r="K1025" s="230">
        <v>44593</v>
      </c>
      <c r="L1025" s="1">
        <v>329.75</v>
      </c>
      <c r="M1025" s="1">
        <v>322.70974689417801</v>
      </c>
      <c r="N1025" s="1">
        <v>342663</v>
      </c>
      <c r="O1025" s="1">
        <v>58862.57</v>
      </c>
      <c r="P1025" s="215">
        <f t="shared" si="156"/>
        <v>-1.1681993098194732E-2</v>
      </c>
      <c r="Q1025" s="215">
        <f t="shared" si="151"/>
        <v>3.9237314843996174E-2</v>
      </c>
      <c r="R1025" s="231">
        <v>110580690</v>
      </c>
      <c r="T1025" s="230">
        <v>44593</v>
      </c>
      <c r="U1025" s="1">
        <v>60.25</v>
      </c>
      <c r="V1025" s="1">
        <v>60.070203954399702</v>
      </c>
      <c r="W1025" s="1">
        <v>89824</v>
      </c>
      <c r="X1025" s="1">
        <v>58862.57</v>
      </c>
      <c r="Y1025" s="215">
        <f t="shared" si="157"/>
        <v>-1.1681993098194732E-2</v>
      </c>
      <c r="Z1025" s="215">
        <f t="shared" si="152"/>
        <v>7.5250836120401843E-3</v>
      </c>
      <c r="AA1025" s="231">
        <v>5395746</v>
      </c>
      <c r="AC1025" s="230">
        <v>44627</v>
      </c>
      <c r="AD1025" s="1">
        <v>61.7</v>
      </c>
      <c r="AE1025" s="1">
        <v>61.922697368420998</v>
      </c>
      <c r="AF1025" s="1">
        <v>6688</v>
      </c>
      <c r="AG1025" s="1">
        <v>52842.75</v>
      </c>
      <c r="AH1025" s="215">
        <f t="shared" si="158"/>
        <v>-1.0881607903850066E-2</v>
      </c>
      <c r="AI1025" s="215">
        <f t="shared" si="153"/>
        <v>0</v>
      </c>
      <c r="AJ1025" s="231">
        <v>414139</v>
      </c>
      <c r="AL1025" s="254"/>
      <c r="AQ1025" s="215" t="str">
        <f t="shared" si="159"/>
        <v>NA</v>
      </c>
      <c r="AR1025" s="215" t="str">
        <f t="shared" si="154"/>
        <v>NA</v>
      </c>
    </row>
    <row r="1026" spans="2:44">
      <c r="B1026" s="230">
        <v>44595</v>
      </c>
      <c r="C1026" s="1">
        <v>401</v>
      </c>
      <c r="D1026" s="1">
        <v>400.78291536050102</v>
      </c>
      <c r="E1026" s="1">
        <v>1276</v>
      </c>
      <c r="F1026" s="215">
        <v>58788.02</v>
      </c>
      <c r="G1026" s="215">
        <f t="shared" si="160"/>
        <v>2.4418183907801705E-3</v>
      </c>
      <c r="H1026" s="215">
        <f t="shared" si="161"/>
        <v>2.4920127795527103E-2</v>
      </c>
      <c r="I1026" s="231">
        <v>511399</v>
      </c>
      <c r="K1026" s="230">
        <v>44594</v>
      </c>
      <c r="L1026" s="1">
        <v>317.3</v>
      </c>
      <c r="M1026" s="1">
        <v>325.62202956617801</v>
      </c>
      <c r="N1026" s="1">
        <v>173712</v>
      </c>
      <c r="O1026" s="1">
        <v>59558.33</v>
      </c>
      <c r="P1026" s="215">
        <f t="shared" si="156"/>
        <v>1.3103179865557646E-2</v>
      </c>
      <c r="Q1026" s="215">
        <f t="shared" si="151"/>
        <v>-1.0910224438902771E-2</v>
      </c>
      <c r="R1026" s="231">
        <v>56564454</v>
      </c>
      <c r="T1026" s="230">
        <v>44594</v>
      </c>
      <c r="U1026" s="1">
        <v>59.8</v>
      </c>
      <c r="V1026" s="1">
        <v>60.164532235316997</v>
      </c>
      <c r="W1026" s="1">
        <v>246748</v>
      </c>
      <c r="X1026" s="1">
        <v>59558.33</v>
      </c>
      <c r="Y1026" s="215">
        <f t="shared" si="157"/>
        <v>1.3103179865557646E-2</v>
      </c>
      <c r="Z1026" s="215">
        <f t="shared" si="152"/>
        <v>-2.6058631921824116E-2</v>
      </c>
      <c r="AA1026" s="231">
        <v>14845478</v>
      </c>
      <c r="AC1026" s="230">
        <v>44628</v>
      </c>
      <c r="AD1026" s="1">
        <v>61.7</v>
      </c>
      <c r="AE1026" s="1">
        <v>62.066490886163002</v>
      </c>
      <c r="AF1026" s="1">
        <v>8723</v>
      </c>
      <c r="AG1026" s="1">
        <v>53424.09</v>
      </c>
      <c r="AH1026" s="215">
        <f t="shared" si="158"/>
        <v>-2.2384259212664293E-2</v>
      </c>
      <c r="AI1026" s="215">
        <f t="shared" si="153"/>
        <v>-4.4891640866872917E-2</v>
      </c>
      <c r="AJ1026" s="231">
        <v>541406</v>
      </c>
      <c r="AL1026" s="254"/>
      <c r="AQ1026" s="215" t="str">
        <f t="shared" si="159"/>
        <v>NA</v>
      </c>
      <c r="AR1026" s="215" t="str">
        <f t="shared" si="154"/>
        <v>NA</v>
      </c>
    </row>
    <row r="1027" spans="2:44">
      <c r="B1027" s="230">
        <v>44596</v>
      </c>
      <c r="C1027" s="1">
        <v>391.25</v>
      </c>
      <c r="D1027" s="1">
        <v>390.72020018198299</v>
      </c>
      <c r="E1027" s="1">
        <v>4396</v>
      </c>
      <c r="F1027" s="215">
        <v>58644.82</v>
      </c>
      <c r="G1027" s="215">
        <f t="shared" si="160"/>
        <v>1.7764818810579897E-2</v>
      </c>
      <c r="H1027" s="215">
        <f t="shared" si="161"/>
        <v>-1.913265306122458E-3</v>
      </c>
      <c r="I1027" s="231">
        <v>1717606</v>
      </c>
      <c r="K1027" s="230">
        <v>44595</v>
      </c>
      <c r="L1027" s="1">
        <v>320.8</v>
      </c>
      <c r="M1027" s="1">
        <v>322.290050287356</v>
      </c>
      <c r="N1027" s="1">
        <v>33408</v>
      </c>
      <c r="O1027" s="1">
        <v>58788.02</v>
      </c>
      <c r="P1027" s="215">
        <f t="shared" si="156"/>
        <v>2.4418183907801705E-3</v>
      </c>
      <c r="Q1027" s="215">
        <f t="shared" si="151"/>
        <v>-9.8765432098765205E-3</v>
      </c>
      <c r="R1027" s="231">
        <v>10767066</v>
      </c>
      <c r="T1027" s="230">
        <v>44595</v>
      </c>
      <c r="U1027" s="1">
        <v>61.4</v>
      </c>
      <c r="V1027" s="1">
        <v>61.294951146953899</v>
      </c>
      <c r="W1027" s="1">
        <v>70927</v>
      </c>
      <c r="X1027" s="1">
        <v>58788.02</v>
      </c>
      <c r="Y1027" s="215">
        <f t="shared" si="157"/>
        <v>2.4418183907801705E-3</v>
      </c>
      <c r="Z1027" s="215">
        <f t="shared" si="152"/>
        <v>2.0781379883624274E-2</v>
      </c>
      <c r="AA1027" s="231">
        <v>4347467</v>
      </c>
      <c r="AC1027" s="230">
        <v>44629</v>
      </c>
      <c r="AD1027" s="1">
        <v>64.599999999999994</v>
      </c>
      <c r="AE1027" s="1">
        <v>63.699671172816899</v>
      </c>
      <c r="AF1027" s="1">
        <v>2737</v>
      </c>
      <c r="AG1027" s="1">
        <v>54647.33</v>
      </c>
      <c r="AH1027" s="215">
        <f t="shared" si="158"/>
        <v>-1.4731253692684576E-2</v>
      </c>
      <c r="AI1027" s="215">
        <f t="shared" si="153"/>
        <v>1.4925373134328401E-2</v>
      </c>
      <c r="AJ1027" s="231">
        <v>174346</v>
      </c>
      <c r="AL1027" s="254"/>
      <c r="AQ1027" s="215" t="str">
        <f t="shared" si="159"/>
        <v>NA</v>
      </c>
      <c r="AR1027" s="215" t="str">
        <f t="shared" si="154"/>
        <v>NA</v>
      </c>
    </row>
    <row r="1028" spans="2:44">
      <c r="B1028" s="230">
        <v>44599</v>
      </c>
      <c r="C1028" s="1">
        <v>392</v>
      </c>
      <c r="D1028" s="1">
        <v>395.359477124183</v>
      </c>
      <c r="E1028" s="1">
        <v>1377</v>
      </c>
      <c r="F1028" s="215">
        <v>57621.19</v>
      </c>
      <c r="G1028" s="215">
        <f t="shared" si="160"/>
        <v>-3.2415603358532108E-3</v>
      </c>
      <c r="H1028" s="215">
        <f t="shared" si="161"/>
        <v>1.5675605648399982E-2</v>
      </c>
      <c r="I1028" s="231">
        <v>544410</v>
      </c>
      <c r="K1028" s="230">
        <v>44596</v>
      </c>
      <c r="L1028" s="1">
        <v>324</v>
      </c>
      <c r="M1028" s="1">
        <v>327.43412708359398</v>
      </c>
      <c r="N1028" s="1">
        <v>79790</v>
      </c>
      <c r="O1028" s="1">
        <v>58644.82</v>
      </c>
      <c r="P1028" s="215">
        <f t="shared" si="156"/>
        <v>1.7764818810579897E-2</v>
      </c>
      <c r="Q1028" s="215">
        <f t="shared" si="151"/>
        <v>1.2360939431395046E-3</v>
      </c>
      <c r="R1028" s="231">
        <v>26125969</v>
      </c>
      <c r="T1028" s="230">
        <v>44596</v>
      </c>
      <c r="U1028" s="1">
        <v>60.15</v>
      </c>
      <c r="V1028" s="1">
        <v>60.616700358861003</v>
      </c>
      <c r="W1028" s="1">
        <v>255252</v>
      </c>
      <c r="X1028" s="1">
        <v>58644.82</v>
      </c>
      <c r="Y1028" s="215">
        <f t="shared" si="157"/>
        <v>1.7764818810579897E-2</v>
      </c>
      <c r="Z1028" s="215">
        <f t="shared" si="152"/>
        <v>5.0125313283206907E-3</v>
      </c>
      <c r="AA1028" s="231">
        <v>15472534</v>
      </c>
      <c r="AC1028" s="230">
        <v>44630</v>
      </c>
      <c r="AD1028" s="1">
        <v>63.65</v>
      </c>
      <c r="AE1028" s="1">
        <v>63.890194865449999</v>
      </c>
      <c r="AF1028" s="1">
        <v>6466</v>
      </c>
      <c r="AG1028" s="1">
        <v>55464.39</v>
      </c>
      <c r="AH1028" s="215">
        <f t="shared" si="158"/>
        <v>-1.5465263013881847E-3</v>
      </c>
      <c r="AI1028" s="215">
        <f t="shared" si="153"/>
        <v>-2.6758409785932802E-2</v>
      </c>
      <c r="AJ1028" s="231">
        <v>413114</v>
      </c>
      <c r="AL1028" s="254"/>
      <c r="AQ1028" s="215" t="str">
        <f t="shared" si="159"/>
        <v>NA</v>
      </c>
      <c r="AR1028" s="215" t="str">
        <f t="shared" si="154"/>
        <v>NA</v>
      </c>
    </row>
    <row r="1029" spans="2:44">
      <c r="B1029" s="230">
        <v>44600</v>
      </c>
      <c r="C1029" s="1">
        <v>385.95</v>
      </c>
      <c r="D1029" s="1">
        <v>388.28696826468598</v>
      </c>
      <c r="E1029" s="1">
        <v>1481</v>
      </c>
      <c r="F1029" s="215">
        <v>57808.58</v>
      </c>
      <c r="G1029" s="215">
        <f t="shared" si="160"/>
        <v>-1.1243976624350838E-2</v>
      </c>
      <c r="H1029" s="215">
        <f t="shared" si="161"/>
        <v>-2.6485054861899338E-2</v>
      </c>
      <c r="I1029" s="231">
        <v>575053</v>
      </c>
      <c r="K1029" s="230">
        <v>44599</v>
      </c>
      <c r="L1029" s="1">
        <v>323.60000000000002</v>
      </c>
      <c r="M1029" s="1">
        <v>325.73334282234902</v>
      </c>
      <c r="N1029" s="1">
        <v>63231</v>
      </c>
      <c r="O1029" s="1">
        <v>57621.19</v>
      </c>
      <c r="P1029" s="215">
        <f t="shared" si="156"/>
        <v>-3.2415603358532108E-3</v>
      </c>
      <c r="Q1029" s="215">
        <f t="shared" si="151"/>
        <v>-1.0851291456518308E-2</v>
      </c>
      <c r="R1029" s="231">
        <v>20596445</v>
      </c>
      <c r="T1029" s="230">
        <v>44599</v>
      </c>
      <c r="U1029" s="1">
        <v>59.85</v>
      </c>
      <c r="V1029" s="1">
        <v>59.230841453136698</v>
      </c>
      <c r="W1029" s="1">
        <v>135266</v>
      </c>
      <c r="X1029" s="1">
        <v>57621.19</v>
      </c>
      <c r="Y1029" s="215">
        <f t="shared" si="157"/>
        <v>-3.2415603358532108E-3</v>
      </c>
      <c r="Z1029" s="215">
        <f t="shared" si="152"/>
        <v>-2.9983792544570509E-2</v>
      </c>
      <c r="AA1029" s="231">
        <v>8011919</v>
      </c>
      <c r="AC1029" s="230">
        <v>44631</v>
      </c>
      <c r="AD1029" s="1">
        <v>65.400000000000006</v>
      </c>
      <c r="AE1029" s="1">
        <v>64.328643781654407</v>
      </c>
      <c r="AF1029" s="1">
        <v>3554</v>
      </c>
      <c r="AG1029" s="1">
        <v>55550.3</v>
      </c>
      <c r="AH1029" s="215">
        <f t="shared" si="158"/>
        <v>-1.6565514794634084E-2</v>
      </c>
      <c r="AI1029" s="215">
        <f t="shared" si="153"/>
        <v>-3.2544378698224685E-2</v>
      </c>
      <c r="AJ1029" s="231">
        <v>228624</v>
      </c>
      <c r="AL1029" s="254"/>
      <c r="AQ1029" s="215" t="str">
        <f t="shared" si="159"/>
        <v>NA</v>
      </c>
      <c r="AR1029" s="215" t="str">
        <f t="shared" si="154"/>
        <v>NA</v>
      </c>
    </row>
    <row r="1030" spans="2:44">
      <c r="B1030" s="230">
        <v>44601</v>
      </c>
      <c r="C1030" s="1">
        <v>396.45</v>
      </c>
      <c r="D1030" s="1">
        <v>391.07283763277599</v>
      </c>
      <c r="E1030" s="1">
        <v>659</v>
      </c>
      <c r="F1030" s="215">
        <v>58465.97</v>
      </c>
      <c r="G1030" s="215">
        <f t="shared" si="160"/>
        <v>-7.8074155004163037E-3</v>
      </c>
      <c r="H1030" s="215">
        <f t="shared" si="161"/>
        <v>3.6708860759493422E-3</v>
      </c>
      <c r="I1030" s="231">
        <v>257717</v>
      </c>
      <c r="K1030" s="230">
        <v>44600</v>
      </c>
      <c r="L1030" s="1">
        <v>327.14999999999998</v>
      </c>
      <c r="M1030" s="1">
        <v>323.66808538609399</v>
      </c>
      <c r="N1030" s="1">
        <v>60853</v>
      </c>
      <c r="O1030" s="1">
        <v>57808.58</v>
      </c>
      <c r="P1030" s="215">
        <f t="shared" si="156"/>
        <v>-1.1243976624350838E-2</v>
      </c>
      <c r="Q1030" s="215">
        <f t="shared" si="151"/>
        <v>-1.9040479760120022E-2</v>
      </c>
      <c r="R1030" s="231">
        <v>19696174</v>
      </c>
      <c r="T1030" s="230">
        <v>44600</v>
      </c>
      <c r="U1030" s="1">
        <v>61.7</v>
      </c>
      <c r="V1030" s="1">
        <v>60.289503514901298</v>
      </c>
      <c r="W1030" s="1">
        <v>236422</v>
      </c>
      <c r="X1030" s="1">
        <v>57808.58</v>
      </c>
      <c r="Y1030" s="215">
        <f t="shared" si="157"/>
        <v>-1.1243976624350838E-2</v>
      </c>
      <c r="Z1030" s="215">
        <f t="shared" si="152"/>
        <v>-4.8573631457208832E-2</v>
      </c>
      <c r="AA1030" s="231">
        <v>14253765</v>
      </c>
      <c r="AC1030" s="230">
        <v>44634</v>
      </c>
      <c r="AD1030" s="1">
        <v>67.599999999999994</v>
      </c>
      <c r="AE1030" s="1">
        <v>66.962336554860698</v>
      </c>
      <c r="AF1030" s="1">
        <v>7036</v>
      </c>
      <c r="AG1030" s="1">
        <v>56486.02</v>
      </c>
      <c r="AH1030" s="215">
        <f t="shared" si="158"/>
        <v>1.2714414672036822E-2</v>
      </c>
      <c r="AI1030" s="215">
        <f t="shared" si="153"/>
        <v>5.2140077821011488E-2</v>
      </c>
      <c r="AJ1030" s="231">
        <v>471147</v>
      </c>
      <c r="AL1030" s="254"/>
      <c r="AQ1030" s="215" t="str">
        <f t="shared" si="159"/>
        <v>NA</v>
      </c>
      <c r="AR1030" s="215" t="str">
        <f t="shared" si="154"/>
        <v>NA</v>
      </c>
    </row>
    <row r="1031" spans="2:44">
      <c r="B1031" s="230">
        <v>44602</v>
      </c>
      <c r="C1031" s="1">
        <v>395</v>
      </c>
      <c r="D1031" s="1">
        <v>396.12755102040802</v>
      </c>
      <c r="E1031" s="1">
        <v>980</v>
      </c>
      <c r="F1031" s="215">
        <v>58926.03</v>
      </c>
      <c r="G1031" s="215">
        <f t="shared" si="160"/>
        <v>1.3294431302847798E-2</v>
      </c>
      <c r="H1031" s="215">
        <f t="shared" si="161"/>
        <v>-1.8145662440964494E-2</v>
      </c>
      <c r="I1031" s="231">
        <v>388205</v>
      </c>
      <c r="K1031" s="230">
        <v>44601</v>
      </c>
      <c r="L1031" s="1">
        <v>333.5</v>
      </c>
      <c r="M1031" s="1">
        <v>335.82505641164101</v>
      </c>
      <c r="N1031" s="1">
        <v>51851</v>
      </c>
      <c r="O1031" s="1">
        <v>58465.97</v>
      </c>
      <c r="P1031" s="215">
        <f t="shared" si="156"/>
        <v>-7.8074155004163037E-3</v>
      </c>
      <c r="Q1031" s="215">
        <f t="shared" si="151"/>
        <v>-2.5992990654205572E-2</v>
      </c>
      <c r="R1031" s="231">
        <v>17412865</v>
      </c>
      <c r="T1031" s="230">
        <v>44601</v>
      </c>
      <c r="U1031" s="1">
        <v>64.849999999999994</v>
      </c>
      <c r="V1031" s="1">
        <v>64.887648453690403</v>
      </c>
      <c r="W1031" s="1">
        <v>602208</v>
      </c>
      <c r="X1031" s="1">
        <v>58465.97</v>
      </c>
      <c r="Y1031" s="215">
        <f t="shared" si="157"/>
        <v>-7.8074155004163037E-3</v>
      </c>
      <c r="Z1031" s="215">
        <f t="shared" si="152"/>
        <v>-3.2811334824757732E-2</v>
      </c>
      <c r="AA1031" s="231">
        <v>39075861</v>
      </c>
      <c r="AC1031" s="230">
        <v>44635</v>
      </c>
      <c r="AD1031" s="1">
        <v>64.25</v>
      </c>
      <c r="AE1031" s="1">
        <v>64.967197141929105</v>
      </c>
      <c r="AF1031" s="1">
        <v>3079</v>
      </c>
      <c r="AG1031" s="1">
        <v>55776.85</v>
      </c>
      <c r="AH1031" s="215">
        <f t="shared" si="158"/>
        <v>-1.8300973394242748E-2</v>
      </c>
      <c r="AI1031" s="215">
        <f t="shared" si="153"/>
        <v>-4.6475600309836551E-3</v>
      </c>
      <c r="AJ1031" s="231">
        <v>200034</v>
      </c>
      <c r="AL1031" s="254"/>
      <c r="AQ1031" s="215" t="str">
        <f t="shared" si="159"/>
        <v>NA</v>
      </c>
      <c r="AR1031" s="215" t="str">
        <f t="shared" si="154"/>
        <v>NA</v>
      </c>
    </row>
    <row r="1032" spans="2:44">
      <c r="B1032" s="230">
        <v>44603</v>
      </c>
      <c r="C1032" s="1">
        <v>402.3</v>
      </c>
      <c r="D1032" s="1">
        <v>405.86644951139999</v>
      </c>
      <c r="E1032" s="1">
        <v>8596</v>
      </c>
      <c r="F1032" s="215">
        <v>58152.92</v>
      </c>
      <c r="G1032" s="215">
        <f t="shared" si="160"/>
        <v>3.0973388571112537E-2</v>
      </c>
      <c r="H1032" s="215">
        <f t="shared" si="161"/>
        <v>1.5396264512872238E-2</v>
      </c>
      <c r="I1032" s="231">
        <v>3488828</v>
      </c>
      <c r="K1032" s="230">
        <v>44602</v>
      </c>
      <c r="L1032" s="1">
        <v>342.4</v>
      </c>
      <c r="M1032" s="1">
        <v>339.41436770127598</v>
      </c>
      <c r="N1032" s="1">
        <v>110122</v>
      </c>
      <c r="O1032" s="1">
        <v>58926.03</v>
      </c>
      <c r="P1032" s="215">
        <f t="shared" si="156"/>
        <v>1.3294431302847798E-2</v>
      </c>
      <c r="Q1032" s="215">
        <f t="shared" si="151"/>
        <v>3.2880844645550411E-2</v>
      </c>
      <c r="R1032" s="231">
        <v>37376989</v>
      </c>
      <c r="T1032" s="230">
        <v>44602</v>
      </c>
      <c r="U1032" s="1">
        <v>67.05</v>
      </c>
      <c r="V1032" s="1">
        <v>67.356529204296805</v>
      </c>
      <c r="W1032" s="1">
        <v>645316</v>
      </c>
      <c r="X1032" s="1">
        <v>58926.03</v>
      </c>
      <c r="Y1032" s="215">
        <f t="shared" si="157"/>
        <v>1.3294431302847798E-2</v>
      </c>
      <c r="Z1032" s="215">
        <f t="shared" si="152"/>
        <v>4.2768273716951688E-2</v>
      </c>
      <c r="AA1032" s="231">
        <v>43466246</v>
      </c>
      <c r="AC1032" s="230">
        <v>44636</v>
      </c>
      <c r="AD1032" s="1">
        <v>64.55</v>
      </c>
      <c r="AE1032" s="1">
        <v>65.049887892376603</v>
      </c>
      <c r="AF1032" s="1">
        <v>1784</v>
      </c>
      <c r="AG1032" s="1">
        <v>56816.65</v>
      </c>
      <c r="AH1032" s="215">
        <f t="shared" si="158"/>
        <v>-1.8099012631876188E-2</v>
      </c>
      <c r="AI1032" s="215">
        <f t="shared" si="153"/>
        <v>-2.3449319213313169E-2</v>
      </c>
      <c r="AJ1032" s="231">
        <v>116049</v>
      </c>
      <c r="AL1032" s="254"/>
      <c r="AQ1032" s="215" t="str">
        <f t="shared" si="159"/>
        <v>NA</v>
      </c>
      <c r="AR1032" s="215" t="str">
        <f t="shared" si="154"/>
        <v>NA</v>
      </c>
    </row>
    <row r="1033" spans="2:44">
      <c r="B1033" s="230">
        <v>44606</v>
      </c>
      <c r="C1033" s="1">
        <v>396.2</v>
      </c>
      <c r="D1033" s="1">
        <v>402.47673314339897</v>
      </c>
      <c r="E1033" s="1">
        <v>4212</v>
      </c>
      <c r="F1033" s="215">
        <v>56405.84</v>
      </c>
      <c r="G1033" s="215">
        <f t="shared" si="160"/>
        <v>-2.9861520190636703E-2</v>
      </c>
      <c r="H1033" s="215">
        <f t="shared" si="161"/>
        <v>-1.4305261848488571E-2</v>
      </c>
      <c r="I1033" s="231">
        <v>1695232</v>
      </c>
      <c r="K1033" s="230">
        <v>44603</v>
      </c>
      <c r="L1033" s="1">
        <v>331.5</v>
      </c>
      <c r="M1033" s="1">
        <v>335.24589966232497</v>
      </c>
      <c r="N1033" s="1">
        <v>41460</v>
      </c>
      <c r="O1033" s="1">
        <v>58152.92</v>
      </c>
      <c r="P1033" s="215">
        <f t="shared" si="156"/>
        <v>3.0973388571112537E-2</v>
      </c>
      <c r="Q1033" s="215">
        <f t="shared" si="151"/>
        <v>8.3864639529180884E-2</v>
      </c>
      <c r="R1033" s="231">
        <v>13899295</v>
      </c>
      <c r="T1033" s="230">
        <v>44603</v>
      </c>
      <c r="U1033" s="1">
        <v>64.3</v>
      </c>
      <c r="V1033" s="1">
        <v>65.702475488377004</v>
      </c>
      <c r="W1033" s="1">
        <v>242538</v>
      </c>
      <c r="X1033" s="1">
        <v>58152.92</v>
      </c>
      <c r="Y1033" s="215">
        <f t="shared" si="157"/>
        <v>3.0973388571112537E-2</v>
      </c>
      <c r="Z1033" s="215">
        <f t="shared" si="152"/>
        <v>5.5829228243021278E-2</v>
      </c>
      <c r="AA1033" s="231">
        <v>15935347</v>
      </c>
      <c r="AC1033" s="230">
        <v>44637</v>
      </c>
      <c r="AD1033" s="1">
        <v>66.099999999999994</v>
      </c>
      <c r="AE1033" s="1">
        <v>67.031183013144499</v>
      </c>
      <c r="AF1033" s="1">
        <v>24725</v>
      </c>
      <c r="AG1033" s="1">
        <v>57863.93</v>
      </c>
      <c r="AH1033" s="215">
        <f t="shared" si="158"/>
        <v>9.9740821179181705E-3</v>
      </c>
      <c r="AI1033" s="215">
        <f t="shared" si="153"/>
        <v>3.120124804992197E-2</v>
      </c>
      <c r="AJ1033" s="231">
        <v>1657346</v>
      </c>
      <c r="AL1033" s="254"/>
      <c r="AQ1033" s="215" t="str">
        <f t="shared" si="159"/>
        <v>NA</v>
      </c>
      <c r="AR1033" s="215" t="str">
        <f t="shared" si="154"/>
        <v>NA</v>
      </c>
    </row>
    <row r="1034" spans="2:44">
      <c r="B1034" s="230">
        <v>44607</v>
      </c>
      <c r="C1034" s="1">
        <v>401.95</v>
      </c>
      <c r="D1034" s="1">
        <v>397.87823990355599</v>
      </c>
      <c r="E1034" s="1">
        <v>1659</v>
      </c>
      <c r="F1034" s="215">
        <v>58142.05</v>
      </c>
      <c r="G1034" s="215">
        <f t="shared" si="160"/>
        <v>2.5065227871665652E-3</v>
      </c>
      <c r="H1034" s="215">
        <f t="shared" si="161"/>
        <v>9.7977640999873383E-3</v>
      </c>
      <c r="I1034" s="231">
        <v>660080</v>
      </c>
      <c r="K1034" s="230">
        <v>44606</v>
      </c>
      <c r="L1034" s="1">
        <v>305.85000000000002</v>
      </c>
      <c r="M1034" s="1">
        <v>314.07722552044902</v>
      </c>
      <c r="N1034" s="1">
        <v>63839</v>
      </c>
      <c r="O1034" s="1">
        <v>56405.84</v>
      </c>
      <c r="P1034" s="215">
        <f t="shared" si="156"/>
        <v>-2.9861520190636703E-2</v>
      </c>
      <c r="Q1034" s="215">
        <f t="shared" si="151"/>
        <v>-1.2431385211494894E-2</v>
      </c>
      <c r="R1034" s="231">
        <v>20050376</v>
      </c>
      <c r="T1034" s="230">
        <v>44606</v>
      </c>
      <c r="U1034" s="1">
        <v>60.9</v>
      </c>
      <c r="V1034" s="1">
        <v>61.944199124055999</v>
      </c>
      <c r="W1034" s="1">
        <v>221932</v>
      </c>
      <c r="X1034" s="1">
        <v>56405.84</v>
      </c>
      <c r="Y1034" s="215">
        <f t="shared" si="157"/>
        <v>-2.9861520190636703E-2</v>
      </c>
      <c r="Z1034" s="215">
        <f t="shared" si="152"/>
        <v>-3.2733224222586399E-3</v>
      </c>
      <c r="AA1034" s="231">
        <v>13747400</v>
      </c>
      <c r="AC1034" s="230">
        <v>44641</v>
      </c>
      <c r="AD1034" s="1">
        <v>64.099999999999994</v>
      </c>
      <c r="AE1034" s="1">
        <v>64.335185687177997</v>
      </c>
      <c r="AF1034" s="1">
        <v>7378</v>
      </c>
      <c r="AG1034" s="1">
        <v>57292.49</v>
      </c>
      <c r="AH1034" s="215">
        <f t="shared" si="158"/>
        <v>-1.2016182295699451E-2</v>
      </c>
      <c r="AI1034" s="215">
        <f t="shared" si="153"/>
        <v>2.478017585931247E-2</v>
      </c>
      <c r="AJ1034" s="231">
        <v>474665</v>
      </c>
      <c r="AL1034" s="254"/>
      <c r="AQ1034" s="215" t="str">
        <f t="shared" si="159"/>
        <v>NA</v>
      </c>
      <c r="AR1034" s="215" t="str">
        <f t="shared" si="154"/>
        <v>NA</v>
      </c>
    </row>
    <row r="1035" spans="2:44">
      <c r="B1035" s="230">
        <v>44608</v>
      </c>
      <c r="C1035" s="1">
        <v>398.05</v>
      </c>
      <c r="D1035" s="1">
        <v>399.24979184013301</v>
      </c>
      <c r="E1035" s="1">
        <v>1201</v>
      </c>
      <c r="F1035" s="215">
        <v>57996.68</v>
      </c>
      <c r="G1035" s="215">
        <f t="shared" si="160"/>
        <v>1.8080215214499873E-3</v>
      </c>
      <c r="H1035" s="215">
        <f t="shared" si="161"/>
        <v>5.938842557493107E-3</v>
      </c>
      <c r="I1035" s="231">
        <v>479499</v>
      </c>
      <c r="K1035" s="230">
        <v>44607</v>
      </c>
      <c r="L1035" s="1">
        <v>309.7</v>
      </c>
      <c r="M1035" s="1">
        <v>303.787652286504</v>
      </c>
      <c r="N1035" s="1">
        <v>67964</v>
      </c>
      <c r="O1035" s="1">
        <v>58142.05</v>
      </c>
      <c r="P1035" s="215">
        <f t="shared" si="156"/>
        <v>2.5065227871665652E-3</v>
      </c>
      <c r="Q1035" s="215">
        <f t="shared" si="151"/>
        <v>5.8460539136082623E-3</v>
      </c>
      <c r="R1035" s="231">
        <v>20646624</v>
      </c>
      <c r="T1035" s="230">
        <v>44607</v>
      </c>
      <c r="U1035" s="1">
        <v>61.1</v>
      </c>
      <c r="V1035" s="1">
        <v>60.711564376449097</v>
      </c>
      <c r="W1035" s="1">
        <v>201844</v>
      </c>
      <c r="X1035" s="1">
        <v>58142.05</v>
      </c>
      <c r="Y1035" s="215">
        <f t="shared" si="157"/>
        <v>2.5065227871665652E-3</v>
      </c>
      <c r="Z1035" s="215">
        <f t="shared" si="152"/>
        <v>-3.0927835051546282E-2</v>
      </c>
      <c r="AA1035" s="231">
        <v>12254265</v>
      </c>
      <c r="AC1035" s="230">
        <v>44642</v>
      </c>
      <c r="AD1035" s="1">
        <v>62.55</v>
      </c>
      <c r="AE1035" s="1">
        <v>62.637311468772097</v>
      </c>
      <c r="AF1035" s="1">
        <v>9879</v>
      </c>
      <c r="AG1035" s="1">
        <v>57989.3</v>
      </c>
      <c r="AH1035" s="215">
        <f t="shared" si="158"/>
        <v>5.2783383912786697E-3</v>
      </c>
      <c r="AI1035" s="215">
        <f t="shared" si="153"/>
        <v>-2.948021722265326E-2</v>
      </c>
      <c r="AJ1035" s="231">
        <v>618794</v>
      </c>
      <c r="AL1035" s="254"/>
      <c r="AQ1035" s="215" t="str">
        <f t="shared" si="159"/>
        <v>NA</v>
      </c>
      <c r="AR1035" s="215" t="str">
        <f t="shared" si="154"/>
        <v>NA</v>
      </c>
    </row>
    <row r="1036" spans="2:44">
      <c r="B1036" s="230">
        <v>44609</v>
      </c>
      <c r="C1036" s="1">
        <v>395.7</v>
      </c>
      <c r="D1036" s="1">
        <v>398.63297515110798</v>
      </c>
      <c r="E1036" s="1">
        <v>2978</v>
      </c>
      <c r="F1036" s="215">
        <v>57892.01</v>
      </c>
      <c r="G1036" s="215">
        <f t="shared" si="160"/>
        <v>1.020870966855103E-3</v>
      </c>
      <c r="H1036" s="215">
        <f t="shared" si="161"/>
        <v>1.5266196279666522E-2</v>
      </c>
      <c r="I1036" s="231">
        <v>1187129</v>
      </c>
      <c r="K1036" s="230">
        <v>44608</v>
      </c>
      <c r="L1036" s="1">
        <v>307.89999999999998</v>
      </c>
      <c r="M1036" s="1">
        <v>312.40379637618599</v>
      </c>
      <c r="N1036" s="1">
        <v>34770</v>
      </c>
      <c r="O1036" s="1">
        <v>57996.68</v>
      </c>
      <c r="P1036" s="215">
        <f t="shared" si="156"/>
        <v>1.8080215214499873E-3</v>
      </c>
      <c r="Q1036" s="215">
        <f t="shared" si="151"/>
        <v>1.4163372859024914E-2</v>
      </c>
      <c r="R1036" s="231">
        <v>10862280</v>
      </c>
      <c r="T1036" s="230">
        <v>44608</v>
      </c>
      <c r="U1036" s="1">
        <v>63.05</v>
      </c>
      <c r="V1036" s="1">
        <v>63.238045330999199</v>
      </c>
      <c r="W1036" s="1">
        <v>86828</v>
      </c>
      <c r="X1036" s="1">
        <v>57996.68</v>
      </c>
      <c r="Y1036" s="215">
        <f t="shared" si="157"/>
        <v>1.8080215214499873E-3</v>
      </c>
      <c r="Z1036" s="215">
        <f t="shared" si="152"/>
        <v>3.9808917197452498E-3</v>
      </c>
      <c r="AA1036" s="231">
        <v>5490833</v>
      </c>
      <c r="AC1036" s="230">
        <v>44643</v>
      </c>
      <c r="AD1036" s="1">
        <v>64.45</v>
      </c>
      <c r="AE1036" s="1">
        <v>63.800332502078099</v>
      </c>
      <c r="AF1036" s="1">
        <v>6015</v>
      </c>
      <c r="AG1036" s="1">
        <v>57684.82</v>
      </c>
      <c r="AH1036" s="215">
        <f t="shared" si="158"/>
        <v>1.5476855208584883E-3</v>
      </c>
      <c r="AI1036" s="215">
        <f t="shared" si="153"/>
        <v>2.3015873015873156E-2</v>
      </c>
      <c r="AJ1036" s="231">
        <v>383759</v>
      </c>
      <c r="AL1036" s="254"/>
      <c r="AQ1036" s="215" t="str">
        <f t="shared" si="159"/>
        <v>NA</v>
      </c>
      <c r="AR1036" s="215" t="str">
        <f t="shared" si="154"/>
        <v>NA</v>
      </c>
    </row>
    <row r="1037" spans="2:44">
      <c r="B1037" s="230">
        <v>44610</v>
      </c>
      <c r="C1037" s="1">
        <v>389.75</v>
      </c>
      <c r="D1037" s="1">
        <v>391.71703056768501</v>
      </c>
      <c r="E1037" s="1">
        <v>1145</v>
      </c>
      <c r="F1037" s="215">
        <v>57832.97</v>
      </c>
      <c r="G1037" s="215">
        <f t="shared" si="160"/>
        <v>2.5896446459037215E-3</v>
      </c>
      <c r="H1037" s="215">
        <f t="shared" si="161"/>
        <v>1.3785927949018006E-2</v>
      </c>
      <c r="I1037" s="231">
        <v>448516</v>
      </c>
      <c r="K1037" s="230">
        <v>44609</v>
      </c>
      <c r="L1037" s="1">
        <v>303.60000000000002</v>
      </c>
      <c r="M1037" s="1">
        <v>306.783830425811</v>
      </c>
      <c r="N1037" s="1">
        <v>26655</v>
      </c>
      <c r="O1037" s="1">
        <v>57892.01</v>
      </c>
      <c r="P1037" s="215">
        <f t="shared" si="156"/>
        <v>1.020870966855103E-3</v>
      </c>
      <c r="Q1037" s="215">
        <f t="shared" si="151"/>
        <v>1.098901098901095E-2</v>
      </c>
      <c r="R1037" s="231">
        <v>8177323</v>
      </c>
      <c r="T1037" s="230">
        <v>44609</v>
      </c>
      <c r="U1037" s="1">
        <v>62.8</v>
      </c>
      <c r="V1037" s="1">
        <v>63.411207503553797</v>
      </c>
      <c r="W1037" s="1">
        <v>75271</v>
      </c>
      <c r="X1037" s="1">
        <v>57892.01</v>
      </c>
      <c r="Y1037" s="215">
        <f t="shared" si="157"/>
        <v>1.020870966855103E-3</v>
      </c>
      <c r="Z1037" s="215">
        <f t="shared" si="152"/>
        <v>-1.0244286840031647E-2</v>
      </c>
      <c r="AA1037" s="231">
        <v>4773025</v>
      </c>
      <c r="AC1037" s="230">
        <v>44644</v>
      </c>
      <c r="AD1037" s="1">
        <v>63</v>
      </c>
      <c r="AE1037" s="1">
        <v>64.382254089177593</v>
      </c>
      <c r="AF1037" s="1">
        <v>31241</v>
      </c>
      <c r="AG1037" s="1">
        <v>57595.68</v>
      </c>
      <c r="AH1037" s="215">
        <f t="shared" si="158"/>
        <v>4.0702762446349627E-3</v>
      </c>
      <c r="AI1037" s="215">
        <f t="shared" si="153"/>
        <v>2.2727272727272707E-2</v>
      </c>
      <c r="AJ1037" s="231">
        <v>2011366</v>
      </c>
      <c r="AL1037" s="254"/>
      <c r="AQ1037" s="215" t="str">
        <f t="shared" si="159"/>
        <v>NA</v>
      </c>
      <c r="AR1037" s="215" t="str">
        <f t="shared" si="154"/>
        <v>NA</v>
      </c>
    </row>
    <row r="1038" spans="2:44">
      <c r="B1038" s="230">
        <v>44613</v>
      </c>
      <c r="C1038" s="1">
        <v>384.45</v>
      </c>
      <c r="D1038" s="1">
        <v>385.666883963494</v>
      </c>
      <c r="E1038" s="1">
        <v>1534</v>
      </c>
      <c r="F1038" s="215">
        <v>57683.59</v>
      </c>
      <c r="G1038" s="215">
        <f t="shared" si="160"/>
        <v>6.6824686897257735E-3</v>
      </c>
      <c r="H1038" s="215">
        <f t="shared" si="161"/>
        <v>-1.6877637130801704E-2</v>
      </c>
      <c r="I1038" s="231">
        <v>591613</v>
      </c>
      <c r="K1038" s="230">
        <v>44610</v>
      </c>
      <c r="L1038" s="1">
        <v>300.3</v>
      </c>
      <c r="M1038" s="1">
        <v>301.20497784727598</v>
      </c>
      <c r="N1038" s="1">
        <v>15348</v>
      </c>
      <c r="O1038" s="1">
        <v>57832.97</v>
      </c>
      <c r="P1038" s="215">
        <f t="shared" si="156"/>
        <v>2.5896446459037215E-3</v>
      </c>
      <c r="Q1038" s="215">
        <f t="shared" ref="Q1038:Q1101" si="162">IF(ISERROR(L1038/L1039-1),"NA",L1038/L1039-1)</f>
        <v>-4.0575079872204434E-2</v>
      </c>
      <c r="R1038" s="231">
        <v>4622894</v>
      </c>
      <c r="T1038" s="230">
        <v>44610</v>
      </c>
      <c r="U1038" s="1">
        <v>63.45</v>
      </c>
      <c r="V1038" s="1">
        <v>63.579098369084498</v>
      </c>
      <c r="W1038" s="1">
        <v>97246</v>
      </c>
      <c r="X1038" s="1">
        <v>57832.97</v>
      </c>
      <c r="Y1038" s="215">
        <f t="shared" si="157"/>
        <v>2.5896446459037215E-3</v>
      </c>
      <c r="Z1038" s="215">
        <f t="shared" ref="Z1038:Z1101" si="163">IF(ISERROR(U1038/U1039-1),"NA",U1038/U1039-1)</f>
        <v>3.9556962025315556E-3</v>
      </c>
      <c r="AA1038" s="231">
        <v>6182813</v>
      </c>
      <c r="AC1038" s="230">
        <v>44645</v>
      </c>
      <c r="AD1038" s="1">
        <v>61.6</v>
      </c>
      <c r="AE1038" s="1">
        <v>62.835413416536603</v>
      </c>
      <c r="AF1038" s="1">
        <v>1282</v>
      </c>
      <c r="AG1038" s="1">
        <v>57362.2</v>
      </c>
      <c r="AH1038" s="215">
        <f t="shared" si="158"/>
        <v>-4.0159052698490738E-3</v>
      </c>
      <c r="AI1038" s="215">
        <f t="shared" ref="AI1038:AI1101" si="164">IF(ISERROR(AD1038/AD1039-1),"NA",AD1038/AD1039-1)</f>
        <v>2.2406639004149298E-2</v>
      </c>
      <c r="AJ1038" s="231">
        <v>80555</v>
      </c>
      <c r="AL1038" s="254"/>
      <c r="AQ1038" s="215" t="str">
        <f t="shared" si="159"/>
        <v>NA</v>
      </c>
      <c r="AR1038" s="215" t="str">
        <f t="shared" ref="AR1038:AR1101" si="165">IF(ISERROR(AM1038/AM1039-1),"NA",AM1038/AM1039-1)</f>
        <v>NA</v>
      </c>
    </row>
    <row r="1039" spans="2:44">
      <c r="B1039" s="230">
        <v>44614</v>
      </c>
      <c r="C1039" s="1">
        <v>391.05</v>
      </c>
      <c r="D1039" s="1">
        <v>386.09732782967598</v>
      </c>
      <c r="E1039" s="1">
        <v>4603</v>
      </c>
      <c r="F1039" s="215">
        <v>57300.68</v>
      </c>
      <c r="G1039" s="215">
        <f t="shared" si="160"/>
        <v>1.1989783348704819E-3</v>
      </c>
      <c r="H1039" s="215">
        <f t="shared" si="161"/>
        <v>-1.9924812030075123E-2</v>
      </c>
      <c r="I1039" s="231">
        <v>1777206</v>
      </c>
      <c r="K1039" s="230">
        <v>44613</v>
      </c>
      <c r="L1039" s="1">
        <v>313</v>
      </c>
      <c r="M1039" s="1">
        <v>311.643039888359</v>
      </c>
      <c r="N1039" s="1">
        <v>103188</v>
      </c>
      <c r="O1039" s="1">
        <v>57683.59</v>
      </c>
      <c r="P1039" s="215">
        <f t="shared" ref="P1039:P1102" si="166">IF(ISERROR(O1039/O1040-1),"NA",O1039/O1040-1)</f>
        <v>6.6824686897257735E-3</v>
      </c>
      <c r="Q1039" s="215">
        <f t="shared" si="162"/>
        <v>2.9944060546232443E-2</v>
      </c>
      <c r="R1039" s="231">
        <v>32157822</v>
      </c>
      <c r="T1039" s="230">
        <v>44613</v>
      </c>
      <c r="U1039" s="1">
        <v>63.2</v>
      </c>
      <c r="V1039" s="1">
        <v>63.519585446408797</v>
      </c>
      <c r="W1039" s="1">
        <v>149269</v>
      </c>
      <c r="X1039" s="1">
        <v>57683.59</v>
      </c>
      <c r="Y1039" s="215">
        <f t="shared" ref="Y1039:Y1102" si="167">IF(ISERROR(X1039/X1040-1),"NA",X1039/X1040-1)</f>
        <v>6.6824686897257735E-3</v>
      </c>
      <c r="Z1039" s="215">
        <f t="shared" si="163"/>
        <v>2.1001615508885463E-2</v>
      </c>
      <c r="AA1039" s="231">
        <v>9481505</v>
      </c>
      <c r="AC1039" s="230">
        <v>44648</v>
      </c>
      <c r="AD1039" s="1">
        <v>60.25</v>
      </c>
      <c r="AE1039" s="1">
        <v>60.402955385052501</v>
      </c>
      <c r="AF1039" s="1">
        <v>3519</v>
      </c>
      <c r="AG1039" s="1">
        <v>57593.49</v>
      </c>
      <c r="AH1039" s="215">
        <f t="shared" ref="AH1039:AH1102" si="168">IF(ISERROR(AG1039/AG1040-1),"NA",AG1039/AG1040-1)</f>
        <v>-6.0431125757525184E-3</v>
      </c>
      <c r="AI1039" s="215">
        <f t="shared" si="164"/>
        <v>8.3056478405318934E-4</v>
      </c>
      <c r="AJ1039" s="231">
        <v>212558</v>
      </c>
      <c r="AL1039" s="254"/>
      <c r="AQ1039" s="215" t="str">
        <f t="shared" ref="AQ1039:AQ1102" si="169">IF(ISERROR(AP1039/AP1040-1),"NA",AP1039/AP1040-1)</f>
        <v>NA</v>
      </c>
      <c r="AR1039" s="215" t="str">
        <f t="shared" si="165"/>
        <v>NA</v>
      </c>
    </row>
    <row r="1040" spans="2:44">
      <c r="B1040" s="230">
        <v>44615</v>
      </c>
      <c r="C1040" s="1">
        <v>399</v>
      </c>
      <c r="D1040" s="1">
        <v>395.517848864163</v>
      </c>
      <c r="E1040" s="1">
        <v>2157</v>
      </c>
      <c r="F1040" s="215">
        <v>57232.06</v>
      </c>
      <c r="G1040" s="215">
        <f t="shared" si="160"/>
        <v>4.9553538599275138E-2</v>
      </c>
      <c r="H1040" s="215">
        <f t="shared" si="161"/>
        <v>0.17751217352810977</v>
      </c>
      <c r="I1040" s="231">
        <v>853132</v>
      </c>
      <c r="K1040" s="230">
        <v>44614</v>
      </c>
      <c r="L1040" s="1">
        <v>303.89999999999998</v>
      </c>
      <c r="M1040" s="1">
        <v>302.86214923711401</v>
      </c>
      <c r="N1040" s="1">
        <v>39521</v>
      </c>
      <c r="O1040" s="1">
        <v>57300.68</v>
      </c>
      <c r="P1040" s="215">
        <f t="shared" si="166"/>
        <v>1.1989783348704819E-3</v>
      </c>
      <c r="Q1040" s="215">
        <f t="shared" si="162"/>
        <v>-2.6741393114491641E-2</v>
      </c>
      <c r="R1040" s="231">
        <v>11969415</v>
      </c>
      <c r="T1040" s="230">
        <v>44614</v>
      </c>
      <c r="U1040" s="1">
        <v>61.9</v>
      </c>
      <c r="V1040" s="1">
        <v>61.840160891089099</v>
      </c>
      <c r="W1040" s="1">
        <v>113120</v>
      </c>
      <c r="X1040" s="1">
        <v>57300.68</v>
      </c>
      <c r="Y1040" s="215">
        <f t="shared" si="167"/>
        <v>1.1989783348704819E-3</v>
      </c>
      <c r="Z1040" s="215">
        <f t="shared" si="163"/>
        <v>-1.0391686650679466E-2</v>
      </c>
      <c r="AA1040" s="231">
        <v>6995359</v>
      </c>
      <c r="AC1040" s="230">
        <v>44649</v>
      </c>
      <c r="AD1040" s="1">
        <v>60.2</v>
      </c>
      <c r="AE1040" s="1">
        <v>60.008649868371499</v>
      </c>
      <c r="AF1040" s="1">
        <v>31908</v>
      </c>
      <c r="AG1040" s="1">
        <v>57943.65</v>
      </c>
      <c r="AH1040" s="215">
        <f t="shared" si="168"/>
        <v>-1.2615706600726972E-2</v>
      </c>
      <c r="AI1040" s="215">
        <f t="shared" si="164"/>
        <v>0</v>
      </c>
      <c r="AJ1040" s="231">
        <v>1914756</v>
      </c>
      <c r="AL1040" s="254"/>
      <c r="AQ1040" s="215" t="str">
        <f t="shared" si="169"/>
        <v>NA</v>
      </c>
      <c r="AR1040" s="215" t="str">
        <f t="shared" si="165"/>
        <v>NA</v>
      </c>
    </row>
    <row r="1041" spans="2:44">
      <c r="B1041" s="230">
        <v>44616</v>
      </c>
      <c r="C1041" s="1">
        <v>338.85</v>
      </c>
      <c r="D1041" s="1">
        <v>351.73077423552297</v>
      </c>
      <c r="E1041" s="1">
        <v>7685</v>
      </c>
      <c r="F1041" s="215">
        <v>54529.91</v>
      </c>
      <c r="G1041" s="215">
        <f t="shared" si="160"/>
        <v>-2.3785270358040123E-2</v>
      </c>
      <c r="H1041" s="215">
        <f t="shared" si="161"/>
        <v>-0.11226093790935276</v>
      </c>
      <c r="I1041" s="231">
        <v>2703051</v>
      </c>
      <c r="K1041" s="230">
        <v>44615</v>
      </c>
      <c r="L1041" s="1">
        <v>312.25</v>
      </c>
      <c r="M1041" s="1">
        <v>313.51725449703798</v>
      </c>
      <c r="N1041" s="1">
        <v>36802</v>
      </c>
      <c r="O1041" s="1">
        <v>57232.06</v>
      </c>
      <c r="P1041" s="215">
        <f t="shared" si="166"/>
        <v>4.9553538599275138E-2</v>
      </c>
      <c r="Q1041" s="215">
        <f t="shared" si="162"/>
        <v>9.619097770756535E-2</v>
      </c>
      <c r="R1041" s="231">
        <v>11538062</v>
      </c>
      <c r="T1041" s="230">
        <v>44615</v>
      </c>
      <c r="U1041" s="1">
        <v>62.55</v>
      </c>
      <c r="V1041" s="1">
        <v>62.954973534061999</v>
      </c>
      <c r="W1041" s="1">
        <v>43641</v>
      </c>
      <c r="X1041" s="1">
        <v>57232.06</v>
      </c>
      <c r="Y1041" s="215">
        <f t="shared" si="167"/>
        <v>4.9553538599275138E-2</v>
      </c>
      <c r="Z1041" s="215">
        <f t="shared" si="163"/>
        <v>0.15087396504139816</v>
      </c>
      <c r="AA1041" s="231">
        <v>2747418</v>
      </c>
      <c r="AC1041" s="230">
        <v>44650</v>
      </c>
      <c r="AD1041" s="1">
        <v>60.2</v>
      </c>
      <c r="AE1041" s="1">
        <v>60.287680660701902</v>
      </c>
      <c r="AF1041" s="1">
        <v>1453</v>
      </c>
      <c r="AG1041" s="1">
        <v>58683.99</v>
      </c>
      <c r="AH1041" s="215">
        <f t="shared" si="168"/>
        <v>1.9717080048646807E-3</v>
      </c>
      <c r="AI1041" s="215">
        <f t="shared" si="164"/>
        <v>-2.4855012427505985E-3</v>
      </c>
      <c r="AJ1041" s="231">
        <v>87598</v>
      </c>
      <c r="AL1041" s="254"/>
      <c r="AQ1041" s="215" t="str">
        <f t="shared" si="169"/>
        <v>NA</v>
      </c>
      <c r="AR1041" s="215" t="str">
        <f t="shared" si="165"/>
        <v>NA</v>
      </c>
    </row>
    <row r="1042" spans="2:44">
      <c r="B1042" s="230">
        <v>44617</v>
      </c>
      <c r="C1042" s="1">
        <v>381.7</v>
      </c>
      <c r="D1042" s="1">
        <v>373.43230974632797</v>
      </c>
      <c r="E1042" s="1">
        <v>3745</v>
      </c>
      <c r="F1042" s="215">
        <v>55858.52</v>
      </c>
      <c r="G1042" s="215">
        <f t="shared" si="160"/>
        <v>-6.9116231042639642E-3</v>
      </c>
      <c r="H1042" s="215">
        <f t="shared" si="161"/>
        <v>-5.6011462810994228E-3</v>
      </c>
      <c r="I1042" s="231">
        <v>1398504</v>
      </c>
      <c r="K1042" s="230">
        <v>44616</v>
      </c>
      <c r="L1042" s="1">
        <v>284.85000000000002</v>
      </c>
      <c r="M1042" s="1">
        <v>293.47575717262998</v>
      </c>
      <c r="N1042" s="1">
        <v>112755</v>
      </c>
      <c r="O1042" s="1">
        <v>54529.91</v>
      </c>
      <c r="P1042" s="215">
        <f t="shared" si="166"/>
        <v>-2.3785270358040123E-2</v>
      </c>
      <c r="Q1042" s="215">
        <f t="shared" si="162"/>
        <v>-3.3423820834747042E-2</v>
      </c>
      <c r="R1042" s="231">
        <v>33090859</v>
      </c>
      <c r="T1042" s="230">
        <v>44616</v>
      </c>
      <c r="U1042" s="1">
        <v>54.35</v>
      </c>
      <c r="V1042" s="1">
        <v>57.162281092444402</v>
      </c>
      <c r="W1042" s="1">
        <v>168393</v>
      </c>
      <c r="X1042" s="1">
        <v>54529.91</v>
      </c>
      <c r="Y1042" s="215">
        <f t="shared" si="167"/>
        <v>-2.3785270358040123E-2</v>
      </c>
      <c r="Z1042" s="215">
        <f t="shared" si="163"/>
        <v>-9.5673876871880226E-2</v>
      </c>
      <c r="AA1042" s="231">
        <v>9625728</v>
      </c>
      <c r="AC1042" s="230">
        <v>44651</v>
      </c>
      <c r="AD1042" s="1">
        <v>60.35</v>
      </c>
      <c r="AE1042" s="1">
        <v>59.998824048213997</v>
      </c>
      <c r="AF1042" s="1">
        <v>13606</v>
      </c>
      <c r="AG1042" s="1">
        <v>58568.51</v>
      </c>
      <c r="AH1042" s="215">
        <f t="shared" si="168"/>
        <v>-1.1947023357748221E-2</v>
      </c>
      <c r="AI1042" s="215">
        <f t="shared" si="164"/>
        <v>-2.739726027397249E-2</v>
      </c>
      <c r="AJ1042" s="231">
        <v>816344</v>
      </c>
      <c r="AL1042" s="254"/>
      <c r="AQ1042" s="215" t="str">
        <f t="shared" si="169"/>
        <v>NA</v>
      </c>
      <c r="AR1042" s="215" t="str">
        <f t="shared" si="165"/>
        <v>NA</v>
      </c>
    </row>
    <row r="1043" spans="2:44">
      <c r="B1043" s="230">
        <v>44620</v>
      </c>
      <c r="C1043" s="1">
        <v>383.85</v>
      </c>
      <c r="D1043" s="1">
        <v>383.04522944866198</v>
      </c>
      <c r="E1043" s="1">
        <v>6058</v>
      </c>
      <c r="F1043" s="215">
        <v>56247.28</v>
      </c>
      <c r="G1043" s="215">
        <f t="shared" si="160"/>
        <v>1.4032728249523618E-2</v>
      </c>
      <c r="H1043" s="215">
        <f t="shared" si="161"/>
        <v>-1.9915741095365647E-2</v>
      </c>
      <c r="I1043" s="231">
        <v>2320488</v>
      </c>
      <c r="K1043" s="230">
        <v>44617</v>
      </c>
      <c r="L1043" s="1">
        <v>294.7</v>
      </c>
      <c r="M1043" s="1">
        <v>293.01125112511198</v>
      </c>
      <c r="N1043" s="1">
        <v>79992</v>
      </c>
      <c r="O1043" s="1">
        <v>55858.52</v>
      </c>
      <c r="P1043" s="215">
        <f t="shared" si="166"/>
        <v>-6.9116231042639642E-3</v>
      </c>
      <c r="Q1043" s="215">
        <f t="shared" si="162"/>
        <v>-7.6898981989036885E-2</v>
      </c>
      <c r="R1043" s="231">
        <v>23438556</v>
      </c>
      <c r="T1043" s="230">
        <v>44617</v>
      </c>
      <c r="U1043" s="1">
        <v>60.1</v>
      </c>
      <c r="V1043" s="1">
        <v>59.009960474308301</v>
      </c>
      <c r="W1043" s="1">
        <v>240350</v>
      </c>
      <c r="X1043" s="1">
        <v>55858.52</v>
      </c>
      <c r="Y1043" s="215">
        <f t="shared" si="167"/>
        <v>-6.9116231042639642E-3</v>
      </c>
      <c r="Z1043" s="215">
        <f t="shared" si="163"/>
        <v>-3.6858974358974339E-2</v>
      </c>
      <c r="AA1043" s="231">
        <v>14183044</v>
      </c>
      <c r="AC1043" s="230">
        <v>44652</v>
      </c>
      <c r="AD1043" s="1">
        <v>62.05</v>
      </c>
      <c r="AE1043" s="1">
        <v>61.662150861348003</v>
      </c>
      <c r="AF1043" s="1">
        <v>5979</v>
      </c>
      <c r="AG1043" s="1">
        <v>59276.69</v>
      </c>
      <c r="AH1043" s="215">
        <f t="shared" si="168"/>
        <v>-2.2026260919089213E-2</v>
      </c>
      <c r="AI1043" s="215">
        <f t="shared" si="164"/>
        <v>-3.3489096573208865E-2</v>
      </c>
      <c r="AJ1043" s="231">
        <v>368678</v>
      </c>
      <c r="AL1043" s="254"/>
      <c r="AQ1043" s="215" t="str">
        <f t="shared" si="169"/>
        <v>NA</v>
      </c>
      <c r="AR1043" s="215" t="str">
        <f t="shared" si="165"/>
        <v>NA</v>
      </c>
    </row>
    <row r="1044" spans="2:44">
      <c r="B1044" s="230">
        <v>44622</v>
      </c>
      <c r="C1044" s="1">
        <v>391.65</v>
      </c>
      <c r="D1044" s="1">
        <v>390.87211740041897</v>
      </c>
      <c r="E1044" s="1">
        <v>2385</v>
      </c>
      <c r="F1044" s="215">
        <v>55468.9</v>
      </c>
      <c r="G1044" s="215">
        <f t="shared" si="160"/>
        <v>6.6461377196171956E-3</v>
      </c>
      <c r="H1044" s="215">
        <f t="shared" si="161"/>
        <v>-1.5707464186981657E-2</v>
      </c>
      <c r="I1044" s="231">
        <v>932230</v>
      </c>
      <c r="K1044" s="230">
        <v>44620</v>
      </c>
      <c r="L1044" s="1">
        <v>319.25</v>
      </c>
      <c r="M1044" s="1">
        <v>308.83161135378202</v>
      </c>
      <c r="N1044" s="1">
        <v>62041</v>
      </c>
      <c r="O1044" s="1">
        <v>56247.28</v>
      </c>
      <c r="P1044" s="215">
        <f t="shared" si="166"/>
        <v>1.4032728249523618E-2</v>
      </c>
      <c r="Q1044" s="215">
        <f t="shared" si="162"/>
        <v>-9.0844368503488426E-2</v>
      </c>
      <c r="R1044" s="231">
        <v>19160222</v>
      </c>
      <c r="T1044" s="230">
        <v>44620</v>
      </c>
      <c r="U1044" s="1">
        <v>62.4</v>
      </c>
      <c r="V1044" s="1">
        <v>61.876683371486301</v>
      </c>
      <c r="W1044" s="1">
        <v>96978</v>
      </c>
      <c r="X1044" s="1">
        <v>56247.28</v>
      </c>
      <c r="Y1044" s="215">
        <f t="shared" si="167"/>
        <v>1.4032728249523618E-2</v>
      </c>
      <c r="Z1044" s="215">
        <f t="shared" si="163"/>
        <v>-3.3307513555383417E-2</v>
      </c>
      <c r="AA1044" s="231">
        <v>6000677</v>
      </c>
      <c r="AC1044" s="230">
        <v>44655</v>
      </c>
      <c r="AD1044" s="1">
        <v>64.2</v>
      </c>
      <c r="AE1044" s="1">
        <v>64.274673886290898</v>
      </c>
      <c r="AF1044" s="1">
        <v>12189</v>
      </c>
      <c r="AG1044" s="1">
        <v>60611.74</v>
      </c>
      <c r="AH1044" s="215">
        <f t="shared" si="168"/>
        <v>7.232723737671698E-3</v>
      </c>
      <c r="AI1044" s="215">
        <f t="shared" si="164"/>
        <v>-6.2089116143170142E-2</v>
      </c>
      <c r="AJ1044" s="231">
        <v>783444</v>
      </c>
      <c r="AL1044" s="254"/>
      <c r="AQ1044" s="215" t="str">
        <f t="shared" si="169"/>
        <v>NA</v>
      </c>
      <c r="AR1044" s="215" t="str">
        <f t="shared" si="165"/>
        <v>NA</v>
      </c>
    </row>
    <row r="1045" spans="2:44">
      <c r="B1045" s="230">
        <v>44623</v>
      </c>
      <c r="C1045" s="1">
        <v>397.9</v>
      </c>
      <c r="D1045" s="1">
        <v>395.64644012944899</v>
      </c>
      <c r="E1045" s="1">
        <v>1236</v>
      </c>
      <c r="F1045" s="215">
        <v>55102.68</v>
      </c>
      <c r="G1045" s="215">
        <f t="shared" si="160"/>
        <v>1.4150857449532817E-2</v>
      </c>
      <c r="H1045" s="215">
        <f t="shared" si="161"/>
        <v>2.1407883138142569E-3</v>
      </c>
      <c r="I1045" s="231">
        <v>489019</v>
      </c>
      <c r="K1045" s="230">
        <v>44622</v>
      </c>
      <c r="L1045" s="1">
        <v>351.15</v>
      </c>
      <c r="M1045" s="1">
        <v>343.75359775981798</v>
      </c>
      <c r="N1045" s="1">
        <v>112848</v>
      </c>
      <c r="O1045" s="1">
        <v>55468.9</v>
      </c>
      <c r="P1045" s="215">
        <f t="shared" si="166"/>
        <v>6.6461377196171956E-3</v>
      </c>
      <c r="Q1045" s="215">
        <f t="shared" si="162"/>
        <v>-3.4771852666300229E-2</v>
      </c>
      <c r="R1045" s="231">
        <v>38791906</v>
      </c>
      <c r="T1045" s="230">
        <v>44622</v>
      </c>
      <c r="U1045" s="1">
        <v>64.55</v>
      </c>
      <c r="V1045" s="1">
        <v>64.873534945504304</v>
      </c>
      <c r="W1045" s="1">
        <v>238643</v>
      </c>
      <c r="X1045" s="1">
        <v>55468.9</v>
      </c>
      <c r="Y1045" s="215">
        <f t="shared" si="167"/>
        <v>6.6461377196171956E-3</v>
      </c>
      <c r="Z1045" s="215">
        <f t="shared" si="163"/>
        <v>-2.1969696969696972E-2</v>
      </c>
      <c r="AA1045" s="231">
        <v>15481615</v>
      </c>
      <c r="AC1045" s="230">
        <v>44656</v>
      </c>
      <c r="AD1045" s="1">
        <v>68.45</v>
      </c>
      <c r="AE1045" s="1">
        <v>68.825605164066701</v>
      </c>
      <c r="AF1045" s="1">
        <v>37180</v>
      </c>
      <c r="AG1045" s="1">
        <v>60176.5</v>
      </c>
      <c r="AH1045" s="215">
        <f t="shared" si="168"/>
        <v>9.4964956624186136E-3</v>
      </c>
      <c r="AI1045" s="215">
        <f t="shared" si="164"/>
        <v>-9.4066570188131582E-3</v>
      </c>
      <c r="AJ1045" s="231">
        <v>2558936</v>
      </c>
      <c r="AL1045" s="254"/>
      <c r="AQ1045" s="215" t="str">
        <f t="shared" si="169"/>
        <v>NA</v>
      </c>
      <c r="AR1045" s="215" t="str">
        <f t="shared" si="165"/>
        <v>NA</v>
      </c>
    </row>
    <row r="1046" spans="2:44">
      <c r="B1046" s="230">
        <v>44624</v>
      </c>
      <c r="C1046" s="1">
        <v>397.05</v>
      </c>
      <c r="D1046" s="1">
        <v>394.67791842475299</v>
      </c>
      <c r="E1046" s="1">
        <v>711</v>
      </c>
      <c r="F1046" s="215">
        <v>54333.81</v>
      </c>
      <c r="G1046" s="215">
        <f t="shared" si="160"/>
        <v>2.8216926636104311E-2</v>
      </c>
      <c r="H1046" s="215">
        <f t="shared" si="161"/>
        <v>3.5384809806648931E-3</v>
      </c>
      <c r="I1046" s="231">
        <v>280616</v>
      </c>
      <c r="K1046" s="230">
        <v>44623</v>
      </c>
      <c r="L1046" s="1">
        <v>363.8</v>
      </c>
      <c r="M1046" s="1">
        <v>368.48717894648001</v>
      </c>
      <c r="N1046" s="1">
        <v>142266</v>
      </c>
      <c r="O1046" s="1">
        <v>55102.68</v>
      </c>
      <c r="P1046" s="215">
        <f t="shared" si="166"/>
        <v>1.4150857449532817E-2</v>
      </c>
      <c r="Q1046" s="215">
        <f t="shared" si="162"/>
        <v>2.4644416279397285E-2</v>
      </c>
      <c r="R1046" s="231">
        <v>52423197</v>
      </c>
      <c r="T1046" s="230">
        <v>44623</v>
      </c>
      <c r="U1046" s="1">
        <v>66</v>
      </c>
      <c r="V1046" s="1">
        <v>66.495501607896301</v>
      </c>
      <c r="W1046" s="1">
        <v>107594</v>
      </c>
      <c r="X1046" s="1">
        <v>55102.68</v>
      </c>
      <c r="Y1046" s="215">
        <f t="shared" si="167"/>
        <v>1.4150857449532817E-2</v>
      </c>
      <c r="Z1046" s="215">
        <f t="shared" si="163"/>
        <v>2.0092735703245657E-2</v>
      </c>
      <c r="AA1046" s="231">
        <v>7154517</v>
      </c>
      <c r="AC1046" s="230">
        <v>44657</v>
      </c>
      <c r="AD1046" s="1">
        <v>69.099999999999994</v>
      </c>
      <c r="AE1046" s="1">
        <v>69.707501933488004</v>
      </c>
      <c r="AF1046" s="1">
        <v>25860</v>
      </c>
      <c r="AG1046" s="1">
        <v>59610.41</v>
      </c>
      <c r="AH1046" s="215">
        <f t="shared" si="168"/>
        <v>9.7477849985476706E-3</v>
      </c>
      <c r="AI1046" s="215">
        <f t="shared" si="164"/>
        <v>1.3939838591342513E-2</v>
      </c>
      <c r="AJ1046" s="231">
        <v>1802636</v>
      </c>
      <c r="AL1046" s="254"/>
      <c r="AQ1046" s="215" t="str">
        <f t="shared" si="169"/>
        <v>NA</v>
      </c>
      <c r="AR1046" s="215" t="str">
        <f t="shared" si="165"/>
        <v>NA</v>
      </c>
    </row>
    <row r="1047" spans="2:44">
      <c r="B1047" s="230">
        <v>44627</v>
      </c>
      <c r="C1047" s="1">
        <v>395.65</v>
      </c>
      <c r="D1047" s="1">
        <v>394.68913994168997</v>
      </c>
      <c r="E1047" s="1">
        <v>2744</v>
      </c>
      <c r="F1047" s="215">
        <v>52842.75</v>
      </c>
      <c r="G1047" s="215">
        <f t="shared" si="160"/>
        <v>-1.0881607903850066E-2</v>
      </c>
      <c r="H1047" s="215">
        <f t="shared" si="161"/>
        <v>1.7618312757201604E-2</v>
      </c>
      <c r="I1047" s="231">
        <v>1083027</v>
      </c>
      <c r="K1047" s="230">
        <v>44624</v>
      </c>
      <c r="L1047" s="1">
        <v>355.05</v>
      </c>
      <c r="M1047" s="1">
        <v>363.37956119555599</v>
      </c>
      <c r="N1047" s="1">
        <v>86052</v>
      </c>
      <c r="O1047" s="1">
        <v>54333.81</v>
      </c>
      <c r="P1047" s="215">
        <f t="shared" si="166"/>
        <v>2.8216926636104311E-2</v>
      </c>
      <c r="Q1047" s="215">
        <f t="shared" si="162"/>
        <v>2.4971131639722977E-2</v>
      </c>
      <c r="R1047" s="231">
        <v>31269538</v>
      </c>
      <c r="T1047" s="230">
        <v>44624</v>
      </c>
      <c r="U1047" s="1">
        <v>64.7</v>
      </c>
      <c r="V1047" s="1">
        <v>65.699327551293294</v>
      </c>
      <c r="W1047" s="1">
        <v>209384</v>
      </c>
      <c r="X1047" s="1">
        <v>54333.81</v>
      </c>
      <c r="Y1047" s="215">
        <f t="shared" si="167"/>
        <v>2.8216926636104311E-2</v>
      </c>
      <c r="Z1047" s="215">
        <f t="shared" si="163"/>
        <v>2.8616852146263971E-2</v>
      </c>
      <c r="AA1047" s="231">
        <v>13756388</v>
      </c>
      <c r="AC1047" s="230">
        <v>44658</v>
      </c>
      <c r="AD1047" s="1">
        <v>68.150000000000006</v>
      </c>
      <c r="AE1047" s="1">
        <v>68.624758635485904</v>
      </c>
      <c r="AF1047" s="1">
        <v>4661</v>
      </c>
      <c r="AG1047" s="1">
        <v>59034.95</v>
      </c>
      <c r="AH1047" s="215">
        <f t="shared" si="168"/>
        <v>-6.9343911687653748E-3</v>
      </c>
      <c r="AI1047" s="215">
        <f t="shared" si="164"/>
        <v>-3.5385704175513122E-2</v>
      </c>
      <c r="AJ1047" s="231">
        <v>319860</v>
      </c>
      <c r="AL1047" s="254"/>
      <c r="AQ1047" s="215" t="str">
        <f t="shared" si="169"/>
        <v>NA</v>
      </c>
      <c r="AR1047" s="215" t="str">
        <f t="shared" si="165"/>
        <v>NA</v>
      </c>
    </row>
    <row r="1048" spans="2:44">
      <c r="B1048" s="230">
        <v>44628</v>
      </c>
      <c r="C1048" s="1">
        <v>388.8</v>
      </c>
      <c r="D1048" s="1">
        <v>385.89492753623102</v>
      </c>
      <c r="E1048" s="1">
        <v>1932</v>
      </c>
      <c r="F1048" s="215">
        <v>53424.09</v>
      </c>
      <c r="G1048" s="215">
        <f t="shared" si="160"/>
        <v>-2.2384259212664293E-2</v>
      </c>
      <c r="H1048" s="215">
        <f t="shared" si="161"/>
        <v>-2.8728453659755182E-2</v>
      </c>
      <c r="I1048" s="231">
        <v>745549</v>
      </c>
      <c r="K1048" s="230">
        <v>44627</v>
      </c>
      <c r="L1048" s="1">
        <v>346.4</v>
      </c>
      <c r="M1048" s="1">
        <v>350.08647366079498</v>
      </c>
      <c r="N1048" s="1">
        <v>121378</v>
      </c>
      <c r="O1048" s="1">
        <v>52842.75</v>
      </c>
      <c r="P1048" s="215">
        <f t="shared" si="166"/>
        <v>-1.0881607903850066E-2</v>
      </c>
      <c r="Q1048" s="215">
        <f t="shared" si="162"/>
        <v>-1.352698277089559E-2</v>
      </c>
      <c r="R1048" s="231">
        <v>42492796</v>
      </c>
      <c r="T1048" s="230">
        <v>44627</v>
      </c>
      <c r="U1048" s="1">
        <v>62.9</v>
      </c>
      <c r="V1048" s="1">
        <v>63.182031801229698</v>
      </c>
      <c r="W1048" s="1">
        <v>158736</v>
      </c>
      <c r="X1048" s="1">
        <v>52842.75</v>
      </c>
      <c r="Y1048" s="215">
        <f t="shared" si="167"/>
        <v>-1.0881607903850066E-2</v>
      </c>
      <c r="Z1048" s="215">
        <f t="shared" si="163"/>
        <v>-3.1695721077654726E-3</v>
      </c>
      <c r="AA1048" s="231">
        <v>10029263</v>
      </c>
      <c r="AC1048" s="230">
        <v>44659</v>
      </c>
      <c r="AD1048" s="1">
        <v>70.650000000000006</v>
      </c>
      <c r="AE1048" s="1">
        <v>70.802808872305107</v>
      </c>
      <c r="AF1048" s="1">
        <v>38592</v>
      </c>
      <c r="AG1048" s="1">
        <v>59447.18</v>
      </c>
      <c r="AH1048" s="215">
        <f t="shared" si="168"/>
        <v>8.1847455175201311E-3</v>
      </c>
      <c r="AI1048" s="215">
        <f t="shared" si="164"/>
        <v>-1.4644351464435101E-2</v>
      </c>
      <c r="AJ1048" s="231">
        <v>2732422</v>
      </c>
      <c r="AL1048" s="254"/>
      <c r="AQ1048" s="215" t="str">
        <f t="shared" si="169"/>
        <v>NA</v>
      </c>
      <c r="AR1048" s="215" t="str">
        <f t="shared" si="165"/>
        <v>NA</v>
      </c>
    </row>
    <row r="1049" spans="2:44">
      <c r="B1049" s="230">
        <v>44629</v>
      </c>
      <c r="C1049" s="1">
        <v>400.3</v>
      </c>
      <c r="D1049" s="1">
        <v>401.77498936622698</v>
      </c>
      <c r="E1049" s="1">
        <v>2351</v>
      </c>
      <c r="F1049" s="215">
        <v>54647.33</v>
      </c>
      <c r="G1049" s="215">
        <f t="shared" si="160"/>
        <v>-1.4731253692684576E-2</v>
      </c>
      <c r="H1049" s="215">
        <f t="shared" si="161"/>
        <v>6.7907444668007244E-3</v>
      </c>
      <c r="I1049" s="231">
        <v>944573</v>
      </c>
      <c r="K1049" s="230">
        <v>44628</v>
      </c>
      <c r="L1049" s="1">
        <v>351.15</v>
      </c>
      <c r="M1049" s="1">
        <v>345.87385832973803</v>
      </c>
      <c r="N1049" s="1">
        <v>53321</v>
      </c>
      <c r="O1049" s="1">
        <v>53424.09</v>
      </c>
      <c r="P1049" s="215">
        <f t="shared" si="166"/>
        <v>-2.2384259212664293E-2</v>
      </c>
      <c r="Q1049" s="215">
        <f t="shared" si="162"/>
        <v>-1.0287485907553684E-2</v>
      </c>
      <c r="R1049" s="231">
        <v>18442340</v>
      </c>
      <c r="T1049" s="230">
        <v>44628</v>
      </c>
      <c r="U1049" s="1">
        <v>63.1</v>
      </c>
      <c r="V1049" s="1">
        <v>62.530036175806899</v>
      </c>
      <c r="W1049" s="1">
        <v>214508</v>
      </c>
      <c r="X1049" s="1">
        <v>53424.09</v>
      </c>
      <c r="Y1049" s="215">
        <f t="shared" si="167"/>
        <v>-2.2384259212664293E-2</v>
      </c>
      <c r="Z1049" s="215">
        <f t="shared" si="163"/>
        <v>-2.094647013188522E-2</v>
      </c>
      <c r="AA1049" s="231">
        <v>13413193</v>
      </c>
      <c r="AC1049" s="230">
        <v>44662</v>
      </c>
      <c r="AD1049" s="1">
        <v>71.7</v>
      </c>
      <c r="AE1049" s="1">
        <v>71.836334745762699</v>
      </c>
      <c r="AF1049" s="1">
        <v>16992</v>
      </c>
      <c r="AG1049" s="1">
        <v>58964.57</v>
      </c>
      <c r="AH1049" s="215">
        <f t="shared" si="168"/>
        <v>6.6272457648024474E-3</v>
      </c>
      <c r="AI1049" s="215">
        <f t="shared" si="164"/>
        <v>3.9130434782608692E-2</v>
      </c>
      <c r="AJ1049" s="231">
        <v>1220643</v>
      </c>
      <c r="AL1049" s="254"/>
      <c r="AQ1049" s="215" t="str">
        <f t="shared" si="169"/>
        <v>NA</v>
      </c>
      <c r="AR1049" s="215" t="str">
        <f t="shared" si="165"/>
        <v>NA</v>
      </c>
    </row>
    <row r="1050" spans="2:44">
      <c r="B1050" s="230">
        <v>44630</v>
      </c>
      <c r="C1050" s="1">
        <v>397.6</v>
      </c>
      <c r="D1050" s="1">
        <v>403.03153153153102</v>
      </c>
      <c r="E1050" s="1">
        <v>2442</v>
      </c>
      <c r="F1050" s="215">
        <v>55464.39</v>
      </c>
      <c r="G1050" s="215">
        <f t="shared" si="160"/>
        <v>-1.5465263013881847E-3</v>
      </c>
      <c r="H1050" s="215">
        <f t="shared" si="161"/>
        <v>-1.2296609116879909E-2</v>
      </c>
      <c r="I1050" s="231">
        <v>984203</v>
      </c>
      <c r="K1050" s="230">
        <v>44629</v>
      </c>
      <c r="L1050" s="1">
        <v>354.8</v>
      </c>
      <c r="M1050" s="1">
        <v>353.93442646043701</v>
      </c>
      <c r="N1050" s="1">
        <v>70989</v>
      </c>
      <c r="O1050" s="1">
        <v>54647.33</v>
      </c>
      <c r="P1050" s="215">
        <f t="shared" si="166"/>
        <v>-1.4731253692684576E-2</v>
      </c>
      <c r="Q1050" s="215">
        <f t="shared" si="162"/>
        <v>-4.2099354476564654E-3</v>
      </c>
      <c r="R1050" s="231">
        <v>25125451</v>
      </c>
      <c r="T1050" s="230">
        <v>44629</v>
      </c>
      <c r="U1050" s="1">
        <v>64.45</v>
      </c>
      <c r="V1050" s="1">
        <v>63.919860094417103</v>
      </c>
      <c r="W1050" s="1">
        <v>52321</v>
      </c>
      <c r="X1050" s="1">
        <v>54647.33</v>
      </c>
      <c r="Y1050" s="215">
        <f t="shared" si="167"/>
        <v>-1.4731253692684576E-2</v>
      </c>
      <c r="Z1050" s="215">
        <f t="shared" si="163"/>
        <v>-4.3768545994065322E-2</v>
      </c>
      <c r="AA1050" s="231">
        <v>3344351</v>
      </c>
      <c r="AC1050" s="230">
        <v>44663</v>
      </c>
      <c r="AD1050" s="1">
        <v>69</v>
      </c>
      <c r="AE1050" s="1">
        <v>69.054393305439305</v>
      </c>
      <c r="AF1050" s="1">
        <v>2151</v>
      </c>
      <c r="AG1050" s="1">
        <v>58576.37</v>
      </c>
      <c r="AH1050" s="215">
        <f t="shared" si="168"/>
        <v>4.070009511658812E-3</v>
      </c>
      <c r="AI1050" s="215">
        <f t="shared" si="164"/>
        <v>-7.9079798705966597E-3</v>
      </c>
      <c r="AJ1050" s="231">
        <v>148536</v>
      </c>
      <c r="AL1050" s="254"/>
      <c r="AQ1050" s="215" t="str">
        <f t="shared" si="169"/>
        <v>NA</v>
      </c>
      <c r="AR1050" s="215" t="str">
        <f t="shared" si="165"/>
        <v>NA</v>
      </c>
    </row>
    <row r="1051" spans="2:44">
      <c r="B1051" s="230">
        <v>44631</v>
      </c>
      <c r="C1051" s="1">
        <v>402.55</v>
      </c>
      <c r="D1051" s="1">
        <v>400.13893967093202</v>
      </c>
      <c r="E1051" s="1">
        <v>547</v>
      </c>
      <c r="F1051" s="215">
        <v>55550.3</v>
      </c>
      <c r="G1051" s="215">
        <f t="shared" si="160"/>
        <v>-1.6565514794634084E-2</v>
      </c>
      <c r="H1051" s="215">
        <f t="shared" si="161"/>
        <v>4.2409879007110352E-3</v>
      </c>
      <c r="I1051" s="231">
        <v>218876</v>
      </c>
      <c r="K1051" s="230">
        <v>44630</v>
      </c>
      <c r="L1051" s="1">
        <v>356.3</v>
      </c>
      <c r="M1051" s="1">
        <v>360.53255532802001</v>
      </c>
      <c r="N1051" s="1">
        <v>40531</v>
      </c>
      <c r="O1051" s="1">
        <v>55464.39</v>
      </c>
      <c r="P1051" s="215">
        <f t="shared" si="166"/>
        <v>-1.5465263013881847E-3</v>
      </c>
      <c r="Q1051" s="215">
        <f t="shared" si="162"/>
        <v>-7.7659849857623642E-2</v>
      </c>
      <c r="R1051" s="231">
        <v>14612745</v>
      </c>
      <c r="T1051" s="230">
        <v>44630</v>
      </c>
      <c r="U1051" s="1">
        <v>67.400000000000006</v>
      </c>
      <c r="V1051" s="1">
        <v>66.764942113133799</v>
      </c>
      <c r="W1051" s="1">
        <v>142433</v>
      </c>
      <c r="X1051" s="1">
        <v>55464.39</v>
      </c>
      <c r="Y1051" s="215">
        <f t="shared" si="167"/>
        <v>-1.5465263013881847E-3</v>
      </c>
      <c r="Z1051" s="215">
        <f t="shared" si="163"/>
        <v>-4.0569395017793553E-2</v>
      </c>
      <c r="AA1051" s="231">
        <v>9509531</v>
      </c>
      <c r="AC1051" s="230">
        <v>44664</v>
      </c>
      <c r="AD1051" s="1">
        <v>69.55</v>
      </c>
      <c r="AE1051" s="1">
        <v>69.715236932637794</v>
      </c>
      <c r="AF1051" s="1">
        <v>9011</v>
      </c>
      <c r="AG1051" s="1">
        <v>58338.93</v>
      </c>
      <c r="AH1051" s="215">
        <f t="shared" si="168"/>
        <v>2.050475503763205E-2</v>
      </c>
      <c r="AI1051" s="215">
        <f t="shared" si="164"/>
        <v>-2.8631284916201039E-2</v>
      </c>
      <c r="AJ1051" s="231">
        <v>628204</v>
      </c>
      <c r="AL1051" s="254"/>
      <c r="AQ1051" s="215" t="str">
        <f t="shared" si="169"/>
        <v>NA</v>
      </c>
      <c r="AR1051" s="215" t="str">
        <f t="shared" si="165"/>
        <v>NA</v>
      </c>
    </row>
    <row r="1052" spans="2:44">
      <c r="B1052" s="230">
        <v>44634</v>
      </c>
      <c r="C1052" s="1">
        <v>400.85</v>
      </c>
      <c r="D1052" s="1">
        <v>405.81397637795197</v>
      </c>
      <c r="E1052" s="1">
        <v>3048</v>
      </c>
      <c r="F1052" s="215">
        <v>56486.02</v>
      </c>
      <c r="G1052" s="215">
        <f t="shared" si="160"/>
        <v>1.2714414672036822E-2</v>
      </c>
      <c r="H1052" s="215">
        <f t="shared" si="161"/>
        <v>3.6304456685027908E-3</v>
      </c>
      <c r="I1052" s="231">
        <v>1236921</v>
      </c>
      <c r="K1052" s="230">
        <v>44631</v>
      </c>
      <c r="L1052" s="1">
        <v>386.3</v>
      </c>
      <c r="M1052" s="1">
        <v>381.49550582044901</v>
      </c>
      <c r="N1052" s="1">
        <v>138735</v>
      </c>
      <c r="O1052" s="1">
        <v>55550.3</v>
      </c>
      <c r="P1052" s="215">
        <f t="shared" si="166"/>
        <v>-1.6565514794634084E-2</v>
      </c>
      <c r="Q1052" s="215">
        <f t="shared" si="162"/>
        <v>1.6177824542943586E-2</v>
      </c>
      <c r="R1052" s="231">
        <v>52926779</v>
      </c>
      <c r="T1052" s="230">
        <v>44631</v>
      </c>
      <c r="U1052" s="1">
        <v>70.25</v>
      </c>
      <c r="V1052" s="1">
        <v>70.004014684217793</v>
      </c>
      <c r="W1052" s="1">
        <v>293921</v>
      </c>
      <c r="X1052" s="1">
        <v>55550.3</v>
      </c>
      <c r="Y1052" s="215">
        <f t="shared" si="167"/>
        <v>-1.6565514794634084E-2</v>
      </c>
      <c r="Z1052" s="215">
        <f t="shared" si="163"/>
        <v>5.7265569076594414E-3</v>
      </c>
      <c r="AA1052" s="231">
        <v>20575650</v>
      </c>
      <c r="AC1052" s="230">
        <v>44669</v>
      </c>
      <c r="AD1052" s="1">
        <v>71.599999999999994</v>
      </c>
      <c r="AE1052" s="1">
        <v>69.929442360163705</v>
      </c>
      <c r="AF1052" s="1">
        <v>23456</v>
      </c>
      <c r="AG1052" s="1">
        <v>57166.74</v>
      </c>
      <c r="AH1052" s="215">
        <f t="shared" si="168"/>
        <v>1.2461047603613995E-2</v>
      </c>
      <c r="AI1052" s="215">
        <f t="shared" si="164"/>
        <v>-8.9965397923875701E-3</v>
      </c>
      <c r="AJ1052" s="231">
        <v>1640265</v>
      </c>
      <c r="AL1052" s="254"/>
      <c r="AQ1052" s="215" t="str">
        <f t="shared" si="169"/>
        <v>NA</v>
      </c>
      <c r="AR1052" s="215" t="str">
        <f t="shared" si="165"/>
        <v>NA</v>
      </c>
    </row>
    <row r="1053" spans="2:44">
      <c r="B1053" s="230">
        <v>44635</v>
      </c>
      <c r="C1053" s="1">
        <v>399.4</v>
      </c>
      <c r="D1053" s="1">
        <v>405.27124183006498</v>
      </c>
      <c r="E1053" s="1">
        <v>612</v>
      </c>
      <c r="F1053" s="215">
        <v>55776.85</v>
      </c>
      <c r="G1053" s="215">
        <f t="shared" si="160"/>
        <v>-1.8300973394242748E-2</v>
      </c>
      <c r="H1053" s="215">
        <f t="shared" si="161"/>
        <v>5.5387713997985255E-3</v>
      </c>
      <c r="I1053" s="231">
        <v>248026</v>
      </c>
      <c r="K1053" s="230">
        <v>44634</v>
      </c>
      <c r="L1053" s="1">
        <v>380.15</v>
      </c>
      <c r="M1053" s="1">
        <v>382.07674359529199</v>
      </c>
      <c r="N1053" s="1">
        <v>106289</v>
      </c>
      <c r="O1053" s="1">
        <v>56486.02</v>
      </c>
      <c r="P1053" s="215">
        <f t="shared" si="166"/>
        <v>1.2714414672036822E-2</v>
      </c>
      <c r="Q1053" s="215">
        <f t="shared" si="162"/>
        <v>5.231833910034589E-2</v>
      </c>
      <c r="R1053" s="231">
        <v>40610555</v>
      </c>
      <c r="T1053" s="230">
        <v>44634</v>
      </c>
      <c r="U1053" s="1">
        <v>69.849999999999994</v>
      </c>
      <c r="V1053" s="1">
        <v>69.876132614412299</v>
      </c>
      <c r="W1053" s="1">
        <v>143363</v>
      </c>
      <c r="X1053" s="1">
        <v>56486.02</v>
      </c>
      <c r="Y1053" s="215">
        <f t="shared" si="167"/>
        <v>1.2714414672036822E-2</v>
      </c>
      <c r="Z1053" s="215">
        <f t="shared" si="163"/>
        <v>3.328402366863914E-2</v>
      </c>
      <c r="AA1053" s="231">
        <v>10017652</v>
      </c>
      <c r="AC1053" s="230">
        <v>44670</v>
      </c>
      <c r="AD1053" s="1">
        <v>72.25</v>
      </c>
      <c r="AE1053" s="1">
        <v>72.6685576064733</v>
      </c>
      <c r="AF1053" s="1">
        <v>34727</v>
      </c>
      <c r="AG1053" s="1">
        <v>56463.15</v>
      </c>
      <c r="AH1053" s="215">
        <f t="shared" si="168"/>
        <v>-1.0069690992767888E-2</v>
      </c>
      <c r="AI1053" s="215">
        <f t="shared" si="164"/>
        <v>1.9040902679830607E-2</v>
      </c>
      <c r="AJ1053" s="231">
        <v>2523561</v>
      </c>
      <c r="AL1053" s="254"/>
      <c r="AQ1053" s="215" t="str">
        <f t="shared" si="169"/>
        <v>NA</v>
      </c>
      <c r="AR1053" s="215" t="str">
        <f t="shared" si="165"/>
        <v>NA</v>
      </c>
    </row>
    <row r="1054" spans="2:44">
      <c r="B1054" s="230">
        <v>44636</v>
      </c>
      <c r="C1054" s="1">
        <v>397.2</v>
      </c>
      <c r="D1054" s="1">
        <v>403.003047232097</v>
      </c>
      <c r="E1054" s="1">
        <v>1969</v>
      </c>
      <c r="F1054" s="215">
        <v>56816.65</v>
      </c>
      <c r="G1054" s="215">
        <f t="shared" si="160"/>
        <v>-1.8099012631876188E-2</v>
      </c>
      <c r="H1054" s="215">
        <f t="shared" si="161"/>
        <v>-2.143385070214332E-2</v>
      </c>
      <c r="I1054" s="231">
        <v>793513</v>
      </c>
      <c r="K1054" s="230">
        <v>44635</v>
      </c>
      <c r="L1054" s="1">
        <v>361.25</v>
      </c>
      <c r="M1054" s="1">
        <v>365.13615637929502</v>
      </c>
      <c r="N1054" s="1">
        <v>47372</v>
      </c>
      <c r="O1054" s="1">
        <v>55776.85</v>
      </c>
      <c r="P1054" s="215">
        <f t="shared" si="166"/>
        <v>-1.8300973394242748E-2</v>
      </c>
      <c r="Q1054" s="215">
        <f t="shared" si="162"/>
        <v>-2.351669144478985E-2</v>
      </c>
      <c r="R1054" s="231">
        <v>17297230</v>
      </c>
      <c r="T1054" s="230">
        <v>44635</v>
      </c>
      <c r="U1054" s="1">
        <v>67.599999999999994</v>
      </c>
      <c r="V1054" s="1">
        <v>68.821623136213702</v>
      </c>
      <c r="W1054" s="1">
        <v>217702</v>
      </c>
      <c r="X1054" s="1">
        <v>55776.85</v>
      </c>
      <c r="Y1054" s="215">
        <f t="shared" si="167"/>
        <v>-1.8300973394242748E-2</v>
      </c>
      <c r="Z1054" s="215">
        <f t="shared" si="163"/>
        <v>-4.1814316087880998E-2</v>
      </c>
      <c r="AA1054" s="231">
        <v>14982605</v>
      </c>
      <c r="AC1054" s="230">
        <v>44671</v>
      </c>
      <c r="AD1054" s="1">
        <v>70.900000000000006</v>
      </c>
      <c r="AE1054" s="1">
        <v>70.879225978647597</v>
      </c>
      <c r="AF1054" s="1">
        <v>13488</v>
      </c>
      <c r="AG1054" s="1">
        <v>57037.5</v>
      </c>
      <c r="AH1054" s="215">
        <f t="shared" si="168"/>
        <v>-1.5095055090786569E-2</v>
      </c>
      <c r="AI1054" s="215">
        <f t="shared" si="164"/>
        <v>2.382671480144416E-2</v>
      </c>
      <c r="AJ1054" s="231">
        <v>956019</v>
      </c>
      <c r="AL1054" s="254"/>
      <c r="AQ1054" s="215" t="str">
        <f t="shared" si="169"/>
        <v>NA</v>
      </c>
      <c r="AR1054" s="215" t="str">
        <f t="shared" si="165"/>
        <v>NA</v>
      </c>
    </row>
    <row r="1055" spans="2:44">
      <c r="B1055" s="230">
        <v>44637</v>
      </c>
      <c r="C1055" s="1">
        <v>405.9</v>
      </c>
      <c r="D1055" s="1">
        <v>409.76472261735398</v>
      </c>
      <c r="E1055" s="1">
        <v>3515</v>
      </c>
      <c r="F1055" s="215">
        <v>57863.93</v>
      </c>
      <c r="G1055" s="215">
        <f t="shared" si="160"/>
        <v>9.9740821179181705E-3</v>
      </c>
      <c r="H1055" s="215">
        <f t="shared" si="161"/>
        <v>-1.7548106014764642E-2</v>
      </c>
      <c r="I1055" s="231">
        <v>1440323</v>
      </c>
      <c r="K1055" s="230">
        <v>44636</v>
      </c>
      <c r="L1055" s="1">
        <v>369.95</v>
      </c>
      <c r="M1055" s="1">
        <v>367.95176959779201</v>
      </c>
      <c r="N1055" s="1">
        <v>52187</v>
      </c>
      <c r="O1055" s="1">
        <v>56816.65</v>
      </c>
      <c r="P1055" s="215">
        <f t="shared" si="166"/>
        <v>-1.8099012631876188E-2</v>
      </c>
      <c r="Q1055" s="215">
        <f t="shared" si="162"/>
        <v>-2.2589167767503304E-2</v>
      </c>
      <c r="R1055" s="231">
        <v>19202299</v>
      </c>
      <c r="T1055" s="230">
        <v>44636</v>
      </c>
      <c r="U1055" s="1">
        <v>70.55</v>
      </c>
      <c r="V1055" s="1">
        <v>69.554053729161495</v>
      </c>
      <c r="W1055" s="1">
        <v>207969</v>
      </c>
      <c r="X1055" s="1">
        <v>56816.65</v>
      </c>
      <c r="Y1055" s="215">
        <f t="shared" si="167"/>
        <v>-1.8099012631876188E-2</v>
      </c>
      <c r="Z1055" s="215">
        <f t="shared" si="163"/>
        <v>-6.3380281690140761E-3</v>
      </c>
      <c r="AA1055" s="231">
        <v>14465087</v>
      </c>
      <c r="AC1055" s="230">
        <v>44672</v>
      </c>
      <c r="AD1055" s="1">
        <v>69.25</v>
      </c>
      <c r="AE1055" s="1">
        <v>69.700723460800205</v>
      </c>
      <c r="AF1055" s="1">
        <v>13546</v>
      </c>
      <c r="AG1055" s="1">
        <v>57911.68</v>
      </c>
      <c r="AH1055" s="215">
        <f t="shared" si="168"/>
        <v>1.2492405653078853E-2</v>
      </c>
      <c r="AI1055" s="215">
        <f t="shared" si="164"/>
        <v>-1.4234875444839812E-2</v>
      </c>
      <c r="AJ1055" s="231">
        <v>944166</v>
      </c>
      <c r="AL1055" s="254"/>
      <c r="AQ1055" s="215" t="str">
        <f t="shared" si="169"/>
        <v>NA</v>
      </c>
      <c r="AR1055" s="215" t="str">
        <f t="shared" si="165"/>
        <v>NA</v>
      </c>
    </row>
    <row r="1056" spans="2:44">
      <c r="B1056" s="230">
        <v>44641</v>
      </c>
      <c r="C1056" s="1">
        <v>413.15</v>
      </c>
      <c r="D1056" s="1">
        <v>410.87516908212501</v>
      </c>
      <c r="E1056" s="1">
        <v>5175</v>
      </c>
      <c r="F1056" s="215">
        <v>57292.49</v>
      </c>
      <c r="G1056" s="215">
        <f t="shared" si="160"/>
        <v>-1.2016182295699451E-2</v>
      </c>
      <c r="H1056" s="215">
        <f t="shared" si="161"/>
        <v>-4.4578313253013091E-3</v>
      </c>
      <c r="I1056" s="231">
        <v>2126279</v>
      </c>
      <c r="K1056" s="230">
        <v>44637</v>
      </c>
      <c r="L1056" s="1">
        <v>378.5</v>
      </c>
      <c r="M1056" s="1">
        <v>378.94736185294198</v>
      </c>
      <c r="N1056" s="1">
        <v>80132</v>
      </c>
      <c r="O1056" s="1">
        <v>57863.93</v>
      </c>
      <c r="P1056" s="215">
        <f t="shared" si="166"/>
        <v>9.9740821179181705E-3</v>
      </c>
      <c r="Q1056" s="215">
        <f t="shared" si="162"/>
        <v>-3.9614419648748012E-4</v>
      </c>
      <c r="R1056" s="231">
        <v>30365810</v>
      </c>
      <c r="T1056" s="230">
        <v>44637</v>
      </c>
      <c r="U1056" s="1">
        <v>71</v>
      </c>
      <c r="V1056" s="1">
        <v>71.382301365085198</v>
      </c>
      <c r="W1056" s="1">
        <v>103217</v>
      </c>
      <c r="X1056" s="1">
        <v>57863.93</v>
      </c>
      <c r="Y1056" s="215">
        <f t="shared" si="167"/>
        <v>9.9740821179181705E-3</v>
      </c>
      <c r="Z1056" s="215">
        <f t="shared" si="163"/>
        <v>-1.4573213046495503E-2</v>
      </c>
      <c r="AA1056" s="231">
        <v>7367867</v>
      </c>
      <c r="AC1056" s="230">
        <v>44673</v>
      </c>
      <c r="AD1056" s="1">
        <v>70.25</v>
      </c>
      <c r="AE1056" s="1">
        <v>70.586588921282697</v>
      </c>
      <c r="AF1056" s="1">
        <v>10290</v>
      </c>
      <c r="AG1056" s="1">
        <v>57197.15</v>
      </c>
      <c r="AH1056" s="215">
        <f t="shared" si="168"/>
        <v>1.0909529870065215E-2</v>
      </c>
      <c r="AI1056" s="215">
        <f t="shared" si="164"/>
        <v>3.2329169728141149E-2</v>
      </c>
      <c r="AJ1056" s="231">
        <v>726336</v>
      </c>
      <c r="AL1056" s="254"/>
      <c r="AQ1056" s="215" t="str">
        <f t="shared" si="169"/>
        <v>NA</v>
      </c>
      <c r="AR1056" s="215" t="str">
        <f t="shared" si="165"/>
        <v>NA</v>
      </c>
    </row>
    <row r="1057" spans="2:44">
      <c r="B1057" s="230">
        <v>44642</v>
      </c>
      <c r="C1057" s="1">
        <v>415</v>
      </c>
      <c r="D1057" s="1">
        <v>412.940459110473</v>
      </c>
      <c r="E1057" s="1">
        <v>1394</v>
      </c>
      <c r="F1057" s="215">
        <v>57989.3</v>
      </c>
      <c r="G1057" s="215">
        <f t="shared" si="160"/>
        <v>5.2783383912786697E-3</v>
      </c>
      <c r="H1057" s="215">
        <f t="shared" si="161"/>
        <v>7.2815533980583602E-3</v>
      </c>
      <c r="I1057" s="231">
        <v>575639</v>
      </c>
      <c r="K1057" s="230">
        <v>44641</v>
      </c>
      <c r="L1057" s="1">
        <v>378.65</v>
      </c>
      <c r="M1057" s="1">
        <v>380.52705410821602</v>
      </c>
      <c r="N1057" s="1">
        <v>36926</v>
      </c>
      <c r="O1057" s="1">
        <v>57292.49</v>
      </c>
      <c r="P1057" s="215">
        <f t="shared" si="166"/>
        <v>-1.2016182295699451E-2</v>
      </c>
      <c r="Q1057" s="215">
        <f t="shared" si="162"/>
        <v>-2.6606683804627274E-2</v>
      </c>
      <c r="R1057" s="231">
        <v>14051342</v>
      </c>
      <c r="T1057" s="230">
        <v>44641</v>
      </c>
      <c r="U1057" s="1">
        <v>72.05</v>
      </c>
      <c r="V1057" s="1">
        <v>71.787984706017397</v>
      </c>
      <c r="W1057" s="1">
        <v>121878</v>
      </c>
      <c r="X1057" s="1">
        <v>57292.49</v>
      </c>
      <c r="Y1057" s="215">
        <f t="shared" si="167"/>
        <v>-1.2016182295699451E-2</v>
      </c>
      <c r="Z1057" s="215">
        <f t="shared" si="163"/>
        <v>1.6220028208744575E-2</v>
      </c>
      <c r="AA1057" s="231">
        <v>8749376</v>
      </c>
      <c r="AC1057" s="230">
        <v>44676</v>
      </c>
      <c r="AD1057" s="1">
        <v>68.05</v>
      </c>
      <c r="AE1057" s="1">
        <v>68.679187704599599</v>
      </c>
      <c r="AF1057" s="1">
        <v>18023</v>
      </c>
      <c r="AG1057" s="1">
        <v>56579.89</v>
      </c>
      <c r="AH1057" s="215">
        <f t="shared" si="168"/>
        <v>-1.3541943988670146E-2</v>
      </c>
      <c r="AI1057" s="215">
        <f t="shared" si="164"/>
        <v>-0.14937500000000004</v>
      </c>
      <c r="AJ1057" s="231">
        <v>1237805</v>
      </c>
      <c r="AL1057" s="254"/>
      <c r="AQ1057" s="215" t="str">
        <f t="shared" si="169"/>
        <v>NA</v>
      </c>
      <c r="AR1057" s="215" t="str">
        <f t="shared" si="165"/>
        <v>NA</v>
      </c>
    </row>
    <row r="1058" spans="2:44">
      <c r="B1058" s="230">
        <v>44643</v>
      </c>
      <c r="C1058" s="1">
        <v>412</v>
      </c>
      <c r="D1058" s="1">
        <v>411.32399780340398</v>
      </c>
      <c r="E1058" s="1">
        <v>1821</v>
      </c>
      <c r="F1058" s="215">
        <v>57684.82</v>
      </c>
      <c r="G1058" s="215">
        <f t="shared" si="160"/>
        <v>1.5476855208584883E-3</v>
      </c>
      <c r="H1058" s="215">
        <f t="shared" si="161"/>
        <v>1.7535193875030997E-2</v>
      </c>
      <c r="I1058" s="231">
        <v>749021</v>
      </c>
      <c r="K1058" s="230">
        <v>44642</v>
      </c>
      <c r="L1058" s="1">
        <v>389</v>
      </c>
      <c r="M1058" s="1">
        <v>390.67564260261901</v>
      </c>
      <c r="N1058" s="1">
        <v>157718</v>
      </c>
      <c r="O1058" s="1">
        <v>57989.3</v>
      </c>
      <c r="P1058" s="215">
        <f t="shared" si="166"/>
        <v>5.2783383912786697E-3</v>
      </c>
      <c r="Q1058" s="215">
        <f t="shared" si="162"/>
        <v>-1.6559221337378416E-2</v>
      </c>
      <c r="R1058" s="231">
        <v>61616581</v>
      </c>
      <c r="T1058" s="230">
        <v>44642</v>
      </c>
      <c r="U1058" s="1">
        <v>70.900000000000006</v>
      </c>
      <c r="V1058" s="1">
        <v>70.754630355977895</v>
      </c>
      <c r="W1058" s="1">
        <v>121103</v>
      </c>
      <c r="X1058" s="1">
        <v>57989.3</v>
      </c>
      <c r="Y1058" s="215">
        <f t="shared" si="167"/>
        <v>5.2783383912786697E-3</v>
      </c>
      <c r="Z1058" s="215">
        <f t="shared" si="163"/>
        <v>-7.0028011204481544E-3</v>
      </c>
      <c r="AA1058" s="231">
        <v>8568598</v>
      </c>
      <c r="AC1058" s="230">
        <v>44677</v>
      </c>
      <c r="AD1058" s="1">
        <v>80</v>
      </c>
      <c r="AE1058" s="1">
        <v>77.446977821629204</v>
      </c>
      <c r="AF1058" s="1">
        <v>93244</v>
      </c>
      <c r="AG1058" s="1">
        <v>57356.61</v>
      </c>
      <c r="AH1058" s="215">
        <f t="shared" si="168"/>
        <v>9.4548709516240059E-3</v>
      </c>
      <c r="AI1058" s="215">
        <f t="shared" si="164"/>
        <v>4.8492791612057662E-2</v>
      </c>
      <c r="AJ1058" s="231">
        <v>7221466</v>
      </c>
      <c r="AL1058" s="254"/>
      <c r="AQ1058" s="215" t="str">
        <f t="shared" si="169"/>
        <v>NA</v>
      </c>
      <c r="AR1058" s="215" t="str">
        <f t="shared" si="165"/>
        <v>NA</v>
      </c>
    </row>
    <row r="1059" spans="2:44">
      <c r="B1059" s="230">
        <v>44644</v>
      </c>
      <c r="C1059" s="1">
        <v>404.9</v>
      </c>
      <c r="D1059" s="1">
        <v>406.01943224062097</v>
      </c>
      <c r="E1059" s="1">
        <v>5918</v>
      </c>
      <c r="F1059" s="215">
        <v>57595.68</v>
      </c>
      <c r="G1059" s="215">
        <f t="shared" si="160"/>
        <v>4.0702762446349627E-3</v>
      </c>
      <c r="H1059" s="215">
        <f t="shared" si="161"/>
        <v>5.2135054617674648E-3</v>
      </c>
      <c r="I1059" s="231">
        <v>2402823</v>
      </c>
      <c r="K1059" s="230">
        <v>44643</v>
      </c>
      <c r="L1059" s="1">
        <v>395.55</v>
      </c>
      <c r="M1059" s="1">
        <v>393.78858418367298</v>
      </c>
      <c r="N1059" s="1">
        <v>84672</v>
      </c>
      <c r="O1059" s="1">
        <v>57684.82</v>
      </c>
      <c r="P1059" s="215">
        <f t="shared" si="166"/>
        <v>1.5476855208584883E-3</v>
      </c>
      <c r="Q1059" s="215">
        <f t="shared" si="162"/>
        <v>6.3605139295255242E-3</v>
      </c>
      <c r="R1059" s="231">
        <v>33342867</v>
      </c>
      <c r="T1059" s="230">
        <v>44643</v>
      </c>
      <c r="U1059" s="1">
        <v>71.400000000000006</v>
      </c>
      <c r="V1059" s="1">
        <v>71.206918545319596</v>
      </c>
      <c r="W1059" s="1">
        <v>172464</v>
      </c>
      <c r="X1059" s="1">
        <v>57684.82</v>
      </c>
      <c r="Y1059" s="215">
        <f t="shared" si="167"/>
        <v>1.5476855208584883E-3</v>
      </c>
      <c r="Z1059" s="215">
        <f t="shared" si="163"/>
        <v>7.762879322512406E-3</v>
      </c>
      <c r="AA1059" s="231">
        <v>12280630</v>
      </c>
      <c r="AC1059" s="230">
        <v>44678</v>
      </c>
      <c r="AD1059" s="1">
        <v>76.3</v>
      </c>
      <c r="AE1059" s="1">
        <v>76.871605582365902</v>
      </c>
      <c r="AF1059" s="1">
        <v>38335</v>
      </c>
      <c r="AG1059" s="1">
        <v>56819.39</v>
      </c>
      <c r="AH1059" s="215">
        <f t="shared" si="168"/>
        <v>-1.2198488692663156E-2</v>
      </c>
      <c r="AI1059" s="215">
        <f t="shared" si="164"/>
        <v>1.8012008005336755E-2</v>
      </c>
      <c r="AJ1059" s="231">
        <v>2946873</v>
      </c>
      <c r="AL1059" s="254"/>
      <c r="AQ1059" s="215" t="str">
        <f t="shared" si="169"/>
        <v>NA</v>
      </c>
      <c r="AR1059" s="215" t="str">
        <f t="shared" si="165"/>
        <v>NA</v>
      </c>
    </row>
    <row r="1060" spans="2:44">
      <c r="B1060" s="230">
        <v>44645</v>
      </c>
      <c r="C1060" s="1">
        <v>402.8</v>
      </c>
      <c r="D1060" s="1">
        <v>405.21275252525197</v>
      </c>
      <c r="E1060" s="1">
        <v>1584</v>
      </c>
      <c r="F1060" s="215">
        <v>57362.2</v>
      </c>
      <c r="G1060" s="215">
        <f t="shared" si="160"/>
        <v>-4.0159052698490738E-3</v>
      </c>
      <c r="H1060" s="215">
        <f t="shared" si="161"/>
        <v>-1.2745098039215641E-2</v>
      </c>
      <c r="I1060" s="231">
        <v>641857</v>
      </c>
      <c r="K1060" s="230">
        <v>44644</v>
      </c>
      <c r="L1060" s="1">
        <v>393.05</v>
      </c>
      <c r="M1060" s="1">
        <v>398.98245579567703</v>
      </c>
      <c r="N1060" s="1">
        <v>50900</v>
      </c>
      <c r="O1060" s="1">
        <v>57595.68</v>
      </c>
      <c r="P1060" s="215">
        <f t="shared" si="166"/>
        <v>4.0702762446349627E-3</v>
      </c>
      <c r="Q1060" s="215">
        <f t="shared" si="162"/>
        <v>1.1061093247588527E-2</v>
      </c>
      <c r="R1060" s="231">
        <v>20308207</v>
      </c>
      <c r="T1060" s="230">
        <v>44644</v>
      </c>
      <c r="U1060" s="1">
        <v>70.849999999999994</v>
      </c>
      <c r="V1060" s="1">
        <v>71.475681391598499</v>
      </c>
      <c r="W1060" s="1">
        <v>189135</v>
      </c>
      <c r="X1060" s="1">
        <v>57595.68</v>
      </c>
      <c r="Y1060" s="215">
        <f t="shared" si="167"/>
        <v>4.0702762446349627E-3</v>
      </c>
      <c r="Z1060" s="215">
        <f t="shared" si="163"/>
        <v>2.1629416005767954E-2</v>
      </c>
      <c r="AA1060" s="231">
        <v>13518553</v>
      </c>
      <c r="AC1060" s="230">
        <v>44679</v>
      </c>
      <c r="AD1060" s="1">
        <v>74.95</v>
      </c>
      <c r="AE1060" s="1">
        <v>76.147370035270598</v>
      </c>
      <c r="AF1060" s="1">
        <v>6521</v>
      </c>
      <c r="AG1060" s="1">
        <v>57521.06</v>
      </c>
      <c r="AH1060" s="215">
        <f t="shared" si="168"/>
        <v>8.0648963116054517E-3</v>
      </c>
      <c r="AI1060" s="215">
        <f t="shared" si="164"/>
        <v>3.308063404548589E-2</v>
      </c>
      <c r="AJ1060" s="231">
        <v>496557</v>
      </c>
      <c r="AL1060" s="254"/>
      <c r="AQ1060" s="215" t="str">
        <f t="shared" si="169"/>
        <v>NA</v>
      </c>
      <c r="AR1060" s="215" t="str">
        <f t="shared" si="165"/>
        <v>NA</v>
      </c>
    </row>
    <row r="1061" spans="2:44">
      <c r="B1061" s="230">
        <v>44648</v>
      </c>
      <c r="C1061" s="1">
        <v>408</v>
      </c>
      <c r="D1061" s="1">
        <v>401.498293515358</v>
      </c>
      <c r="E1061" s="1">
        <v>2051</v>
      </c>
      <c r="F1061" s="215">
        <v>57593.49</v>
      </c>
      <c r="G1061" s="215">
        <f t="shared" si="160"/>
        <v>-6.0431125757525184E-3</v>
      </c>
      <c r="H1061" s="215">
        <f t="shared" si="161"/>
        <v>1.974506373406637E-2</v>
      </c>
      <c r="I1061" s="231">
        <v>823473</v>
      </c>
      <c r="K1061" s="230">
        <v>44645</v>
      </c>
      <c r="L1061" s="1">
        <v>388.75</v>
      </c>
      <c r="M1061" s="1">
        <v>393.99150046598299</v>
      </c>
      <c r="N1061" s="1">
        <v>53650</v>
      </c>
      <c r="O1061" s="1">
        <v>57362.2</v>
      </c>
      <c r="P1061" s="215">
        <f t="shared" si="166"/>
        <v>-4.0159052698490738E-3</v>
      </c>
      <c r="Q1061" s="215">
        <f t="shared" si="162"/>
        <v>2.7895293495505014E-2</v>
      </c>
      <c r="R1061" s="231">
        <v>21137644</v>
      </c>
      <c r="T1061" s="230">
        <v>44645</v>
      </c>
      <c r="U1061" s="1">
        <v>69.349999999999994</v>
      </c>
      <c r="V1061" s="1">
        <v>69.938465821422994</v>
      </c>
      <c r="W1061" s="1">
        <v>423862</v>
      </c>
      <c r="X1061" s="1">
        <v>57362.2</v>
      </c>
      <c r="Y1061" s="215">
        <f t="shared" si="167"/>
        <v>-4.0159052698490738E-3</v>
      </c>
      <c r="Z1061" s="215">
        <f t="shared" si="163"/>
        <v>4.1291291291291277E-2</v>
      </c>
      <c r="AA1061" s="231">
        <v>29644258</v>
      </c>
      <c r="AC1061" s="230">
        <v>44680</v>
      </c>
      <c r="AD1061" s="1">
        <v>72.55</v>
      </c>
      <c r="AE1061" s="1">
        <v>74.356141096472498</v>
      </c>
      <c r="AF1061" s="1">
        <v>4706</v>
      </c>
      <c r="AG1061" s="1">
        <v>57060.87</v>
      </c>
      <c r="AH1061" s="215">
        <f t="shared" si="168"/>
        <v>1.4897503316748661E-3</v>
      </c>
      <c r="AI1061" s="215">
        <f t="shared" si="164"/>
        <v>-2.5520483546004114E-2</v>
      </c>
      <c r="AJ1061" s="231">
        <v>349920</v>
      </c>
      <c r="AL1061" s="254"/>
      <c r="AQ1061" s="215" t="str">
        <f t="shared" si="169"/>
        <v>NA</v>
      </c>
      <c r="AR1061" s="215" t="str">
        <f t="shared" si="165"/>
        <v>NA</v>
      </c>
    </row>
    <row r="1062" spans="2:44">
      <c r="B1062" s="230">
        <v>44649</v>
      </c>
      <c r="C1062" s="1">
        <v>400.1</v>
      </c>
      <c r="D1062" s="1">
        <v>406.12704918032699</v>
      </c>
      <c r="E1062" s="1">
        <v>2196</v>
      </c>
      <c r="F1062" s="215">
        <v>57943.65</v>
      </c>
      <c r="G1062" s="215">
        <f t="shared" si="160"/>
        <v>-1.2615706600726972E-2</v>
      </c>
      <c r="H1062" s="215">
        <f t="shared" si="161"/>
        <v>-2.7703523693803134E-2</v>
      </c>
      <c r="I1062" s="231">
        <v>891855</v>
      </c>
      <c r="K1062" s="230">
        <v>44648</v>
      </c>
      <c r="L1062" s="1">
        <v>378.2</v>
      </c>
      <c r="M1062" s="1">
        <v>379.19337433048901</v>
      </c>
      <c r="N1062" s="1">
        <v>75615</v>
      </c>
      <c r="O1062" s="1">
        <v>57593.49</v>
      </c>
      <c r="P1062" s="215">
        <f t="shared" si="166"/>
        <v>-6.0431125757525184E-3</v>
      </c>
      <c r="Q1062" s="215">
        <f t="shared" si="162"/>
        <v>1.6120365394948877E-2</v>
      </c>
      <c r="R1062" s="231">
        <v>28672707</v>
      </c>
      <c r="T1062" s="230">
        <v>44648</v>
      </c>
      <c r="U1062" s="1">
        <v>66.599999999999994</v>
      </c>
      <c r="V1062" s="1">
        <v>67.221503934285295</v>
      </c>
      <c r="W1062" s="1">
        <v>190886</v>
      </c>
      <c r="X1062" s="1">
        <v>57593.49</v>
      </c>
      <c r="Y1062" s="215">
        <f t="shared" si="167"/>
        <v>-6.0431125757525184E-3</v>
      </c>
      <c r="Z1062" s="215">
        <f t="shared" si="163"/>
        <v>-2.1307861866274869E-2</v>
      </c>
      <c r="AA1062" s="231">
        <v>12831644</v>
      </c>
      <c r="AC1062" s="230">
        <v>44683</v>
      </c>
      <c r="AD1062" s="1">
        <v>74.45</v>
      </c>
      <c r="AE1062" s="1">
        <v>72.966256450972594</v>
      </c>
      <c r="AF1062" s="1">
        <v>2519</v>
      </c>
      <c r="AG1062" s="1">
        <v>56975.99</v>
      </c>
      <c r="AH1062" s="215">
        <f t="shared" si="168"/>
        <v>2.3477326621282879E-2</v>
      </c>
      <c r="AI1062" s="215">
        <f t="shared" si="164"/>
        <v>-2.1681997371879036E-2</v>
      </c>
      <c r="AJ1062" s="231">
        <v>183802</v>
      </c>
      <c r="AL1062" s="254"/>
      <c r="AQ1062" s="215" t="str">
        <f t="shared" si="169"/>
        <v>NA</v>
      </c>
      <c r="AR1062" s="215" t="str">
        <f t="shared" si="165"/>
        <v>NA</v>
      </c>
    </row>
    <row r="1063" spans="2:44">
      <c r="B1063" s="230">
        <v>44650</v>
      </c>
      <c r="C1063" s="1">
        <v>411.5</v>
      </c>
      <c r="D1063" s="1">
        <v>408.78154425612001</v>
      </c>
      <c r="E1063" s="1">
        <v>531</v>
      </c>
      <c r="F1063" s="215">
        <v>58683.99</v>
      </c>
      <c r="G1063" s="215">
        <f t="shared" si="160"/>
        <v>1.9717080048646807E-3</v>
      </c>
      <c r="H1063" s="215">
        <f t="shared" si="161"/>
        <v>-5.4380664652567967E-3</v>
      </c>
      <c r="I1063" s="231">
        <v>217063</v>
      </c>
      <c r="K1063" s="230">
        <v>44649</v>
      </c>
      <c r="L1063" s="1">
        <v>372.2</v>
      </c>
      <c r="M1063" s="1">
        <v>374.48920147447899</v>
      </c>
      <c r="N1063" s="1">
        <v>44219</v>
      </c>
      <c r="O1063" s="1">
        <v>57943.65</v>
      </c>
      <c r="P1063" s="215">
        <f t="shared" si="166"/>
        <v>-1.2615706600726972E-2</v>
      </c>
      <c r="Q1063" s="215">
        <f t="shared" si="162"/>
        <v>-2.6291693917593228E-2</v>
      </c>
      <c r="R1063" s="231">
        <v>16559538</v>
      </c>
      <c r="T1063" s="230">
        <v>44649</v>
      </c>
      <c r="U1063" s="1">
        <v>68.05</v>
      </c>
      <c r="V1063" s="1">
        <v>68.319632036483796</v>
      </c>
      <c r="W1063" s="1">
        <v>268831</v>
      </c>
      <c r="X1063" s="1">
        <v>57943.65</v>
      </c>
      <c r="Y1063" s="215">
        <f t="shared" si="167"/>
        <v>-1.2615706600726972E-2</v>
      </c>
      <c r="Z1063" s="215">
        <f t="shared" si="163"/>
        <v>2.2091310751102267E-3</v>
      </c>
      <c r="AA1063" s="231">
        <v>18366435</v>
      </c>
      <c r="AC1063" s="230">
        <v>44685</v>
      </c>
      <c r="AD1063" s="1">
        <v>76.099999999999994</v>
      </c>
      <c r="AE1063" s="1">
        <v>77.574819431930607</v>
      </c>
      <c r="AF1063" s="1">
        <v>67703</v>
      </c>
      <c r="AG1063" s="1">
        <v>55669.03</v>
      </c>
      <c r="AH1063" s="215">
        <f t="shared" si="168"/>
        <v>-5.9602640684230934E-4</v>
      </c>
      <c r="AI1063" s="215">
        <f t="shared" si="164"/>
        <v>-1.9672131147541183E-3</v>
      </c>
      <c r="AJ1063" s="231">
        <v>5252048</v>
      </c>
      <c r="AL1063" s="254"/>
      <c r="AQ1063" s="215" t="str">
        <f t="shared" si="169"/>
        <v>NA</v>
      </c>
      <c r="AR1063" s="215" t="str">
        <f t="shared" si="165"/>
        <v>NA</v>
      </c>
    </row>
    <row r="1064" spans="2:44">
      <c r="B1064" s="230">
        <v>44651</v>
      </c>
      <c r="C1064" s="1">
        <v>413.75</v>
      </c>
      <c r="D1064" s="1">
        <v>411.80330188679198</v>
      </c>
      <c r="E1064" s="1">
        <v>2120</v>
      </c>
      <c r="F1064" s="215">
        <v>58568.51</v>
      </c>
      <c r="G1064" s="215">
        <f t="shared" ref="G1064:G1127" si="170">IF(ISERROR(F1064/F1065-1),"NA",F1064/F1065-1)</f>
        <v>-1.1947023357748221E-2</v>
      </c>
      <c r="H1064" s="215">
        <f t="shared" ref="H1064:H1127" si="171">IF(ISERROR(C1064/C1065-1),"NA",C1064/C1065-1)</f>
        <v>-2.7957241865382287E-2</v>
      </c>
      <c r="I1064" s="231">
        <v>873023</v>
      </c>
      <c r="K1064" s="230">
        <v>44650</v>
      </c>
      <c r="L1064" s="1">
        <v>382.25</v>
      </c>
      <c r="M1064" s="1">
        <v>376.99105805243403</v>
      </c>
      <c r="N1064" s="1">
        <v>21360</v>
      </c>
      <c r="O1064" s="1">
        <v>58683.99</v>
      </c>
      <c r="P1064" s="215">
        <f t="shared" si="166"/>
        <v>1.9717080048646807E-3</v>
      </c>
      <c r="Q1064" s="215">
        <f t="shared" si="162"/>
        <v>-1.0868158882132217E-2</v>
      </c>
      <c r="R1064" s="231">
        <v>8052529</v>
      </c>
      <c r="T1064" s="230">
        <v>44650</v>
      </c>
      <c r="U1064" s="1">
        <v>67.900000000000006</v>
      </c>
      <c r="V1064" s="1">
        <v>67.954031115436507</v>
      </c>
      <c r="W1064" s="1">
        <v>721314</v>
      </c>
      <c r="X1064" s="1">
        <v>58683.99</v>
      </c>
      <c r="Y1064" s="215">
        <f t="shared" si="167"/>
        <v>1.9717080048646807E-3</v>
      </c>
      <c r="Z1064" s="215">
        <f t="shared" si="163"/>
        <v>-0.11009174311926595</v>
      </c>
      <c r="AA1064" s="231">
        <v>49016194</v>
      </c>
      <c r="AC1064" s="230">
        <v>44686</v>
      </c>
      <c r="AD1064" s="1">
        <v>76.25</v>
      </c>
      <c r="AE1064" s="1">
        <v>78.543971700894105</v>
      </c>
      <c r="AF1064" s="1">
        <v>10177</v>
      </c>
      <c r="AG1064" s="1">
        <v>55702.23</v>
      </c>
      <c r="AH1064" s="215">
        <f t="shared" si="168"/>
        <v>1.580451962029028E-2</v>
      </c>
      <c r="AI1064" s="215">
        <f t="shared" si="164"/>
        <v>-2.8043339706819714E-2</v>
      </c>
      <c r="AJ1064" s="231">
        <v>799342</v>
      </c>
      <c r="AL1064" s="254"/>
      <c r="AQ1064" s="215" t="str">
        <f t="shared" si="169"/>
        <v>NA</v>
      </c>
      <c r="AR1064" s="215" t="str">
        <f t="shared" si="165"/>
        <v>NA</v>
      </c>
    </row>
    <row r="1065" spans="2:44">
      <c r="B1065" s="230">
        <v>44652</v>
      </c>
      <c r="C1065" s="1">
        <v>425.65</v>
      </c>
      <c r="D1065" s="1">
        <v>426.95276381909503</v>
      </c>
      <c r="E1065" s="1">
        <v>3980</v>
      </c>
      <c r="F1065" s="215">
        <v>59276.69</v>
      </c>
      <c r="G1065" s="215">
        <f t="shared" si="170"/>
        <v>-2.2026260919089213E-2</v>
      </c>
      <c r="H1065" s="215">
        <f t="shared" si="171"/>
        <v>-4.0788732394366201E-2</v>
      </c>
      <c r="I1065" s="231">
        <v>1699272</v>
      </c>
      <c r="K1065" s="230">
        <v>44651</v>
      </c>
      <c r="L1065" s="1">
        <v>386.45</v>
      </c>
      <c r="M1065" s="1">
        <v>388.089363061847</v>
      </c>
      <c r="N1065" s="1">
        <v>28166</v>
      </c>
      <c r="O1065" s="1">
        <v>58568.51</v>
      </c>
      <c r="P1065" s="215">
        <f t="shared" si="166"/>
        <v>-1.1947023357748221E-2</v>
      </c>
      <c r="Q1065" s="215">
        <f t="shared" si="162"/>
        <v>-8.8484226724800941E-3</v>
      </c>
      <c r="R1065" s="231">
        <v>10930925</v>
      </c>
      <c r="T1065" s="230">
        <v>44651</v>
      </c>
      <c r="U1065" s="1">
        <v>76.3</v>
      </c>
      <c r="V1065" s="1">
        <v>74.730944977907299</v>
      </c>
      <c r="W1065" s="1">
        <v>1391641</v>
      </c>
      <c r="X1065" s="1">
        <v>58568.51</v>
      </c>
      <c r="Y1065" s="215">
        <f t="shared" si="167"/>
        <v>-1.1947023357748221E-2</v>
      </c>
      <c r="Z1065" s="215">
        <f t="shared" si="163"/>
        <v>-3.2658393207054548E-3</v>
      </c>
      <c r="AA1065" s="231">
        <v>103998647</v>
      </c>
      <c r="AC1065" s="230">
        <v>44687</v>
      </c>
      <c r="AD1065" s="1">
        <v>78.45</v>
      </c>
      <c r="AE1065" s="1">
        <v>77.884517407302496</v>
      </c>
      <c r="AF1065" s="1">
        <v>7066</v>
      </c>
      <c r="AG1065" s="1">
        <v>54835.58</v>
      </c>
      <c r="AH1065" s="215">
        <f t="shared" si="168"/>
        <v>6.6992016070299698E-3</v>
      </c>
      <c r="AI1065" s="215">
        <f t="shared" si="164"/>
        <v>2.5559105431309792E-3</v>
      </c>
      <c r="AJ1065" s="231">
        <v>550332</v>
      </c>
      <c r="AL1065" s="254"/>
      <c r="AQ1065" s="215" t="str">
        <f t="shared" si="169"/>
        <v>NA</v>
      </c>
      <c r="AR1065" s="215" t="str">
        <f t="shared" si="165"/>
        <v>NA</v>
      </c>
    </row>
    <row r="1066" spans="2:44">
      <c r="B1066" s="230">
        <v>44655</v>
      </c>
      <c r="C1066" s="1">
        <v>443.75</v>
      </c>
      <c r="D1066" s="1">
        <v>443.61181556195902</v>
      </c>
      <c r="E1066" s="1">
        <v>6940</v>
      </c>
      <c r="F1066" s="215">
        <v>60611.74</v>
      </c>
      <c r="G1066" s="215">
        <f t="shared" si="170"/>
        <v>7.232723737671698E-3</v>
      </c>
      <c r="H1066" s="215">
        <f t="shared" si="171"/>
        <v>-8.6014298480786566E-3</v>
      </c>
      <c r="I1066" s="231">
        <v>3078666</v>
      </c>
      <c r="K1066" s="230">
        <v>44652</v>
      </c>
      <c r="L1066" s="1">
        <v>389.9</v>
      </c>
      <c r="M1066" s="1">
        <v>394.11948005470401</v>
      </c>
      <c r="N1066" s="1">
        <v>78239</v>
      </c>
      <c r="O1066" s="1">
        <v>59276.69</v>
      </c>
      <c r="P1066" s="215">
        <f t="shared" si="166"/>
        <v>-2.2026260919089213E-2</v>
      </c>
      <c r="Q1066" s="215">
        <f t="shared" si="162"/>
        <v>-3.9300234076629414E-2</v>
      </c>
      <c r="R1066" s="231">
        <v>30835514</v>
      </c>
      <c r="T1066" s="230">
        <v>44652</v>
      </c>
      <c r="U1066" s="1">
        <v>76.55</v>
      </c>
      <c r="V1066" s="1">
        <v>76.638755072059297</v>
      </c>
      <c r="W1066" s="1">
        <v>594926</v>
      </c>
      <c r="X1066" s="1">
        <v>59276.69</v>
      </c>
      <c r="Y1066" s="215">
        <f t="shared" si="167"/>
        <v>-2.2026260919089213E-2</v>
      </c>
      <c r="Z1066" s="215">
        <f t="shared" si="163"/>
        <v>-2.109974424552441E-2</v>
      </c>
      <c r="AA1066" s="231">
        <v>45594388</v>
      </c>
      <c r="AC1066" s="230">
        <v>44690</v>
      </c>
      <c r="AD1066" s="1">
        <v>78.25</v>
      </c>
      <c r="AE1066" s="1">
        <v>78.439531536896396</v>
      </c>
      <c r="AF1066" s="1">
        <v>20151</v>
      </c>
      <c r="AG1066" s="1">
        <v>54470.67</v>
      </c>
      <c r="AH1066" s="215">
        <f t="shared" si="168"/>
        <v>1.9464782851419393E-3</v>
      </c>
      <c r="AI1066" s="215">
        <f t="shared" si="164"/>
        <v>6.1736770691994458E-2</v>
      </c>
      <c r="AJ1066" s="231">
        <v>1580635</v>
      </c>
      <c r="AL1066" s="254"/>
      <c r="AQ1066" s="215" t="str">
        <f t="shared" si="169"/>
        <v>NA</v>
      </c>
      <c r="AR1066" s="215" t="str">
        <f t="shared" si="165"/>
        <v>NA</v>
      </c>
    </row>
    <row r="1067" spans="2:44">
      <c r="B1067" s="230">
        <v>44656</v>
      </c>
      <c r="C1067" s="1">
        <v>447.6</v>
      </c>
      <c r="D1067" s="1">
        <v>458.73354384260301</v>
      </c>
      <c r="E1067" s="1">
        <v>4117</v>
      </c>
      <c r="F1067" s="215">
        <v>60176.5</v>
      </c>
      <c r="G1067" s="215">
        <f t="shared" si="170"/>
        <v>9.4964956624186136E-3</v>
      </c>
      <c r="H1067" s="215">
        <f t="shared" si="171"/>
        <v>-8.5280761989144915E-3</v>
      </c>
      <c r="I1067" s="231">
        <v>1888606</v>
      </c>
      <c r="K1067" s="230">
        <v>44655</v>
      </c>
      <c r="L1067" s="1">
        <v>405.85</v>
      </c>
      <c r="M1067" s="1">
        <v>401.54467469198897</v>
      </c>
      <c r="N1067" s="1">
        <v>56654</v>
      </c>
      <c r="O1067" s="1">
        <v>60611.74</v>
      </c>
      <c r="P1067" s="215">
        <f t="shared" si="166"/>
        <v>7.232723737671698E-3</v>
      </c>
      <c r="Q1067" s="215">
        <f t="shared" si="162"/>
        <v>-3.4380204615750642E-2</v>
      </c>
      <c r="R1067" s="231">
        <v>22749112</v>
      </c>
      <c r="T1067" s="230">
        <v>44655</v>
      </c>
      <c r="U1067" s="1">
        <v>78.2</v>
      </c>
      <c r="V1067" s="1">
        <v>79.383419517917005</v>
      </c>
      <c r="W1067" s="1">
        <v>484232</v>
      </c>
      <c r="X1067" s="1">
        <v>60611.74</v>
      </c>
      <c r="Y1067" s="215">
        <f t="shared" si="167"/>
        <v>7.232723737671698E-3</v>
      </c>
      <c r="Z1067" s="215">
        <f t="shared" si="163"/>
        <v>5.7877813504823017E-3</v>
      </c>
      <c r="AA1067" s="231">
        <v>38439992</v>
      </c>
      <c r="AC1067" s="230">
        <v>44691</v>
      </c>
      <c r="AD1067" s="1">
        <v>73.7</v>
      </c>
      <c r="AE1067" s="1">
        <v>76.373517465475203</v>
      </c>
      <c r="AF1067" s="1">
        <v>30775</v>
      </c>
      <c r="AG1067" s="1">
        <v>54364.85</v>
      </c>
      <c r="AH1067" s="215">
        <f t="shared" si="168"/>
        <v>5.1112632489154208E-3</v>
      </c>
      <c r="AI1067" s="215">
        <f t="shared" si="164"/>
        <v>0.10743801652892571</v>
      </c>
      <c r="AJ1067" s="231">
        <v>2350395</v>
      </c>
      <c r="AL1067" s="254"/>
      <c r="AQ1067" s="215" t="str">
        <f t="shared" si="169"/>
        <v>NA</v>
      </c>
      <c r="AR1067" s="215" t="str">
        <f t="shared" si="165"/>
        <v>NA</v>
      </c>
    </row>
    <row r="1068" spans="2:44">
      <c r="B1068" s="230">
        <v>44657</v>
      </c>
      <c r="C1068" s="1">
        <v>451.45</v>
      </c>
      <c r="D1068" s="1">
        <v>450.28583385645499</v>
      </c>
      <c r="E1068" s="1">
        <v>4779</v>
      </c>
      <c r="F1068" s="215">
        <v>59610.41</v>
      </c>
      <c r="G1068" s="215">
        <f t="shared" si="170"/>
        <v>9.7477849985476706E-3</v>
      </c>
      <c r="H1068" s="215">
        <f t="shared" si="171"/>
        <v>-1.0086613309944092E-2</v>
      </c>
      <c r="I1068" s="231">
        <v>2151916</v>
      </c>
      <c r="K1068" s="230">
        <v>44656</v>
      </c>
      <c r="L1068" s="1">
        <v>420.3</v>
      </c>
      <c r="M1068" s="1">
        <v>416.991632660942</v>
      </c>
      <c r="N1068" s="1">
        <v>155366</v>
      </c>
      <c r="O1068" s="1">
        <v>60176.5</v>
      </c>
      <c r="P1068" s="215">
        <f t="shared" si="166"/>
        <v>9.4964956624186136E-3</v>
      </c>
      <c r="Q1068" s="215">
        <f t="shared" si="162"/>
        <v>1.7429193899782147E-2</v>
      </c>
      <c r="R1068" s="231">
        <v>64786322</v>
      </c>
      <c r="T1068" s="230">
        <v>44656</v>
      </c>
      <c r="U1068" s="1">
        <v>77.75</v>
      </c>
      <c r="V1068" s="1">
        <v>78.2127092783048</v>
      </c>
      <c r="W1068" s="1">
        <v>180561</v>
      </c>
      <c r="X1068" s="1">
        <v>60176.5</v>
      </c>
      <c r="Y1068" s="215">
        <f t="shared" si="167"/>
        <v>9.4964956624186136E-3</v>
      </c>
      <c r="Z1068" s="215">
        <f t="shared" si="163"/>
        <v>-3.1152647975077885E-2</v>
      </c>
      <c r="AA1068" s="231">
        <v>14122165</v>
      </c>
      <c r="AC1068" s="230">
        <v>44692</v>
      </c>
      <c r="AD1068" s="1">
        <v>66.55</v>
      </c>
      <c r="AE1068" s="1">
        <v>68.070481899498802</v>
      </c>
      <c r="AF1068" s="1">
        <v>21353</v>
      </c>
      <c r="AG1068" s="1">
        <v>54088.39</v>
      </c>
      <c r="AH1068" s="215">
        <f t="shared" si="168"/>
        <v>2.1879335299566538E-2</v>
      </c>
      <c r="AI1068" s="215">
        <f t="shared" si="164"/>
        <v>7.2522159548751075E-2</v>
      </c>
      <c r="AJ1068" s="231">
        <v>1453509</v>
      </c>
      <c r="AL1068" s="254"/>
      <c r="AQ1068" s="215" t="str">
        <f t="shared" si="169"/>
        <v>NA</v>
      </c>
      <c r="AR1068" s="215" t="str">
        <f t="shared" si="165"/>
        <v>NA</v>
      </c>
    </row>
    <row r="1069" spans="2:44">
      <c r="B1069" s="230">
        <v>44658</v>
      </c>
      <c r="C1069" s="1">
        <v>456.05</v>
      </c>
      <c r="D1069" s="1">
        <v>457.62183353437803</v>
      </c>
      <c r="E1069" s="1">
        <v>3316</v>
      </c>
      <c r="F1069" s="215">
        <v>59034.95</v>
      </c>
      <c r="G1069" s="215">
        <f t="shared" si="170"/>
        <v>-6.9343911687653748E-3</v>
      </c>
      <c r="H1069" s="215">
        <f t="shared" si="171"/>
        <v>2.3221898137760988E-2</v>
      </c>
      <c r="I1069" s="231">
        <v>1517474</v>
      </c>
      <c r="K1069" s="230">
        <v>44657</v>
      </c>
      <c r="L1069" s="1">
        <v>413.1</v>
      </c>
      <c r="M1069" s="1">
        <v>419.30042466366899</v>
      </c>
      <c r="N1069" s="1">
        <v>120566</v>
      </c>
      <c r="O1069" s="1">
        <v>59610.41</v>
      </c>
      <c r="P1069" s="215">
        <f t="shared" si="166"/>
        <v>9.7477849985476706E-3</v>
      </c>
      <c r="Q1069" s="215">
        <f t="shared" si="162"/>
        <v>-4.4965899895965777E-2</v>
      </c>
      <c r="R1069" s="231">
        <v>50553375</v>
      </c>
      <c r="T1069" s="230">
        <v>44657</v>
      </c>
      <c r="U1069" s="1">
        <v>80.25</v>
      </c>
      <c r="V1069" s="1">
        <v>79.763843333976396</v>
      </c>
      <c r="W1069" s="1">
        <v>450921</v>
      </c>
      <c r="X1069" s="1">
        <v>59610.41</v>
      </c>
      <c r="Y1069" s="215">
        <f t="shared" si="167"/>
        <v>9.7477849985476706E-3</v>
      </c>
      <c r="Z1069" s="215">
        <f t="shared" si="163"/>
        <v>8.1658291457287202E-3</v>
      </c>
      <c r="AA1069" s="231">
        <v>35967192</v>
      </c>
      <c r="AC1069" s="230">
        <v>44693</v>
      </c>
      <c r="AD1069" s="1">
        <v>62.05</v>
      </c>
      <c r="AE1069" s="1">
        <v>64.511463132088593</v>
      </c>
      <c r="AF1069" s="1">
        <v>37119</v>
      </c>
      <c r="AG1069" s="1">
        <v>52930.31</v>
      </c>
      <c r="AH1069" s="215">
        <f t="shared" si="168"/>
        <v>2.5891386118246373E-3</v>
      </c>
      <c r="AI1069" s="215">
        <f t="shared" si="164"/>
        <v>-5.6273764258555126E-2</v>
      </c>
      <c r="AJ1069" s="231">
        <v>2394601</v>
      </c>
      <c r="AL1069" s="254"/>
      <c r="AQ1069" s="215" t="str">
        <f t="shared" si="169"/>
        <v>NA</v>
      </c>
      <c r="AR1069" s="215" t="str">
        <f t="shared" si="165"/>
        <v>NA</v>
      </c>
    </row>
    <row r="1070" spans="2:44">
      <c r="B1070" s="230">
        <v>44659</v>
      </c>
      <c r="C1070" s="1">
        <v>445.7</v>
      </c>
      <c r="D1070" s="1">
        <v>450.16791553133498</v>
      </c>
      <c r="E1070" s="1">
        <v>2936</v>
      </c>
      <c r="F1070" s="215">
        <v>59447.18</v>
      </c>
      <c r="G1070" s="215">
        <f t="shared" si="170"/>
        <v>8.1847455175201311E-3</v>
      </c>
      <c r="H1070" s="215">
        <f t="shared" si="171"/>
        <v>-6.2276456974542427E-2</v>
      </c>
      <c r="I1070" s="231">
        <v>1321693</v>
      </c>
      <c r="K1070" s="230">
        <v>44658</v>
      </c>
      <c r="L1070" s="1">
        <v>432.55</v>
      </c>
      <c r="M1070" s="1">
        <v>437.04122706967001</v>
      </c>
      <c r="N1070" s="1">
        <v>126252</v>
      </c>
      <c r="O1070" s="1">
        <v>59034.95</v>
      </c>
      <c r="P1070" s="215">
        <f t="shared" si="166"/>
        <v>-6.9343911687653748E-3</v>
      </c>
      <c r="Q1070" s="215">
        <f t="shared" si="162"/>
        <v>-1.6261087104844196E-2</v>
      </c>
      <c r="R1070" s="231">
        <v>55177329</v>
      </c>
      <c r="T1070" s="230">
        <v>44658</v>
      </c>
      <c r="U1070" s="1">
        <v>79.599999999999994</v>
      </c>
      <c r="V1070" s="1">
        <v>79.951983216928994</v>
      </c>
      <c r="W1070" s="1">
        <v>230232</v>
      </c>
      <c r="X1070" s="1">
        <v>59034.95</v>
      </c>
      <c r="Y1070" s="215">
        <f t="shared" si="167"/>
        <v>-6.9343911687653748E-3</v>
      </c>
      <c r="Z1070" s="215">
        <f t="shared" si="163"/>
        <v>-3.4566403881140184E-2</v>
      </c>
      <c r="AA1070" s="231">
        <v>18407505</v>
      </c>
      <c r="AC1070" s="230">
        <v>44694</v>
      </c>
      <c r="AD1070" s="1">
        <v>65.75</v>
      </c>
      <c r="AE1070" s="1">
        <v>66.000650275592903</v>
      </c>
      <c r="AF1070" s="1">
        <v>32294</v>
      </c>
      <c r="AG1070" s="1">
        <v>52793.62</v>
      </c>
      <c r="AH1070" s="215">
        <f t="shared" si="168"/>
        <v>-3.4020565622577825E-3</v>
      </c>
      <c r="AI1070" s="215">
        <f t="shared" si="164"/>
        <v>-4.1545189504373137E-2</v>
      </c>
      <c r="AJ1070" s="231">
        <v>2131425</v>
      </c>
      <c r="AL1070" s="254"/>
      <c r="AQ1070" s="215" t="str">
        <f t="shared" si="169"/>
        <v>NA</v>
      </c>
      <c r="AR1070" s="215" t="str">
        <f t="shared" si="165"/>
        <v>NA</v>
      </c>
    </row>
    <row r="1071" spans="2:44">
      <c r="B1071" s="230">
        <v>44662</v>
      </c>
      <c r="C1071" s="1">
        <v>475.3</v>
      </c>
      <c r="D1071" s="1">
        <v>464.36202928870199</v>
      </c>
      <c r="E1071" s="1">
        <v>9560</v>
      </c>
      <c r="F1071" s="215">
        <v>58964.57</v>
      </c>
      <c r="G1071" s="215">
        <f t="shared" si="170"/>
        <v>6.6272457648024474E-3</v>
      </c>
      <c r="H1071" s="215">
        <f t="shared" si="171"/>
        <v>-6.2722140915743019E-3</v>
      </c>
      <c r="I1071" s="231">
        <v>4439301</v>
      </c>
      <c r="K1071" s="230">
        <v>44659</v>
      </c>
      <c r="L1071" s="1">
        <v>439.7</v>
      </c>
      <c r="M1071" s="1">
        <v>438.49766136576199</v>
      </c>
      <c r="N1071" s="1">
        <v>28863</v>
      </c>
      <c r="O1071" s="1">
        <v>59447.18</v>
      </c>
      <c r="P1071" s="215">
        <f t="shared" si="166"/>
        <v>8.1847455175201311E-3</v>
      </c>
      <c r="Q1071" s="215">
        <f t="shared" si="162"/>
        <v>-7.9836768860521157E-2</v>
      </c>
      <c r="R1071" s="231">
        <v>12656358</v>
      </c>
      <c r="T1071" s="230">
        <v>44659</v>
      </c>
      <c r="U1071" s="1">
        <v>82.45</v>
      </c>
      <c r="V1071" s="1">
        <v>81.821906301449602</v>
      </c>
      <c r="W1071" s="1">
        <v>535718</v>
      </c>
      <c r="X1071" s="1">
        <v>59447.18</v>
      </c>
      <c r="Y1071" s="215">
        <f t="shared" si="167"/>
        <v>8.1847455175201311E-3</v>
      </c>
      <c r="Z1071" s="215">
        <f t="shared" si="163"/>
        <v>-8.4185207456404232E-3</v>
      </c>
      <c r="AA1071" s="231">
        <v>43833468</v>
      </c>
      <c r="AC1071" s="230">
        <v>44697</v>
      </c>
      <c r="AD1071" s="1">
        <v>68.599999999999994</v>
      </c>
      <c r="AE1071" s="1">
        <v>68.081005586592099</v>
      </c>
      <c r="AF1071" s="1">
        <v>5370</v>
      </c>
      <c r="AG1071" s="1">
        <v>52973.84</v>
      </c>
      <c r="AH1071" s="215">
        <f t="shared" si="168"/>
        <v>-2.4754563226836224E-2</v>
      </c>
      <c r="AI1071" s="215">
        <f t="shared" si="164"/>
        <v>-2.6259758694109459E-2</v>
      </c>
      <c r="AJ1071" s="231">
        <v>365595</v>
      </c>
      <c r="AL1071" s="254"/>
      <c r="AQ1071" s="215" t="str">
        <f t="shared" si="169"/>
        <v>NA</v>
      </c>
      <c r="AR1071" s="215" t="str">
        <f t="shared" si="165"/>
        <v>NA</v>
      </c>
    </row>
    <row r="1072" spans="2:44">
      <c r="B1072" s="230">
        <v>44663</v>
      </c>
      <c r="C1072" s="1">
        <v>478.3</v>
      </c>
      <c r="D1072" s="1">
        <v>483.58460771276498</v>
      </c>
      <c r="E1072" s="1">
        <v>6016</v>
      </c>
      <c r="F1072" s="215">
        <v>58576.37</v>
      </c>
      <c r="G1072" s="215">
        <f t="shared" si="170"/>
        <v>4.070009511658812E-3</v>
      </c>
      <c r="H1072" s="215">
        <f t="shared" si="171"/>
        <v>4.6208779668137634E-3</v>
      </c>
      <c r="I1072" s="231">
        <v>2909245</v>
      </c>
      <c r="K1072" s="230">
        <v>44662</v>
      </c>
      <c r="L1072" s="1">
        <v>477.85</v>
      </c>
      <c r="M1072" s="1">
        <v>468.72110029607802</v>
      </c>
      <c r="N1072" s="1">
        <v>218523</v>
      </c>
      <c r="O1072" s="1">
        <v>58964.57</v>
      </c>
      <c r="P1072" s="215">
        <f t="shared" si="166"/>
        <v>6.6272457648024474E-3</v>
      </c>
      <c r="Q1072" s="215">
        <f t="shared" si="162"/>
        <v>-1.6713673874437784E-3</v>
      </c>
      <c r="R1072" s="231">
        <v>102426341</v>
      </c>
      <c r="T1072" s="230">
        <v>44662</v>
      </c>
      <c r="U1072" s="1">
        <v>83.15</v>
      </c>
      <c r="V1072" s="1">
        <v>84.208285415842596</v>
      </c>
      <c r="W1072" s="1">
        <v>493035</v>
      </c>
      <c r="X1072" s="1">
        <v>58964.57</v>
      </c>
      <c r="Y1072" s="215">
        <f t="shared" si="167"/>
        <v>6.6272457648024474E-3</v>
      </c>
      <c r="Z1072" s="215">
        <f t="shared" si="163"/>
        <v>3.2919254658385189E-2</v>
      </c>
      <c r="AA1072" s="231">
        <v>41517632</v>
      </c>
      <c r="AC1072" s="230">
        <v>44698</v>
      </c>
      <c r="AD1072" s="1">
        <v>70.45</v>
      </c>
      <c r="AE1072" s="1">
        <v>69.505311904113299</v>
      </c>
      <c r="AF1072" s="1">
        <v>3671</v>
      </c>
      <c r="AG1072" s="1">
        <v>54318.47</v>
      </c>
      <c r="AH1072" s="215">
        <f t="shared" si="168"/>
        <v>2.028094102533462E-3</v>
      </c>
      <c r="AI1072" s="215">
        <f t="shared" si="164"/>
        <v>-7.0472163495419737E-3</v>
      </c>
      <c r="AJ1072" s="231">
        <v>255154</v>
      </c>
      <c r="AL1072" s="254"/>
      <c r="AQ1072" s="215" t="str">
        <f t="shared" si="169"/>
        <v>NA</v>
      </c>
      <c r="AR1072" s="215" t="str">
        <f t="shared" si="165"/>
        <v>NA</v>
      </c>
    </row>
    <row r="1073" spans="2:44">
      <c r="B1073" s="230">
        <v>44664</v>
      </c>
      <c r="C1073" s="1">
        <v>476.1</v>
      </c>
      <c r="D1073" s="1">
        <v>489.25695581014702</v>
      </c>
      <c r="E1073" s="1">
        <v>3055</v>
      </c>
      <c r="F1073" s="215">
        <v>58338.93</v>
      </c>
      <c r="G1073" s="215">
        <f t="shared" si="170"/>
        <v>2.050475503763205E-2</v>
      </c>
      <c r="H1073" s="215">
        <f t="shared" si="171"/>
        <v>-2.5683004195231618E-2</v>
      </c>
      <c r="I1073" s="231">
        <v>1494680</v>
      </c>
      <c r="K1073" s="230">
        <v>44663</v>
      </c>
      <c r="L1073" s="1">
        <v>478.65</v>
      </c>
      <c r="M1073" s="1">
        <v>471.167007998945</v>
      </c>
      <c r="N1073" s="1">
        <v>212403</v>
      </c>
      <c r="O1073" s="1">
        <v>58576.37</v>
      </c>
      <c r="P1073" s="215">
        <f t="shared" si="166"/>
        <v>4.070009511658812E-3</v>
      </c>
      <c r="Q1073" s="215">
        <f t="shared" si="162"/>
        <v>-6.3317417479759053E-3</v>
      </c>
      <c r="R1073" s="231">
        <v>100077286</v>
      </c>
      <c r="T1073" s="230">
        <v>44663</v>
      </c>
      <c r="U1073" s="1">
        <v>80.5</v>
      </c>
      <c r="V1073" s="1">
        <v>80.823185826424705</v>
      </c>
      <c r="W1073" s="1">
        <v>458487</v>
      </c>
      <c r="X1073" s="1">
        <v>58576.37</v>
      </c>
      <c r="Y1073" s="215">
        <f t="shared" si="167"/>
        <v>4.070009511658812E-3</v>
      </c>
      <c r="Z1073" s="215">
        <f t="shared" si="163"/>
        <v>-1.9488428745432329E-2</v>
      </c>
      <c r="AA1073" s="231">
        <v>37056380</v>
      </c>
      <c r="AC1073" s="230">
        <v>44699</v>
      </c>
      <c r="AD1073" s="1">
        <v>70.95</v>
      </c>
      <c r="AE1073" s="1">
        <v>70.969272076372306</v>
      </c>
      <c r="AF1073" s="1">
        <v>3352</v>
      </c>
      <c r="AG1073" s="1">
        <v>54208.53</v>
      </c>
      <c r="AH1073" s="215">
        <f t="shared" si="168"/>
        <v>2.6827811592728512E-2</v>
      </c>
      <c r="AI1073" s="215">
        <f t="shared" si="164"/>
        <v>2.8260869565217339E-2</v>
      </c>
      <c r="AJ1073" s="231">
        <v>237889</v>
      </c>
      <c r="AL1073" s="254"/>
      <c r="AQ1073" s="215" t="str">
        <f t="shared" si="169"/>
        <v>NA</v>
      </c>
      <c r="AR1073" s="215" t="str">
        <f t="shared" si="165"/>
        <v>NA</v>
      </c>
    </row>
    <row r="1074" spans="2:44">
      <c r="B1074" s="230">
        <v>44669</v>
      </c>
      <c r="C1074" s="1">
        <v>488.65</v>
      </c>
      <c r="D1074" s="1">
        <v>487.94542447629499</v>
      </c>
      <c r="E1074" s="1">
        <v>3628</v>
      </c>
      <c r="F1074" s="215">
        <v>57166.74</v>
      </c>
      <c r="G1074" s="215">
        <f t="shared" si="170"/>
        <v>1.2461047603613995E-2</v>
      </c>
      <c r="H1074" s="215">
        <f t="shared" si="171"/>
        <v>3.5941671801191788E-3</v>
      </c>
      <c r="I1074" s="231">
        <v>1770266</v>
      </c>
      <c r="K1074" s="230">
        <v>44664</v>
      </c>
      <c r="L1074" s="1">
        <v>481.7</v>
      </c>
      <c r="M1074" s="1">
        <v>482.912124909086</v>
      </c>
      <c r="N1074" s="1">
        <v>85246</v>
      </c>
      <c r="O1074" s="1">
        <v>58338.93</v>
      </c>
      <c r="P1074" s="215">
        <f t="shared" si="166"/>
        <v>2.050475503763205E-2</v>
      </c>
      <c r="Q1074" s="215">
        <f t="shared" si="162"/>
        <v>1.0700797314309618E-2</v>
      </c>
      <c r="R1074" s="231">
        <v>41166327</v>
      </c>
      <c r="T1074" s="230">
        <v>44664</v>
      </c>
      <c r="U1074" s="1">
        <v>82.1</v>
      </c>
      <c r="V1074" s="1">
        <v>82.440225523408202</v>
      </c>
      <c r="W1074" s="1">
        <v>167078</v>
      </c>
      <c r="X1074" s="1">
        <v>58338.93</v>
      </c>
      <c r="Y1074" s="215">
        <f t="shared" si="167"/>
        <v>2.050475503763205E-2</v>
      </c>
      <c r="Z1074" s="215">
        <f t="shared" si="163"/>
        <v>2.8177833437695643E-2</v>
      </c>
      <c r="AA1074" s="231">
        <v>13773948</v>
      </c>
      <c r="AC1074" s="230">
        <v>44700</v>
      </c>
      <c r="AD1074" s="1">
        <v>69</v>
      </c>
      <c r="AE1074" s="1">
        <v>68.446585594013001</v>
      </c>
      <c r="AF1074" s="1">
        <v>5345</v>
      </c>
      <c r="AG1074" s="1">
        <v>52792.23</v>
      </c>
      <c r="AH1074" s="215">
        <f t="shared" si="168"/>
        <v>-2.8239682408494171E-2</v>
      </c>
      <c r="AI1074" s="215">
        <f t="shared" si="164"/>
        <v>-3.2936229852838061E-2</v>
      </c>
      <c r="AJ1074" s="231">
        <v>365847</v>
      </c>
      <c r="AL1074" s="254"/>
      <c r="AQ1074" s="215" t="str">
        <f t="shared" si="169"/>
        <v>NA</v>
      </c>
      <c r="AR1074" s="215" t="str">
        <f t="shared" si="165"/>
        <v>NA</v>
      </c>
    </row>
    <row r="1075" spans="2:44">
      <c r="B1075" s="230">
        <v>44670</v>
      </c>
      <c r="C1075" s="1">
        <v>486.9</v>
      </c>
      <c r="D1075" s="1">
        <v>490.94316890202299</v>
      </c>
      <c r="E1075" s="1">
        <v>4399</v>
      </c>
      <c r="F1075" s="215">
        <v>56463.15</v>
      </c>
      <c r="G1075" s="215">
        <f t="shared" si="170"/>
        <v>-1.0069690992767888E-2</v>
      </c>
      <c r="H1075" s="215">
        <f t="shared" si="171"/>
        <v>3.7392138063278901E-2</v>
      </c>
      <c r="I1075" s="231">
        <v>2159659</v>
      </c>
      <c r="K1075" s="230">
        <v>44669</v>
      </c>
      <c r="L1075" s="1">
        <v>476.6</v>
      </c>
      <c r="M1075" s="1">
        <v>473.61835009656602</v>
      </c>
      <c r="N1075" s="1">
        <v>79738</v>
      </c>
      <c r="O1075" s="1">
        <v>57166.74</v>
      </c>
      <c r="P1075" s="215">
        <f t="shared" si="166"/>
        <v>1.2461047603613995E-2</v>
      </c>
      <c r="Q1075" s="215">
        <f t="shared" si="162"/>
        <v>3.2160259880887887E-2</v>
      </c>
      <c r="R1075" s="231">
        <v>37765380</v>
      </c>
      <c r="T1075" s="230">
        <v>44669</v>
      </c>
      <c r="U1075" s="1">
        <v>79.849999999999994</v>
      </c>
      <c r="V1075" s="1">
        <v>80.552956648348996</v>
      </c>
      <c r="W1075" s="1">
        <v>191619</v>
      </c>
      <c r="X1075" s="1">
        <v>57166.74</v>
      </c>
      <c r="Y1075" s="215">
        <f t="shared" si="167"/>
        <v>1.2461047603613995E-2</v>
      </c>
      <c r="Z1075" s="215">
        <f t="shared" si="163"/>
        <v>-1.904176904176913E-2</v>
      </c>
      <c r="AA1075" s="231">
        <v>15435477</v>
      </c>
      <c r="AC1075" s="230">
        <v>44701</v>
      </c>
      <c r="AD1075" s="1">
        <v>71.349999999999994</v>
      </c>
      <c r="AE1075" s="1">
        <v>71.084735925710902</v>
      </c>
      <c r="AF1075" s="1">
        <v>3446</v>
      </c>
      <c r="AG1075" s="1">
        <v>54326.39</v>
      </c>
      <c r="AH1075" s="215">
        <f t="shared" si="168"/>
        <v>6.9591024710335958E-4</v>
      </c>
      <c r="AI1075" s="215">
        <f t="shared" si="164"/>
        <v>2.5143678160919558E-2</v>
      </c>
      <c r="AJ1075" s="231">
        <v>244958</v>
      </c>
      <c r="AL1075" s="254"/>
      <c r="AQ1075" s="215" t="str">
        <f t="shared" si="169"/>
        <v>NA</v>
      </c>
      <c r="AR1075" s="215" t="str">
        <f t="shared" si="165"/>
        <v>NA</v>
      </c>
    </row>
    <row r="1076" spans="2:44">
      <c r="B1076" s="230">
        <v>44671</v>
      </c>
      <c r="C1076" s="1">
        <v>469.35</v>
      </c>
      <c r="D1076" s="1">
        <v>478.82990574121601</v>
      </c>
      <c r="E1076" s="1">
        <v>2334</v>
      </c>
      <c r="F1076" s="215">
        <v>57037.5</v>
      </c>
      <c r="G1076" s="215">
        <f t="shared" si="170"/>
        <v>-1.5095055090786569E-2</v>
      </c>
      <c r="H1076" s="215">
        <f t="shared" si="171"/>
        <v>9.2463176002579583E-3</v>
      </c>
      <c r="I1076" s="231">
        <v>1117589</v>
      </c>
      <c r="K1076" s="230">
        <v>44670</v>
      </c>
      <c r="L1076" s="1">
        <v>461.75</v>
      </c>
      <c r="M1076" s="1">
        <v>478.497272853487</v>
      </c>
      <c r="N1076" s="1">
        <v>50419</v>
      </c>
      <c r="O1076" s="1">
        <v>56463.15</v>
      </c>
      <c r="P1076" s="215">
        <f t="shared" si="166"/>
        <v>-1.0069690992767888E-2</v>
      </c>
      <c r="Q1076" s="215">
        <f t="shared" si="162"/>
        <v>1.6063373308394802E-2</v>
      </c>
      <c r="R1076" s="231">
        <v>24125354</v>
      </c>
      <c r="T1076" s="230">
        <v>44670</v>
      </c>
      <c r="U1076" s="1">
        <v>81.400000000000006</v>
      </c>
      <c r="V1076" s="1">
        <v>83.499202093013096</v>
      </c>
      <c r="W1076" s="1">
        <v>552696</v>
      </c>
      <c r="X1076" s="1">
        <v>56463.15</v>
      </c>
      <c r="Y1076" s="215">
        <f t="shared" si="167"/>
        <v>-1.0069690992767888E-2</v>
      </c>
      <c r="Z1076" s="215">
        <f t="shared" si="163"/>
        <v>-4.4600938967136128E-2</v>
      </c>
      <c r="AA1076" s="231">
        <v>46149675</v>
      </c>
      <c r="AC1076" s="230">
        <v>44704</v>
      </c>
      <c r="AD1076" s="1">
        <v>69.599999999999994</v>
      </c>
      <c r="AE1076" s="1">
        <v>69.968257419284697</v>
      </c>
      <c r="AF1076" s="1">
        <v>9199</v>
      </c>
      <c r="AG1076" s="1">
        <v>54288.61</v>
      </c>
      <c r="AH1076" s="215">
        <f t="shared" si="168"/>
        <v>4.3661166408059948E-3</v>
      </c>
      <c r="AI1076" s="215">
        <f t="shared" si="164"/>
        <v>1.383831026948279E-2</v>
      </c>
      <c r="AJ1076" s="231">
        <v>643638</v>
      </c>
      <c r="AL1076" s="254"/>
      <c r="AQ1076" s="215" t="str">
        <f t="shared" si="169"/>
        <v>NA</v>
      </c>
      <c r="AR1076" s="215" t="str">
        <f t="shared" si="165"/>
        <v>NA</v>
      </c>
    </row>
    <row r="1077" spans="2:44">
      <c r="B1077" s="230">
        <v>44672</v>
      </c>
      <c r="C1077" s="1">
        <v>465.05</v>
      </c>
      <c r="D1077" s="1">
        <v>461.27780163160099</v>
      </c>
      <c r="E1077" s="1">
        <v>4658</v>
      </c>
      <c r="F1077" s="215">
        <v>57911.68</v>
      </c>
      <c r="G1077" s="215">
        <f t="shared" si="170"/>
        <v>1.2492405653078853E-2</v>
      </c>
      <c r="H1077" s="215">
        <f t="shared" si="171"/>
        <v>-1.7172909734893826E-3</v>
      </c>
      <c r="I1077" s="231">
        <v>2148632</v>
      </c>
      <c r="K1077" s="230">
        <v>44671</v>
      </c>
      <c r="L1077" s="1">
        <v>454.45</v>
      </c>
      <c r="M1077" s="1">
        <v>464.85387139731699</v>
      </c>
      <c r="N1077" s="1">
        <v>42052</v>
      </c>
      <c r="O1077" s="1">
        <v>57037.5</v>
      </c>
      <c r="P1077" s="215">
        <f t="shared" si="166"/>
        <v>-1.5095055090786569E-2</v>
      </c>
      <c r="Q1077" s="215">
        <f t="shared" si="162"/>
        <v>2.1006515389800029E-2</v>
      </c>
      <c r="R1077" s="231">
        <v>19548035</v>
      </c>
      <c r="T1077" s="230">
        <v>44671</v>
      </c>
      <c r="U1077" s="1">
        <v>85.2</v>
      </c>
      <c r="V1077" s="1">
        <v>84.857077356585407</v>
      </c>
      <c r="W1077" s="1">
        <v>1003263</v>
      </c>
      <c r="X1077" s="1">
        <v>57037.5</v>
      </c>
      <c r="Y1077" s="215">
        <f t="shared" si="167"/>
        <v>-1.5095055090786569E-2</v>
      </c>
      <c r="Z1077" s="215">
        <f t="shared" si="163"/>
        <v>8.2840236686390067E-3</v>
      </c>
      <c r="AA1077" s="231">
        <v>85133966</v>
      </c>
      <c r="AC1077" s="230">
        <v>44705</v>
      </c>
      <c r="AD1077" s="1">
        <v>68.650000000000006</v>
      </c>
      <c r="AE1077" s="1">
        <v>68.546786686204698</v>
      </c>
      <c r="AF1077" s="1">
        <v>4777</v>
      </c>
      <c r="AG1077" s="1">
        <v>54052.61</v>
      </c>
      <c r="AH1077" s="215">
        <f t="shared" si="168"/>
        <v>5.6437986309021415E-3</v>
      </c>
      <c r="AI1077" s="215">
        <f t="shared" si="164"/>
        <v>2.615844544095669E-2</v>
      </c>
      <c r="AJ1077" s="231">
        <v>327448</v>
      </c>
      <c r="AL1077" s="254"/>
      <c r="AQ1077" s="215" t="str">
        <f t="shared" si="169"/>
        <v>NA</v>
      </c>
      <c r="AR1077" s="215" t="str">
        <f t="shared" si="165"/>
        <v>NA</v>
      </c>
    </row>
    <row r="1078" spans="2:44">
      <c r="B1078" s="230">
        <v>44673</v>
      </c>
      <c r="C1078" s="1">
        <v>465.85</v>
      </c>
      <c r="D1078" s="1">
        <v>465.850267379679</v>
      </c>
      <c r="E1078" s="1">
        <v>935</v>
      </c>
      <c r="F1078" s="215">
        <v>57197.15</v>
      </c>
      <c r="G1078" s="215">
        <f t="shared" si="170"/>
        <v>1.0909529870065215E-2</v>
      </c>
      <c r="H1078" s="215">
        <f t="shared" si="171"/>
        <v>1.7139737991266335E-2</v>
      </c>
      <c r="I1078" s="231">
        <v>435570</v>
      </c>
      <c r="K1078" s="230">
        <v>44672</v>
      </c>
      <c r="L1078" s="1">
        <v>445.1</v>
      </c>
      <c r="M1078" s="1">
        <v>450.77985224213899</v>
      </c>
      <c r="N1078" s="1">
        <v>34922</v>
      </c>
      <c r="O1078" s="1">
        <v>57911.68</v>
      </c>
      <c r="P1078" s="215">
        <f t="shared" si="166"/>
        <v>1.2492405653078853E-2</v>
      </c>
      <c r="Q1078" s="215">
        <f t="shared" si="162"/>
        <v>-4.7506954846993299E-2</v>
      </c>
      <c r="R1078" s="231">
        <v>15742134</v>
      </c>
      <c r="T1078" s="230">
        <v>44672</v>
      </c>
      <c r="U1078" s="1">
        <v>84.5</v>
      </c>
      <c r="V1078" s="1">
        <v>85.6412577857012</v>
      </c>
      <c r="W1078" s="1">
        <v>672547</v>
      </c>
      <c r="X1078" s="1">
        <v>57911.68</v>
      </c>
      <c r="Y1078" s="215">
        <f t="shared" si="167"/>
        <v>1.2492405653078853E-2</v>
      </c>
      <c r="Z1078" s="215">
        <f t="shared" si="163"/>
        <v>3.5539215686274606E-2</v>
      </c>
      <c r="AA1078" s="231">
        <v>57597771</v>
      </c>
      <c r="AC1078" s="230">
        <v>44706</v>
      </c>
      <c r="AD1078" s="1">
        <v>66.900000000000006</v>
      </c>
      <c r="AE1078" s="1">
        <v>67.110085310272197</v>
      </c>
      <c r="AF1078" s="1">
        <v>8557</v>
      </c>
      <c r="AG1078" s="1">
        <v>53749.26</v>
      </c>
      <c r="AH1078" s="215">
        <f t="shared" si="168"/>
        <v>-9.2764337441958444E-3</v>
      </c>
      <c r="AI1078" s="215">
        <f t="shared" si="164"/>
        <v>5.259203606311269E-3</v>
      </c>
      <c r="AJ1078" s="231">
        <v>574261</v>
      </c>
      <c r="AL1078" s="254"/>
      <c r="AQ1078" s="215" t="str">
        <f t="shared" si="169"/>
        <v>NA</v>
      </c>
      <c r="AR1078" s="215" t="str">
        <f t="shared" si="165"/>
        <v>NA</v>
      </c>
    </row>
    <row r="1079" spans="2:44">
      <c r="B1079" s="230">
        <v>44676</v>
      </c>
      <c r="C1079" s="1">
        <v>458</v>
      </c>
      <c r="D1079" s="1">
        <v>458.88260681916199</v>
      </c>
      <c r="E1079" s="1">
        <v>2317</v>
      </c>
      <c r="F1079" s="215">
        <v>56579.89</v>
      </c>
      <c r="G1079" s="215">
        <f t="shared" si="170"/>
        <v>-1.3541943988670146E-2</v>
      </c>
      <c r="H1079" s="215">
        <f t="shared" si="171"/>
        <v>-2.6132404181183899E-3</v>
      </c>
      <c r="I1079" s="231">
        <v>1063231</v>
      </c>
      <c r="K1079" s="230">
        <v>44673</v>
      </c>
      <c r="L1079" s="1">
        <v>467.3</v>
      </c>
      <c r="M1079" s="1">
        <v>462.09331094510298</v>
      </c>
      <c r="N1079" s="1">
        <v>58364</v>
      </c>
      <c r="O1079" s="1">
        <v>57197.15</v>
      </c>
      <c r="P1079" s="215">
        <f t="shared" si="166"/>
        <v>1.0909529870065215E-2</v>
      </c>
      <c r="Q1079" s="215">
        <f t="shared" si="162"/>
        <v>6.713861612240235E-2</v>
      </c>
      <c r="R1079" s="231">
        <v>26969614</v>
      </c>
      <c r="T1079" s="230">
        <v>44673</v>
      </c>
      <c r="U1079" s="1">
        <v>81.599999999999994</v>
      </c>
      <c r="V1079" s="1">
        <v>82.897365313177701</v>
      </c>
      <c r="W1079" s="1">
        <v>232855</v>
      </c>
      <c r="X1079" s="1">
        <v>57197.15</v>
      </c>
      <c r="Y1079" s="215">
        <f t="shared" si="167"/>
        <v>1.0909529870065215E-2</v>
      </c>
      <c r="Z1079" s="215">
        <f t="shared" si="163"/>
        <v>3.7507946598855479E-2</v>
      </c>
      <c r="AA1079" s="231">
        <v>19303066</v>
      </c>
      <c r="AC1079" s="230">
        <v>44707</v>
      </c>
      <c r="AD1079" s="1">
        <v>66.55</v>
      </c>
      <c r="AE1079" s="1">
        <v>66.080442958629305</v>
      </c>
      <c r="AF1079" s="1">
        <v>4786</v>
      </c>
      <c r="AG1079" s="1">
        <v>54252.53</v>
      </c>
      <c r="AH1079" s="215">
        <f t="shared" si="168"/>
        <v>-1.151742581624815E-2</v>
      </c>
      <c r="AI1079" s="215">
        <f t="shared" si="164"/>
        <v>-5.6028368794326266E-2</v>
      </c>
      <c r="AJ1079" s="231">
        <v>316261</v>
      </c>
      <c r="AL1079" s="254"/>
      <c r="AQ1079" s="215" t="str">
        <f t="shared" si="169"/>
        <v>NA</v>
      </c>
      <c r="AR1079" s="215" t="str">
        <f t="shared" si="165"/>
        <v>NA</v>
      </c>
    </row>
    <row r="1080" spans="2:44">
      <c r="B1080" s="230">
        <v>44677</v>
      </c>
      <c r="C1080" s="1">
        <v>459.2</v>
      </c>
      <c r="D1080" s="1">
        <v>454.78094870806001</v>
      </c>
      <c r="E1080" s="1">
        <v>2593</v>
      </c>
      <c r="F1080" s="215">
        <v>57356.61</v>
      </c>
      <c r="G1080" s="215">
        <f t="shared" si="170"/>
        <v>9.4548709516240059E-3</v>
      </c>
      <c r="H1080" s="215">
        <f t="shared" si="171"/>
        <v>1.6491422246817988E-2</v>
      </c>
      <c r="I1080" s="231">
        <v>1179247</v>
      </c>
      <c r="K1080" s="230">
        <v>44676</v>
      </c>
      <c r="L1080" s="1">
        <v>437.9</v>
      </c>
      <c r="M1080" s="1">
        <v>446.375922731976</v>
      </c>
      <c r="N1080" s="1">
        <v>101465</v>
      </c>
      <c r="O1080" s="1">
        <v>56579.89</v>
      </c>
      <c r="P1080" s="215">
        <f t="shared" si="166"/>
        <v>-1.3541943988670146E-2</v>
      </c>
      <c r="Q1080" s="215">
        <f t="shared" si="162"/>
        <v>3.7063351095322661E-2</v>
      </c>
      <c r="R1080" s="231">
        <v>45291533</v>
      </c>
      <c r="T1080" s="230">
        <v>44676</v>
      </c>
      <c r="U1080" s="1">
        <v>78.650000000000006</v>
      </c>
      <c r="V1080" s="1">
        <v>79.791747503711306</v>
      </c>
      <c r="W1080" s="1">
        <v>245865</v>
      </c>
      <c r="X1080" s="1">
        <v>56579.89</v>
      </c>
      <c r="Y1080" s="215">
        <f t="shared" si="167"/>
        <v>-1.3541943988670146E-2</v>
      </c>
      <c r="Z1080" s="215">
        <f t="shared" si="163"/>
        <v>1.353092783505172E-2</v>
      </c>
      <c r="AA1080" s="231">
        <v>19617998</v>
      </c>
      <c r="AC1080" s="230">
        <v>44708</v>
      </c>
      <c r="AD1080" s="1">
        <v>70.5</v>
      </c>
      <c r="AE1080" s="1">
        <v>72.549779660291705</v>
      </c>
      <c r="AF1080" s="1">
        <v>23373</v>
      </c>
      <c r="AG1080" s="1">
        <v>54884.66</v>
      </c>
      <c r="AH1080" s="215">
        <f t="shared" si="168"/>
        <v>-1.861539963530201E-2</v>
      </c>
      <c r="AI1080" s="215">
        <f t="shared" si="164"/>
        <v>0</v>
      </c>
      <c r="AJ1080" s="231">
        <v>1695706</v>
      </c>
      <c r="AL1080" s="254"/>
      <c r="AQ1080" s="215" t="str">
        <f t="shared" si="169"/>
        <v>NA</v>
      </c>
      <c r="AR1080" s="215" t="str">
        <f t="shared" si="165"/>
        <v>NA</v>
      </c>
    </row>
    <row r="1081" spans="2:44">
      <c r="B1081" s="230">
        <v>44678</v>
      </c>
      <c r="C1081" s="1">
        <v>451.75</v>
      </c>
      <c r="D1081" s="1">
        <v>448.90989761092101</v>
      </c>
      <c r="E1081" s="1">
        <v>1465</v>
      </c>
      <c r="F1081" s="215">
        <v>56819.39</v>
      </c>
      <c r="G1081" s="215">
        <f t="shared" si="170"/>
        <v>-1.2198488692663156E-2</v>
      </c>
      <c r="H1081" s="215">
        <f t="shared" si="171"/>
        <v>-5.9833506763787736E-2</v>
      </c>
      <c r="I1081" s="231">
        <v>657653</v>
      </c>
      <c r="K1081" s="230">
        <v>44677</v>
      </c>
      <c r="L1081" s="1">
        <v>422.25</v>
      </c>
      <c r="M1081" s="1">
        <v>429.74545749978398</v>
      </c>
      <c r="N1081" s="1">
        <v>104623</v>
      </c>
      <c r="O1081" s="1">
        <v>57356.61</v>
      </c>
      <c r="P1081" s="215">
        <f t="shared" si="166"/>
        <v>9.4548709516240059E-3</v>
      </c>
      <c r="Q1081" s="215">
        <f t="shared" si="162"/>
        <v>-1.0312902847767424E-2</v>
      </c>
      <c r="R1081" s="231">
        <v>44961259</v>
      </c>
      <c r="T1081" s="230">
        <v>44677</v>
      </c>
      <c r="U1081" s="1">
        <v>77.599999999999994</v>
      </c>
      <c r="V1081" s="1">
        <v>77.770325009705601</v>
      </c>
      <c r="W1081" s="1">
        <v>273038</v>
      </c>
      <c r="X1081" s="1">
        <v>57356.61</v>
      </c>
      <c r="Y1081" s="215">
        <f t="shared" si="167"/>
        <v>9.4548709516240059E-3</v>
      </c>
      <c r="Z1081" s="215">
        <f t="shared" si="163"/>
        <v>1.3054830287206221E-2</v>
      </c>
      <c r="AA1081" s="231">
        <v>21234254</v>
      </c>
      <c r="AC1081" s="230">
        <v>44711</v>
      </c>
      <c r="AD1081" s="1">
        <v>70.5</v>
      </c>
      <c r="AE1081" s="1">
        <v>71.878551420568201</v>
      </c>
      <c r="AF1081" s="1">
        <v>4998</v>
      </c>
      <c r="AG1081" s="1">
        <v>55925.74</v>
      </c>
      <c r="AH1081" s="215">
        <f t="shared" si="168"/>
        <v>6.4666765407372928E-3</v>
      </c>
      <c r="AI1081" s="215">
        <f t="shared" si="164"/>
        <v>-7.7410274454609018E-3</v>
      </c>
      <c r="AJ1081" s="231">
        <v>359249</v>
      </c>
      <c r="AL1081" s="254"/>
      <c r="AQ1081" s="215" t="str">
        <f t="shared" si="169"/>
        <v>NA</v>
      </c>
      <c r="AR1081" s="215" t="str">
        <f t="shared" si="165"/>
        <v>NA</v>
      </c>
    </row>
    <row r="1082" spans="2:44">
      <c r="B1082" s="230">
        <v>44679</v>
      </c>
      <c r="C1082" s="1">
        <v>480.5</v>
      </c>
      <c r="D1082" s="1">
        <v>477.48707909161999</v>
      </c>
      <c r="E1082" s="1">
        <v>10216</v>
      </c>
      <c r="F1082" s="215">
        <v>57521.06</v>
      </c>
      <c r="G1082" s="215">
        <f t="shared" si="170"/>
        <v>8.0648963116054517E-3</v>
      </c>
      <c r="H1082" s="215">
        <f t="shared" si="171"/>
        <v>-4.6721555401249892E-2</v>
      </c>
      <c r="I1082" s="231">
        <v>4878008</v>
      </c>
      <c r="K1082" s="230">
        <v>44678</v>
      </c>
      <c r="L1082" s="1">
        <v>426.65</v>
      </c>
      <c r="M1082" s="1">
        <v>424.43201088663199</v>
      </c>
      <c r="N1082" s="1">
        <v>28659</v>
      </c>
      <c r="O1082" s="1">
        <v>56819.39</v>
      </c>
      <c r="P1082" s="215">
        <f t="shared" si="166"/>
        <v>-1.2198488692663156E-2</v>
      </c>
      <c r="Q1082" s="215">
        <f t="shared" si="162"/>
        <v>-1.0896024110351288E-2</v>
      </c>
      <c r="R1082" s="231">
        <v>12163797</v>
      </c>
      <c r="T1082" s="230">
        <v>44678</v>
      </c>
      <c r="U1082" s="1">
        <v>76.599999999999994</v>
      </c>
      <c r="V1082" s="1">
        <v>77.238677761797902</v>
      </c>
      <c r="W1082" s="1">
        <v>178697</v>
      </c>
      <c r="X1082" s="1">
        <v>56819.39</v>
      </c>
      <c r="Y1082" s="215">
        <f t="shared" si="167"/>
        <v>-1.2198488692663156E-2</v>
      </c>
      <c r="Z1082" s="215">
        <f t="shared" si="163"/>
        <v>2.0652898067954562E-2</v>
      </c>
      <c r="AA1082" s="231">
        <v>13802320</v>
      </c>
      <c r="AC1082" s="230">
        <v>44712</v>
      </c>
      <c r="AD1082" s="1">
        <v>71.05</v>
      </c>
      <c r="AE1082" s="1">
        <v>71.418339663591894</v>
      </c>
      <c r="AF1082" s="1">
        <v>1843</v>
      </c>
      <c r="AG1082" s="1">
        <v>55566.41</v>
      </c>
      <c r="AH1082" s="215">
        <f t="shared" si="168"/>
        <v>3.3448191867380128E-3</v>
      </c>
      <c r="AI1082" s="215">
        <f t="shared" si="164"/>
        <v>-1.7968210089841063E-2</v>
      </c>
      <c r="AJ1082" s="231">
        <v>131624</v>
      </c>
      <c r="AL1082" s="254"/>
      <c r="AQ1082" s="215" t="str">
        <f t="shared" si="169"/>
        <v>NA</v>
      </c>
      <c r="AR1082" s="215" t="str">
        <f t="shared" si="165"/>
        <v>NA</v>
      </c>
    </row>
    <row r="1083" spans="2:44">
      <c r="B1083" s="230">
        <v>44680</v>
      </c>
      <c r="C1083" s="1">
        <v>504.05</v>
      </c>
      <c r="D1083" s="1">
        <v>507.20739451044602</v>
      </c>
      <c r="E1083" s="1">
        <v>9764</v>
      </c>
      <c r="F1083" s="215">
        <v>57060.87</v>
      </c>
      <c r="G1083" s="215">
        <f t="shared" si="170"/>
        <v>1.4897503316748661E-3</v>
      </c>
      <c r="H1083" s="215">
        <f t="shared" si="171"/>
        <v>-2.3064250411861664E-2</v>
      </c>
      <c r="I1083" s="231">
        <v>4952373</v>
      </c>
      <c r="K1083" s="230">
        <v>44679</v>
      </c>
      <c r="L1083" s="1">
        <v>431.35</v>
      </c>
      <c r="M1083" s="1">
        <v>435.48437711348498</v>
      </c>
      <c r="N1083" s="1">
        <v>22179</v>
      </c>
      <c r="O1083" s="1">
        <v>57521.06</v>
      </c>
      <c r="P1083" s="215">
        <f t="shared" si="166"/>
        <v>8.0648963116054517E-3</v>
      </c>
      <c r="Q1083" s="215">
        <f t="shared" si="162"/>
        <v>2.8861061419201084E-2</v>
      </c>
      <c r="R1083" s="231">
        <v>9658608</v>
      </c>
      <c r="T1083" s="230">
        <v>44679</v>
      </c>
      <c r="U1083" s="1">
        <v>75.05</v>
      </c>
      <c r="V1083" s="1">
        <v>75.1986990348408</v>
      </c>
      <c r="W1083" s="1">
        <v>265034</v>
      </c>
      <c r="X1083" s="1">
        <v>57521.06</v>
      </c>
      <c r="Y1083" s="215">
        <f t="shared" si="167"/>
        <v>8.0648963116054517E-3</v>
      </c>
      <c r="Z1083" s="215">
        <f t="shared" si="163"/>
        <v>-1.4445173998686944E-2</v>
      </c>
      <c r="AA1083" s="231">
        <v>19930212</v>
      </c>
      <c r="AC1083" s="230">
        <v>44713</v>
      </c>
      <c r="AD1083" s="1">
        <v>72.349999999999994</v>
      </c>
      <c r="AE1083" s="1">
        <v>72.328767123287605</v>
      </c>
      <c r="AF1083" s="1">
        <v>1898</v>
      </c>
      <c r="AG1083" s="1">
        <v>55381.17</v>
      </c>
      <c r="AH1083" s="215">
        <f t="shared" si="168"/>
        <v>-7.8279253812069127E-3</v>
      </c>
      <c r="AI1083" s="215">
        <f t="shared" si="164"/>
        <v>1.1888111888111785E-2</v>
      </c>
      <c r="AJ1083" s="231">
        <v>137280</v>
      </c>
      <c r="AL1083" s="254"/>
      <c r="AQ1083" s="215" t="str">
        <f t="shared" si="169"/>
        <v>NA</v>
      </c>
      <c r="AR1083" s="215" t="str">
        <f t="shared" si="165"/>
        <v>NA</v>
      </c>
    </row>
    <row r="1084" spans="2:44">
      <c r="B1084" s="230">
        <v>44683</v>
      </c>
      <c r="C1084" s="1">
        <v>515.95000000000005</v>
      </c>
      <c r="D1084" s="1">
        <v>518.992006615214</v>
      </c>
      <c r="E1084" s="1">
        <v>3628</v>
      </c>
      <c r="F1084" s="215">
        <v>56975.99</v>
      </c>
      <c r="G1084" s="215">
        <f t="shared" si="170"/>
        <v>2.3477326621282879E-2</v>
      </c>
      <c r="H1084" s="215">
        <f t="shared" si="171"/>
        <v>1.5529457439582561E-3</v>
      </c>
      <c r="I1084" s="231">
        <v>1882903</v>
      </c>
      <c r="K1084" s="230">
        <v>44680</v>
      </c>
      <c r="L1084" s="1">
        <v>419.25</v>
      </c>
      <c r="M1084" s="1">
        <v>425.98629616254499</v>
      </c>
      <c r="N1084" s="1">
        <v>52613</v>
      </c>
      <c r="O1084" s="1">
        <v>57060.87</v>
      </c>
      <c r="P1084" s="215">
        <f t="shared" si="166"/>
        <v>1.4897503316748661E-3</v>
      </c>
      <c r="Q1084" s="215">
        <f t="shared" si="162"/>
        <v>-5.22007355558185E-3</v>
      </c>
      <c r="R1084" s="231">
        <v>22412417</v>
      </c>
      <c r="T1084" s="230">
        <v>44680</v>
      </c>
      <c r="U1084" s="1">
        <v>76.150000000000006</v>
      </c>
      <c r="V1084" s="1">
        <v>76.807326436126999</v>
      </c>
      <c r="W1084" s="1">
        <v>189642</v>
      </c>
      <c r="X1084" s="1">
        <v>57060.87</v>
      </c>
      <c r="Y1084" s="215">
        <f t="shared" si="167"/>
        <v>1.4897503316748661E-3</v>
      </c>
      <c r="Z1084" s="215">
        <f t="shared" si="163"/>
        <v>3.2938076416337836E-3</v>
      </c>
      <c r="AA1084" s="231">
        <v>14565895</v>
      </c>
      <c r="AC1084" s="230">
        <v>44714</v>
      </c>
      <c r="AD1084" s="1">
        <v>71.5</v>
      </c>
      <c r="AE1084" s="1">
        <v>71.566531869824701</v>
      </c>
      <c r="AF1084" s="1">
        <v>5193</v>
      </c>
      <c r="AG1084" s="1">
        <v>55818.11</v>
      </c>
      <c r="AH1084" s="215">
        <f t="shared" si="168"/>
        <v>8.7646897760640385E-4</v>
      </c>
      <c r="AI1084" s="215">
        <f t="shared" si="164"/>
        <v>-3.4843205574912606E-3</v>
      </c>
      <c r="AJ1084" s="231">
        <v>371645</v>
      </c>
      <c r="AL1084" s="254"/>
      <c r="AQ1084" s="215" t="str">
        <f t="shared" si="169"/>
        <v>NA</v>
      </c>
      <c r="AR1084" s="215" t="str">
        <f t="shared" si="165"/>
        <v>NA</v>
      </c>
    </row>
    <row r="1085" spans="2:44">
      <c r="B1085" s="230">
        <v>44685</v>
      </c>
      <c r="C1085" s="1">
        <v>515.15</v>
      </c>
      <c r="D1085" s="1">
        <v>518.83750846309999</v>
      </c>
      <c r="E1085" s="1">
        <v>1477</v>
      </c>
      <c r="F1085" s="215">
        <v>55669.03</v>
      </c>
      <c r="G1085" s="215">
        <f t="shared" si="170"/>
        <v>-5.9602640684230934E-4</v>
      </c>
      <c r="H1085" s="215">
        <f t="shared" si="171"/>
        <v>6.5350015510288406E-2</v>
      </c>
      <c r="I1085" s="231">
        <v>766323</v>
      </c>
      <c r="K1085" s="230">
        <v>44683</v>
      </c>
      <c r="L1085" s="1">
        <v>421.45</v>
      </c>
      <c r="M1085" s="1">
        <v>411.17762168641701</v>
      </c>
      <c r="N1085" s="1">
        <v>95101</v>
      </c>
      <c r="O1085" s="1">
        <v>56975.99</v>
      </c>
      <c r="P1085" s="215">
        <f t="shared" si="166"/>
        <v>2.3477326621282879E-2</v>
      </c>
      <c r="Q1085" s="215">
        <f t="shared" si="162"/>
        <v>4.2934917099727743E-2</v>
      </c>
      <c r="R1085" s="231">
        <v>39103403</v>
      </c>
      <c r="T1085" s="230">
        <v>44683</v>
      </c>
      <c r="U1085" s="1">
        <v>75.900000000000006</v>
      </c>
      <c r="V1085" s="1">
        <v>74.788181791680003</v>
      </c>
      <c r="W1085" s="1">
        <v>171515</v>
      </c>
      <c r="X1085" s="1">
        <v>56975.99</v>
      </c>
      <c r="Y1085" s="215">
        <f t="shared" si="167"/>
        <v>2.3477326621282879E-2</v>
      </c>
      <c r="Z1085" s="215">
        <f t="shared" si="163"/>
        <v>6.6011235955056202E-2</v>
      </c>
      <c r="AA1085" s="231">
        <v>12827295</v>
      </c>
      <c r="AC1085" s="230">
        <v>44715</v>
      </c>
      <c r="AD1085" s="1">
        <v>71.75</v>
      </c>
      <c r="AE1085" s="1">
        <v>71.901792114695297</v>
      </c>
      <c r="AF1085" s="1">
        <v>2790</v>
      </c>
      <c r="AG1085" s="1">
        <v>55769.23</v>
      </c>
      <c r="AH1085" s="215">
        <f t="shared" si="168"/>
        <v>1.6867437852177147E-3</v>
      </c>
      <c r="AI1085" s="215">
        <f t="shared" si="164"/>
        <v>-0.13030303030303025</v>
      </c>
      <c r="AJ1085" s="231">
        <v>200606</v>
      </c>
      <c r="AL1085" s="254"/>
      <c r="AQ1085" s="215" t="str">
        <f t="shared" si="169"/>
        <v>NA</v>
      </c>
      <c r="AR1085" s="215" t="str">
        <f t="shared" si="165"/>
        <v>NA</v>
      </c>
    </row>
    <row r="1086" spans="2:44">
      <c r="B1086" s="230">
        <v>44686</v>
      </c>
      <c r="C1086" s="1">
        <v>483.55</v>
      </c>
      <c r="D1086" s="1">
        <v>490.21930127983302</v>
      </c>
      <c r="E1086" s="1">
        <v>2891</v>
      </c>
      <c r="F1086" s="215">
        <v>55702.23</v>
      </c>
      <c r="G1086" s="215">
        <f t="shared" si="170"/>
        <v>1.580451962029028E-2</v>
      </c>
      <c r="H1086" s="215">
        <f t="shared" si="171"/>
        <v>-5.9615582279781698E-3</v>
      </c>
      <c r="I1086" s="231">
        <v>1417224</v>
      </c>
      <c r="K1086" s="230">
        <v>44685</v>
      </c>
      <c r="L1086" s="1">
        <v>404.1</v>
      </c>
      <c r="M1086" s="1">
        <v>413.75171224751199</v>
      </c>
      <c r="N1086" s="1">
        <v>63221</v>
      </c>
      <c r="O1086" s="1">
        <v>55669.03</v>
      </c>
      <c r="P1086" s="215">
        <f t="shared" si="166"/>
        <v>-5.9602640684230934E-4</v>
      </c>
      <c r="Q1086" s="215">
        <f t="shared" si="162"/>
        <v>-4.4345898004433115E-3</v>
      </c>
      <c r="R1086" s="231">
        <v>26157797</v>
      </c>
      <c r="T1086" s="230">
        <v>44685</v>
      </c>
      <c r="U1086" s="1">
        <v>71.2</v>
      </c>
      <c r="V1086" s="1">
        <v>73.979607806766793</v>
      </c>
      <c r="W1086" s="1">
        <v>172517</v>
      </c>
      <c r="X1086" s="1">
        <v>55669.03</v>
      </c>
      <c r="Y1086" s="215">
        <f t="shared" si="167"/>
        <v>-5.9602640684230934E-4</v>
      </c>
      <c r="Z1086" s="215">
        <f t="shared" si="163"/>
        <v>-1.860785665058573E-2</v>
      </c>
      <c r="AA1086" s="231">
        <v>12762740</v>
      </c>
      <c r="AC1086" s="230">
        <v>44718</v>
      </c>
      <c r="AD1086" s="1">
        <v>82.5</v>
      </c>
      <c r="AE1086" s="1">
        <v>79.321627638095507</v>
      </c>
      <c r="AF1086" s="1">
        <v>57949</v>
      </c>
      <c r="AG1086" s="1">
        <v>55675.32</v>
      </c>
      <c r="AH1086" s="215">
        <f t="shared" si="168"/>
        <v>1.0306793976991191E-2</v>
      </c>
      <c r="AI1086" s="215">
        <f t="shared" si="164"/>
        <v>9.780439121756479E-2</v>
      </c>
      <c r="AJ1086" s="231">
        <v>4596609</v>
      </c>
      <c r="AL1086" s="254"/>
      <c r="AQ1086" s="215" t="str">
        <f t="shared" si="169"/>
        <v>NA</v>
      </c>
      <c r="AR1086" s="215" t="str">
        <f t="shared" si="165"/>
        <v>NA</v>
      </c>
    </row>
    <row r="1087" spans="2:44">
      <c r="B1087" s="230">
        <v>44687</v>
      </c>
      <c r="C1087" s="1">
        <v>486.45</v>
      </c>
      <c r="D1087" s="1">
        <v>470.37107904642397</v>
      </c>
      <c r="E1087" s="1">
        <v>3188</v>
      </c>
      <c r="F1087" s="215">
        <v>54835.58</v>
      </c>
      <c r="G1087" s="215">
        <f t="shared" si="170"/>
        <v>6.6992016070299698E-3</v>
      </c>
      <c r="H1087" s="215">
        <f t="shared" si="171"/>
        <v>-1.9491177677471994E-3</v>
      </c>
      <c r="I1087" s="231">
        <v>1499543</v>
      </c>
      <c r="K1087" s="230">
        <v>44686</v>
      </c>
      <c r="L1087" s="1">
        <v>405.9</v>
      </c>
      <c r="M1087" s="1">
        <v>409.57844255714701</v>
      </c>
      <c r="N1087" s="1">
        <v>23667</v>
      </c>
      <c r="O1087" s="1">
        <v>55702.23</v>
      </c>
      <c r="P1087" s="215">
        <f t="shared" si="166"/>
        <v>1.580451962029028E-2</v>
      </c>
      <c r="Q1087" s="215">
        <f t="shared" si="162"/>
        <v>7.0976253298153047E-2</v>
      </c>
      <c r="R1087" s="231">
        <v>9693493</v>
      </c>
      <c r="T1087" s="230">
        <v>44686</v>
      </c>
      <c r="U1087" s="1">
        <v>72.55</v>
      </c>
      <c r="V1087" s="1">
        <v>72.707485567043904</v>
      </c>
      <c r="W1087" s="1">
        <v>153295</v>
      </c>
      <c r="X1087" s="1">
        <v>55702.23</v>
      </c>
      <c r="Y1087" s="215">
        <f t="shared" si="167"/>
        <v>1.580451962029028E-2</v>
      </c>
      <c r="Z1087" s="215">
        <f t="shared" si="163"/>
        <v>2.9808374733853782E-2</v>
      </c>
      <c r="AA1087" s="231">
        <v>11145694</v>
      </c>
      <c r="AC1087" s="230">
        <v>44719</v>
      </c>
      <c r="AD1087" s="1">
        <v>75.150000000000006</v>
      </c>
      <c r="AE1087" s="1">
        <v>77.795735833513106</v>
      </c>
      <c r="AF1087" s="1">
        <v>50983</v>
      </c>
      <c r="AG1087" s="1">
        <v>55107.34</v>
      </c>
      <c r="AH1087" s="215">
        <f t="shared" si="168"/>
        <v>3.9140144671885313E-3</v>
      </c>
      <c r="AI1087" s="215">
        <f t="shared" si="164"/>
        <v>-3.315649867373982E-3</v>
      </c>
      <c r="AJ1087" s="231">
        <v>3966260</v>
      </c>
      <c r="AL1087" s="254"/>
      <c r="AQ1087" s="215" t="str">
        <f t="shared" si="169"/>
        <v>NA</v>
      </c>
      <c r="AR1087" s="215" t="str">
        <f t="shared" si="165"/>
        <v>NA</v>
      </c>
    </row>
    <row r="1088" spans="2:44">
      <c r="B1088" s="230">
        <v>44690</v>
      </c>
      <c r="C1088" s="1">
        <v>487.4</v>
      </c>
      <c r="D1088" s="1">
        <v>482.47484909456699</v>
      </c>
      <c r="E1088" s="1">
        <v>1491</v>
      </c>
      <c r="F1088" s="215">
        <v>54470.67</v>
      </c>
      <c r="G1088" s="215">
        <f t="shared" si="170"/>
        <v>1.9464782851419393E-3</v>
      </c>
      <c r="H1088" s="215">
        <f t="shared" si="171"/>
        <v>1.9345393704904401E-2</v>
      </c>
      <c r="I1088" s="231">
        <v>719370</v>
      </c>
      <c r="K1088" s="230">
        <v>44687</v>
      </c>
      <c r="L1088" s="1">
        <v>379</v>
      </c>
      <c r="M1088" s="1">
        <v>386.51824606430802</v>
      </c>
      <c r="N1088" s="1">
        <v>110654</v>
      </c>
      <c r="O1088" s="1">
        <v>54835.58</v>
      </c>
      <c r="P1088" s="215">
        <f t="shared" si="166"/>
        <v>6.6992016070299698E-3</v>
      </c>
      <c r="Q1088" s="215">
        <f t="shared" si="162"/>
        <v>3.4388646288209701E-2</v>
      </c>
      <c r="R1088" s="231">
        <v>42769790</v>
      </c>
      <c r="T1088" s="230">
        <v>44687</v>
      </c>
      <c r="U1088" s="1">
        <v>70.45</v>
      </c>
      <c r="V1088" s="1">
        <v>70.414029721598894</v>
      </c>
      <c r="W1088" s="1">
        <v>99389</v>
      </c>
      <c r="X1088" s="1">
        <v>54835.58</v>
      </c>
      <c r="Y1088" s="215">
        <f t="shared" si="167"/>
        <v>6.6992016070299698E-3</v>
      </c>
      <c r="Z1088" s="215">
        <f t="shared" si="163"/>
        <v>3.2234432234432342E-2</v>
      </c>
      <c r="AA1088" s="231">
        <v>6998380</v>
      </c>
      <c r="AC1088" s="230">
        <v>44720</v>
      </c>
      <c r="AD1088" s="1">
        <v>75.400000000000006</v>
      </c>
      <c r="AE1088" s="1">
        <v>75.362295792973796</v>
      </c>
      <c r="AF1088" s="1">
        <v>6917</v>
      </c>
      <c r="AG1088" s="1">
        <v>54892.49</v>
      </c>
      <c r="AH1088" s="215">
        <f t="shared" si="168"/>
        <v>-7.7329688136068553E-3</v>
      </c>
      <c r="AI1088" s="215">
        <f t="shared" si="164"/>
        <v>-7.2570725707256978E-2</v>
      </c>
      <c r="AJ1088" s="231">
        <v>521281</v>
      </c>
      <c r="AL1088" s="254"/>
      <c r="AQ1088" s="215" t="str">
        <f t="shared" si="169"/>
        <v>NA</v>
      </c>
      <c r="AR1088" s="215" t="str">
        <f t="shared" si="165"/>
        <v>NA</v>
      </c>
    </row>
    <row r="1089" spans="2:44">
      <c r="B1089" s="230">
        <v>44691</v>
      </c>
      <c r="C1089" s="1">
        <v>478.15</v>
      </c>
      <c r="D1089" s="1">
        <v>485.46163575042101</v>
      </c>
      <c r="E1089" s="1">
        <v>2372</v>
      </c>
      <c r="F1089" s="215">
        <v>54364.85</v>
      </c>
      <c r="G1089" s="215">
        <f t="shared" si="170"/>
        <v>5.1112632489154208E-3</v>
      </c>
      <c r="H1089" s="215">
        <f t="shared" si="171"/>
        <v>8.3380536988784337E-2</v>
      </c>
      <c r="I1089" s="231">
        <v>1151515</v>
      </c>
      <c r="K1089" s="230">
        <v>44690</v>
      </c>
      <c r="L1089" s="1">
        <v>366.4</v>
      </c>
      <c r="M1089" s="1">
        <v>367.12709114447603</v>
      </c>
      <c r="N1089" s="1">
        <v>59477</v>
      </c>
      <c r="O1089" s="1">
        <v>54470.67</v>
      </c>
      <c r="P1089" s="215">
        <f t="shared" si="166"/>
        <v>1.9464782851419393E-3</v>
      </c>
      <c r="Q1089" s="215">
        <f t="shared" si="162"/>
        <v>4.3577328396468218E-2</v>
      </c>
      <c r="R1089" s="231">
        <v>21835618</v>
      </c>
      <c r="T1089" s="230">
        <v>44690</v>
      </c>
      <c r="U1089" s="1">
        <v>68.25</v>
      </c>
      <c r="V1089" s="1">
        <v>68.716021650093396</v>
      </c>
      <c r="W1089" s="1">
        <v>103279</v>
      </c>
      <c r="X1089" s="1">
        <v>54470.67</v>
      </c>
      <c r="Y1089" s="215">
        <f t="shared" si="167"/>
        <v>1.9464782851419393E-3</v>
      </c>
      <c r="Z1089" s="215">
        <f t="shared" si="163"/>
        <v>4.9192928516525791E-2</v>
      </c>
      <c r="AA1089" s="231">
        <v>7096922</v>
      </c>
      <c r="AC1089" s="230">
        <v>44721</v>
      </c>
      <c r="AD1089" s="1">
        <v>81.3</v>
      </c>
      <c r="AE1089" s="1">
        <v>81.547859060718807</v>
      </c>
      <c r="AF1089" s="1">
        <v>42458</v>
      </c>
      <c r="AG1089" s="1">
        <v>55320.28</v>
      </c>
      <c r="AH1089" s="215">
        <f t="shared" si="168"/>
        <v>1.8725148904010336E-2</v>
      </c>
      <c r="AI1089" s="215">
        <f t="shared" si="164"/>
        <v>-1.6928657799274549E-2</v>
      </c>
      <c r="AJ1089" s="231">
        <v>3462359</v>
      </c>
      <c r="AL1089" s="254"/>
      <c r="AQ1089" s="215" t="str">
        <f t="shared" si="169"/>
        <v>NA</v>
      </c>
      <c r="AR1089" s="215" t="str">
        <f t="shared" si="165"/>
        <v>NA</v>
      </c>
    </row>
    <row r="1090" spans="2:44">
      <c r="B1090" s="230">
        <v>44692</v>
      </c>
      <c r="C1090" s="1">
        <v>441.35</v>
      </c>
      <c r="D1090" s="1">
        <v>446.07323232323199</v>
      </c>
      <c r="E1090" s="1">
        <v>3564</v>
      </c>
      <c r="F1090" s="215">
        <v>54088.39</v>
      </c>
      <c r="G1090" s="215">
        <f t="shared" si="170"/>
        <v>2.1879335299566538E-2</v>
      </c>
      <c r="H1090" s="215">
        <f t="shared" si="171"/>
        <v>3.3001755412521927E-2</v>
      </c>
      <c r="I1090" s="231">
        <v>1589805</v>
      </c>
      <c r="K1090" s="230">
        <v>44691</v>
      </c>
      <c r="L1090" s="1">
        <v>351.1</v>
      </c>
      <c r="M1090" s="1">
        <v>364.11867322462598</v>
      </c>
      <c r="N1090" s="1">
        <v>41273</v>
      </c>
      <c r="O1090" s="1">
        <v>54364.85</v>
      </c>
      <c r="P1090" s="215">
        <f t="shared" si="166"/>
        <v>5.1112632489154208E-3</v>
      </c>
      <c r="Q1090" s="215">
        <f t="shared" si="162"/>
        <v>1.3568129330254086E-2</v>
      </c>
      <c r="R1090" s="231">
        <v>15028270</v>
      </c>
      <c r="T1090" s="230">
        <v>44691</v>
      </c>
      <c r="U1090" s="1">
        <v>65.05</v>
      </c>
      <c r="V1090" s="1">
        <v>67.978040253236301</v>
      </c>
      <c r="W1090" s="1">
        <v>105830</v>
      </c>
      <c r="X1090" s="1">
        <v>54364.85</v>
      </c>
      <c r="Y1090" s="215">
        <f t="shared" si="167"/>
        <v>5.1112632489154208E-3</v>
      </c>
      <c r="Z1090" s="215">
        <f t="shared" si="163"/>
        <v>1.8794048551292075E-2</v>
      </c>
      <c r="AA1090" s="231">
        <v>7194116</v>
      </c>
      <c r="AC1090" s="230">
        <v>44722</v>
      </c>
      <c r="AD1090" s="1">
        <v>82.7</v>
      </c>
      <c r="AE1090" s="1">
        <v>83.887777977044394</v>
      </c>
      <c r="AF1090" s="1">
        <v>22304</v>
      </c>
      <c r="AG1090" s="1">
        <v>54303.44</v>
      </c>
      <c r="AH1090" s="215">
        <f t="shared" si="168"/>
        <v>2.7565391973387365E-2</v>
      </c>
      <c r="AI1090" s="215">
        <f t="shared" si="164"/>
        <v>9.1749174917491683E-2</v>
      </c>
      <c r="AJ1090" s="231">
        <v>1871033</v>
      </c>
      <c r="AL1090" s="254"/>
      <c r="AQ1090" s="215" t="str">
        <f t="shared" si="169"/>
        <v>NA</v>
      </c>
      <c r="AR1090" s="215" t="str">
        <f t="shared" si="165"/>
        <v>NA</v>
      </c>
    </row>
    <row r="1091" spans="2:44">
      <c r="B1091" s="230">
        <v>44693</v>
      </c>
      <c r="C1091" s="1">
        <v>427.25</v>
      </c>
      <c r="D1091" s="1">
        <v>431.140397350993</v>
      </c>
      <c r="E1091" s="1">
        <v>1510</v>
      </c>
      <c r="F1091" s="215">
        <v>52930.31</v>
      </c>
      <c r="G1091" s="215">
        <f t="shared" si="170"/>
        <v>2.5891386118246373E-3</v>
      </c>
      <c r="H1091" s="215">
        <f t="shared" si="171"/>
        <v>-4.9922170335779392E-2</v>
      </c>
      <c r="I1091" s="231">
        <v>651022</v>
      </c>
      <c r="K1091" s="230">
        <v>44692</v>
      </c>
      <c r="L1091" s="1">
        <v>346.4</v>
      </c>
      <c r="M1091" s="1">
        <v>340.26210259776701</v>
      </c>
      <c r="N1091" s="1">
        <v>106630</v>
      </c>
      <c r="O1091" s="1">
        <v>54088.39</v>
      </c>
      <c r="P1091" s="215">
        <f t="shared" si="166"/>
        <v>2.1879335299566538E-2</v>
      </c>
      <c r="Q1091" s="215">
        <f t="shared" si="162"/>
        <v>5.7387057387057183E-2</v>
      </c>
      <c r="R1091" s="231">
        <v>36282148</v>
      </c>
      <c r="T1091" s="230">
        <v>44692</v>
      </c>
      <c r="U1091" s="1">
        <v>63.85</v>
      </c>
      <c r="V1091" s="1">
        <v>64.919132883137706</v>
      </c>
      <c r="W1091" s="1">
        <v>309347</v>
      </c>
      <c r="X1091" s="1">
        <v>54088.39</v>
      </c>
      <c r="Y1091" s="215">
        <f t="shared" si="167"/>
        <v>2.1879335299566538E-2</v>
      </c>
      <c r="Z1091" s="215">
        <f t="shared" si="163"/>
        <v>3.3171521035598728E-2</v>
      </c>
      <c r="AA1091" s="231">
        <v>20082539</v>
      </c>
      <c r="AC1091" s="230">
        <v>44725</v>
      </c>
      <c r="AD1091" s="1">
        <v>75.75</v>
      </c>
      <c r="AE1091" s="1">
        <v>77.477698483496795</v>
      </c>
      <c r="AF1091" s="1">
        <v>11210</v>
      </c>
      <c r="AG1091" s="1">
        <v>52846.7</v>
      </c>
      <c r="AH1091" s="215">
        <f t="shared" si="168"/>
        <v>2.9060471704611679E-3</v>
      </c>
      <c r="AI1091" s="215">
        <f t="shared" si="164"/>
        <v>1.1348464619492571E-2</v>
      </c>
      <c r="AJ1091" s="231">
        <v>868525</v>
      </c>
      <c r="AL1091" s="254"/>
      <c r="AQ1091" s="215" t="str">
        <f t="shared" si="169"/>
        <v>NA</v>
      </c>
      <c r="AR1091" s="215" t="str">
        <f t="shared" si="165"/>
        <v>NA</v>
      </c>
    </row>
    <row r="1092" spans="2:44">
      <c r="B1092" s="230">
        <v>44694</v>
      </c>
      <c r="C1092" s="1">
        <v>449.7</v>
      </c>
      <c r="D1092" s="1">
        <v>446.15540540540502</v>
      </c>
      <c r="E1092" s="1">
        <v>2220</v>
      </c>
      <c r="F1092" s="215">
        <v>52793.62</v>
      </c>
      <c r="G1092" s="215">
        <f t="shared" si="170"/>
        <v>-3.4020565622577825E-3</v>
      </c>
      <c r="H1092" s="215">
        <f t="shared" si="171"/>
        <v>1.2609772573744626E-2</v>
      </c>
      <c r="I1092" s="231">
        <v>990465</v>
      </c>
      <c r="K1092" s="230">
        <v>44693</v>
      </c>
      <c r="L1092" s="1">
        <v>327.60000000000002</v>
      </c>
      <c r="M1092" s="1">
        <v>330.99325546746098</v>
      </c>
      <c r="N1092" s="1">
        <v>75172</v>
      </c>
      <c r="O1092" s="1">
        <v>52930.31</v>
      </c>
      <c r="P1092" s="215">
        <f t="shared" si="166"/>
        <v>2.5891386118246373E-3</v>
      </c>
      <c r="Q1092" s="215">
        <f t="shared" si="162"/>
        <v>-3.2629558541266701E-2</v>
      </c>
      <c r="R1092" s="231">
        <v>24881425</v>
      </c>
      <c r="T1092" s="230">
        <v>44693</v>
      </c>
      <c r="U1092" s="1">
        <v>61.8</v>
      </c>
      <c r="V1092" s="1">
        <v>63.427288496982399</v>
      </c>
      <c r="W1092" s="1">
        <v>166026</v>
      </c>
      <c r="X1092" s="1">
        <v>52930.31</v>
      </c>
      <c r="Y1092" s="215">
        <f t="shared" si="167"/>
        <v>2.5891386118246373E-3</v>
      </c>
      <c r="Z1092" s="215">
        <f t="shared" si="163"/>
        <v>-3.0588235294117694E-2</v>
      </c>
      <c r="AA1092" s="231">
        <v>10530579</v>
      </c>
      <c r="AC1092" s="230">
        <v>44726</v>
      </c>
      <c r="AD1092" s="1">
        <v>74.900000000000006</v>
      </c>
      <c r="AE1092" s="1">
        <v>75.8328501540134</v>
      </c>
      <c r="AF1092" s="1">
        <v>11038</v>
      </c>
      <c r="AG1092" s="1">
        <v>52693.57</v>
      </c>
      <c r="AH1092" s="215">
        <f t="shared" si="168"/>
        <v>2.8963832133104273E-3</v>
      </c>
      <c r="AI1092" s="215">
        <f t="shared" si="164"/>
        <v>-2.3468057366362371E-2</v>
      </c>
      <c r="AJ1092" s="231">
        <v>837043</v>
      </c>
      <c r="AL1092" s="254"/>
      <c r="AQ1092" s="215" t="str">
        <f t="shared" si="169"/>
        <v>NA</v>
      </c>
      <c r="AR1092" s="215" t="str">
        <f t="shared" si="165"/>
        <v>NA</v>
      </c>
    </row>
    <row r="1093" spans="2:44">
      <c r="B1093" s="230">
        <v>44697</v>
      </c>
      <c r="C1093" s="1">
        <v>444.1</v>
      </c>
      <c r="D1093" s="1">
        <v>455.05572380375497</v>
      </c>
      <c r="E1093" s="1">
        <v>1651</v>
      </c>
      <c r="F1093" s="215">
        <v>52973.84</v>
      </c>
      <c r="G1093" s="215">
        <f t="shared" si="170"/>
        <v>-2.4754563226836224E-2</v>
      </c>
      <c r="H1093" s="215">
        <f t="shared" si="171"/>
        <v>-3.3830088110518797E-2</v>
      </c>
      <c r="I1093" s="231">
        <v>751297</v>
      </c>
      <c r="K1093" s="230">
        <v>44694</v>
      </c>
      <c r="L1093" s="1">
        <v>338.65</v>
      </c>
      <c r="M1093" s="1">
        <v>342.89085924881101</v>
      </c>
      <c r="N1093" s="1">
        <v>87914</v>
      </c>
      <c r="O1093" s="1">
        <v>52793.62</v>
      </c>
      <c r="P1093" s="215">
        <f t="shared" si="166"/>
        <v>-3.4020565622577825E-3</v>
      </c>
      <c r="Q1093" s="215">
        <f t="shared" si="162"/>
        <v>-2.7007613848585077E-2</v>
      </c>
      <c r="R1093" s="231">
        <v>30144907</v>
      </c>
      <c r="T1093" s="230">
        <v>44694</v>
      </c>
      <c r="U1093" s="1">
        <v>63.75</v>
      </c>
      <c r="V1093" s="1">
        <v>64.002276930467104</v>
      </c>
      <c r="W1093" s="1">
        <v>208175</v>
      </c>
      <c r="X1093" s="1">
        <v>52793.62</v>
      </c>
      <c r="Y1093" s="215">
        <f t="shared" si="167"/>
        <v>-3.4020565622577825E-3</v>
      </c>
      <c r="Z1093" s="215">
        <f t="shared" si="163"/>
        <v>1.5936254980079667E-2</v>
      </c>
      <c r="AA1093" s="231">
        <v>13323674</v>
      </c>
      <c r="AC1093" s="230">
        <v>44727</v>
      </c>
      <c r="AD1093" s="1">
        <v>76.7</v>
      </c>
      <c r="AE1093" s="1">
        <v>77.368626358317002</v>
      </c>
      <c r="AF1093" s="1">
        <v>3589</v>
      </c>
      <c r="AG1093" s="1">
        <v>52541.39</v>
      </c>
      <c r="AH1093" s="215">
        <f t="shared" si="168"/>
        <v>2.0304572470875693E-2</v>
      </c>
      <c r="AI1093" s="215">
        <f t="shared" si="164"/>
        <v>3.3692722371967632E-2</v>
      </c>
      <c r="AJ1093" s="231">
        <v>277676</v>
      </c>
      <c r="AL1093" s="254"/>
      <c r="AQ1093" s="215" t="str">
        <f t="shared" si="169"/>
        <v>NA</v>
      </c>
      <c r="AR1093" s="215" t="str">
        <f t="shared" si="165"/>
        <v>NA</v>
      </c>
    </row>
    <row r="1094" spans="2:44">
      <c r="B1094" s="230">
        <v>44698</v>
      </c>
      <c r="C1094" s="1">
        <v>459.65</v>
      </c>
      <c r="D1094" s="1">
        <v>455.573971078976</v>
      </c>
      <c r="E1094" s="1">
        <v>899</v>
      </c>
      <c r="F1094" s="215">
        <v>54318.47</v>
      </c>
      <c r="G1094" s="215">
        <f t="shared" si="170"/>
        <v>2.028094102533462E-3</v>
      </c>
      <c r="H1094" s="215">
        <f t="shared" si="171"/>
        <v>-1.3944009439021743E-2</v>
      </c>
      <c r="I1094" s="231">
        <v>409561</v>
      </c>
      <c r="K1094" s="230">
        <v>44697</v>
      </c>
      <c r="L1094" s="1">
        <v>348.05</v>
      </c>
      <c r="M1094" s="1">
        <v>350.618177234337</v>
      </c>
      <c r="N1094" s="1">
        <v>31732</v>
      </c>
      <c r="O1094" s="1">
        <v>52973.84</v>
      </c>
      <c r="P1094" s="215">
        <f t="shared" si="166"/>
        <v>-2.4754563226836224E-2</v>
      </c>
      <c r="Q1094" s="215">
        <f t="shared" si="162"/>
        <v>-8.0327652265821059E-2</v>
      </c>
      <c r="R1094" s="231">
        <v>11125816</v>
      </c>
      <c r="T1094" s="230">
        <v>44697</v>
      </c>
      <c r="U1094" s="1">
        <v>62.75</v>
      </c>
      <c r="V1094" s="1">
        <v>63.605134728207197</v>
      </c>
      <c r="W1094" s="1">
        <v>115566</v>
      </c>
      <c r="X1094" s="1">
        <v>52973.84</v>
      </c>
      <c r="Y1094" s="215">
        <f t="shared" si="167"/>
        <v>-2.4754563226836224E-2</v>
      </c>
      <c r="Z1094" s="215">
        <f t="shared" si="163"/>
        <v>-4.2715484363081591E-2</v>
      </c>
      <c r="AA1094" s="231">
        <v>7350591</v>
      </c>
      <c r="AC1094" s="230">
        <v>44728</v>
      </c>
      <c r="AD1094" s="1">
        <v>74.2</v>
      </c>
      <c r="AE1094" s="1">
        <v>74.577580539118998</v>
      </c>
      <c r="AF1094" s="1">
        <v>9126</v>
      </c>
      <c r="AG1094" s="1">
        <v>51495.79</v>
      </c>
      <c r="AH1094" s="215">
        <f t="shared" si="168"/>
        <v>2.6356871692250206E-3</v>
      </c>
      <c r="AI1094" s="215">
        <f t="shared" si="164"/>
        <v>5.8487874465050105E-2</v>
      </c>
      <c r="AJ1094" s="231">
        <v>680595</v>
      </c>
      <c r="AL1094" s="254"/>
      <c r="AQ1094" s="215" t="str">
        <f t="shared" si="169"/>
        <v>NA</v>
      </c>
      <c r="AR1094" s="215" t="str">
        <f t="shared" si="165"/>
        <v>NA</v>
      </c>
    </row>
    <row r="1095" spans="2:44">
      <c r="B1095" s="230">
        <v>44699</v>
      </c>
      <c r="C1095" s="1">
        <v>466.15</v>
      </c>
      <c r="D1095" s="1">
        <v>458.57604456824498</v>
      </c>
      <c r="E1095" s="1">
        <v>1795</v>
      </c>
      <c r="F1095" s="215">
        <v>54208.53</v>
      </c>
      <c r="G1095" s="215">
        <f t="shared" si="170"/>
        <v>2.6827811592728512E-2</v>
      </c>
      <c r="H1095" s="215">
        <f t="shared" si="171"/>
        <v>6.49988576650673E-2</v>
      </c>
      <c r="I1095" s="231">
        <v>823144</v>
      </c>
      <c r="K1095" s="230">
        <v>44698</v>
      </c>
      <c r="L1095" s="1">
        <v>378.45</v>
      </c>
      <c r="M1095" s="1">
        <v>371.16727185857599</v>
      </c>
      <c r="N1095" s="1">
        <v>62790</v>
      </c>
      <c r="O1095" s="1">
        <v>54318.47</v>
      </c>
      <c r="P1095" s="215">
        <f t="shared" si="166"/>
        <v>2.028094102533462E-3</v>
      </c>
      <c r="Q1095" s="215">
        <f t="shared" si="162"/>
        <v>1.8530774321641186E-3</v>
      </c>
      <c r="R1095" s="231">
        <v>23305593</v>
      </c>
      <c r="T1095" s="230">
        <v>44698</v>
      </c>
      <c r="U1095" s="1">
        <v>65.55</v>
      </c>
      <c r="V1095" s="1">
        <v>64.777591931652793</v>
      </c>
      <c r="W1095" s="1">
        <v>160826</v>
      </c>
      <c r="X1095" s="1">
        <v>54318.47</v>
      </c>
      <c r="Y1095" s="215">
        <f t="shared" si="167"/>
        <v>2.028094102533462E-3</v>
      </c>
      <c r="Z1095" s="215">
        <f t="shared" si="163"/>
        <v>7.6863950807071202E-3</v>
      </c>
      <c r="AA1095" s="231">
        <v>10417921</v>
      </c>
      <c r="AC1095" s="230">
        <v>44729</v>
      </c>
      <c r="AD1095" s="1">
        <v>70.099999999999994</v>
      </c>
      <c r="AE1095" s="1">
        <v>71.6963569250521</v>
      </c>
      <c r="AF1095" s="1">
        <v>18693</v>
      </c>
      <c r="AG1095" s="1">
        <v>51360.42</v>
      </c>
      <c r="AH1095" s="215">
        <f t="shared" si="168"/>
        <v>-4.6013554055750472E-3</v>
      </c>
      <c r="AI1095" s="215">
        <f t="shared" si="164"/>
        <v>4.2379182156133677E-2</v>
      </c>
      <c r="AJ1095" s="231">
        <v>1340220</v>
      </c>
      <c r="AL1095" s="254"/>
      <c r="AQ1095" s="215" t="str">
        <f t="shared" si="169"/>
        <v>NA</v>
      </c>
      <c r="AR1095" s="215" t="str">
        <f t="shared" si="165"/>
        <v>NA</v>
      </c>
    </row>
    <row r="1096" spans="2:44">
      <c r="B1096" s="230">
        <v>44700</v>
      </c>
      <c r="C1096" s="1">
        <v>437.7</v>
      </c>
      <c r="D1096" s="1">
        <v>436.45664280031798</v>
      </c>
      <c r="E1096" s="1">
        <v>3771</v>
      </c>
      <c r="F1096" s="215">
        <v>52792.23</v>
      </c>
      <c r="G1096" s="215">
        <f t="shared" si="170"/>
        <v>-2.8239682408494171E-2</v>
      </c>
      <c r="H1096" s="215">
        <f t="shared" si="171"/>
        <v>-9.9938309685379423E-2</v>
      </c>
      <c r="I1096" s="231">
        <v>1645878</v>
      </c>
      <c r="K1096" s="230">
        <v>44699</v>
      </c>
      <c r="L1096" s="1">
        <v>377.75</v>
      </c>
      <c r="M1096" s="1">
        <v>378.87582841306101</v>
      </c>
      <c r="N1096" s="1">
        <v>66392</v>
      </c>
      <c r="O1096" s="1">
        <v>54208.53</v>
      </c>
      <c r="P1096" s="215">
        <f t="shared" si="166"/>
        <v>2.6827811592728512E-2</v>
      </c>
      <c r="Q1096" s="215">
        <f t="shared" si="162"/>
        <v>2.7611534276387406E-2</v>
      </c>
      <c r="R1096" s="231">
        <v>25154324</v>
      </c>
      <c r="T1096" s="230">
        <v>44699</v>
      </c>
      <c r="U1096" s="1">
        <v>65.05</v>
      </c>
      <c r="V1096" s="1">
        <v>66.329259869616806</v>
      </c>
      <c r="W1096" s="1">
        <v>165052</v>
      </c>
      <c r="X1096" s="1">
        <v>54208.53</v>
      </c>
      <c r="Y1096" s="215">
        <f t="shared" si="167"/>
        <v>2.6827811592728512E-2</v>
      </c>
      <c r="Z1096" s="215">
        <f t="shared" si="163"/>
        <v>3.2539682539682424E-2</v>
      </c>
      <c r="AA1096" s="231">
        <v>10947777</v>
      </c>
      <c r="AC1096" s="230">
        <v>44732</v>
      </c>
      <c r="AD1096" s="1">
        <v>67.25</v>
      </c>
      <c r="AE1096" s="1">
        <v>69.890799168713301</v>
      </c>
      <c r="AF1096" s="1">
        <v>15879</v>
      </c>
      <c r="AG1096" s="1">
        <v>51597.84</v>
      </c>
      <c r="AH1096" s="215">
        <f t="shared" si="168"/>
        <v>-1.7783993663299413E-2</v>
      </c>
      <c r="AI1096" s="215">
        <f t="shared" si="164"/>
        <v>-1.8248175182481785E-2</v>
      </c>
      <c r="AJ1096" s="231">
        <v>1109796</v>
      </c>
      <c r="AL1096" s="254"/>
      <c r="AQ1096" s="215" t="str">
        <f t="shared" si="169"/>
        <v>NA</v>
      </c>
      <c r="AR1096" s="215" t="str">
        <f t="shared" si="165"/>
        <v>NA</v>
      </c>
    </row>
    <row r="1097" spans="2:44">
      <c r="B1097" s="230">
        <v>44701</v>
      </c>
      <c r="C1097" s="1">
        <v>486.3</v>
      </c>
      <c r="D1097" s="1">
        <v>471.54647785039901</v>
      </c>
      <c r="E1097" s="1">
        <v>2754</v>
      </c>
      <c r="F1097" s="215">
        <v>54326.39</v>
      </c>
      <c r="G1097" s="215">
        <f t="shared" si="170"/>
        <v>6.9591024710335958E-4</v>
      </c>
      <c r="H1097" s="215">
        <f t="shared" si="171"/>
        <v>8.3556149732620266E-2</v>
      </c>
      <c r="I1097" s="231">
        <v>1298639</v>
      </c>
      <c r="K1097" s="230">
        <v>44700</v>
      </c>
      <c r="L1097" s="1">
        <v>367.6</v>
      </c>
      <c r="M1097" s="1">
        <v>366.43983417986198</v>
      </c>
      <c r="N1097" s="1">
        <v>26776</v>
      </c>
      <c r="O1097" s="1">
        <v>52792.23</v>
      </c>
      <c r="P1097" s="215">
        <f t="shared" si="166"/>
        <v>-2.8239682408494171E-2</v>
      </c>
      <c r="Q1097" s="215">
        <f t="shared" si="162"/>
        <v>-5.6468172484599566E-2</v>
      </c>
      <c r="R1097" s="231">
        <v>9811793</v>
      </c>
      <c r="T1097" s="230">
        <v>44700</v>
      </c>
      <c r="U1097" s="1">
        <v>63</v>
      </c>
      <c r="V1097" s="1">
        <v>63.326378036430903</v>
      </c>
      <c r="W1097" s="1">
        <v>79987</v>
      </c>
      <c r="X1097" s="1">
        <v>52792.23</v>
      </c>
      <c r="Y1097" s="215">
        <f t="shared" si="167"/>
        <v>-2.8239682408494171E-2</v>
      </c>
      <c r="Z1097" s="215">
        <f t="shared" si="163"/>
        <v>-3.9634146341463339E-2</v>
      </c>
      <c r="AA1097" s="231">
        <v>5065287</v>
      </c>
      <c r="AC1097" s="230">
        <v>44733</v>
      </c>
      <c r="AD1097" s="1">
        <v>68.5</v>
      </c>
      <c r="AE1097" s="1">
        <v>68.634049773755606</v>
      </c>
      <c r="AF1097" s="1">
        <v>5304</v>
      </c>
      <c r="AG1097" s="1">
        <v>52532.07</v>
      </c>
      <c r="AH1097" s="215">
        <f t="shared" si="168"/>
        <v>1.3691728288834915E-2</v>
      </c>
      <c r="AI1097" s="215">
        <f t="shared" si="164"/>
        <v>8.8365243004417948E-3</v>
      </c>
      <c r="AJ1097" s="231">
        <v>364035</v>
      </c>
      <c r="AL1097" s="254"/>
      <c r="AQ1097" s="215" t="str">
        <f t="shared" si="169"/>
        <v>NA</v>
      </c>
      <c r="AR1097" s="215" t="str">
        <f t="shared" si="165"/>
        <v>NA</v>
      </c>
    </row>
    <row r="1098" spans="2:44">
      <c r="B1098" s="230">
        <v>44704</v>
      </c>
      <c r="C1098" s="1">
        <v>448.8</v>
      </c>
      <c r="D1098" s="1">
        <v>458.95854063018197</v>
      </c>
      <c r="E1098" s="1">
        <v>3618</v>
      </c>
      <c r="F1098" s="215">
        <v>54288.61</v>
      </c>
      <c r="G1098" s="215">
        <f t="shared" si="170"/>
        <v>4.3661166408059948E-3</v>
      </c>
      <c r="H1098" s="215">
        <f t="shared" si="171"/>
        <v>6.503700381251587E-3</v>
      </c>
      <c r="I1098" s="231">
        <v>1660512</v>
      </c>
      <c r="K1098" s="230">
        <v>44701</v>
      </c>
      <c r="L1098" s="1">
        <v>389.6</v>
      </c>
      <c r="M1098" s="1">
        <v>382.42323340227699</v>
      </c>
      <c r="N1098" s="1">
        <v>43997</v>
      </c>
      <c r="O1098" s="1">
        <v>54326.39</v>
      </c>
      <c r="P1098" s="215">
        <f t="shared" si="166"/>
        <v>6.9591024710335958E-4</v>
      </c>
      <c r="Q1098" s="215">
        <f t="shared" si="162"/>
        <v>0.24991979467436654</v>
      </c>
      <c r="R1098" s="231">
        <v>16825475</v>
      </c>
      <c r="T1098" s="230">
        <v>44701</v>
      </c>
      <c r="U1098" s="1">
        <v>65.599999999999994</v>
      </c>
      <c r="V1098" s="1">
        <v>64.981411042519696</v>
      </c>
      <c r="W1098" s="1">
        <v>144333</v>
      </c>
      <c r="X1098" s="1">
        <v>54326.39</v>
      </c>
      <c r="Y1098" s="215">
        <f t="shared" si="167"/>
        <v>6.9591024710335958E-4</v>
      </c>
      <c r="Z1098" s="215">
        <f t="shared" si="163"/>
        <v>6.9274653626731686E-2</v>
      </c>
      <c r="AA1098" s="231">
        <v>9378962</v>
      </c>
      <c r="AC1098" s="230">
        <v>44734</v>
      </c>
      <c r="AD1098" s="1">
        <v>67.900000000000006</v>
      </c>
      <c r="AE1098" s="1">
        <v>67.957005189028905</v>
      </c>
      <c r="AF1098" s="1">
        <v>1349</v>
      </c>
      <c r="AG1098" s="1">
        <v>51822.53</v>
      </c>
      <c r="AH1098" s="215">
        <f t="shared" si="168"/>
        <v>-8.4795540939645031E-3</v>
      </c>
      <c r="AI1098" s="215">
        <f t="shared" si="164"/>
        <v>6.6716085989622087E-3</v>
      </c>
      <c r="AJ1098" s="231">
        <v>91674</v>
      </c>
      <c r="AL1098" s="254"/>
      <c r="AQ1098" s="215" t="str">
        <f t="shared" si="169"/>
        <v>NA</v>
      </c>
      <c r="AR1098" s="215" t="str">
        <f t="shared" si="165"/>
        <v>NA</v>
      </c>
    </row>
    <row r="1099" spans="2:44">
      <c r="B1099" s="230">
        <v>44705</v>
      </c>
      <c r="C1099" s="1">
        <v>445.9</v>
      </c>
      <c r="D1099" s="1">
        <v>445.9285120532</v>
      </c>
      <c r="E1099" s="1">
        <v>1203</v>
      </c>
      <c r="F1099" s="215">
        <v>54052.61</v>
      </c>
      <c r="G1099" s="215">
        <f t="shared" si="170"/>
        <v>5.6437986309021415E-3</v>
      </c>
      <c r="H1099" s="215">
        <f t="shared" si="171"/>
        <v>7.7964462710020443E-2</v>
      </c>
      <c r="I1099" s="231">
        <v>536452</v>
      </c>
      <c r="K1099" s="230">
        <v>44704</v>
      </c>
      <c r="L1099" s="1">
        <v>311.7</v>
      </c>
      <c r="M1099" s="1">
        <v>313.86976434214199</v>
      </c>
      <c r="N1099" s="1">
        <v>328612</v>
      </c>
      <c r="O1099" s="1">
        <v>54288.61</v>
      </c>
      <c r="P1099" s="215">
        <f t="shared" si="166"/>
        <v>4.3661166408059948E-3</v>
      </c>
      <c r="Q1099" s="215">
        <f t="shared" si="162"/>
        <v>8.5495385686923164E-2</v>
      </c>
      <c r="R1099" s="231">
        <v>103141371</v>
      </c>
      <c r="T1099" s="230">
        <v>44704</v>
      </c>
      <c r="U1099" s="1">
        <v>61.35</v>
      </c>
      <c r="V1099" s="1">
        <v>62.084483254376501</v>
      </c>
      <c r="W1099" s="1">
        <v>358213</v>
      </c>
      <c r="X1099" s="1">
        <v>54288.61</v>
      </c>
      <c r="Y1099" s="215">
        <f t="shared" si="167"/>
        <v>4.3661166408059948E-3</v>
      </c>
      <c r="Z1099" s="215">
        <f t="shared" si="163"/>
        <v>-8.1433224755700362E-4</v>
      </c>
      <c r="AA1099" s="231">
        <v>22239469</v>
      </c>
      <c r="AC1099" s="230">
        <v>44735</v>
      </c>
      <c r="AD1099" s="1">
        <v>67.45</v>
      </c>
      <c r="AE1099" s="1">
        <v>68.227212040296095</v>
      </c>
      <c r="AF1099" s="1">
        <v>8239</v>
      </c>
      <c r="AG1099" s="1">
        <v>52265.72</v>
      </c>
      <c r="AH1099" s="215">
        <f t="shared" si="168"/>
        <v>-8.7668824028532821E-3</v>
      </c>
      <c r="AI1099" s="215">
        <f t="shared" si="164"/>
        <v>2.2288261515601704E-3</v>
      </c>
      <c r="AJ1099" s="231">
        <v>562124</v>
      </c>
      <c r="AL1099" s="254"/>
      <c r="AQ1099" s="215" t="str">
        <f t="shared" si="169"/>
        <v>NA</v>
      </c>
      <c r="AR1099" s="215" t="str">
        <f t="shared" si="165"/>
        <v>NA</v>
      </c>
    </row>
    <row r="1100" spans="2:44">
      <c r="B1100" s="230">
        <v>44706</v>
      </c>
      <c r="C1100" s="1">
        <v>413.65</v>
      </c>
      <c r="D1100" s="1">
        <v>433.78292838874597</v>
      </c>
      <c r="E1100" s="1">
        <v>3128</v>
      </c>
      <c r="F1100" s="215">
        <v>53749.26</v>
      </c>
      <c r="G1100" s="215">
        <f t="shared" si="170"/>
        <v>-9.2764337441958444E-3</v>
      </c>
      <c r="H1100" s="215">
        <f t="shared" si="171"/>
        <v>-4.5722536397546643E-3</v>
      </c>
      <c r="I1100" s="231">
        <v>1356873</v>
      </c>
      <c r="K1100" s="230">
        <v>44705</v>
      </c>
      <c r="L1100" s="1">
        <v>287.14999999999998</v>
      </c>
      <c r="M1100" s="1">
        <v>286.19011073504703</v>
      </c>
      <c r="N1100" s="1">
        <v>417483</v>
      </c>
      <c r="O1100" s="1">
        <v>54052.61</v>
      </c>
      <c r="P1100" s="215">
        <f t="shared" si="166"/>
        <v>5.6437986309021415E-3</v>
      </c>
      <c r="Q1100" s="215">
        <f t="shared" si="162"/>
        <v>-1.492281303602061E-2</v>
      </c>
      <c r="R1100" s="231">
        <v>119479506</v>
      </c>
      <c r="T1100" s="230">
        <v>44705</v>
      </c>
      <c r="U1100" s="1">
        <v>61.4</v>
      </c>
      <c r="V1100" s="1">
        <v>61.833048450378598</v>
      </c>
      <c r="W1100" s="1">
        <v>328790</v>
      </c>
      <c r="X1100" s="1">
        <v>54052.61</v>
      </c>
      <c r="Y1100" s="215">
        <f t="shared" si="167"/>
        <v>5.6437986309021415E-3</v>
      </c>
      <c r="Z1100" s="215">
        <f t="shared" si="163"/>
        <v>3.1066330814441656E-2</v>
      </c>
      <c r="AA1100" s="231">
        <v>20330088</v>
      </c>
      <c r="AC1100" s="230">
        <v>44736</v>
      </c>
      <c r="AD1100" s="1">
        <v>67.3</v>
      </c>
      <c r="AE1100" s="1">
        <v>67.4593103448275</v>
      </c>
      <c r="AF1100" s="1">
        <v>5075</v>
      </c>
      <c r="AG1100" s="1">
        <v>52727.98</v>
      </c>
      <c r="AH1100" s="215">
        <f t="shared" si="168"/>
        <v>-8.1506690583822428E-3</v>
      </c>
      <c r="AI1100" s="215">
        <f t="shared" si="164"/>
        <v>-2.0378457059679889E-2</v>
      </c>
      <c r="AJ1100" s="231">
        <v>342356</v>
      </c>
      <c r="AL1100" s="254"/>
      <c r="AQ1100" s="215" t="str">
        <f t="shared" si="169"/>
        <v>NA</v>
      </c>
      <c r="AR1100" s="215" t="str">
        <f t="shared" si="165"/>
        <v>NA</v>
      </c>
    </row>
    <row r="1101" spans="2:44">
      <c r="B1101" s="230">
        <v>44707</v>
      </c>
      <c r="C1101" s="1">
        <v>415.55</v>
      </c>
      <c r="D1101" s="1">
        <v>394.44408740359802</v>
      </c>
      <c r="E1101" s="1">
        <v>4668</v>
      </c>
      <c r="F1101" s="215">
        <v>54252.53</v>
      </c>
      <c r="G1101" s="215">
        <f t="shared" si="170"/>
        <v>-1.151742581624815E-2</v>
      </c>
      <c r="H1101" s="215">
        <f t="shared" si="171"/>
        <v>-2.3613721804511267E-2</v>
      </c>
      <c r="I1101" s="231">
        <v>1841265</v>
      </c>
      <c r="K1101" s="230">
        <v>44706</v>
      </c>
      <c r="L1101" s="1">
        <v>291.5</v>
      </c>
      <c r="M1101" s="1">
        <v>292.73616683702198</v>
      </c>
      <c r="N1101" s="1">
        <v>65549</v>
      </c>
      <c r="O1101" s="1">
        <v>53749.26</v>
      </c>
      <c r="P1101" s="215">
        <f t="shared" si="166"/>
        <v>-9.2764337441958444E-3</v>
      </c>
      <c r="Q1101" s="215">
        <f t="shared" si="162"/>
        <v>2.0479607911780162E-2</v>
      </c>
      <c r="R1101" s="231">
        <v>19188563</v>
      </c>
      <c r="T1101" s="230">
        <v>44706</v>
      </c>
      <c r="U1101" s="1">
        <v>59.55</v>
      </c>
      <c r="V1101" s="1">
        <v>60.894043934059503</v>
      </c>
      <c r="W1101" s="1">
        <v>253926</v>
      </c>
      <c r="X1101" s="1">
        <v>53749.26</v>
      </c>
      <c r="Y1101" s="215">
        <f t="shared" si="167"/>
        <v>-9.2764337441958444E-3</v>
      </c>
      <c r="Z1101" s="215">
        <f t="shared" si="163"/>
        <v>7.6142131979695105E-3</v>
      </c>
      <c r="AA1101" s="231">
        <v>15462581</v>
      </c>
      <c r="AC1101" s="230">
        <v>44739</v>
      </c>
      <c r="AD1101" s="1">
        <v>68.7</v>
      </c>
      <c r="AE1101" s="1">
        <v>69.038095238095195</v>
      </c>
      <c r="AF1101" s="1">
        <v>1260</v>
      </c>
      <c r="AG1101" s="1">
        <v>53161.279999999999</v>
      </c>
      <c r="AH1101" s="215">
        <f t="shared" si="168"/>
        <v>-3.040762578874201E-4</v>
      </c>
      <c r="AI1101" s="215">
        <f t="shared" si="164"/>
        <v>-6.3394683026584797E-2</v>
      </c>
      <c r="AJ1101" s="231">
        <v>86988</v>
      </c>
      <c r="AL1101" s="254"/>
      <c r="AQ1101" s="215" t="str">
        <f t="shared" si="169"/>
        <v>NA</v>
      </c>
      <c r="AR1101" s="215" t="str">
        <f t="shared" si="165"/>
        <v>NA</v>
      </c>
    </row>
    <row r="1102" spans="2:44">
      <c r="B1102" s="230">
        <v>44708</v>
      </c>
      <c r="C1102" s="1">
        <v>425.6</v>
      </c>
      <c r="D1102" s="1">
        <v>428.88596491227997</v>
      </c>
      <c r="E1102" s="1">
        <v>456</v>
      </c>
      <c r="F1102" s="215">
        <v>54884.66</v>
      </c>
      <c r="G1102" s="215">
        <f t="shared" si="170"/>
        <v>-1.861539963530201E-2</v>
      </c>
      <c r="H1102" s="215">
        <f t="shared" si="171"/>
        <v>5.1773137279130133E-2</v>
      </c>
      <c r="I1102" s="231">
        <v>195572</v>
      </c>
      <c r="K1102" s="230">
        <v>44707</v>
      </c>
      <c r="L1102" s="1">
        <v>285.64999999999998</v>
      </c>
      <c r="M1102" s="1">
        <v>283.17207265196402</v>
      </c>
      <c r="N1102" s="1">
        <v>71464</v>
      </c>
      <c r="O1102" s="1">
        <v>54252.53</v>
      </c>
      <c r="P1102" s="215">
        <f t="shared" si="166"/>
        <v>-1.151742581624815E-2</v>
      </c>
      <c r="Q1102" s="215">
        <f t="shared" ref="Q1102:Q1165" si="172">IF(ISERROR(L1102/L1103-1),"NA",L1102/L1103-1)</f>
        <v>3.104132828009365E-2</v>
      </c>
      <c r="R1102" s="231">
        <v>20236609</v>
      </c>
      <c r="T1102" s="230">
        <v>44707</v>
      </c>
      <c r="U1102" s="1">
        <v>59.1</v>
      </c>
      <c r="V1102" s="1">
        <v>59.044448428940598</v>
      </c>
      <c r="W1102" s="1">
        <v>485214</v>
      </c>
      <c r="X1102" s="1">
        <v>54252.53</v>
      </c>
      <c r="Y1102" s="215">
        <f t="shared" si="167"/>
        <v>-1.151742581624815E-2</v>
      </c>
      <c r="Z1102" s="215">
        <f t="shared" ref="Z1102:Z1165" si="173">IF(ISERROR(U1102/U1103-1),"NA",U1102/U1103-1)</f>
        <v>4.2480883602378228E-3</v>
      </c>
      <c r="AA1102" s="231">
        <v>28649193</v>
      </c>
      <c r="AC1102" s="230">
        <v>44740</v>
      </c>
      <c r="AD1102" s="1">
        <v>73.349999999999994</v>
      </c>
      <c r="AE1102" s="1">
        <v>71.712556732223902</v>
      </c>
      <c r="AF1102" s="1">
        <v>3966</v>
      </c>
      <c r="AG1102" s="1">
        <v>53177.45</v>
      </c>
      <c r="AH1102" s="215">
        <f t="shared" si="168"/>
        <v>2.8378012170031663E-3</v>
      </c>
      <c r="AI1102" s="215">
        <f t="shared" ref="AI1102:AI1165" si="174">IF(ISERROR(AD1102/AD1103-1),"NA",AD1102/AD1103-1)</f>
        <v>3.1645569620253111E-2</v>
      </c>
      <c r="AJ1102" s="231">
        <v>284412</v>
      </c>
      <c r="AL1102" s="254"/>
      <c r="AQ1102" s="215" t="str">
        <f t="shared" si="169"/>
        <v>NA</v>
      </c>
      <c r="AR1102" s="215" t="str">
        <f t="shared" ref="AR1102:AR1165" si="175">IF(ISERROR(AM1102/AM1103-1),"NA",AM1102/AM1103-1)</f>
        <v>NA</v>
      </c>
    </row>
    <row r="1103" spans="2:44">
      <c r="B1103" s="230">
        <v>44711</v>
      </c>
      <c r="C1103" s="1">
        <v>404.65</v>
      </c>
      <c r="D1103" s="1">
        <v>409.18999141420301</v>
      </c>
      <c r="E1103" s="1">
        <v>8153</v>
      </c>
      <c r="F1103" s="215">
        <v>55925.74</v>
      </c>
      <c r="G1103" s="215">
        <f t="shared" si="170"/>
        <v>6.4666765407372928E-3</v>
      </c>
      <c r="H1103" s="215">
        <f t="shared" si="171"/>
        <v>-1.5090665693075489E-2</v>
      </c>
      <c r="I1103" s="231">
        <v>3336126</v>
      </c>
      <c r="K1103" s="230">
        <v>44708</v>
      </c>
      <c r="L1103" s="1">
        <v>277.05</v>
      </c>
      <c r="M1103" s="1">
        <v>283.18000138782799</v>
      </c>
      <c r="N1103" s="1">
        <v>57644</v>
      </c>
      <c r="O1103" s="1">
        <v>54884.66</v>
      </c>
      <c r="P1103" s="215">
        <f t="shared" ref="P1103:P1166" si="176">IF(ISERROR(O1103/O1104-1),"NA",O1103/O1104-1)</f>
        <v>-1.861539963530201E-2</v>
      </c>
      <c r="Q1103" s="215">
        <f t="shared" si="172"/>
        <v>-4.5478036175710557E-2</v>
      </c>
      <c r="R1103" s="231">
        <v>16323628</v>
      </c>
      <c r="T1103" s="230">
        <v>44708</v>
      </c>
      <c r="U1103" s="1">
        <v>58.85</v>
      </c>
      <c r="V1103" s="1">
        <v>59.316759898650602</v>
      </c>
      <c r="W1103" s="1">
        <v>324817</v>
      </c>
      <c r="X1103" s="1">
        <v>54884.66</v>
      </c>
      <c r="Y1103" s="215">
        <f t="shared" ref="Y1103:Y1166" si="177">IF(ISERROR(X1103/X1104-1),"NA",X1103/X1104-1)</f>
        <v>-1.861539963530201E-2</v>
      </c>
      <c r="Z1103" s="215">
        <f t="shared" si="173"/>
        <v>1.8166089965397925E-2</v>
      </c>
      <c r="AA1103" s="231">
        <v>19267092</v>
      </c>
      <c r="AC1103" s="230">
        <v>44741</v>
      </c>
      <c r="AD1103" s="1">
        <v>71.099999999999994</v>
      </c>
      <c r="AE1103" s="1">
        <v>72.948491313623805</v>
      </c>
      <c r="AF1103" s="1">
        <v>3281</v>
      </c>
      <c r="AG1103" s="1">
        <v>53026.97</v>
      </c>
      <c r="AH1103" s="215">
        <f t="shared" ref="AH1103:AH1166" si="178">IF(ISERROR(AG1103/AG1104-1),"NA",AG1103/AG1104-1)</f>
        <v>1.5145531012117353E-4</v>
      </c>
      <c r="AI1103" s="215">
        <f t="shared" si="174"/>
        <v>-3.0013642564802212E-2</v>
      </c>
      <c r="AJ1103" s="231">
        <v>239344</v>
      </c>
      <c r="AL1103" s="254"/>
      <c r="AQ1103" s="215" t="str">
        <f t="shared" ref="AQ1103:AQ1166" si="179">IF(ISERROR(AP1103/AP1104-1),"NA",AP1103/AP1104-1)</f>
        <v>NA</v>
      </c>
      <c r="AR1103" s="215" t="str">
        <f t="shared" si="175"/>
        <v>NA</v>
      </c>
    </row>
    <row r="1104" spans="2:44">
      <c r="B1104" s="230">
        <v>44712</v>
      </c>
      <c r="C1104" s="1">
        <v>410.85</v>
      </c>
      <c r="D1104" s="1">
        <v>411.78375196232298</v>
      </c>
      <c r="E1104" s="1">
        <v>2548</v>
      </c>
      <c r="F1104" s="215">
        <v>55566.41</v>
      </c>
      <c r="G1104" s="215">
        <f t="shared" si="170"/>
        <v>3.3448191867380128E-3</v>
      </c>
      <c r="H1104" s="215">
        <f t="shared" si="171"/>
        <v>-2.0969855832241091E-2</v>
      </c>
      <c r="I1104" s="231">
        <v>1049225</v>
      </c>
      <c r="K1104" s="230">
        <v>44711</v>
      </c>
      <c r="L1104" s="1">
        <v>290.25</v>
      </c>
      <c r="M1104" s="1">
        <v>284.303590849339</v>
      </c>
      <c r="N1104" s="1">
        <v>105741</v>
      </c>
      <c r="O1104" s="1">
        <v>55925.74</v>
      </c>
      <c r="P1104" s="215">
        <f t="shared" si="176"/>
        <v>6.4666765407372928E-3</v>
      </c>
      <c r="Q1104" s="215">
        <f t="shared" si="172"/>
        <v>-1.6934801016088019E-2</v>
      </c>
      <c r="R1104" s="231">
        <v>30062546</v>
      </c>
      <c r="T1104" s="230">
        <v>44711</v>
      </c>
      <c r="U1104" s="1">
        <v>57.8</v>
      </c>
      <c r="V1104" s="1">
        <v>58.323711731861501</v>
      </c>
      <c r="W1104" s="1">
        <v>373777</v>
      </c>
      <c r="X1104" s="1">
        <v>55925.74</v>
      </c>
      <c r="Y1104" s="215">
        <f t="shared" si="177"/>
        <v>6.4666765407372928E-3</v>
      </c>
      <c r="Z1104" s="215">
        <f t="shared" si="173"/>
        <v>-1.8675721561969505E-2</v>
      </c>
      <c r="AA1104" s="231">
        <v>21800062</v>
      </c>
      <c r="AC1104" s="230">
        <v>44742</v>
      </c>
      <c r="AD1104" s="1">
        <v>73.3</v>
      </c>
      <c r="AE1104" s="1">
        <v>74.403177876159802</v>
      </c>
      <c r="AF1104" s="1">
        <v>16489</v>
      </c>
      <c r="AG1104" s="1">
        <v>53018.94</v>
      </c>
      <c r="AH1104" s="215">
        <f t="shared" si="178"/>
        <v>2.0981731850027163E-3</v>
      </c>
      <c r="AI1104" s="215">
        <f t="shared" si="174"/>
        <v>1.6643550624133141E-2</v>
      </c>
      <c r="AJ1104" s="231">
        <v>1226834</v>
      </c>
      <c r="AL1104" s="254"/>
      <c r="AQ1104" s="215" t="str">
        <f t="shared" si="179"/>
        <v>NA</v>
      </c>
      <c r="AR1104" s="215" t="str">
        <f t="shared" si="175"/>
        <v>NA</v>
      </c>
    </row>
    <row r="1105" spans="2:44">
      <c r="B1105" s="230">
        <v>44713</v>
      </c>
      <c r="C1105" s="1">
        <v>419.65</v>
      </c>
      <c r="D1105" s="1">
        <v>417.87440758293798</v>
      </c>
      <c r="E1105" s="1">
        <v>422</v>
      </c>
      <c r="F1105" s="215">
        <v>55381.17</v>
      </c>
      <c r="G1105" s="215">
        <f t="shared" si="170"/>
        <v>-7.8279253812069127E-3</v>
      </c>
      <c r="H1105" s="215">
        <f t="shared" si="171"/>
        <v>-3.573130061934604E-4</v>
      </c>
      <c r="I1105" s="231">
        <v>176343</v>
      </c>
      <c r="K1105" s="230">
        <v>44712</v>
      </c>
      <c r="L1105" s="1">
        <v>295.25</v>
      </c>
      <c r="M1105" s="1">
        <v>296.84200323747399</v>
      </c>
      <c r="N1105" s="1">
        <v>50039</v>
      </c>
      <c r="O1105" s="1">
        <v>55566.41</v>
      </c>
      <c r="P1105" s="215">
        <f t="shared" si="176"/>
        <v>3.3448191867380128E-3</v>
      </c>
      <c r="Q1105" s="215">
        <f t="shared" si="172"/>
        <v>1.6937669376693165E-4</v>
      </c>
      <c r="R1105" s="231">
        <v>14853677</v>
      </c>
      <c r="T1105" s="230">
        <v>44712</v>
      </c>
      <c r="U1105" s="1">
        <v>58.9</v>
      </c>
      <c r="V1105" s="1">
        <v>59.0990824735728</v>
      </c>
      <c r="W1105" s="1">
        <v>346802</v>
      </c>
      <c r="X1105" s="1">
        <v>55566.41</v>
      </c>
      <c r="Y1105" s="215">
        <f t="shared" si="177"/>
        <v>3.3448191867380128E-3</v>
      </c>
      <c r="Z1105" s="215">
        <f t="shared" si="173"/>
        <v>-1.2573344509639539E-2</v>
      </c>
      <c r="AA1105" s="231">
        <v>20495680</v>
      </c>
      <c r="AC1105" s="230">
        <v>44743</v>
      </c>
      <c r="AD1105" s="1">
        <v>72.099999999999994</v>
      </c>
      <c r="AE1105" s="1">
        <v>72.567251461988306</v>
      </c>
      <c r="AF1105" s="1">
        <v>1539</v>
      </c>
      <c r="AG1105" s="1">
        <v>52907.93</v>
      </c>
      <c r="AH1105" s="215">
        <f t="shared" si="178"/>
        <v>-6.1395963577939305E-3</v>
      </c>
      <c r="AI1105" s="215">
        <f t="shared" si="174"/>
        <v>3.6664270309129998E-2</v>
      </c>
      <c r="AJ1105" s="231">
        <v>111681</v>
      </c>
      <c r="AL1105" s="254"/>
      <c r="AQ1105" s="215" t="str">
        <f t="shared" si="179"/>
        <v>NA</v>
      </c>
      <c r="AR1105" s="215" t="str">
        <f t="shared" si="175"/>
        <v>NA</v>
      </c>
    </row>
    <row r="1106" spans="2:44">
      <c r="B1106" s="230">
        <v>44714</v>
      </c>
      <c r="C1106" s="1">
        <v>419.8</v>
      </c>
      <c r="D1106" s="1">
        <v>418.745387453874</v>
      </c>
      <c r="E1106" s="1">
        <v>542</v>
      </c>
      <c r="F1106" s="215">
        <v>55818.11</v>
      </c>
      <c r="G1106" s="215">
        <f t="shared" si="170"/>
        <v>8.7646897760640385E-4</v>
      </c>
      <c r="H1106" s="215">
        <f t="shared" si="171"/>
        <v>1.1566265060241054E-2</v>
      </c>
      <c r="I1106" s="231">
        <v>226960</v>
      </c>
      <c r="K1106" s="230">
        <v>44713</v>
      </c>
      <c r="L1106" s="1">
        <v>295.2</v>
      </c>
      <c r="M1106" s="1">
        <v>300.41254774858203</v>
      </c>
      <c r="N1106" s="1">
        <v>17278</v>
      </c>
      <c r="O1106" s="1">
        <v>55381.17</v>
      </c>
      <c r="P1106" s="215">
        <f t="shared" si="176"/>
        <v>-7.8279253812069127E-3</v>
      </c>
      <c r="Q1106" s="215">
        <f t="shared" si="172"/>
        <v>2.0746887966804906E-2</v>
      </c>
      <c r="R1106" s="231">
        <v>5190528</v>
      </c>
      <c r="T1106" s="230">
        <v>44713</v>
      </c>
      <c r="U1106" s="1">
        <v>59.65</v>
      </c>
      <c r="V1106" s="1">
        <v>59.9847783899123</v>
      </c>
      <c r="W1106" s="1">
        <v>108727</v>
      </c>
      <c r="X1106" s="1">
        <v>55381.17</v>
      </c>
      <c r="Y1106" s="215">
        <f t="shared" si="177"/>
        <v>-7.8279253812069127E-3</v>
      </c>
      <c r="Z1106" s="215">
        <f t="shared" si="173"/>
        <v>-1.6488046166529213E-2</v>
      </c>
      <c r="AA1106" s="231">
        <v>6521965</v>
      </c>
      <c r="AC1106" s="230">
        <v>44746</v>
      </c>
      <c r="AD1106" s="1">
        <v>69.55</v>
      </c>
      <c r="AE1106" s="1">
        <v>70.829072315558804</v>
      </c>
      <c r="AF1106" s="1">
        <v>4107</v>
      </c>
      <c r="AG1106" s="1">
        <v>53234.77</v>
      </c>
      <c r="AH1106" s="215">
        <f t="shared" si="178"/>
        <v>1.889926196518843E-3</v>
      </c>
      <c r="AI1106" s="215">
        <f t="shared" si="174"/>
        <v>7.2411296162200323E-3</v>
      </c>
      <c r="AJ1106" s="231">
        <v>290895</v>
      </c>
      <c r="AL1106" s="254"/>
      <c r="AQ1106" s="215" t="str">
        <f t="shared" si="179"/>
        <v>NA</v>
      </c>
      <c r="AR1106" s="215" t="str">
        <f t="shared" si="175"/>
        <v>NA</v>
      </c>
    </row>
    <row r="1107" spans="2:44">
      <c r="B1107" s="230">
        <v>44715</v>
      </c>
      <c r="C1107" s="1">
        <v>415</v>
      </c>
      <c r="D1107" s="1">
        <v>414.168913560666</v>
      </c>
      <c r="E1107" s="1">
        <v>1261</v>
      </c>
      <c r="F1107" s="215">
        <v>55769.23</v>
      </c>
      <c r="G1107" s="215">
        <f t="shared" si="170"/>
        <v>1.6867437852177147E-3</v>
      </c>
      <c r="H1107" s="215">
        <f t="shared" si="171"/>
        <v>-8.2447126299438622E-3</v>
      </c>
      <c r="I1107" s="231">
        <v>522267</v>
      </c>
      <c r="K1107" s="230">
        <v>44714</v>
      </c>
      <c r="L1107" s="1">
        <v>289.2</v>
      </c>
      <c r="M1107" s="1">
        <v>289.39376713024001</v>
      </c>
      <c r="N1107" s="1">
        <v>19702</v>
      </c>
      <c r="O1107" s="1">
        <v>55818.11</v>
      </c>
      <c r="P1107" s="215">
        <f t="shared" si="176"/>
        <v>8.7646897760640385E-4</v>
      </c>
      <c r="Q1107" s="215">
        <f t="shared" si="172"/>
        <v>1.5093015093015083E-2</v>
      </c>
      <c r="R1107" s="231">
        <v>5701636</v>
      </c>
      <c r="T1107" s="230">
        <v>44714</v>
      </c>
      <c r="U1107" s="1">
        <v>60.65</v>
      </c>
      <c r="V1107" s="1">
        <v>60.358302850976898</v>
      </c>
      <c r="W1107" s="1">
        <v>147353</v>
      </c>
      <c r="X1107" s="1">
        <v>55818.11</v>
      </c>
      <c r="Y1107" s="215">
        <f t="shared" si="177"/>
        <v>8.7646897760640385E-4</v>
      </c>
      <c r="Z1107" s="215">
        <f t="shared" si="173"/>
        <v>1.4214046822742521E-2</v>
      </c>
      <c r="AA1107" s="231">
        <v>8893977</v>
      </c>
      <c r="AC1107" s="230">
        <v>44747</v>
      </c>
      <c r="AD1107" s="1">
        <v>69.05</v>
      </c>
      <c r="AE1107" s="1">
        <v>69.682498373454706</v>
      </c>
      <c r="AF1107" s="1">
        <v>3074</v>
      </c>
      <c r="AG1107" s="1">
        <v>53134.35</v>
      </c>
      <c r="AH1107" s="215">
        <f t="shared" si="178"/>
        <v>-1.1471792974154793E-2</v>
      </c>
      <c r="AI1107" s="215">
        <f t="shared" si="174"/>
        <v>-5.0432276657061959E-3</v>
      </c>
      <c r="AJ1107" s="231">
        <v>214204</v>
      </c>
      <c r="AL1107" s="254"/>
      <c r="AQ1107" s="215" t="str">
        <f t="shared" si="179"/>
        <v>NA</v>
      </c>
      <c r="AR1107" s="215" t="str">
        <f t="shared" si="175"/>
        <v>NA</v>
      </c>
    </row>
    <row r="1108" spans="2:44">
      <c r="B1108" s="230">
        <v>44718</v>
      </c>
      <c r="C1108" s="1">
        <v>418.45</v>
      </c>
      <c r="D1108" s="1">
        <v>415.43521698407699</v>
      </c>
      <c r="E1108" s="1">
        <v>6406</v>
      </c>
      <c r="F1108" s="215">
        <v>55675.32</v>
      </c>
      <c r="G1108" s="215">
        <f t="shared" si="170"/>
        <v>1.0306793976991191E-2</v>
      </c>
      <c r="H1108" s="215">
        <f t="shared" si="171"/>
        <v>3.104595293827761E-2</v>
      </c>
      <c r="I1108" s="231">
        <v>2661278</v>
      </c>
      <c r="K1108" s="230">
        <v>44715</v>
      </c>
      <c r="L1108" s="1">
        <v>284.89999999999998</v>
      </c>
      <c r="M1108" s="1">
        <v>288.78368276587003</v>
      </c>
      <c r="N1108" s="1">
        <v>17123</v>
      </c>
      <c r="O1108" s="1">
        <v>55769.23</v>
      </c>
      <c r="P1108" s="215">
        <f t="shared" si="176"/>
        <v>1.6867437852177147E-3</v>
      </c>
      <c r="Q1108" s="215">
        <f t="shared" si="172"/>
        <v>7.247657769135385E-3</v>
      </c>
      <c r="R1108" s="231">
        <v>4944843</v>
      </c>
      <c r="T1108" s="230">
        <v>44715</v>
      </c>
      <c r="U1108" s="1">
        <v>59.8</v>
      </c>
      <c r="V1108" s="1">
        <v>60.647245717229801</v>
      </c>
      <c r="W1108" s="1">
        <v>139746</v>
      </c>
      <c r="X1108" s="1">
        <v>55769.23</v>
      </c>
      <c r="Y1108" s="215">
        <f t="shared" si="177"/>
        <v>1.6867437852177147E-3</v>
      </c>
      <c r="Z1108" s="215">
        <f t="shared" si="173"/>
        <v>9.2827004219409037E-3</v>
      </c>
      <c r="AA1108" s="231">
        <v>8475210</v>
      </c>
      <c r="AC1108" s="230">
        <v>44748</v>
      </c>
      <c r="AD1108" s="1">
        <v>69.400000000000006</v>
      </c>
      <c r="AE1108" s="1">
        <v>69.1701285855588</v>
      </c>
      <c r="AF1108" s="1">
        <v>2022</v>
      </c>
      <c r="AG1108" s="1">
        <v>53750.97</v>
      </c>
      <c r="AH1108" s="215">
        <f t="shared" si="178"/>
        <v>-7.8904051536348163E-3</v>
      </c>
      <c r="AI1108" s="215">
        <f t="shared" si="174"/>
        <v>-2.5964912280701635E-2</v>
      </c>
      <c r="AJ1108" s="231">
        <v>139862</v>
      </c>
      <c r="AL1108" s="254"/>
      <c r="AQ1108" s="215" t="str">
        <f t="shared" si="179"/>
        <v>NA</v>
      </c>
      <c r="AR1108" s="215" t="str">
        <f t="shared" si="175"/>
        <v>NA</v>
      </c>
    </row>
    <row r="1109" spans="2:44">
      <c r="B1109" s="230">
        <v>44719</v>
      </c>
      <c r="C1109" s="1">
        <v>405.85</v>
      </c>
      <c r="D1109" s="1">
        <v>408.24357976653602</v>
      </c>
      <c r="E1109" s="1">
        <v>3855</v>
      </c>
      <c r="F1109" s="215">
        <v>55107.34</v>
      </c>
      <c r="G1109" s="215">
        <f t="shared" si="170"/>
        <v>3.9140144671885313E-3</v>
      </c>
      <c r="H1109" s="215">
        <f t="shared" si="171"/>
        <v>-2.5804866060455955E-3</v>
      </c>
      <c r="I1109" s="231">
        <v>1573779</v>
      </c>
      <c r="K1109" s="230">
        <v>44718</v>
      </c>
      <c r="L1109" s="1">
        <v>282.85000000000002</v>
      </c>
      <c r="M1109" s="1">
        <v>284.35781283308398</v>
      </c>
      <c r="N1109" s="1">
        <v>9382</v>
      </c>
      <c r="O1109" s="1">
        <v>55675.32</v>
      </c>
      <c r="P1109" s="215">
        <f t="shared" si="176"/>
        <v>1.0306793976991191E-2</v>
      </c>
      <c r="Q1109" s="215">
        <f t="shared" si="172"/>
        <v>7.8389453055409675E-3</v>
      </c>
      <c r="R1109" s="231">
        <v>2667845</v>
      </c>
      <c r="T1109" s="230">
        <v>44718</v>
      </c>
      <c r="U1109" s="1">
        <v>59.25</v>
      </c>
      <c r="V1109" s="1">
        <v>59.278479831258203</v>
      </c>
      <c r="W1109" s="1">
        <v>107146</v>
      </c>
      <c r="X1109" s="1">
        <v>55675.32</v>
      </c>
      <c r="Y1109" s="215">
        <f t="shared" si="177"/>
        <v>1.0306793976991191E-2</v>
      </c>
      <c r="Z1109" s="215">
        <f t="shared" si="173"/>
        <v>4.237288135593209E-3</v>
      </c>
      <c r="AA1109" s="231">
        <v>6351452</v>
      </c>
      <c r="AC1109" s="230">
        <v>44749</v>
      </c>
      <c r="AD1109" s="1">
        <v>71.25</v>
      </c>
      <c r="AE1109" s="1">
        <v>70.752428334517802</v>
      </c>
      <c r="AF1109" s="1">
        <v>4221</v>
      </c>
      <c r="AG1109" s="1">
        <v>54178.46</v>
      </c>
      <c r="AH1109" s="215">
        <f t="shared" si="178"/>
        <v>-5.5684609770888516E-3</v>
      </c>
      <c r="AI1109" s="215">
        <f t="shared" si="174"/>
        <v>9.2067988668556033E-3</v>
      </c>
      <c r="AJ1109" s="231">
        <v>298646</v>
      </c>
      <c r="AL1109" s="254"/>
      <c r="AQ1109" s="215" t="str">
        <f t="shared" si="179"/>
        <v>NA</v>
      </c>
      <c r="AR1109" s="215" t="str">
        <f t="shared" si="175"/>
        <v>NA</v>
      </c>
    </row>
    <row r="1110" spans="2:44">
      <c r="B1110" s="230">
        <v>44720</v>
      </c>
      <c r="C1110" s="1">
        <v>406.9</v>
      </c>
      <c r="D1110" s="1">
        <v>409.53635280095301</v>
      </c>
      <c r="E1110" s="1">
        <v>1678</v>
      </c>
      <c r="F1110" s="215">
        <v>54892.49</v>
      </c>
      <c r="G1110" s="215">
        <f t="shared" si="170"/>
        <v>-7.7329688136068553E-3</v>
      </c>
      <c r="H1110" s="215">
        <f t="shared" si="171"/>
        <v>2.7106949236075373E-3</v>
      </c>
      <c r="I1110" s="231">
        <v>687202</v>
      </c>
      <c r="K1110" s="230">
        <v>44719</v>
      </c>
      <c r="L1110" s="1">
        <v>280.64999999999998</v>
      </c>
      <c r="M1110" s="1">
        <v>282.408495821727</v>
      </c>
      <c r="N1110" s="1">
        <v>7180</v>
      </c>
      <c r="O1110" s="1">
        <v>55107.34</v>
      </c>
      <c r="P1110" s="215">
        <f t="shared" si="176"/>
        <v>3.9140144671885313E-3</v>
      </c>
      <c r="Q1110" s="215">
        <f t="shared" si="172"/>
        <v>9.3508361805429985E-3</v>
      </c>
      <c r="R1110" s="231">
        <v>2027693</v>
      </c>
      <c r="T1110" s="230">
        <v>44719</v>
      </c>
      <c r="U1110" s="1">
        <v>59</v>
      </c>
      <c r="V1110" s="1">
        <v>59.186665123278097</v>
      </c>
      <c r="W1110" s="1">
        <v>43195</v>
      </c>
      <c r="X1110" s="1">
        <v>55107.34</v>
      </c>
      <c r="Y1110" s="215">
        <f t="shared" si="177"/>
        <v>3.9140144671885313E-3</v>
      </c>
      <c r="Z1110" s="215">
        <f t="shared" si="173"/>
        <v>7.6857386848847575E-3</v>
      </c>
      <c r="AA1110" s="231">
        <v>2556568</v>
      </c>
      <c r="AC1110" s="230">
        <v>44750</v>
      </c>
      <c r="AD1110" s="1">
        <v>70.599999999999994</v>
      </c>
      <c r="AE1110" s="1">
        <v>71.970422535211199</v>
      </c>
      <c r="AF1110" s="1">
        <v>710</v>
      </c>
      <c r="AG1110" s="1">
        <v>54481.84</v>
      </c>
      <c r="AH1110" s="215">
        <f t="shared" si="178"/>
        <v>1.5922352015056429E-3</v>
      </c>
      <c r="AI1110" s="215">
        <f t="shared" si="174"/>
        <v>-4.9330514446794815E-3</v>
      </c>
      <c r="AJ1110" s="231">
        <v>51099</v>
      </c>
      <c r="AL1110" s="254"/>
      <c r="AQ1110" s="215" t="str">
        <f t="shared" si="179"/>
        <v>NA</v>
      </c>
      <c r="AR1110" s="215" t="str">
        <f t="shared" si="175"/>
        <v>NA</v>
      </c>
    </row>
    <row r="1111" spans="2:44">
      <c r="B1111" s="230">
        <v>44721</v>
      </c>
      <c r="C1111" s="1">
        <v>405.8</v>
      </c>
      <c r="D1111" s="1">
        <v>405.84729835552002</v>
      </c>
      <c r="E1111" s="1">
        <v>1277</v>
      </c>
      <c r="F1111" s="215">
        <v>55320.28</v>
      </c>
      <c r="G1111" s="215">
        <f t="shared" si="170"/>
        <v>1.8725148904010336E-2</v>
      </c>
      <c r="H1111" s="215">
        <f t="shared" si="171"/>
        <v>4.5797747245945875E-3</v>
      </c>
      <c r="I1111" s="231">
        <v>518267</v>
      </c>
      <c r="K1111" s="230">
        <v>44720</v>
      </c>
      <c r="L1111" s="1">
        <v>278.05</v>
      </c>
      <c r="M1111" s="1">
        <v>279.67306973615302</v>
      </c>
      <c r="N1111" s="1">
        <v>13379</v>
      </c>
      <c r="O1111" s="1">
        <v>54892.49</v>
      </c>
      <c r="P1111" s="215">
        <f t="shared" si="176"/>
        <v>-7.7329688136068553E-3</v>
      </c>
      <c r="Q1111" s="215">
        <f t="shared" si="172"/>
        <v>2.1625518111372255E-3</v>
      </c>
      <c r="R1111" s="231">
        <v>3741746</v>
      </c>
      <c r="T1111" s="230">
        <v>44720</v>
      </c>
      <c r="U1111" s="1">
        <v>58.55</v>
      </c>
      <c r="V1111" s="1">
        <v>58.803396260500399</v>
      </c>
      <c r="W1111" s="1">
        <v>55355</v>
      </c>
      <c r="X1111" s="1">
        <v>54892.49</v>
      </c>
      <c r="Y1111" s="215">
        <f t="shared" si="177"/>
        <v>-7.7329688136068553E-3</v>
      </c>
      <c r="Z1111" s="215">
        <f t="shared" si="173"/>
        <v>1.1226252158894612E-2</v>
      </c>
      <c r="AA1111" s="231">
        <v>3255062</v>
      </c>
      <c r="AC1111" s="230">
        <v>44753</v>
      </c>
      <c r="AD1111" s="1">
        <v>70.95</v>
      </c>
      <c r="AE1111" s="1">
        <v>71.190013869625503</v>
      </c>
      <c r="AF1111" s="1">
        <v>2884</v>
      </c>
      <c r="AG1111" s="1">
        <v>54395.23</v>
      </c>
      <c r="AH1111" s="215">
        <f t="shared" si="178"/>
        <v>9.4387084286802203E-3</v>
      </c>
      <c r="AI1111" s="215">
        <f t="shared" si="174"/>
        <v>2.9753265602322054E-2</v>
      </c>
      <c r="AJ1111" s="231">
        <v>205312</v>
      </c>
      <c r="AL1111" s="254"/>
      <c r="AQ1111" s="215" t="str">
        <f t="shared" si="179"/>
        <v>NA</v>
      </c>
      <c r="AR1111" s="215" t="str">
        <f t="shared" si="175"/>
        <v>NA</v>
      </c>
    </row>
    <row r="1112" spans="2:44">
      <c r="B1112" s="230">
        <v>44722</v>
      </c>
      <c r="C1112" s="1">
        <v>403.95</v>
      </c>
      <c r="D1112" s="1">
        <v>402.93294881038202</v>
      </c>
      <c r="E1112" s="1">
        <v>2774</v>
      </c>
      <c r="F1112" s="215">
        <v>54303.44</v>
      </c>
      <c r="G1112" s="215">
        <f t="shared" si="170"/>
        <v>2.7565391973387365E-2</v>
      </c>
      <c r="H1112" s="215">
        <f t="shared" si="171"/>
        <v>2.9565439021281836E-2</v>
      </c>
      <c r="I1112" s="231">
        <v>1117736</v>
      </c>
      <c r="K1112" s="230">
        <v>44721</v>
      </c>
      <c r="L1112" s="1">
        <v>277.45</v>
      </c>
      <c r="M1112" s="1">
        <v>277.83895827796903</v>
      </c>
      <c r="N1112" s="1">
        <v>11289</v>
      </c>
      <c r="O1112" s="1">
        <v>55320.28</v>
      </c>
      <c r="P1112" s="215">
        <f t="shared" si="176"/>
        <v>1.8725148904010336E-2</v>
      </c>
      <c r="Q1112" s="215">
        <f t="shared" si="172"/>
        <v>1.7418408507517524E-2</v>
      </c>
      <c r="R1112" s="231">
        <v>3136524</v>
      </c>
      <c r="T1112" s="230">
        <v>44721</v>
      </c>
      <c r="U1112" s="1">
        <v>57.9</v>
      </c>
      <c r="V1112" s="1">
        <v>58.070143477932902</v>
      </c>
      <c r="W1112" s="1">
        <v>172361</v>
      </c>
      <c r="X1112" s="1">
        <v>55320.28</v>
      </c>
      <c r="Y1112" s="215">
        <f t="shared" si="177"/>
        <v>1.8725148904010336E-2</v>
      </c>
      <c r="Z1112" s="215">
        <f t="shared" si="173"/>
        <v>2.3872679045092937E-2</v>
      </c>
      <c r="AA1112" s="231">
        <v>10009028</v>
      </c>
      <c r="AC1112" s="230">
        <v>44754</v>
      </c>
      <c r="AD1112" s="1">
        <v>68.900000000000006</v>
      </c>
      <c r="AE1112" s="1">
        <v>69.352258999758305</v>
      </c>
      <c r="AF1112" s="1">
        <v>8278</v>
      </c>
      <c r="AG1112" s="1">
        <v>53886.61</v>
      </c>
      <c r="AH1112" s="215">
        <f t="shared" si="178"/>
        <v>6.960028328955925E-3</v>
      </c>
      <c r="AI1112" s="215">
        <f t="shared" si="174"/>
        <v>4.3731778425657453E-3</v>
      </c>
      <c r="AJ1112" s="231">
        <v>574098</v>
      </c>
      <c r="AL1112" s="254"/>
      <c r="AQ1112" s="215" t="str">
        <f t="shared" si="179"/>
        <v>NA</v>
      </c>
      <c r="AR1112" s="215" t="str">
        <f t="shared" si="175"/>
        <v>NA</v>
      </c>
    </row>
    <row r="1113" spans="2:44">
      <c r="B1113" s="230">
        <v>44725</v>
      </c>
      <c r="C1113" s="1">
        <v>392.35</v>
      </c>
      <c r="D1113" s="1">
        <v>392.55508637235999</v>
      </c>
      <c r="E1113" s="1">
        <v>5210</v>
      </c>
      <c r="F1113" s="215">
        <v>52846.7</v>
      </c>
      <c r="G1113" s="215">
        <f t="shared" si="170"/>
        <v>2.9060471704611679E-3</v>
      </c>
      <c r="H1113" s="215">
        <f t="shared" si="171"/>
        <v>-2.6690391459073259E-3</v>
      </c>
      <c r="I1113" s="231">
        <v>2045212</v>
      </c>
      <c r="K1113" s="230">
        <v>44722</v>
      </c>
      <c r="L1113" s="1">
        <v>272.7</v>
      </c>
      <c r="M1113" s="1">
        <v>272.84750105406499</v>
      </c>
      <c r="N1113" s="1">
        <v>30833</v>
      </c>
      <c r="O1113" s="1">
        <v>54303.44</v>
      </c>
      <c r="P1113" s="215">
        <f t="shared" si="176"/>
        <v>2.7565391973387365E-2</v>
      </c>
      <c r="Q1113" s="215">
        <f t="shared" si="172"/>
        <v>4.322876817138499E-2</v>
      </c>
      <c r="R1113" s="231">
        <v>8412707</v>
      </c>
      <c r="T1113" s="230">
        <v>44722</v>
      </c>
      <c r="U1113" s="1">
        <v>56.55</v>
      </c>
      <c r="V1113" s="1">
        <v>56.995327261798003</v>
      </c>
      <c r="W1113" s="1">
        <v>88171</v>
      </c>
      <c r="X1113" s="1">
        <v>54303.44</v>
      </c>
      <c r="Y1113" s="215">
        <f t="shared" si="177"/>
        <v>2.7565391973387365E-2</v>
      </c>
      <c r="Z1113" s="215">
        <f t="shared" si="173"/>
        <v>6.4971751412429279E-2</v>
      </c>
      <c r="AA1113" s="231">
        <v>5025335</v>
      </c>
      <c r="AC1113" s="230">
        <v>44755</v>
      </c>
      <c r="AD1113" s="1">
        <v>68.599999999999994</v>
      </c>
      <c r="AE1113" s="1">
        <v>69.053097345132699</v>
      </c>
      <c r="AF1113" s="1">
        <v>3164</v>
      </c>
      <c r="AG1113" s="1">
        <v>53514.15</v>
      </c>
      <c r="AH1113" s="215">
        <f t="shared" si="178"/>
        <v>1.8346511307909541E-3</v>
      </c>
      <c r="AI1113" s="215">
        <f t="shared" si="174"/>
        <v>2.1913805697588717E-3</v>
      </c>
      <c r="AJ1113" s="231">
        <v>218484</v>
      </c>
      <c r="AL1113" s="254"/>
      <c r="AQ1113" s="215" t="str">
        <f t="shared" si="179"/>
        <v>NA</v>
      </c>
      <c r="AR1113" s="215" t="str">
        <f t="shared" si="175"/>
        <v>NA</v>
      </c>
    </row>
    <row r="1114" spans="2:44">
      <c r="B1114" s="230">
        <v>44726</v>
      </c>
      <c r="C1114" s="1">
        <v>393.4</v>
      </c>
      <c r="D1114" s="1">
        <v>393.30495169082099</v>
      </c>
      <c r="E1114" s="1">
        <v>1656</v>
      </c>
      <c r="F1114" s="215">
        <v>52693.57</v>
      </c>
      <c r="G1114" s="215">
        <f t="shared" si="170"/>
        <v>2.8963832133104273E-3</v>
      </c>
      <c r="H1114" s="215">
        <f t="shared" si="171"/>
        <v>2.4479166666666607E-2</v>
      </c>
      <c r="I1114" s="231">
        <v>651313</v>
      </c>
      <c r="K1114" s="230">
        <v>44725</v>
      </c>
      <c r="L1114" s="1">
        <v>261.39999999999998</v>
      </c>
      <c r="M1114" s="1">
        <v>262.34162396678698</v>
      </c>
      <c r="N1114" s="1">
        <v>26737</v>
      </c>
      <c r="O1114" s="1">
        <v>52846.7</v>
      </c>
      <c r="P1114" s="215">
        <f t="shared" si="176"/>
        <v>2.9060471704611679E-3</v>
      </c>
      <c r="Q1114" s="215">
        <f t="shared" si="172"/>
        <v>7.3217726396916927E-3</v>
      </c>
      <c r="R1114" s="231">
        <v>7014228</v>
      </c>
      <c r="T1114" s="230">
        <v>44725</v>
      </c>
      <c r="U1114" s="1">
        <v>53.1</v>
      </c>
      <c r="V1114" s="1">
        <v>53.594438275799199</v>
      </c>
      <c r="W1114" s="1">
        <v>301705</v>
      </c>
      <c r="X1114" s="1">
        <v>52846.7</v>
      </c>
      <c r="Y1114" s="215">
        <f t="shared" si="177"/>
        <v>2.9060471704611679E-3</v>
      </c>
      <c r="Z1114" s="215">
        <f t="shared" si="173"/>
        <v>-9.4073377234238365E-4</v>
      </c>
      <c r="AA1114" s="231">
        <v>16169710</v>
      </c>
      <c r="AC1114" s="230">
        <v>44756</v>
      </c>
      <c r="AD1114" s="1">
        <v>68.45</v>
      </c>
      <c r="AE1114" s="1">
        <v>68.846649703138198</v>
      </c>
      <c r="AF1114" s="1">
        <v>5895</v>
      </c>
      <c r="AG1114" s="1">
        <v>53416.15</v>
      </c>
      <c r="AH1114" s="215">
        <f t="shared" si="178"/>
        <v>-6.4104352652620822E-3</v>
      </c>
      <c r="AI1114" s="215">
        <f t="shared" si="174"/>
        <v>2.0119225037257937E-2</v>
      </c>
      <c r="AJ1114" s="231">
        <v>405851</v>
      </c>
      <c r="AL1114" s="254"/>
      <c r="AQ1114" s="215" t="str">
        <f t="shared" si="179"/>
        <v>NA</v>
      </c>
      <c r="AR1114" s="215" t="str">
        <f t="shared" si="175"/>
        <v>NA</v>
      </c>
    </row>
    <row r="1115" spans="2:44">
      <c r="B1115" s="230">
        <v>44727</v>
      </c>
      <c r="C1115" s="1">
        <v>384</v>
      </c>
      <c r="D1115" s="1">
        <v>389.26436781609101</v>
      </c>
      <c r="E1115" s="1">
        <v>1044</v>
      </c>
      <c r="F1115" s="215">
        <v>52541.39</v>
      </c>
      <c r="G1115" s="215">
        <f t="shared" si="170"/>
        <v>2.0304572470875693E-2</v>
      </c>
      <c r="H1115" s="215">
        <f t="shared" si="171"/>
        <v>8.4133258046301451E-2</v>
      </c>
      <c r="I1115" s="231">
        <v>406392</v>
      </c>
      <c r="K1115" s="230">
        <v>44726</v>
      </c>
      <c r="L1115" s="1">
        <v>259.5</v>
      </c>
      <c r="M1115" s="1">
        <v>261.10012156039301</v>
      </c>
      <c r="N1115" s="1">
        <v>18098</v>
      </c>
      <c r="O1115" s="1">
        <v>52693.57</v>
      </c>
      <c r="P1115" s="215">
        <f t="shared" si="176"/>
        <v>2.8963832133104273E-3</v>
      </c>
      <c r="Q1115" s="215">
        <f t="shared" si="172"/>
        <v>9.5312196070802546E-3</v>
      </c>
      <c r="R1115" s="231">
        <v>4725390</v>
      </c>
      <c r="T1115" s="230">
        <v>44726</v>
      </c>
      <c r="U1115" s="1">
        <v>53.15</v>
      </c>
      <c r="V1115" s="1">
        <v>53.746371850525499</v>
      </c>
      <c r="W1115" s="1">
        <v>132919</v>
      </c>
      <c r="X1115" s="1">
        <v>52693.57</v>
      </c>
      <c r="Y1115" s="215">
        <f t="shared" si="177"/>
        <v>2.8963832133104273E-3</v>
      </c>
      <c r="Z1115" s="215">
        <f t="shared" si="173"/>
        <v>1.3346043851286904E-2</v>
      </c>
      <c r="AA1115" s="231">
        <v>7143914</v>
      </c>
      <c r="AC1115" s="230">
        <v>44757</v>
      </c>
      <c r="AD1115" s="1">
        <v>67.099999999999994</v>
      </c>
      <c r="AE1115" s="1">
        <v>67.277981277981198</v>
      </c>
      <c r="AF1115" s="1">
        <v>4914</v>
      </c>
      <c r="AG1115" s="1">
        <v>53760.78</v>
      </c>
      <c r="AH1115" s="215">
        <f t="shared" si="178"/>
        <v>-1.3946330919285543E-2</v>
      </c>
      <c r="AI1115" s="215">
        <f t="shared" si="174"/>
        <v>-1.4684287812041119E-2</v>
      </c>
      <c r="AJ1115" s="231">
        <v>330604</v>
      </c>
      <c r="AL1115" s="254"/>
      <c r="AQ1115" s="215" t="str">
        <f t="shared" si="179"/>
        <v>NA</v>
      </c>
      <c r="AR1115" s="215" t="str">
        <f t="shared" si="175"/>
        <v>NA</v>
      </c>
    </row>
    <row r="1116" spans="2:44">
      <c r="B1116" s="230">
        <v>44728</v>
      </c>
      <c r="C1116" s="1">
        <v>354.2</v>
      </c>
      <c r="D1116" s="1">
        <v>368.91079574252399</v>
      </c>
      <c r="E1116" s="1">
        <v>3946</v>
      </c>
      <c r="F1116" s="215">
        <v>51495.79</v>
      </c>
      <c r="G1116" s="215">
        <f t="shared" si="170"/>
        <v>2.6356871692250206E-3</v>
      </c>
      <c r="H1116" s="215">
        <f t="shared" si="171"/>
        <v>2.9800843145806111E-2</v>
      </c>
      <c r="I1116" s="231">
        <v>1455722</v>
      </c>
      <c r="K1116" s="230">
        <v>44727</v>
      </c>
      <c r="L1116" s="1">
        <v>257.05</v>
      </c>
      <c r="M1116" s="1">
        <v>257.01784776136799</v>
      </c>
      <c r="N1116" s="1">
        <v>68524</v>
      </c>
      <c r="O1116" s="1">
        <v>52541.39</v>
      </c>
      <c r="P1116" s="215">
        <f t="shared" si="176"/>
        <v>2.0304572470875693E-2</v>
      </c>
      <c r="Q1116" s="215">
        <f t="shared" si="172"/>
        <v>5.3267772997336538E-2</v>
      </c>
      <c r="R1116" s="231">
        <v>17611891</v>
      </c>
      <c r="T1116" s="230">
        <v>44727</v>
      </c>
      <c r="U1116" s="1">
        <v>52.45</v>
      </c>
      <c r="V1116" s="1">
        <v>52.966573932980097</v>
      </c>
      <c r="W1116" s="1">
        <v>71531</v>
      </c>
      <c r="X1116" s="1">
        <v>52541.39</v>
      </c>
      <c r="Y1116" s="215">
        <f t="shared" si="177"/>
        <v>2.0304572470875693E-2</v>
      </c>
      <c r="Z1116" s="215">
        <f t="shared" si="173"/>
        <v>5.42713567839197E-2</v>
      </c>
      <c r="AA1116" s="231">
        <v>3788752</v>
      </c>
      <c r="AC1116" s="230">
        <v>44760</v>
      </c>
      <c r="AD1116" s="1">
        <v>68.099999999999994</v>
      </c>
      <c r="AE1116" s="1">
        <v>67.235920518168797</v>
      </c>
      <c r="AF1116" s="1">
        <v>9109</v>
      </c>
      <c r="AG1116" s="1">
        <v>54521.15</v>
      </c>
      <c r="AH1116" s="215">
        <f t="shared" si="178"/>
        <v>-4.5002868483239311E-3</v>
      </c>
      <c r="AI1116" s="215">
        <f t="shared" si="174"/>
        <v>7.3475385745780386E-4</v>
      </c>
      <c r="AJ1116" s="231">
        <v>612452</v>
      </c>
      <c r="AL1116" s="254"/>
      <c r="AQ1116" s="215" t="str">
        <f t="shared" si="179"/>
        <v>NA</v>
      </c>
      <c r="AR1116" s="215" t="str">
        <f t="shared" si="175"/>
        <v>NA</v>
      </c>
    </row>
    <row r="1117" spans="2:44">
      <c r="B1117" s="230">
        <v>44729</v>
      </c>
      <c r="C1117" s="1">
        <v>343.95</v>
      </c>
      <c r="D1117" s="1">
        <v>350.70805369127498</v>
      </c>
      <c r="E1117" s="1">
        <v>1788</v>
      </c>
      <c r="F1117" s="215">
        <v>51360.42</v>
      </c>
      <c r="G1117" s="215">
        <f t="shared" si="170"/>
        <v>-4.6013554055750472E-3</v>
      </c>
      <c r="H1117" s="215">
        <f t="shared" si="171"/>
        <v>8.1603773584905559E-2</v>
      </c>
      <c r="I1117" s="231">
        <v>627066</v>
      </c>
      <c r="K1117" s="230">
        <v>44728</v>
      </c>
      <c r="L1117" s="1">
        <v>244.05</v>
      </c>
      <c r="M1117" s="1">
        <v>250.54337497800401</v>
      </c>
      <c r="N1117" s="1">
        <v>51147</v>
      </c>
      <c r="O1117" s="1">
        <v>51495.79</v>
      </c>
      <c r="P1117" s="215">
        <f t="shared" si="176"/>
        <v>2.6356871692250206E-3</v>
      </c>
      <c r="Q1117" s="215">
        <f t="shared" si="172"/>
        <v>1.539421676721453E-2</v>
      </c>
      <c r="R1117" s="231">
        <v>12814542</v>
      </c>
      <c r="T1117" s="230">
        <v>44728</v>
      </c>
      <c r="U1117" s="1">
        <v>49.75</v>
      </c>
      <c r="V1117" s="1">
        <v>50.988768927515402</v>
      </c>
      <c r="W1117" s="1">
        <v>223220</v>
      </c>
      <c r="X1117" s="1">
        <v>51495.79</v>
      </c>
      <c r="Y1117" s="215">
        <f t="shared" si="177"/>
        <v>2.6356871692250206E-3</v>
      </c>
      <c r="Z1117" s="215">
        <f t="shared" si="173"/>
        <v>-5.9940059940059021E-3</v>
      </c>
      <c r="AA1117" s="231">
        <v>11381713</v>
      </c>
      <c r="AC1117" s="230">
        <v>44761</v>
      </c>
      <c r="AD1117" s="1">
        <v>68.05</v>
      </c>
      <c r="AE1117" s="1">
        <v>69.178476695718004</v>
      </c>
      <c r="AF1117" s="1">
        <v>2639</v>
      </c>
      <c r="AG1117" s="1">
        <v>54767.62</v>
      </c>
      <c r="AH1117" s="215">
        <f t="shared" si="178"/>
        <v>-1.1370723568361218E-2</v>
      </c>
      <c r="AI1117" s="215">
        <f t="shared" si="174"/>
        <v>-1.0901162790697638E-2</v>
      </c>
      <c r="AJ1117" s="231">
        <v>182562</v>
      </c>
      <c r="AL1117" s="254"/>
      <c r="AQ1117" s="215" t="str">
        <f t="shared" si="179"/>
        <v>NA</v>
      </c>
      <c r="AR1117" s="215" t="str">
        <f t="shared" si="175"/>
        <v>NA</v>
      </c>
    </row>
    <row r="1118" spans="2:44">
      <c r="B1118" s="230">
        <v>44732</v>
      </c>
      <c r="C1118" s="1">
        <v>318</v>
      </c>
      <c r="D1118" s="1">
        <v>334.12588943623399</v>
      </c>
      <c r="E1118" s="1">
        <v>3654</v>
      </c>
      <c r="F1118" s="215">
        <v>51597.84</v>
      </c>
      <c r="G1118" s="215">
        <f t="shared" si="170"/>
        <v>-1.7783993663299413E-2</v>
      </c>
      <c r="H1118" s="215">
        <f t="shared" si="171"/>
        <v>-0.16161349854996043</v>
      </c>
      <c r="I1118" s="231">
        <v>1220896</v>
      </c>
      <c r="K1118" s="230">
        <v>44729</v>
      </c>
      <c r="L1118" s="1">
        <v>240.35</v>
      </c>
      <c r="M1118" s="1">
        <v>242.737328061743</v>
      </c>
      <c r="N1118" s="1">
        <v>84478</v>
      </c>
      <c r="O1118" s="1">
        <v>51360.42</v>
      </c>
      <c r="P1118" s="215">
        <f t="shared" si="176"/>
        <v>-4.6013554055750472E-3</v>
      </c>
      <c r="Q1118" s="215">
        <f t="shared" si="172"/>
        <v>6.6563124029287879E-2</v>
      </c>
      <c r="R1118" s="231">
        <v>20505964</v>
      </c>
      <c r="T1118" s="230">
        <v>44729</v>
      </c>
      <c r="U1118" s="1">
        <v>50.05</v>
      </c>
      <c r="V1118" s="1">
        <v>49.772292593361598</v>
      </c>
      <c r="W1118" s="1">
        <v>91499</v>
      </c>
      <c r="X1118" s="1">
        <v>51360.42</v>
      </c>
      <c r="Y1118" s="215">
        <f t="shared" si="177"/>
        <v>-4.6013554055750472E-3</v>
      </c>
      <c r="Z1118" s="215">
        <f t="shared" si="173"/>
        <v>7.8663793103448176E-2</v>
      </c>
      <c r="AA1118" s="231">
        <v>4554115</v>
      </c>
      <c r="AC1118" s="230">
        <v>44762</v>
      </c>
      <c r="AD1118" s="1">
        <v>68.8</v>
      </c>
      <c r="AE1118" s="1">
        <v>69.544632768361495</v>
      </c>
      <c r="AF1118" s="1">
        <v>885</v>
      </c>
      <c r="AG1118" s="1">
        <v>55397.53</v>
      </c>
      <c r="AH1118" s="215">
        <f t="shared" si="178"/>
        <v>-5.1079389281445398E-3</v>
      </c>
      <c r="AI1118" s="215">
        <f t="shared" si="174"/>
        <v>2.1849963583393528E-3</v>
      </c>
      <c r="AJ1118" s="231">
        <v>61547</v>
      </c>
      <c r="AL1118" s="254"/>
      <c r="AQ1118" s="215" t="str">
        <f t="shared" si="179"/>
        <v>NA</v>
      </c>
      <c r="AR1118" s="215" t="str">
        <f t="shared" si="175"/>
        <v>NA</v>
      </c>
    </row>
    <row r="1119" spans="2:44">
      <c r="B1119" s="230">
        <v>44733</v>
      </c>
      <c r="C1119" s="1">
        <v>379.3</v>
      </c>
      <c r="D1119" s="1">
        <v>371.57754704737101</v>
      </c>
      <c r="E1119" s="1">
        <v>4623</v>
      </c>
      <c r="F1119" s="215">
        <v>52532.07</v>
      </c>
      <c r="G1119" s="215">
        <f t="shared" si="170"/>
        <v>1.3691728288834915E-2</v>
      </c>
      <c r="H1119" s="215">
        <f t="shared" si="171"/>
        <v>-4.9730677690091318E-2</v>
      </c>
      <c r="I1119" s="231">
        <v>1717803</v>
      </c>
      <c r="K1119" s="230">
        <v>44732</v>
      </c>
      <c r="L1119" s="1">
        <v>225.35</v>
      </c>
      <c r="M1119" s="1">
        <v>228.52700928231801</v>
      </c>
      <c r="N1119" s="1">
        <v>66255</v>
      </c>
      <c r="O1119" s="1">
        <v>51597.84</v>
      </c>
      <c r="P1119" s="215">
        <f t="shared" si="176"/>
        <v>-1.7783993663299413E-2</v>
      </c>
      <c r="Q1119" s="215">
        <f t="shared" si="172"/>
        <v>-6.2993762993763025E-2</v>
      </c>
      <c r="R1119" s="231">
        <v>15141057</v>
      </c>
      <c r="T1119" s="230">
        <v>44732</v>
      </c>
      <c r="U1119" s="1">
        <v>46.4</v>
      </c>
      <c r="V1119" s="1">
        <v>46.435235580051199</v>
      </c>
      <c r="W1119" s="1">
        <v>130635</v>
      </c>
      <c r="X1119" s="1">
        <v>51597.84</v>
      </c>
      <c r="Y1119" s="215">
        <f t="shared" si="177"/>
        <v>-1.7783993663299413E-2</v>
      </c>
      <c r="Z1119" s="215">
        <f t="shared" si="173"/>
        <v>-5.8823529411764719E-2</v>
      </c>
      <c r="AA1119" s="231">
        <v>6066067</v>
      </c>
      <c r="AC1119" s="230">
        <v>44763</v>
      </c>
      <c r="AD1119" s="1">
        <v>68.650000000000006</v>
      </c>
      <c r="AE1119" s="1">
        <v>69.414990859232105</v>
      </c>
      <c r="AF1119" s="1">
        <v>547</v>
      </c>
      <c r="AG1119" s="1">
        <v>55681.95</v>
      </c>
      <c r="AH1119" s="215">
        <f t="shared" si="178"/>
        <v>-6.9603081596719685E-3</v>
      </c>
      <c r="AI1119" s="215">
        <f t="shared" si="174"/>
        <v>-1.9285714285714239E-2</v>
      </c>
      <c r="AJ1119" s="231">
        <v>37970</v>
      </c>
      <c r="AL1119" s="254"/>
      <c r="AQ1119" s="215" t="str">
        <f t="shared" si="179"/>
        <v>NA</v>
      </c>
      <c r="AR1119" s="215" t="str">
        <f t="shared" si="175"/>
        <v>NA</v>
      </c>
    </row>
    <row r="1120" spans="2:44">
      <c r="B1120" s="230">
        <v>44734</v>
      </c>
      <c r="C1120" s="1">
        <v>399.15</v>
      </c>
      <c r="D1120" s="1">
        <v>364.87784679088998</v>
      </c>
      <c r="E1120" s="1">
        <v>5313</v>
      </c>
      <c r="F1120" s="215">
        <v>51822.53</v>
      </c>
      <c r="G1120" s="215">
        <f t="shared" si="170"/>
        <v>-8.4795540939645031E-3</v>
      </c>
      <c r="H1120" s="215">
        <f t="shared" si="171"/>
        <v>3.1262110838392809E-2</v>
      </c>
      <c r="I1120" s="231">
        <v>1938596</v>
      </c>
      <c r="K1120" s="230">
        <v>44733</v>
      </c>
      <c r="L1120" s="1">
        <v>240.5</v>
      </c>
      <c r="M1120" s="1">
        <v>238.03324664932899</v>
      </c>
      <c r="N1120" s="1">
        <v>24995</v>
      </c>
      <c r="O1120" s="1">
        <v>52532.07</v>
      </c>
      <c r="P1120" s="215">
        <f t="shared" si="176"/>
        <v>1.3691728288834915E-2</v>
      </c>
      <c r="Q1120" s="215">
        <f t="shared" si="172"/>
        <v>-2.1164021164021163E-2</v>
      </c>
      <c r="R1120" s="231">
        <v>5949641</v>
      </c>
      <c r="T1120" s="230">
        <v>44733</v>
      </c>
      <c r="U1120" s="1">
        <v>49.3</v>
      </c>
      <c r="V1120" s="1">
        <v>48.172925755799398</v>
      </c>
      <c r="W1120" s="1">
        <v>104062</v>
      </c>
      <c r="X1120" s="1">
        <v>52532.07</v>
      </c>
      <c r="Y1120" s="215">
        <f t="shared" si="177"/>
        <v>1.3691728288834915E-2</v>
      </c>
      <c r="Z1120" s="215">
        <f t="shared" si="173"/>
        <v>3.7894736842105203E-2</v>
      </c>
      <c r="AA1120" s="231">
        <v>5012971</v>
      </c>
      <c r="AC1120" s="230">
        <v>44764</v>
      </c>
      <c r="AD1120" s="1">
        <v>70</v>
      </c>
      <c r="AE1120" s="1">
        <v>70.5176171449328</v>
      </c>
      <c r="AF1120" s="1">
        <v>2753</v>
      </c>
      <c r="AG1120" s="1">
        <v>56072.23</v>
      </c>
      <c r="AH1120" s="215">
        <f t="shared" si="178"/>
        <v>5.4873721044748081E-3</v>
      </c>
      <c r="AI1120" s="215">
        <f t="shared" si="174"/>
        <v>-2.777777777777779E-2</v>
      </c>
      <c r="AJ1120" s="231">
        <v>194135</v>
      </c>
      <c r="AL1120" s="254"/>
      <c r="AQ1120" s="215" t="str">
        <f t="shared" si="179"/>
        <v>NA</v>
      </c>
      <c r="AR1120" s="215" t="str">
        <f t="shared" si="175"/>
        <v>NA</v>
      </c>
    </row>
    <row r="1121" spans="2:44">
      <c r="B1121" s="230">
        <v>44735</v>
      </c>
      <c r="C1121" s="1">
        <v>387.05</v>
      </c>
      <c r="D1121" s="1">
        <v>388.38683127572</v>
      </c>
      <c r="E1121" s="1">
        <v>486</v>
      </c>
      <c r="F1121" s="215">
        <v>52265.72</v>
      </c>
      <c r="G1121" s="215">
        <f t="shared" si="170"/>
        <v>-8.7668824028532821E-3</v>
      </c>
      <c r="H1121" s="215">
        <f t="shared" si="171"/>
        <v>2.6657824933687069E-2</v>
      </c>
      <c r="I1121" s="231">
        <v>188756</v>
      </c>
      <c r="K1121" s="230">
        <v>44734</v>
      </c>
      <c r="L1121" s="1">
        <v>245.7</v>
      </c>
      <c r="M1121" s="1">
        <v>239.784917605987</v>
      </c>
      <c r="N1121" s="1">
        <v>33801</v>
      </c>
      <c r="O1121" s="1">
        <v>51822.53</v>
      </c>
      <c r="P1121" s="215">
        <f t="shared" si="176"/>
        <v>-8.4795540939645031E-3</v>
      </c>
      <c r="Q1121" s="215">
        <f t="shared" si="172"/>
        <v>-2.3255813953488413E-2</v>
      </c>
      <c r="R1121" s="231">
        <v>8104970</v>
      </c>
      <c r="T1121" s="230">
        <v>44734</v>
      </c>
      <c r="U1121" s="1">
        <v>47.5</v>
      </c>
      <c r="V1121" s="1">
        <v>48.138599579482602</v>
      </c>
      <c r="W1121" s="1">
        <v>40902</v>
      </c>
      <c r="X1121" s="1">
        <v>51822.53</v>
      </c>
      <c r="Y1121" s="215">
        <f t="shared" si="177"/>
        <v>-8.4795540939645031E-3</v>
      </c>
      <c r="Z1121" s="215">
        <f t="shared" si="173"/>
        <v>-6.2761506276149959E-3</v>
      </c>
      <c r="AA1121" s="231">
        <v>1968965</v>
      </c>
      <c r="AC1121" s="230">
        <v>44767</v>
      </c>
      <c r="AD1121" s="1">
        <v>72</v>
      </c>
      <c r="AE1121" s="1">
        <v>71.801685493993105</v>
      </c>
      <c r="AF1121" s="1">
        <v>5577</v>
      </c>
      <c r="AG1121" s="1">
        <v>55766.22</v>
      </c>
      <c r="AH1121" s="215">
        <f t="shared" si="178"/>
        <v>9.0056739382604611E-3</v>
      </c>
      <c r="AI1121" s="215">
        <f t="shared" si="174"/>
        <v>1.2658227848101333E-2</v>
      </c>
      <c r="AJ1121" s="231">
        <v>400438</v>
      </c>
      <c r="AL1121" s="254"/>
      <c r="AQ1121" s="215" t="str">
        <f t="shared" si="179"/>
        <v>NA</v>
      </c>
      <c r="AR1121" s="215" t="str">
        <f t="shared" si="175"/>
        <v>NA</v>
      </c>
    </row>
    <row r="1122" spans="2:44">
      <c r="B1122" s="230">
        <v>44736</v>
      </c>
      <c r="C1122" s="1">
        <v>377</v>
      </c>
      <c r="D1122" s="1">
        <v>381.32051282051202</v>
      </c>
      <c r="E1122" s="1">
        <v>390</v>
      </c>
      <c r="F1122" s="215">
        <v>52727.98</v>
      </c>
      <c r="G1122" s="215">
        <f t="shared" si="170"/>
        <v>-8.1506690583822428E-3</v>
      </c>
      <c r="H1122" s="215">
        <f t="shared" si="171"/>
        <v>-7.1108770081642625E-3</v>
      </c>
      <c r="I1122" s="231">
        <v>148715</v>
      </c>
      <c r="K1122" s="230">
        <v>44735</v>
      </c>
      <c r="L1122" s="1">
        <v>251.55</v>
      </c>
      <c r="M1122" s="1">
        <v>249.55948322268</v>
      </c>
      <c r="N1122" s="1">
        <v>22292</v>
      </c>
      <c r="O1122" s="1">
        <v>52265.72</v>
      </c>
      <c r="P1122" s="215">
        <f t="shared" si="176"/>
        <v>-8.7668824028532821E-3</v>
      </c>
      <c r="Q1122" s="215">
        <f t="shared" si="172"/>
        <v>1.9916351324438253E-3</v>
      </c>
      <c r="R1122" s="231">
        <v>5563180</v>
      </c>
      <c r="T1122" s="230">
        <v>44735</v>
      </c>
      <c r="U1122" s="1">
        <v>47.8</v>
      </c>
      <c r="V1122" s="1">
        <v>47.759245496320602</v>
      </c>
      <c r="W1122" s="1">
        <v>95533</v>
      </c>
      <c r="X1122" s="1">
        <v>52265.72</v>
      </c>
      <c r="Y1122" s="215">
        <f t="shared" si="177"/>
        <v>-8.7668824028532821E-3</v>
      </c>
      <c r="Z1122" s="215">
        <f t="shared" si="173"/>
        <v>-4.2084168336673389E-2</v>
      </c>
      <c r="AA1122" s="231">
        <v>4562584</v>
      </c>
      <c r="AC1122" s="230">
        <v>44768</v>
      </c>
      <c r="AD1122" s="1">
        <v>71.099999999999994</v>
      </c>
      <c r="AE1122" s="1">
        <v>71.284473684210496</v>
      </c>
      <c r="AF1122" s="1">
        <v>3800</v>
      </c>
      <c r="AG1122" s="1">
        <v>55268.49</v>
      </c>
      <c r="AH1122" s="215">
        <f t="shared" si="178"/>
        <v>-9.8148713494548012E-3</v>
      </c>
      <c r="AI1122" s="215">
        <f t="shared" si="174"/>
        <v>-1.3869625520110951E-2</v>
      </c>
      <c r="AJ1122" s="231">
        <v>270881</v>
      </c>
      <c r="AL1122" s="254"/>
      <c r="AQ1122" s="215" t="str">
        <f t="shared" si="179"/>
        <v>NA</v>
      </c>
      <c r="AR1122" s="215" t="str">
        <f t="shared" si="175"/>
        <v>NA</v>
      </c>
    </row>
    <row r="1123" spans="2:44">
      <c r="B1123" s="230">
        <v>44739</v>
      </c>
      <c r="C1123" s="1">
        <v>379.7</v>
      </c>
      <c r="D1123" s="1">
        <v>388.90452261306501</v>
      </c>
      <c r="E1123" s="1">
        <v>2786</v>
      </c>
      <c r="F1123" s="215">
        <v>53161.279999999999</v>
      </c>
      <c r="G1123" s="215">
        <f t="shared" si="170"/>
        <v>-3.040762578874201E-4</v>
      </c>
      <c r="H1123" s="215">
        <f t="shared" si="171"/>
        <v>-3.958517769065395E-2</v>
      </c>
      <c r="I1123" s="231">
        <v>1083488</v>
      </c>
      <c r="K1123" s="230">
        <v>44736</v>
      </c>
      <c r="L1123" s="1">
        <v>251.05</v>
      </c>
      <c r="M1123" s="1">
        <v>254.30447739319399</v>
      </c>
      <c r="N1123" s="1">
        <v>40939</v>
      </c>
      <c r="O1123" s="1">
        <v>52727.98</v>
      </c>
      <c r="P1123" s="215">
        <f t="shared" si="176"/>
        <v>-8.1506690583822428E-3</v>
      </c>
      <c r="Q1123" s="215">
        <f t="shared" si="172"/>
        <v>-5.0312086249290733E-2</v>
      </c>
      <c r="R1123" s="231">
        <v>10410971</v>
      </c>
      <c r="T1123" s="230">
        <v>44736</v>
      </c>
      <c r="U1123" s="1">
        <v>49.9</v>
      </c>
      <c r="V1123" s="1">
        <v>49.293617021276503</v>
      </c>
      <c r="W1123" s="1">
        <v>25615</v>
      </c>
      <c r="X1123" s="1">
        <v>52727.98</v>
      </c>
      <c r="Y1123" s="215">
        <f t="shared" si="177"/>
        <v>-8.1506690583822428E-3</v>
      </c>
      <c r="Z1123" s="215">
        <f t="shared" si="173"/>
        <v>1.0121457489878471E-2</v>
      </c>
      <c r="AA1123" s="231">
        <v>1262656</v>
      </c>
      <c r="AC1123" s="230">
        <v>44769</v>
      </c>
      <c r="AD1123" s="1">
        <v>72.099999999999994</v>
      </c>
      <c r="AE1123" s="1">
        <v>72.304705003734099</v>
      </c>
      <c r="AF1123" s="1">
        <v>1339</v>
      </c>
      <c r="AG1123" s="1">
        <v>55816.32</v>
      </c>
      <c r="AH1123" s="215">
        <f t="shared" si="178"/>
        <v>-1.8317103074178553E-2</v>
      </c>
      <c r="AI1123" s="215">
        <f t="shared" si="174"/>
        <v>1.388888888888884E-3</v>
      </c>
      <c r="AJ1123" s="231">
        <v>96816</v>
      </c>
      <c r="AL1123" s="254"/>
      <c r="AQ1123" s="215" t="str">
        <f t="shared" si="179"/>
        <v>NA</v>
      </c>
      <c r="AR1123" s="215" t="str">
        <f t="shared" si="175"/>
        <v>NA</v>
      </c>
    </row>
    <row r="1124" spans="2:44">
      <c r="B1124" s="230">
        <v>44740</v>
      </c>
      <c r="C1124" s="1">
        <v>395.35</v>
      </c>
      <c r="D1124" s="1">
        <v>389.129460580912</v>
      </c>
      <c r="E1124" s="1">
        <v>1205</v>
      </c>
      <c r="F1124" s="215">
        <v>53177.45</v>
      </c>
      <c r="G1124" s="215">
        <f t="shared" si="170"/>
        <v>2.8378012170031663E-3</v>
      </c>
      <c r="H1124" s="215">
        <f t="shared" si="171"/>
        <v>-7.1572074334504965E-3</v>
      </c>
      <c r="I1124" s="231">
        <v>468901</v>
      </c>
      <c r="K1124" s="230">
        <v>44739</v>
      </c>
      <c r="L1124" s="1">
        <v>264.35000000000002</v>
      </c>
      <c r="M1124" s="1">
        <v>259.016417675735</v>
      </c>
      <c r="N1124" s="1">
        <v>31795</v>
      </c>
      <c r="O1124" s="1">
        <v>53161.279999999999</v>
      </c>
      <c r="P1124" s="215">
        <f t="shared" si="176"/>
        <v>-3.040762578874201E-4</v>
      </c>
      <c r="Q1124" s="215">
        <f t="shared" si="172"/>
        <v>2.3620522749274064E-2</v>
      </c>
      <c r="R1124" s="231">
        <v>8235427</v>
      </c>
      <c r="T1124" s="230">
        <v>44739</v>
      </c>
      <c r="U1124" s="1">
        <v>49.4</v>
      </c>
      <c r="V1124" s="1">
        <v>49.936435284240098</v>
      </c>
      <c r="W1124" s="1">
        <v>73846</v>
      </c>
      <c r="X1124" s="1">
        <v>53161.279999999999</v>
      </c>
      <c r="Y1124" s="215">
        <f t="shared" si="177"/>
        <v>-3.040762578874201E-4</v>
      </c>
      <c r="Z1124" s="215">
        <f t="shared" si="173"/>
        <v>-3.32681017612525E-2</v>
      </c>
      <c r="AA1124" s="231">
        <v>3687606</v>
      </c>
      <c r="AC1124" s="230">
        <v>44770</v>
      </c>
      <c r="AD1124" s="1">
        <v>72</v>
      </c>
      <c r="AE1124" s="1">
        <v>72.067337461300298</v>
      </c>
      <c r="AF1124" s="1">
        <v>1292</v>
      </c>
      <c r="AG1124" s="1">
        <v>56857.79</v>
      </c>
      <c r="AH1124" s="215">
        <f t="shared" si="178"/>
        <v>-1.2375489076389301E-2</v>
      </c>
      <c r="AI1124" s="215">
        <f t="shared" si="174"/>
        <v>-2.4390243902438935E-2</v>
      </c>
      <c r="AJ1124" s="231">
        <v>93111</v>
      </c>
      <c r="AL1124" s="254"/>
      <c r="AQ1124" s="215" t="str">
        <f t="shared" si="179"/>
        <v>NA</v>
      </c>
      <c r="AR1124" s="215" t="str">
        <f t="shared" si="175"/>
        <v>NA</v>
      </c>
    </row>
    <row r="1125" spans="2:44">
      <c r="B1125" s="230">
        <v>44741</v>
      </c>
      <c r="C1125" s="1">
        <v>398.2</v>
      </c>
      <c r="D1125" s="1">
        <v>398.19016393442598</v>
      </c>
      <c r="E1125" s="1">
        <v>610</v>
      </c>
      <c r="F1125" s="215">
        <v>53026.97</v>
      </c>
      <c r="G1125" s="215">
        <f t="shared" si="170"/>
        <v>1.5145531012117353E-4</v>
      </c>
      <c r="H1125" s="215">
        <f t="shared" si="171"/>
        <v>1.2844970113188303E-2</v>
      </c>
      <c r="I1125" s="231">
        <v>242896</v>
      </c>
      <c r="K1125" s="230">
        <v>44740</v>
      </c>
      <c r="L1125" s="1">
        <v>258.25</v>
      </c>
      <c r="M1125" s="1">
        <v>260.18632024996703</v>
      </c>
      <c r="N1125" s="1">
        <v>23363</v>
      </c>
      <c r="O1125" s="1">
        <v>53177.45</v>
      </c>
      <c r="P1125" s="215">
        <f t="shared" si="176"/>
        <v>2.8378012170031663E-3</v>
      </c>
      <c r="Q1125" s="215">
        <f t="shared" si="172"/>
        <v>2.2367379255740394E-2</v>
      </c>
      <c r="R1125" s="231">
        <v>6078733</v>
      </c>
      <c r="T1125" s="230">
        <v>44740</v>
      </c>
      <c r="U1125" s="1">
        <v>51.1</v>
      </c>
      <c r="V1125" s="1">
        <v>50.331269942565399</v>
      </c>
      <c r="W1125" s="1">
        <v>31340</v>
      </c>
      <c r="X1125" s="1">
        <v>53177.45</v>
      </c>
      <c r="Y1125" s="215">
        <f t="shared" si="177"/>
        <v>2.8378012170031663E-3</v>
      </c>
      <c r="Z1125" s="215">
        <f t="shared" si="173"/>
        <v>-1.0648596321393922E-2</v>
      </c>
      <c r="AA1125" s="231">
        <v>1577382</v>
      </c>
      <c r="AC1125" s="230">
        <v>44771</v>
      </c>
      <c r="AD1125" s="1">
        <v>73.8</v>
      </c>
      <c r="AE1125" s="1">
        <v>74.682364874655804</v>
      </c>
      <c r="AF1125" s="1">
        <v>6901</v>
      </c>
      <c r="AG1125" s="1">
        <v>57570.25</v>
      </c>
      <c r="AH1125" s="215">
        <f t="shared" si="178"/>
        <v>-9.3821785926302415E-3</v>
      </c>
      <c r="AI1125" s="215">
        <f t="shared" si="174"/>
        <v>-2.0283975659229903E-3</v>
      </c>
      <c r="AJ1125" s="231">
        <v>515383</v>
      </c>
      <c r="AL1125" s="254"/>
      <c r="AQ1125" s="215" t="str">
        <f t="shared" si="179"/>
        <v>NA</v>
      </c>
      <c r="AR1125" s="215" t="str">
        <f t="shared" si="175"/>
        <v>NA</v>
      </c>
    </row>
    <row r="1126" spans="2:44">
      <c r="B1126" s="230">
        <v>44742</v>
      </c>
      <c r="C1126" s="1">
        <v>393.15</v>
      </c>
      <c r="D1126" s="1">
        <v>394.48201438848901</v>
      </c>
      <c r="E1126" s="1">
        <v>973</v>
      </c>
      <c r="F1126" s="215">
        <v>53018.94</v>
      </c>
      <c r="G1126" s="215">
        <f t="shared" si="170"/>
        <v>2.0981731850027163E-3</v>
      </c>
      <c r="H1126" s="215">
        <f t="shared" si="171"/>
        <v>-1.4661654135338376E-2</v>
      </c>
      <c r="I1126" s="231">
        <v>383831</v>
      </c>
      <c r="K1126" s="230">
        <v>44741</v>
      </c>
      <c r="L1126" s="1">
        <v>252.6</v>
      </c>
      <c r="M1126" s="1">
        <v>253.768686199125</v>
      </c>
      <c r="N1126" s="1">
        <v>37715</v>
      </c>
      <c r="O1126" s="1">
        <v>53026.97</v>
      </c>
      <c r="P1126" s="215">
        <f t="shared" si="176"/>
        <v>1.5145531012117353E-4</v>
      </c>
      <c r="Q1126" s="215">
        <f t="shared" si="172"/>
        <v>1.2424849699398832E-2</v>
      </c>
      <c r="R1126" s="231">
        <v>9570886</v>
      </c>
      <c r="T1126" s="230">
        <v>44741</v>
      </c>
      <c r="U1126" s="1">
        <v>51.65</v>
      </c>
      <c r="V1126" s="1">
        <v>51.703344598024501</v>
      </c>
      <c r="W1126" s="1">
        <v>137894</v>
      </c>
      <c r="X1126" s="1">
        <v>53026.97</v>
      </c>
      <c r="Y1126" s="215">
        <f t="shared" si="177"/>
        <v>1.5145531012117353E-4</v>
      </c>
      <c r="Z1126" s="215">
        <f t="shared" si="173"/>
        <v>2.0750988142292481E-2</v>
      </c>
      <c r="AA1126" s="231">
        <v>7129581</v>
      </c>
      <c r="AC1126" s="230">
        <v>44774</v>
      </c>
      <c r="AD1126" s="1">
        <v>73.95</v>
      </c>
      <c r="AE1126" s="1">
        <v>74.763133395398299</v>
      </c>
      <c r="AF1126" s="1">
        <v>15038</v>
      </c>
      <c r="AG1126" s="1">
        <v>58115.5</v>
      </c>
      <c r="AH1126" s="215">
        <f t="shared" si="178"/>
        <v>-3.5881159398354345E-4</v>
      </c>
      <c r="AI1126" s="215">
        <f t="shared" si="174"/>
        <v>2.4238227146814451E-2</v>
      </c>
      <c r="AJ1126" s="231">
        <v>1124288</v>
      </c>
      <c r="AL1126" s="254"/>
      <c r="AQ1126" s="215" t="str">
        <f t="shared" si="179"/>
        <v>NA</v>
      </c>
      <c r="AR1126" s="215" t="str">
        <f t="shared" si="175"/>
        <v>NA</v>
      </c>
    </row>
    <row r="1127" spans="2:44">
      <c r="B1127" s="230">
        <v>44743</v>
      </c>
      <c r="C1127" s="1">
        <v>399</v>
      </c>
      <c r="D1127" s="1">
        <v>388.20195439739399</v>
      </c>
      <c r="E1127" s="1">
        <v>307</v>
      </c>
      <c r="F1127" s="215">
        <v>52907.93</v>
      </c>
      <c r="G1127" s="215">
        <f t="shared" si="170"/>
        <v>-6.1395963577939305E-3</v>
      </c>
      <c r="H1127" s="215">
        <f t="shared" si="171"/>
        <v>-1.4328063241106692E-2</v>
      </c>
      <c r="I1127" s="231">
        <v>119178</v>
      </c>
      <c r="K1127" s="230">
        <v>44742</v>
      </c>
      <c r="L1127" s="1">
        <v>249.5</v>
      </c>
      <c r="M1127" s="1">
        <v>251.86813241599299</v>
      </c>
      <c r="N1127" s="1">
        <v>20058</v>
      </c>
      <c r="O1127" s="1">
        <v>53018.94</v>
      </c>
      <c r="P1127" s="215">
        <f t="shared" si="176"/>
        <v>2.0981731850027163E-3</v>
      </c>
      <c r="Q1127" s="215">
        <f t="shared" si="172"/>
        <v>-2.0031421838177521E-2</v>
      </c>
      <c r="R1127" s="231">
        <v>5051971</v>
      </c>
      <c r="T1127" s="230">
        <v>44742</v>
      </c>
      <c r="U1127" s="1">
        <v>50.6</v>
      </c>
      <c r="V1127" s="1">
        <v>51.1581508206717</v>
      </c>
      <c r="W1127" s="1">
        <v>78716</v>
      </c>
      <c r="X1127" s="1">
        <v>53018.94</v>
      </c>
      <c r="Y1127" s="215">
        <f t="shared" si="177"/>
        <v>2.0981731850027163E-3</v>
      </c>
      <c r="Z1127" s="215">
        <f t="shared" si="173"/>
        <v>3.9682539682539542E-3</v>
      </c>
      <c r="AA1127" s="231">
        <v>4026965</v>
      </c>
      <c r="AC1127" s="230">
        <v>44775</v>
      </c>
      <c r="AD1127" s="1">
        <v>72.2</v>
      </c>
      <c r="AE1127" s="1">
        <v>72.592396535129893</v>
      </c>
      <c r="AF1127" s="1">
        <v>2078</v>
      </c>
      <c r="AG1127" s="1">
        <v>58136.36</v>
      </c>
      <c r="AH1127" s="215">
        <f t="shared" si="178"/>
        <v>-3.6704036792810646E-3</v>
      </c>
      <c r="AI1127" s="215">
        <f t="shared" si="174"/>
        <v>9.0845562543675484E-3</v>
      </c>
      <c r="AJ1127" s="231">
        <v>150847</v>
      </c>
      <c r="AL1127" s="254"/>
      <c r="AQ1127" s="215" t="str">
        <f t="shared" si="179"/>
        <v>NA</v>
      </c>
      <c r="AR1127" s="215" t="str">
        <f t="shared" si="175"/>
        <v>NA</v>
      </c>
    </row>
    <row r="1128" spans="2:44">
      <c r="B1128" s="230">
        <v>44746</v>
      </c>
      <c r="C1128" s="1">
        <v>404.8</v>
      </c>
      <c r="D1128" s="1">
        <v>407.10043942247302</v>
      </c>
      <c r="E1128" s="1">
        <v>1593</v>
      </c>
      <c r="F1128" s="215">
        <v>53234.77</v>
      </c>
      <c r="G1128" s="215">
        <f t="shared" ref="G1128:G1191" si="180">IF(ISERROR(F1128/F1129-1),"NA",F1128/F1129-1)</f>
        <v>1.889926196518843E-3</v>
      </c>
      <c r="H1128" s="215">
        <f t="shared" ref="H1128:H1191" si="181">IF(ISERROR(C1128/C1129-1),"NA",C1128/C1129-1)</f>
        <v>1.3393415946927112E-2</v>
      </c>
      <c r="I1128" s="231">
        <v>648511</v>
      </c>
      <c r="K1128" s="230">
        <v>44743</v>
      </c>
      <c r="L1128" s="1">
        <v>254.6</v>
      </c>
      <c r="M1128" s="1">
        <v>251.92782694198601</v>
      </c>
      <c r="N1128" s="1">
        <v>15255</v>
      </c>
      <c r="O1128" s="1">
        <v>52907.93</v>
      </c>
      <c r="P1128" s="215">
        <f t="shared" si="176"/>
        <v>-6.1395963577939305E-3</v>
      </c>
      <c r="Q1128" s="215">
        <f t="shared" si="172"/>
        <v>-8.7599766400624501E-3</v>
      </c>
      <c r="R1128" s="231">
        <v>3843159</v>
      </c>
      <c r="T1128" s="230">
        <v>44743</v>
      </c>
      <c r="U1128" s="1">
        <v>50.4</v>
      </c>
      <c r="V1128" s="1">
        <v>50.079771332668997</v>
      </c>
      <c r="W1128" s="1">
        <v>76268</v>
      </c>
      <c r="X1128" s="1">
        <v>52907.93</v>
      </c>
      <c r="Y1128" s="215">
        <f t="shared" si="177"/>
        <v>-6.1395963577939305E-3</v>
      </c>
      <c r="Z1128" s="215">
        <f t="shared" si="173"/>
        <v>1.9880715705766772E-3</v>
      </c>
      <c r="AA1128" s="231">
        <v>3819484</v>
      </c>
      <c r="AC1128" s="230">
        <v>44776</v>
      </c>
      <c r="AD1128" s="1">
        <v>71.55</v>
      </c>
      <c r="AE1128" s="1">
        <v>71.450797355114702</v>
      </c>
      <c r="AF1128" s="1">
        <v>2571</v>
      </c>
      <c r="AG1128" s="1">
        <v>58350.53</v>
      </c>
      <c r="AH1128" s="215">
        <f t="shared" si="178"/>
        <v>8.8732529657553627E-4</v>
      </c>
      <c r="AI1128" s="215">
        <f t="shared" si="174"/>
        <v>-4.1753653444676075E-3</v>
      </c>
      <c r="AJ1128" s="231">
        <v>183700</v>
      </c>
      <c r="AL1128" s="254"/>
      <c r="AQ1128" s="215" t="str">
        <f t="shared" si="179"/>
        <v>NA</v>
      </c>
      <c r="AR1128" s="215" t="str">
        <f t="shared" si="175"/>
        <v>NA</v>
      </c>
    </row>
    <row r="1129" spans="2:44">
      <c r="B1129" s="230">
        <v>44747</v>
      </c>
      <c r="C1129" s="1">
        <v>399.45</v>
      </c>
      <c r="D1129" s="1">
        <v>401.27962085308002</v>
      </c>
      <c r="E1129" s="1">
        <v>1477</v>
      </c>
      <c r="F1129" s="215">
        <v>53134.35</v>
      </c>
      <c r="G1129" s="215">
        <f t="shared" si="180"/>
        <v>-1.1471792974154793E-2</v>
      </c>
      <c r="H1129" s="215">
        <f t="shared" si="181"/>
        <v>-3.7411148522259463E-3</v>
      </c>
      <c r="I1129" s="231">
        <v>592690</v>
      </c>
      <c r="K1129" s="230">
        <v>44746</v>
      </c>
      <c r="L1129" s="1">
        <v>256.85000000000002</v>
      </c>
      <c r="M1129" s="1">
        <v>254.152352713677</v>
      </c>
      <c r="N1129" s="1">
        <v>38785</v>
      </c>
      <c r="O1129" s="1">
        <v>53234.77</v>
      </c>
      <c r="P1129" s="215">
        <f t="shared" si="176"/>
        <v>1.889926196518843E-3</v>
      </c>
      <c r="Q1129" s="215">
        <f t="shared" si="172"/>
        <v>1.9470404984422984E-4</v>
      </c>
      <c r="R1129" s="231">
        <v>9857299</v>
      </c>
      <c r="T1129" s="230">
        <v>44746</v>
      </c>
      <c r="U1129" s="1">
        <v>50.3</v>
      </c>
      <c r="V1129" s="1">
        <v>50.343622835543897</v>
      </c>
      <c r="W1129" s="1">
        <v>58733</v>
      </c>
      <c r="X1129" s="1">
        <v>53234.77</v>
      </c>
      <c r="Y1129" s="215">
        <f t="shared" si="177"/>
        <v>1.889926196518843E-3</v>
      </c>
      <c r="Z1129" s="215">
        <f t="shared" si="173"/>
        <v>2.1319796954314629E-2</v>
      </c>
      <c r="AA1129" s="231">
        <v>2956832</v>
      </c>
      <c r="AC1129" s="230">
        <v>44777</v>
      </c>
      <c r="AD1129" s="1">
        <v>71.849999999999994</v>
      </c>
      <c r="AE1129" s="1">
        <v>71.469879518072204</v>
      </c>
      <c r="AF1129" s="1">
        <v>996</v>
      </c>
      <c r="AG1129" s="1">
        <v>58298.8</v>
      </c>
      <c r="AH1129" s="215">
        <f t="shared" si="178"/>
        <v>-1.5265141271492144E-3</v>
      </c>
      <c r="AI1129" s="215">
        <f t="shared" si="174"/>
        <v>-1.5078821110349638E-2</v>
      </c>
      <c r="AJ1129" s="231">
        <v>71184</v>
      </c>
      <c r="AL1129" s="254"/>
      <c r="AQ1129" s="215" t="str">
        <f t="shared" si="179"/>
        <v>NA</v>
      </c>
      <c r="AR1129" s="215" t="str">
        <f t="shared" si="175"/>
        <v>NA</v>
      </c>
    </row>
    <row r="1130" spans="2:44">
      <c r="B1130" s="230">
        <v>44748</v>
      </c>
      <c r="C1130" s="1">
        <v>400.95</v>
      </c>
      <c r="D1130" s="1">
        <v>404.60152284263899</v>
      </c>
      <c r="E1130" s="1">
        <v>394</v>
      </c>
      <c r="F1130" s="215">
        <v>53750.97</v>
      </c>
      <c r="G1130" s="215">
        <f t="shared" si="180"/>
        <v>-7.8904051536348163E-3</v>
      </c>
      <c r="H1130" s="215">
        <f t="shared" si="181"/>
        <v>2.876438219109545E-3</v>
      </c>
      <c r="I1130" s="231">
        <v>159413</v>
      </c>
      <c r="K1130" s="230">
        <v>44747</v>
      </c>
      <c r="L1130" s="1">
        <v>256.8</v>
      </c>
      <c r="M1130" s="1">
        <v>261.34715610564501</v>
      </c>
      <c r="N1130" s="1">
        <v>28359</v>
      </c>
      <c r="O1130" s="1">
        <v>53134.35</v>
      </c>
      <c r="P1130" s="215">
        <f t="shared" si="176"/>
        <v>-1.1471792974154793E-2</v>
      </c>
      <c r="Q1130" s="215">
        <f t="shared" si="172"/>
        <v>1.2019704433497536E-2</v>
      </c>
      <c r="R1130" s="231">
        <v>7411544</v>
      </c>
      <c r="T1130" s="230">
        <v>44747</v>
      </c>
      <c r="U1130" s="1">
        <v>49.25</v>
      </c>
      <c r="V1130" s="1">
        <v>50.4674320314139</v>
      </c>
      <c r="W1130" s="1">
        <v>100083</v>
      </c>
      <c r="X1130" s="1">
        <v>53134.35</v>
      </c>
      <c r="Y1130" s="215">
        <f t="shared" si="177"/>
        <v>-1.1471792974154793E-2</v>
      </c>
      <c r="Z1130" s="215">
        <f t="shared" si="173"/>
        <v>1.1293634496919891E-2</v>
      </c>
      <c r="AA1130" s="231">
        <v>5050932</v>
      </c>
      <c r="AC1130" s="230">
        <v>44778</v>
      </c>
      <c r="AD1130" s="1">
        <v>72.95</v>
      </c>
      <c r="AE1130" s="1">
        <v>73.842766042247902</v>
      </c>
      <c r="AF1130" s="1">
        <v>5018</v>
      </c>
      <c r="AG1130" s="1">
        <v>58387.93</v>
      </c>
      <c r="AH1130" s="215">
        <f t="shared" si="178"/>
        <v>-7.9034109860368629E-3</v>
      </c>
      <c r="AI1130" s="215">
        <f t="shared" si="174"/>
        <v>1.4603616133518793E-2</v>
      </c>
      <c r="AJ1130" s="231">
        <v>370543</v>
      </c>
      <c r="AL1130" s="254"/>
      <c r="AQ1130" s="215" t="str">
        <f t="shared" si="179"/>
        <v>NA</v>
      </c>
      <c r="AR1130" s="215" t="str">
        <f t="shared" si="175"/>
        <v>NA</v>
      </c>
    </row>
    <row r="1131" spans="2:44">
      <c r="B1131" s="230">
        <v>44749</v>
      </c>
      <c r="C1131" s="1">
        <v>399.8</v>
      </c>
      <c r="D1131" s="1">
        <v>398.38626609442002</v>
      </c>
      <c r="E1131" s="1">
        <v>932</v>
      </c>
      <c r="F1131" s="215">
        <v>54178.46</v>
      </c>
      <c r="G1131" s="215">
        <f t="shared" si="180"/>
        <v>-5.5684609770888516E-3</v>
      </c>
      <c r="H1131" s="215">
        <f t="shared" si="181"/>
        <v>4.144166771317348E-3</v>
      </c>
      <c r="I1131" s="231">
        <v>371296</v>
      </c>
      <c r="K1131" s="230">
        <v>44748</v>
      </c>
      <c r="L1131" s="1">
        <v>253.75</v>
      </c>
      <c r="M1131" s="1">
        <v>252.85164835164801</v>
      </c>
      <c r="N1131" s="1">
        <v>10738</v>
      </c>
      <c r="O1131" s="1">
        <v>53750.97</v>
      </c>
      <c r="P1131" s="215">
        <f t="shared" si="176"/>
        <v>-7.8904051536348163E-3</v>
      </c>
      <c r="Q1131" s="215">
        <f t="shared" si="172"/>
        <v>-5.1401869158878455E-2</v>
      </c>
      <c r="R1131" s="231">
        <v>2715121</v>
      </c>
      <c r="T1131" s="230">
        <v>44748</v>
      </c>
      <c r="U1131" s="1">
        <v>48.7</v>
      </c>
      <c r="V1131" s="1">
        <v>49.092119664355998</v>
      </c>
      <c r="W1131" s="1">
        <v>43856</v>
      </c>
      <c r="X1131" s="1">
        <v>53750.97</v>
      </c>
      <c r="Y1131" s="215">
        <f t="shared" si="177"/>
        <v>-7.8904051536348163E-3</v>
      </c>
      <c r="Z1131" s="215">
        <f t="shared" si="173"/>
        <v>-5.1606621226874316E-2</v>
      </c>
      <c r="AA1131" s="231">
        <v>2152984</v>
      </c>
      <c r="AC1131" s="230">
        <v>44781</v>
      </c>
      <c r="AD1131" s="1">
        <v>71.900000000000006</v>
      </c>
      <c r="AE1131" s="1">
        <v>71.368457490999702</v>
      </c>
      <c r="AF1131" s="1">
        <v>14444</v>
      </c>
      <c r="AG1131" s="1">
        <v>58853.07</v>
      </c>
      <c r="AH1131" s="215">
        <f t="shared" si="178"/>
        <v>6.0832452498238432E-4</v>
      </c>
      <c r="AI1131" s="215">
        <f t="shared" si="174"/>
        <v>1.7692852087756616E-2</v>
      </c>
      <c r="AJ1131" s="231">
        <v>1030846</v>
      </c>
      <c r="AL1131" s="254"/>
      <c r="AQ1131" s="215" t="str">
        <f t="shared" si="179"/>
        <v>NA</v>
      </c>
      <c r="AR1131" s="215" t="str">
        <f t="shared" si="175"/>
        <v>NA</v>
      </c>
    </row>
    <row r="1132" spans="2:44">
      <c r="B1132" s="230">
        <v>44750</v>
      </c>
      <c r="C1132" s="1">
        <v>398.15</v>
      </c>
      <c r="D1132" s="1">
        <v>399.36433566433499</v>
      </c>
      <c r="E1132" s="1">
        <v>1430</v>
      </c>
      <c r="F1132" s="215">
        <v>54481.84</v>
      </c>
      <c r="G1132" s="215">
        <f t="shared" si="180"/>
        <v>1.5922352015056429E-3</v>
      </c>
      <c r="H1132" s="215">
        <f t="shared" si="181"/>
        <v>-4.6250000000001013E-3</v>
      </c>
      <c r="I1132" s="231">
        <v>571091</v>
      </c>
      <c r="K1132" s="230">
        <v>44749</v>
      </c>
      <c r="L1132" s="1">
        <v>267.5</v>
      </c>
      <c r="M1132" s="1">
        <v>262.93360465363997</v>
      </c>
      <c r="N1132" s="1">
        <v>46931</v>
      </c>
      <c r="O1132" s="1">
        <v>54178.46</v>
      </c>
      <c r="P1132" s="215">
        <f t="shared" si="176"/>
        <v>-5.5684609770888516E-3</v>
      </c>
      <c r="Q1132" s="215">
        <f t="shared" si="172"/>
        <v>4.5061960195267314E-3</v>
      </c>
      <c r="R1132" s="231">
        <v>12339737</v>
      </c>
      <c r="T1132" s="230">
        <v>44749</v>
      </c>
      <c r="U1132" s="1">
        <v>51.35</v>
      </c>
      <c r="V1132" s="1">
        <v>50.4392987239844</v>
      </c>
      <c r="W1132" s="1">
        <v>93886</v>
      </c>
      <c r="X1132" s="1">
        <v>54178.46</v>
      </c>
      <c r="Y1132" s="215">
        <f t="shared" si="177"/>
        <v>-5.5684609770888516E-3</v>
      </c>
      <c r="Z1132" s="215">
        <f t="shared" si="173"/>
        <v>-1.9436345966958868E-3</v>
      </c>
      <c r="AA1132" s="231">
        <v>4735544</v>
      </c>
      <c r="AC1132" s="230">
        <v>44783</v>
      </c>
      <c r="AD1132" s="1">
        <v>70.650000000000006</v>
      </c>
      <c r="AE1132" s="1">
        <v>70.803473177441504</v>
      </c>
      <c r="AF1132" s="1">
        <v>5816</v>
      </c>
      <c r="AG1132" s="1">
        <v>58817.29</v>
      </c>
      <c r="AH1132" s="215">
        <f t="shared" si="178"/>
        <v>-8.6851073440232796E-3</v>
      </c>
      <c r="AI1132" s="215">
        <f t="shared" si="174"/>
        <v>1.4357501794687755E-2</v>
      </c>
      <c r="AJ1132" s="231">
        <v>411793</v>
      </c>
      <c r="AL1132" s="254"/>
      <c r="AQ1132" s="215" t="str">
        <f t="shared" si="179"/>
        <v>NA</v>
      </c>
      <c r="AR1132" s="215" t="str">
        <f t="shared" si="175"/>
        <v>NA</v>
      </c>
    </row>
    <row r="1133" spans="2:44">
      <c r="B1133" s="230">
        <v>44753</v>
      </c>
      <c r="C1133" s="1">
        <v>400</v>
      </c>
      <c r="D1133" s="1">
        <v>401.00504540867797</v>
      </c>
      <c r="E1133" s="1">
        <v>991</v>
      </c>
      <c r="F1133" s="215">
        <v>54395.23</v>
      </c>
      <c r="G1133" s="215">
        <f t="shared" si="180"/>
        <v>9.4387084286802203E-3</v>
      </c>
      <c r="H1133" s="215">
        <f t="shared" si="181"/>
        <v>9.7185409567084324E-3</v>
      </c>
      <c r="I1133" s="231">
        <v>397396</v>
      </c>
      <c r="K1133" s="230">
        <v>44750</v>
      </c>
      <c r="L1133" s="1">
        <v>266.3</v>
      </c>
      <c r="M1133" s="1">
        <v>266.81876485873801</v>
      </c>
      <c r="N1133" s="1">
        <v>18087</v>
      </c>
      <c r="O1133" s="1">
        <v>54481.84</v>
      </c>
      <c r="P1133" s="215">
        <f t="shared" si="176"/>
        <v>1.5922352015056429E-3</v>
      </c>
      <c r="Q1133" s="215">
        <f t="shared" si="172"/>
        <v>-6.0007059654076933E-2</v>
      </c>
      <c r="R1133" s="231">
        <v>4825951</v>
      </c>
      <c r="T1133" s="230">
        <v>44750</v>
      </c>
      <c r="U1133" s="1">
        <v>51.45</v>
      </c>
      <c r="V1133" s="1">
        <v>51.315169124499697</v>
      </c>
      <c r="W1133" s="1">
        <v>54723</v>
      </c>
      <c r="X1133" s="1">
        <v>54481.84</v>
      </c>
      <c r="Y1133" s="215">
        <f t="shared" si="177"/>
        <v>1.5922352015056429E-3</v>
      </c>
      <c r="Z1133" s="215">
        <f t="shared" si="173"/>
        <v>-3.5613870665416991E-2</v>
      </c>
      <c r="AA1133" s="231">
        <v>2808120</v>
      </c>
      <c r="AC1133" s="230">
        <v>44784</v>
      </c>
      <c r="AD1133" s="1">
        <v>69.650000000000006</v>
      </c>
      <c r="AE1133" s="1">
        <v>69.8642095053346</v>
      </c>
      <c r="AF1133" s="1">
        <v>4124</v>
      </c>
      <c r="AG1133" s="1">
        <v>59332.6</v>
      </c>
      <c r="AH1133" s="215">
        <f t="shared" si="178"/>
        <v>-2.1892686483880874E-3</v>
      </c>
      <c r="AI1133" s="215">
        <f t="shared" si="174"/>
        <v>1.2354651162790775E-2</v>
      </c>
      <c r="AJ1133" s="231">
        <v>288120</v>
      </c>
      <c r="AL1133" s="254"/>
      <c r="AQ1133" s="215" t="str">
        <f t="shared" si="179"/>
        <v>NA</v>
      </c>
      <c r="AR1133" s="215" t="str">
        <f t="shared" si="175"/>
        <v>NA</v>
      </c>
    </row>
    <row r="1134" spans="2:44">
      <c r="B1134" s="230">
        <v>44754</v>
      </c>
      <c r="C1134" s="1">
        <v>396.15</v>
      </c>
      <c r="D1134" s="1">
        <v>400.64214992927799</v>
      </c>
      <c r="E1134" s="1">
        <v>1414</v>
      </c>
      <c r="F1134" s="215">
        <v>53886.61</v>
      </c>
      <c r="G1134" s="215">
        <f t="shared" si="180"/>
        <v>6.960028328955925E-3</v>
      </c>
      <c r="H1134" s="215">
        <f t="shared" si="181"/>
        <v>-1.4429655429779809E-2</v>
      </c>
      <c r="I1134" s="231">
        <v>566508</v>
      </c>
      <c r="K1134" s="230">
        <v>44753</v>
      </c>
      <c r="L1134" s="1">
        <v>283.3</v>
      </c>
      <c r="M1134" s="1">
        <v>278.15578856054401</v>
      </c>
      <c r="N1134" s="1">
        <v>53027</v>
      </c>
      <c r="O1134" s="1">
        <v>54395.23</v>
      </c>
      <c r="P1134" s="215">
        <f t="shared" si="176"/>
        <v>9.4387084286802203E-3</v>
      </c>
      <c r="Q1134" s="215">
        <f t="shared" si="172"/>
        <v>2.3482658959537606E-2</v>
      </c>
      <c r="R1134" s="231">
        <v>14749767</v>
      </c>
      <c r="T1134" s="230">
        <v>44753</v>
      </c>
      <c r="U1134" s="1">
        <v>53.35</v>
      </c>
      <c r="V1134" s="1">
        <v>52.614995361389802</v>
      </c>
      <c r="W1134" s="1">
        <v>130427</v>
      </c>
      <c r="X1134" s="1">
        <v>54395.23</v>
      </c>
      <c r="Y1134" s="215">
        <f t="shared" si="177"/>
        <v>9.4387084286802203E-3</v>
      </c>
      <c r="Z1134" s="215">
        <f t="shared" si="173"/>
        <v>5.655042412818112E-3</v>
      </c>
      <c r="AA1134" s="231">
        <v>6862416</v>
      </c>
      <c r="AC1134" s="230">
        <v>44785</v>
      </c>
      <c r="AD1134" s="1">
        <v>68.8</v>
      </c>
      <c r="AE1134" s="1">
        <v>69.043917699434402</v>
      </c>
      <c r="AF1134" s="1">
        <v>8311</v>
      </c>
      <c r="AG1134" s="1">
        <v>59462.78</v>
      </c>
      <c r="AH1134" s="215">
        <f t="shared" si="178"/>
        <v>-6.3405078121279157E-3</v>
      </c>
      <c r="AI1134" s="215">
        <f t="shared" si="174"/>
        <v>5.1132213294373674E-3</v>
      </c>
      <c r="AJ1134" s="231">
        <v>573824</v>
      </c>
      <c r="AL1134" s="254"/>
      <c r="AQ1134" s="215" t="str">
        <f t="shared" si="179"/>
        <v>NA</v>
      </c>
      <c r="AR1134" s="215" t="str">
        <f t="shared" si="175"/>
        <v>NA</v>
      </c>
    </row>
    <row r="1135" spans="2:44">
      <c r="B1135" s="230">
        <v>44755</v>
      </c>
      <c r="C1135" s="1">
        <v>401.95</v>
      </c>
      <c r="D1135" s="1">
        <v>398.542613636363</v>
      </c>
      <c r="E1135" s="1">
        <v>352</v>
      </c>
      <c r="F1135" s="215">
        <v>53514.15</v>
      </c>
      <c r="G1135" s="215">
        <f t="shared" si="180"/>
        <v>1.8346511307909541E-3</v>
      </c>
      <c r="H1135" s="215">
        <f t="shared" si="181"/>
        <v>5.0006250781347017E-3</v>
      </c>
      <c r="I1135" s="231">
        <v>140287</v>
      </c>
      <c r="K1135" s="230">
        <v>44754</v>
      </c>
      <c r="L1135" s="1">
        <v>276.8</v>
      </c>
      <c r="M1135" s="1">
        <v>281.22961242671101</v>
      </c>
      <c r="N1135" s="1">
        <v>26266</v>
      </c>
      <c r="O1135" s="1">
        <v>53886.61</v>
      </c>
      <c r="P1135" s="215">
        <f t="shared" si="176"/>
        <v>6.960028328955925E-3</v>
      </c>
      <c r="Q1135" s="215">
        <f t="shared" si="172"/>
        <v>2.8805054822523601E-2</v>
      </c>
      <c r="R1135" s="231">
        <v>7386777</v>
      </c>
      <c r="T1135" s="230">
        <v>44754</v>
      </c>
      <c r="U1135" s="1">
        <v>53.05</v>
      </c>
      <c r="V1135" s="1">
        <v>53.263939835031501</v>
      </c>
      <c r="W1135" s="1">
        <v>103050</v>
      </c>
      <c r="X1135" s="1">
        <v>53886.61</v>
      </c>
      <c r="Y1135" s="215">
        <f t="shared" si="177"/>
        <v>6.960028328955925E-3</v>
      </c>
      <c r="Z1135" s="215">
        <f t="shared" si="173"/>
        <v>2.6112185686653744E-2</v>
      </c>
      <c r="AA1135" s="231">
        <v>5488849</v>
      </c>
      <c r="AC1135" s="230">
        <v>44789</v>
      </c>
      <c r="AD1135" s="1">
        <v>68.45</v>
      </c>
      <c r="AE1135" s="1">
        <v>68.619447257994494</v>
      </c>
      <c r="AF1135" s="1">
        <v>6911</v>
      </c>
      <c r="AG1135" s="1">
        <v>59842.21</v>
      </c>
      <c r="AH1135" s="215">
        <f t="shared" si="178"/>
        <v>-6.9352654898022781E-3</v>
      </c>
      <c r="AI1135" s="215">
        <f t="shared" si="174"/>
        <v>-5.0872093023255349E-3</v>
      </c>
      <c r="AJ1135" s="231">
        <v>474229</v>
      </c>
      <c r="AL1135" s="254"/>
      <c r="AQ1135" s="215" t="str">
        <f t="shared" si="179"/>
        <v>NA</v>
      </c>
      <c r="AR1135" s="215" t="str">
        <f t="shared" si="175"/>
        <v>NA</v>
      </c>
    </row>
    <row r="1136" spans="2:44">
      <c r="B1136" s="230">
        <v>44756</v>
      </c>
      <c r="C1136" s="1">
        <v>399.95</v>
      </c>
      <c r="D1136" s="1">
        <v>400.31830008673001</v>
      </c>
      <c r="E1136" s="1">
        <v>2306</v>
      </c>
      <c r="F1136" s="215">
        <v>53416.15</v>
      </c>
      <c r="G1136" s="215">
        <f t="shared" si="180"/>
        <v>-6.4104352652620822E-3</v>
      </c>
      <c r="H1136" s="215">
        <f t="shared" si="181"/>
        <v>1.0612760581174996E-2</v>
      </c>
      <c r="I1136" s="231">
        <v>923134</v>
      </c>
      <c r="K1136" s="230">
        <v>44755</v>
      </c>
      <c r="L1136" s="1">
        <v>269.05</v>
      </c>
      <c r="M1136" s="1">
        <v>274.09642283545003</v>
      </c>
      <c r="N1136" s="1">
        <v>34245</v>
      </c>
      <c r="O1136" s="1">
        <v>53514.15</v>
      </c>
      <c r="P1136" s="215">
        <f t="shared" si="176"/>
        <v>1.8346511307909541E-3</v>
      </c>
      <c r="Q1136" s="215">
        <f t="shared" si="172"/>
        <v>2.0288206295032252E-2</v>
      </c>
      <c r="R1136" s="231">
        <v>9386432</v>
      </c>
      <c r="T1136" s="230">
        <v>44755</v>
      </c>
      <c r="U1136" s="1">
        <v>51.7</v>
      </c>
      <c r="V1136" s="1">
        <v>53.087077914121103</v>
      </c>
      <c r="W1136" s="1">
        <v>114254</v>
      </c>
      <c r="X1136" s="1">
        <v>53514.15</v>
      </c>
      <c r="Y1136" s="215">
        <f t="shared" si="177"/>
        <v>1.8346511307909541E-3</v>
      </c>
      <c r="Z1136" s="215">
        <f t="shared" si="173"/>
        <v>1.6715830875122961E-2</v>
      </c>
      <c r="AA1136" s="231">
        <v>6065411</v>
      </c>
      <c r="AC1136" s="230">
        <v>44790</v>
      </c>
      <c r="AD1136" s="1">
        <v>68.8</v>
      </c>
      <c r="AE1136" s="1">
        <v>68.288547146903994</v>
      </c>
      <c r="AF1136" s="1">
        <v>2471</v>
      </c>
      <c r="AG1136" s="1">
        <v>60260.13</v>
      </c>
      <c r="AH1136" s="215">
        <f t="shared" si="178"/>
        <v>-6.2804736475507994E-4</v>
      </c>
      <c r="AI1136" s="215">
        <f t="shared" si="174"/>
        <v>1.5498154981549828E-2</v>
      </c>
      <c r="AJ1136" s="231">
        <v>168741</v>
      </c>
      <c r="AL1136" s="254"/>
      <c r="AQ1136" s="215" t="str">
        <f t="shared" si="179"/>
        <v>NA</v>
      </c>
      <c r="AR1136" s="215" t="str">
        <f t="shared" si="175"/>
        <v>NA</v>
      </c>
    </row>
    <row r="1137" spans="2:44">
      <c r="B1137" s="230">
        <v>44757</v>
      </c>
      <c r="C1137" s="1">
        <v>395.75</v>
      </c>
      <c r="D1137" s="1">
        <v>393.48252184769001</v>
      </c>
      <c r="E1137" s="1">
        <v>1602</v>
      </c>
      <c r="F1137" s="215">
        <v>53760.78</v>
      </c>
      <c r="G1137" s="215">
        <f t="shared" si="180"/>
        <v>-1.3946330919285543E-2</v>
      </c>
      <c r="H1137" s="215">
        <f t="shared" si="181"/>
        <v>-1.2632642748866552E-4</v>
      </c>
      <c r="I1137" s="231">
        <v>630359</v>
      </c>
      <c r="K1137" s="230">
        <v>44756</v>
      </c>
      <c r="L1137" s="1">
        <v>263.7</v>
      </c>
      <c r="M1137" s="1">
        <v>265.02129954165503</v>
      </c>
      <c r="N1137" s="1">
        <v>14836</v>
      </c>
      <c r="O1137" s="1">
        <v>53416.15</v>
      </c>
      <c r="P1137" s="215">
        <f t="shared" si="176"/>
        <v>-6.4104352652620822E-3</v>
      </c>
      <c r="Q1137" s="215">
        <f t="shared" si="172"/>
        <v>6.680664248902568E-3</v>
      </c>
      <c r="R1137" s="231">
        <v>3931856</v>
      </c>
      <c r="T1137" s="230">
        <v>44756</v>
      </c>
      <c r="U1137" s="1">
        <v>50.85</v>
      </c>
      <c r="V1137" s="1">
        <v>51.2894575543977</v>
      </c>
      <c r="W1137" s="1">
        <v>123994</v>
      </c>
      <c r="X1137" s="1">
        <v>53416.15</v>
      </c>
      <c r="Y1137" s="215">
        <f t="shared" si="177"/>
        <v>-6.4104352652620822E-3</v>
      </c>
      <c r="Z1137" s="215">
        <f t="shared" si="173"/>
        <v>5.9347181008901906E-3</v>
      </c>
      <c r="AA1137" s="231">
        <v>6359585</v>
      </c>
      <c r="AC1137" s="230">
        <v>44791</v>
      </c>
      <c r="AD1137" s="1">
        <v>67.75</v>
      </c>
      <c r="AE1137" s="1">
        <v>67.989038785834694</v>
      </c>
      <c r="AF1137" s="1">
        <v>7116</v>
      </c>
      <c r="AG1137" s="1">
        <v>60298</v>
      </c>
      <c r="AH1137" s="215">
        <f t="shared" si="178"/>
        <v>1.0928618192456607E-2</v>
      </c>
      <c r="AI1137" s="215">
        <f t="shared" si="174"/>
        <v>6.6864784546805112E-3</v>
      </c>
      <c r="AJ1137" s="231">
        <v>483810</v>
      </c>
      <c r="AL1137" s="254"/>
      <c r="AQ1137" s="215" t="str">
        <f t="shared" si="179"/>
        <v>NA</v>
      </c>
      <c r="AR1137" s="215" t="str">
        <f t="shared" si="175"/>
        <v>NA</v>
      </c>
    </row>
    <row r="1138" spans="2:44">
      <c r="B1138" s="230">
        <v>44760</v>
      </c>
      <c r="C1138" s="1">
        <v>395.8</v>
      </c>
      <c r="D1138" s="1">
        <v>397.43971238938002</v>
      </c>
      <c r="E1138" s="1">
        <v>1808</v>
      </c>
      <c r="F1138" s="215">
        <v>54521.15</v>
      </c>
      <c r="G1138" s="215">
        <f t="shared" si="180"/>
        <v>-4.5002868483239311E-3</v>
      </c>
      <c r="H1138" s="215">
        <f t="shared" si="181"/>
        <v>-3.5246727089627283E-3</v>
      </c>
      <c r="I1138" s="231">
        <v>718571</v>
      </c>
      <c r="K1138" s="230">
        <v>44757</v>
      </c>
      <c r="L1138" s="1">
        <v>261.95</v>
      </c>
      <c r="M1138" s="1">
        <v>262.11905089093398</v>
      </c>
      <c r="N1138" s="1">
        <v>21831</v>
      </c>
      <c r="O1138" s="1">
        <v>53760.78</v>
      </c>
      <c r="P1138" s="215">
        <f t="shared" si="176"/>
        <v>-1.3946330919285543E-2</v>
      </c>
      <c r="Q1138" s="215">
        <f t="shared" si="172"/>
        <v>-3.303802141011436E-2</v>
      </c>
      <c r="R1138" s="231">
        <v>5722321</v>
      </c>
      <c r="T1138" s="230">
        <v>44757</v>
      </c>
      <c r="U1138" s="1">
        <v>50.55</v>
      </c>
      <c r="V1138" s="1">
        <v>50.813471400394398</v>
      </c>
      <c r="W1138" s="1">
        <v>50700</v>
      </c>
      <c r="X1138" s="1">
        <v>53760.78</v>
      </c>
      <c r="Y1138" s="215">
        <f t="shared" si="177"/>
        <v>-1.3946330919285543E-2</v>
      </c>
      <c r="Z1138" s="215">
        <f t="shared" si="173"/>
        <v>-2.9585798816569309E-3</v>
      </c>
      <c r="AA1138" s="231">
        <v>2576243</v>
      </c>
      <c r="AC1138" s="230">
        <v>44792</v>
      </c>
      <c r="AD1138" s="1">
        <v>67.3</v>
      </c>
      <c r="AE1138" s="1">
        <v>67.559035720570094</v>
      </c>
      <c r="AF1138" s="1">
        <v>5683</v>
      </c>
      <c r="AG1138" s="1">
        <v>59646.15</v>
      </c>
      <c r="AH1138" s="215">
        <f t="shared" si="178"/>
        <v>1.4841289164725824E-2</v>
      </c>
      <c r="AI1138" s="215">
        <f t="shared" si="174"/>
        <v>2.6697177726926036E-2</v>
      </c>
      <c r="AJ1138" s="231">
        <v>383938</v>
      </c>
      <c r="AL1138" s="254"/>
      <c r="AQ1138" s="215" t="str">
        <f t="shared" si="179"/>
        <v>NA</v>
      </c>
      <c r="AR1138" s="215" t="str">
        <f t="shared" si="175"/>
        <v>NA</v>
      </c>
    </row>
    <row r="1139" spans="2:44">
      <c r="B1139" s="230">
        <v>44761</v>
      </c>
      <c r="C1139" s="1">
        <v>397.2</v>
      </c>
      <c r="D1139" s="1">
        <v>397.214227642276</v>
      </c>
      <c r="E1139" s="1">
        <v>2460</v>
      </c>
      <c r="F1139" s="215">
        <v>54767.62</v>
      </c>
      <c r="G1139" s="215">
        <f t="shared" si="180"/>
        <v>-1.1370723568361218E-2</v>
      </c>
      <c r="H1139" s="215">
        <f t="shared" si="181"/>
        <v>3.6639292482627539E-3</v>
      </c>
      <c r="I1139" s="231">
        <v>977147</v>
      </c>
      <c r="K1139" s="230">
        <v>44760</v>
      </c>
      <c r="L1139" s="1">
        <v>270.89999999999998</v>
      </c>
      <c r="M1139" s="1">
        <v>267.69286491761397</v>
      </c>
      <c r="N1139" s="1">
        <v>26643</v>
      </c>
      <c r="O1139" s="1">
        <v>54521.15</v>
      </c>
      <c r="P1139" s="215">
        <f t="shared" si="176"/>
        <v>-4.5002868483239311E-3</v>
      </c>
      <c r="Q1139" s="215">
        <f t="shared" si="172"/>
        <v>-4.4444444444444509E-2</v>
      </c>
      <c r="R1139" s="231">
        <v>7132141</v>
      </c>
      <c r="T1139" s="230">
        <v>44760</v>
      </c>
      <c r="U1139" s="1">
        <v>50.7</v>
      </c>
      <c r="V1139" s="1">
        <v>50.926828255135298</v>
      </c>
      <c r="W1139" s="1">
        <v>48147</v>
      </c>
      <c r="X1139" s="1">
        <v>54521.15</v>
      </c>
      <c r="Y1139" s="215">
        <f t="shared" si="177"/>
        <v>-4.5002868483239311E-3</v>
      </c>
      <c r="Z1139" s="215">
        <f t="shared" si="173"/>
        <v>3.9603960396039639E-3</v>
      </c>
      <c r="AA1139" s="231">
        <v>2451974</v>
      </c>
      <c r="AC1139" s="230">
        <v>44795</v>
      </c>
      <c r="AD1139" s="1">
        <v>65.55</v>
      </c>
      <c r="AE1139" s="1">
        <v>65.868131868131798</v>
      </c>
      <c r="AF1139" s="1">
        <v>9919</v>
      </c>
      <c r="AG1139" s="1">
        <v>58773.87</v>
      </c>
      <c r="AH1139" s="215">
        <f t="shared" si="178"/>
        <v>-4.360906840947143E-3</v>
      </c>
      <c r="AI1139" s="215">
        <f t="shared" si="174"/>
        <v>1.2355212355212419E-2</v>
      </c>
      <c r="AJ1139" s="231">
        <v>653346</v>
      </c>
      <c r="AL1139" s="254"/>
      <c r="AQ1139" s="215" t="str">
        <f t="shared" si="179"/>
        <v>NA</v>
      </c>
      <c r="AR1139" s="215" t="str">
        <f t="shared" si="175"/>
        <v>NA</v>
      </c>
    </row>
    <row r="1140" spans="2:44">
      <c r="B1140" s="230">
        <v>44762</v>
      </c>
      <c r="C1140" s="1">
        <v>395.75</v>
      </c>
      <c r="D1140" s="1">
        <v>400.37996820349701</v>
      </c>
      <c r="E1140" s="1">
        <v>1258</v>
      </c>
      <c r="F1140" s="215">
        <v>55397.53</v>
      </c>
      <c r="G1140" s="215">
        <f t="shared" si="180"/>
        <v>-5.1079389281445398E-3</v>
      </c>
      <c r="H1140" s="215">
        <f t="shared" si="181"/>
        <v>-3.2741468328926215E-3</v>
      </c>
      <c r="I1140" s="231">
        <v>503678</v>
      </c>
      <c r="K1140" s="230">
        <v>44761</v>
      </c>
      <c r="L1140" s="1">
        <v>283.5</v>
      </c>
      <c r="M1140" s="1">
        <v>279.88253020010001</v>
      </c>
      <c r="N1140" s="1">
        <v>37831</v>
      </c>
      <c r="O1140" s="1">
        <v>54767.62</v>
      </c>
      <c r="P1140" s="215">
        <f t="shared" si="176"/>
        <v>-1.1370723568361218E-2</v>
      </c>
      <c r="Q1140" s="215">
        <f t="shared" si="172"/>
        <v>1.8867924528301883E-2</v>
      </c>
      <c r="R1140" s="231">
        <v>10588236</v>
      </c>
      <c r="T1140" s="230">
        <v>44761</v>
      </c>
      <c r="U1140" s="1">
        <v>50.5</v>
      </c>
      <c r="V1140" s="1">
        <v>50.865830660756899</v>
      </c>
      <c r="W1140" s="1">
        <v>83253</v>
      </c>
      <c r="X1140" s="1">
        <v>54767.62</v>
      </c>
      <c r="Y1140" s="215">
        <f t="shared" si="177"/>
        <v>-1.1370723568361218E-2</v>
      </c>
      <c r="Z1140" s="215">
        <f t="shared" si="173"/>
        <v>-1.6553067185978598E-2</v>
      </c>
      <c r="AA1140" s="231">
        <v>4234733</v>
      </c>
      <c r="AC1140" s="230">
        <v>44796</v>
      </c>
      <c r="AD1140" s="1">
        <v>64.75</v>
      </c>
      <c r="AE1140" s="1">
        <v>64.398731309469795</v>
      </c>
      <c r="AF1140" s="1">
        <v>6621</v>
      </c>
      <c r="AG1140" s="1">
        <v>59031.3</v>
      </c>
      <c r="AH1140" s="215">
        <f t="shared" si="178"/>
        <v>-9.161311003406114E-4</v>
      </c>
      <c r="AI1140" s="215">
        <f t="shared" si="174"/>
        <v>8.5669781931463351E-3</v>
      </c>
      <c r="AJ1140" s="231">
        <v>426384</v>
      </c>
      <c r="AL1140" s="254"/>
      <c r="AQ1140" s="215" t="str">
        <f t="shared" si="179"/>
        <v>NA</v>
      </c>
      <c r="AR1140" s="215" t="str">
        <f t="shared" si="175"/>
        <v>NA</v>
      </c>
    </row>
    <row r="1141" spans="2:44">
      <c r="B1141" s="230">
        <v>44763</v>
      </c>
      <c r="C1141" s="1">
        <v>397.05</v>
      </c>
      <c r="D1141" s="1">
        <v>396.04715969989201</v>
      </c>
      <c r="E1141" s="1">
        <v>933</v>
      </c>
      <c r="F1141" s="215">
        <v>55681.95</v>
      </c>
      <c r="G1141" s="215">
        <f t="shared" si="180"/>
        <v>-6.9603081596719685E-3</v>
      </c>
      <c r="H1141" s="215">
        <f t="shared" si="181"/>
        <v>2.519208968383424E-4</v>
      </c>
      <c r="I1141" s="231">
        <v>369512</v>
      </c>
      <c r="K1141" s="230">
        <v>44762</v>
      </c>
      <c r="L1141" s="1">
        <v>278.25</v>
      </c>
      <c r="M1141" s="1">
        <v>284.06164733534303</v>
      </c>
      <c r="N1141" s="1">
        <v>39142</v>
      </c>
      <c r="O1141" s="1">
        <v>55397.53</v>
      </c>
      <c r="P1141" s="215">
        <f t="shared" si="176"/>
        <v>-5.1079389281445398E-3</v>
      </c>
      <c r="Q1141" s="215">
        <f t="shared" si="172"/>
        <v>1.1266581864437741E-2</v>
      </c>
      <c r="R1141" s="231">
        <v>11118741</v>
      </c>
      <c r="T1141" s="230">
        <v>44762</v>
      </c>
      <c r="U1141" s="1">
        <v>51.35</v>
      </c>
      <c r="V1141" s="1">
        <v>51.945923861622802</v>
      </c>
      <c r="W1141" s="1">
        <v>116262</v>
      </c>
      <c r="X1141" s="1">
        <v>55397.53</v>
      </c>
      <c r="Y1141" s="215">
        <f t="shared" si="177"/>
        <v>-5.1079389281445398E-3</v>
      </c>
      <c r="Z1141" s="215">
        <f t="shared" si="173"/>
        <v>-9.7276264591439343E-4</v>
      </c>
      <c r="AA1141" s="231">
        <v>6039337</v>
      </c>
      <c r="AC1141" s="230">
        <v>44797</v>
      </c>
      <c r="AD1141" s="1">
        <v>64.2</v>
      </c>
      <c r="AE1141" s="1">
        <v>64.432785503581897</v>
      </c>
      <c r="AF1141" s="1">
        <v>4746</v>
      </c>
      <c r="AG1141" s="1">
        <v>59085.43</v>
      </c>
      <c r="AH1141" s="215">
        <f t="shared" si="178"/>
        <v>5.286456490137148E-3</v>
      </c>
      <c r="AI1141" s="215">
        <f t="shared" si="174"/>
        <v>5.4815974941269108E-3</v>
      </c>
      <c r="AJ1141" s="231">
        <v>305798</v>
      </c>
      <c r="AL1141" s="254"/>
      <c r="AQ1141" s="215" t="str">
        <f t="shared" si="179"/>
        <v>NA</v>
      </c>
      <c r="AR1141" s="215" t="str">
        <f t="shared" si="175"/>
        <v>NA</v>
      </c>
    </row>
    <row r="1142" spans="2:44">
      <c r="B1142" s="230">
        <v>44764</v>
      </c>
      <c r="C1142" s="1">
        <v>396.95</v>
      </c>
      <c r="D1142" s="1">
        <v>397.74919093851099</v>
      </c>
      <c r="E1142" s="1">
        <v>1854</v>
      </c>
      <c r="F1142" s="215">
        <v>56072.23</v>
      </c>
      <c r="G1142" s="215">
        <f t="shared" si="180"/>
        <v>5.4873721044748081E-3</v>
      </c>
      <c r="H1142" s="215">
        <f t="shared" si="181"/>
        <v>-7.6249999999999929E-3</v>
      </c>
      <c r="I1142" s="231">
        <v>737427</v>
      </c>
      <c r="K1142" s="230">
        <v>44763</v>
      </c>
      <c r="L1142" s="1">
        <v>275.14999999999998</v>
      </c>
      <c r="M1142" s="1">
        <v>275.65306932264502</v>
      </c>
      <c r="N1142" s="1">
        <v>25201</v>
      </c>
      <c r="O1142" s="1">
        <v>55681.95</v>
      </c>
      <c r="P1142" s="215">
        <f t="shared" si="176"/>
        <v>-6.9603081596719685E-3</v>
      </c>
      <c r="Q1142" s="215">
        <f t="shared" si="172"/>
        <v>-4.1621425986247962E-3</v>
      </c>
      <c r="R1142" s="231">
        <v>6946733</v>
      </c>
      <c r="T1142" s="230">
        <v>44763</v>
      </c>
      <c r="U1142" s="1">
        <v>51.4</v>
      </c>
      <c r="V1142" s="1">
        <v>51.7508699877731</v>
      </c>
      <c r="W1142" s="1">
        <v>127588</v>
      </c>
      <c r="X1142" s="1">
        <v>55681.95</v>
      </c>
      <c r="Y1142" s="215">
        <f t="shared" si="177"/>
        <v>-6.9603081596719685E-3</v>
      </c>
      <c r="Z1142" s="215">
        <f t="shared" si="173"/>
        <v>-3.564727954971858E-2</v>
      </c>
      <c r="AA1142" s="231">
        <v>6602790</v>
      </c>
      <c r="AC1142" s="230">
        <v>44798</v>
      </c>
      <c r="AD1142" s="1">
        <v>63.85</v>
      </c>
      <c r="AE1142" s="1">
        <v>64.215183977643207</v>
      </c>
      <c r="AF1142" s="1">
        <v>10735</v>
      </c>
      <c r="AG1142" s="1">
        <v>58774.720000000001</v>
      </c>
      <c r="AH1142" s="215">
        <f t="shared" si="178"/>
        <v>-1.0053732654337066E-3</v>
      </c>
      <c r="AI1142" s="215">
        <f t="shared" si="174"/>
        <v>1.1084718923198844E-2</v>
      </c>
      <c r="AJ1142" s="231">
        <v>689350</v>
      </c>
      <c r="AL1142" s="254"/>
      <c r="AQ1142" s="215" t="str">
        <f t="shared" si="179"/>
        <v>NA</v>
      </c>
      <c r="AR1142" s="215" t="str">
        <f t="shared" si="175"/>
        <v>NA</v>
      </c>
    </row>
    <row r="1143" spans="2:44">
      <c r="B1143" s="230">
        <v>44767</v>
      </c>
      <c r="C1143" s="1">
        <v>400</v>
      </c>
      <c r="D1143" s="1">
        <v>401.07896924355703</v>
      </c>
      <c r="E1143" s="1">
        <v>1203</v>
      </c>
      <c r="F1143" s="215">
        <v>55766.22</v>
      </c>
      <c r="G1143" s="215">
        <f t="shared" si="180"/>
        <v>9.0056739382604611E-3</v>
      </c>
      <c r="H1143" s="215">
        <f t="shared" si="181"/>
        <v>1.7035341978133722E-2</v>
      </c>
      <c r="I1143" s="231">
        <v>482498</v>
      </c>
      <c r="K1143" s="230">
        <v>44764</v>
      </c>
      <c r="L1143" s="1">
        <v>276.3</v>
      </c>
      <c r="M1143" s="1">
        <v>277.97745102644802</v>
      </c>
      <c r="N1143" s="1">
        <v>21287</v>
      </c>
      <c r="O1143" s="1">
        <v>56072.23</v>
      </c>
      <c r="P1143" s="215">
        <f t="shared" si="176"/>
        <v>5.4873721044748081E-3</v>
      </c>
      <c r="Q1143" s="215">
        <f t="shared" si="172"/>
        <v>-2.3847376788553309E-2</v>
      </c>
      <c r="R1143" s="231">
        <v>5917306</v>
      </c>
      <c r="T1143" s="230">
        <v>44764</v>
      </c>
      <c r="U1143" s="1">
        <v>53.3</v>
      </c>
      <c r="V1143" s="1">
        <v>53.609495272100901</v>
      </c>
      <c r="W1143" s="1">
        <v>167199</v>
      </c>
      <c r="X1143" s="1">
        <v>56072.23</v>
      </c>
      <c r="Y1143" s="215">
        <f t="shared" si="177"/>
        <v>5.4873721044748081E-3</v>
      </c>
      <c r="Z1143" s="215">
        <f t="shared" si="173"/>
        <v>3.4951456310679641E-2</v>
      </c>
      <c r="AA1143" s="231">
        <v>8963454</v>
      </c>
      <c r="AC1143" s="230">
        <v>44799</v>
      </c>
      <c r="AD1143" s="1">
        <v>63.15</v>
      </c>
      <c r="AE1143" s="1">
        <v>64.148869223205494</v>
      </c>
      <c r="AF1143" s="1">
        <v>5085</v>
      </c>
      <c r="AG1143" s="1">
        <v>58833.87</v>
      </c>
      <c r="AH1143" s="215">
        <f t="shared" si="178"/>
        <v>1.4856151058896483E-2</v>
      </c>
      <c r="AI1143" s="215">
        <f t="shared" si="174"/>
        <v>-3.1570639305446013E-3</v>
      </c>
      <c r="AJ1143" s="231">
        <v>326197</v>
      </c>
      <c r="AL1143" s="254"/>
      <c r="AQ1143" s="215" t="str">
        <f t="shared" si="179"/>
        <v>NA</v>
      </c>
      <c r="AR1143" s="215" t="str">
        <f t="shared" si="175"/>
        <v>NA</v>
      </c>
    </row>
    <row r="1144" spans="2:44">
      <c r="B1144" s="230">
        <v>44768</v>
      </c>
      <c r="C1144" s="1">
        <v>393.3</v>
      </c>
      <c r="D1144" s="1">
        <v>395.48520084566502</v>
      </c>
      <c r="E1144" s="1">
        <v>946</v>
      </c>
      <c r="F1144" s="215">
        <v>55268.49</v>
      </c>
      <c r="G1144" s="215">
        <f t="shared" si="180"/>
        <v>-9.8148713494548012E-3</v>
      </c>
      <c r="H1144" s="215">
        <f t="shared" si="181"/>
        <v>-6.3524329818320791E-4</v>
      </c>
      <c r="I1144" s="231">
        <v>374129</v>
      </c>
      <c r="K1144" s="230">
        <v>44767</v>
      </c>
      <c r="L1144" s="1">
        <v>283.05</v>
      </c>
      <c r="M1144" s="1">
        <v>279.45210113080799</v>
      </c>
      <c r="N1144" s="1">
        <v>40502</v>
      </c>
      <c r="O1144" s="1">
        <v>55766.22</v>
      </c>
      <c r="P1144" s="215">
        <f t="shared" si="176"/>
        <v>9.0056739382604611E-3</v>
      </c>
      <c r="Q1144" s="215">
        <f t="shared" si="172"/>
        <v>2.3133923730345396E-2</v>
      </c>
      <c r="R1144" s="231">
        <v>11318369</v>
      </c>
      <c r="T1144" s="230">
        <v>44767</v>
      </c>
      <c r="U1144" s="1">
        <v>51.5</v>
      </c>
      <c r="V1144" s="1">
        <v>51.869116389334799</v>
      </c>
      <c r="W1144" s="1">
        <v>66647</v>
      </c>
      <c r="X1144" s="1">
        <v>55766.22</v>
      </c>
      <c r="Y1144" s="215">
        <f t="shared" si="177"/>
        <v>9.0056739382604611E-3</v>
      </c>
      <c r="Z1144" s="215">
        <f t="shared" si="173"/>
        <v>1.3779527559055094E-2</v>
      </c>
      <c r="AA1144" s="231">
        <v>3456921</v>
      </c>
      <c r="AC1144" s="230">
        <v>44802</v>
      </c>
      <c r="AD1144" s="1">
        <v>63.35</v>
      </c>
      <c r="AE1144" s="1">
        <v>61.682892356399798</v>
      </c>
      <c r="AF1144" s="1">
        <v>17688</v>
      </c>
      <c r="AG1144" s="1">
        <v>57972.62</v>
      </c>
      <c r="AH1144" s="215">
        <f t="shared" si="178"/>
        <v>-2.6276906135958567E-2</v>
      </c>
      <c r="AI1144" s="215">
        <f t="shared" si="174"/>
        <v>-5.494505494505475E-3</v>
      </c>
      <c r="AJ1144" s="231">
        <v>1091047</v>
      </c>
      <c r="AL1144" s="254"/>
      <c r="AQ1144" s="215" t="str">
        <f t="shared" si="179"/>
        <v>NA</v>
      </c>
      <c r="AR1144" s="215" t="str">
        <f t="shared" si="175"/>
        <v>NA</v>
      </c>
    </row>
    <row r="1145" spans="2:44">
      <c r="B1145" s="230">
        <v>44769</v>
      </c>
      <c r="C1145" s="1">
        <v>393.55</v>
      </c>
      <c r="D1145" s="1">
        <v>392.489339019189</v>
      </c>
      <c r="E1145" s="1">
        <v>938</v>
      </c>
      <c r="F1145" s="215">
        <v>55816.32</v>
      </c>
      <c r="G1145" s="215">
        <f t="shared" si="180"/>
        <v>-1.8317103074178553E-2</v>
      </c>
      <c r="H1145" s="215">
        <f t="shared" si="181"/>
        <v>6.393044367727807E-3</v>
      </c>
      <c r="I1145" s="231">
        <v>368155</v>
      </c>
      <c r="K1145" s="230">
        <v>44768</v>
      </c>
      <c r="L1145" s="1">
        <v>276.64999999999998</v>
      </c>
      <c r="M1145" s="1">
        <v>280.88650938629502</v>
      </c>
      <c r="N1145" s="1">
        <v>25729</v>
      </c>
      <c r="O1145" s="1">
        <v>55268.49</v>
      </c>
      <c r="P1145" s="215">
        <f t="shared" si="176"/>
        <v>-9.8148713494548012E-3</v>
      </c>
      <c r="Q1145" s="215">
        <f t="shared" si="172"/>
        <v>-2.0361189801699764E-2</v>
      </c>
      <c r="R1145" s="231">
        <v>7226929</v>
      </c>
      <c r="T1145" s="230">
        <v>44768</v>
      </c>
      <c r="U1145" s="1">
        <v>50.8</v>
      </c>
      <c r="V1145" s="1">
        <v>51.223488624696799</v>
      </c>
      <c r="W1145" s="1">
        <v>67207</v>
      </c>
      <c r="X1145" s="1">
        <v>55268.49</v>
      </c>
      <c r="Y1145" s="215">
        <f t="shared" si="177"/>
        <v>-9.8148713494548012E-3</v>
      </c>
      <c r="Z1145" s="215">
        <f t="shared" si="173"/>
        <v>8.9374379344586696E-3</v>
      </c>
      <c r="AA1145" s="231">
        <v>3442577</v>
      </c>
      <c r="AC1145" s="230">
        <v>44803</v>
      </c>
      <c r="AD1145" s="1">
        <v>63.7</v>
      </c>
      <c r="AE1145" s="1">
        <v>63.182645475519003</v>
      </c>
      <c r="AF1145" s="1">
        <v>7802</v>
      </c>
      <c r="AG1145" s="1">
        <v>59537.07</v>
      </c>
      <c r="AH1145" s="215">
        <f t="shared" si="178"/>
        <v>1.3110850910355687E-2</v>
      </c>
      <c r="AI1145" s="215">
        <f t="shared" si="174"/>
        <v>4.7318611987381409E-3</v>
      </c>
      <c r="AJ1145" s="231">
        <v>492951</v>
      </c>
      <c r="AL1145" s="254"/>
      <c r="AQ1145" s="215" t="str">
        <f t="shared" si="179"/>
        <v>NA</v>
      </c>
      <c r="AR1145" s="215" t="str">
        <f t="shared" si="175"/>
        <v>NA</v>
      </c>
    </row>
    <row r="1146" spans="2:44">
      <c r="B1146" s="230">
        <v>44770</v>
      </c>
      <c r="C1146" s="1">
        <v>391.05</v>
      </c>
      <c r="D1146" s="1">
        <v>394.30382978723401</v>
      </c>
      <c r="E1146" s="1">
        <v>1175</v>
      </c>
      <c r="F1146" s="215">
        <v>56857.79</v>
      </c>
      <c r="G1146" s="215">
        <f t="shared" si="180"/>
        <v>-1.2375489076389301E-2</v>
      </c>
      <c r="H1146" s="215">
        <f t="shared" si="181"/>
        <v>-1.4242500630199051E-2</v>
      </c>
      <c r="I1146" s="231">
        <v>463307</v>
      </c>
      <c r="K1146" s="230">
        <v>44769</v>
      </c>
      <c r="L1146" s="1">
        <v>282.39999999999998</v>
      </c>
      <c r="M1146" s="1">
        <v>280.24788255223001</v>
      </c>
      <c r="N1146" s="1">
        <v>10626</v>
      </c>
      <c r="O1146" s="1">
        <v>55816.32</v>
      </c>
      <c r="P1146" s="215">
        <f t="shared" si="176"/>
        <v>-1.8317103074178553E-2</v>
      </c>
      <c r="Q1146" s="215">
        <f t="shared" si="172"/>
        <v>3.553660270078085E-3</v>
      </c>
      <c r="R1146" s="231">
        <v>2977914</v>
      </c>
      <c r="T1146" s="230">
        <v>44769</v>
      </c>
      <c r="U1146" s="1">
        <v>50.35</v>
      </c>
      <c r="V1146" s="1">
        <v>50.634550311665102</v>
      </c>
      <c r="W1146" s="1">
        <v>50535</v>
      </c>
      <c r="X1146" s="1">
        <v>55816.32</v>
      </c>
      <c r="Y1146" s="215">
        <f t="shared" si="177"/>
        <v>-1.8317103074178553E-2</v>
      </c>
      <c r="Z1146" s="215">
        <f t="shared" si="173"/>
        <v>0</v>
      </c>
      <c r="AA1146" s="231">
        <v>2558817</v>
      </c>
      <c r="AC1146" s="230">
        <v>44805</v>
      </c>
      <c r="AD1146" s="1">
        <v>63.4</v>
      </c>
      <c r="AE1146" s="1">
        <v>63.046089150546599</v>
      </c>
      <c r="AF1146" s="1">
        <v>5945</v>
      </c>
      <c r="AG1146" s="1">
        <v>58766.59</v>
      </c>
      <c r="AH1146" s="215">
        <f t="shared" si="178"/>
        <v>-6.2479454819996949E-4</v>
      </c>
      <c r="AI1146" s="215">
        <f t="shared" si="174"/>
        <v>-3.5741444866920213E-2</v>
      </c>
      <c r="AJ1146" s="231">
        <v>374809</v>
      </c>
      <c r="AL1146" s="254"/>
      <c r="AQ1146" s="215" t="str">
        <f t="shared" si="179"/>
        <v>NA</v>
      </c>
      <c r="AR1146" s="215" t="str">
        <f t="shared" si="175"/>
        <v>NA</v>
      </c>
    </row>
    <row r="1147" spans="2:44">
      <c r="B1147" s="230">
        <v>44771</v>
      </c>
      <c r="C1147" s="1">
        <v>396.7</v>
      </c>
      <c r="D1147" s="1">
        <v>397.60080645161202</v>
      </c>
      <c r="E1147" s="1">
        <v>496</v>
      </c>
      <c r="F1147" s="215">
        <v>57570.25</v>
      </c>
      <c r="G1147" s="215">
        <f t="shared" si="180"/>
        <v>-9.3821785926302415E-3</v>
      </c>
      <c r="H1147" s="215">
        <f t="shared" si="181"/>
        <v>-6.6357831476149265E-3</v>
      </c>
      <c r="I1147" s="231">
        <v>197210</v>
      </c>
      <c r="K1147" s="230">
        <v>44770</v>
      </c>
      <c r="L1147" s="1">
        <v>281.39999999999998</v>
      </c>
      <c r="M1147" s="1">
        <v>282.20629763838502</v>
      </c>
      <c r="N1147" s="1">
        <v>16006</v>
      </c>
      <c r="O1147" s="1">
        <v>56857.79</v>
      </c>
      <c r="P1147" s="215">
        <f t="shared" si="176"/>
        <v>-1.2375489076389301E-2</v>
      </c>
      <c r="Q1147" s="215">
        <f t="shared" si="172"/>
        <v>-1.4533356680091147E-2</v>
      </c>
      <c r="R1147" s="231">
        <v>4516994</v>
      </c>
      <c r="T1147" s="230">
        <v>44770</v>
      </c>
      <c r="U1147" s="1">
        <v>50.35</v>
      </c>
      <c r="V1147" s="1">
        <v>50.551819067383803</v>
      </c>
      <c r="W1147" s="1">
        <v>70833</v>
      </c>
      <c r="X1147" s="1">
        <v>56857.79</v>
      </c>
      <c r="Y1147" s="215">
        <f t="shared" si="177"/>
        <v>-1.2375489076389301E-2</v>
      </c>
      <c r="Z1147" s="215">
        <f t="shared" si="173"/>
        <v>-4.549763033175358E-2</v>
      </c>
      <c r="AA1147" s="231">
        <v>3580737</v>
      </c>
      <c r="AC1147" s="230">
        <v>44806</v>
      </c>
      <c r="AD1147" s="1">
        <v>65.75</v>
      </c>
      <c r="AE1147" s="1">
        <v>64.765185136119698</v>
      </c>
      <c r="AF1147" s="1">
        <v>15097</v>
      </c>
      <c r="AG1147" s="1">
        <v>58803.33</v>
      </c>
      <c r="AH1147" s="215">
        <f t="shared" si="178"/>
        <v>-7.4713929957779257E-3</v>
      </c>
      <c r="AI1147" s="215">
        <f t="shared" si="174"/>
        <v>9.2095165003835966E-3</v>
      </c>
      <c r="AJ1147" s="231">
        <v>977760</v>
      </c>
      <c r="AL1147" s="254"/>
      <c r="AQ1147" s="215" t="str">
        <f t="shared" si="179"/>
        <v>NA</v>
      </c>
      <c r="AR1147" s="215" t="str">
        <f t="shared" si="175"/>
        <v>NA</v>
      </c>
    </row>
    <row r="1148" spans="2:44">
      <c r="B1148" s="230">
        <v>44774</v>
      </c>
      <c r="C1148" s="1">
        <v>399.35</v>
      </c>
      <c r="D1148" s="1">
        <v>405.37919233401698</v>
      </c>
      <c r="E1148" s="1">
        <v>1461</v>
      </c>
      <c r="F1148" s="215">
        <v>58115.5</v>
      </c>
      <c r="G1148" s="215">
        <f t="shared" si="180"/>
        <v>-3.5881159398354345E-4</v>
      </c>
      <c r="H1148" s="215">
        <f t="shared" si="181"/>
        <v>4.4014084507042472E-3</v>
      </c>
      <c r="I1148" s="231">
        <v>592259</v>
      </c>
      <c r="K1148" s="230">
        <v>44771</v>
      </c>
      <c r="L1148" s="1">
        <v>285.55</v>
      </c>
      <c r="M1148" s="1">
        <v>286.68023861623402</v>
      </c>
      <c r="N1148" s="1">
        <v>38388</v>
      </c>
      <c r="O1148" s="1">
        <v>57570.25</v>
      </c>
      <c r="P1148" s="215">
        <f t="shared" si="176"/>
        <v>-9.3821785926302415E-3</v>
      </c>
      <c r="Q1148" s="215">
        <f t="shared" si="172"/>
        <v>-2.2256462934429067E-2</v>
      </c>
      <c r="R1148" s="231">
        <v>11005081</v>
      </c>
      <c r="T1148" s="230">
        <v>44771</v>
      </c>
      <c r="U1148" s="1">
        <v>52.75</v>
      </c>
      <c r="V1148" s="1">
        <v>52.631409717873098</v>
      </c>
      <c r="W1148" s="1">
        <v>130934</v>
      </c>
      <c r="X1148" s="1">
        <v>57570.25</v>
      </c>
      <c r="Y1148" s="215">
        <f t="shared" si="177"/>
        <v>-9.3821785926302415E-3</v>
      </c>
      <c r="Z1148" s="215">
        <f t="shared" si="173"/>
        <v>-1.8604651162790753E-2</v>
      </c>
      <c r="AA1148" s="231">
        <v>6891241</v>
      </c>
      <c r="AC1148" s="230">
        <v>44809</v>
      </c>
      <c r="AD1148" s="1">
        <v>65.150000000000006</v>
      </c>
      <c r="AE1148" s="1">
        <v>65.791957180083102</v>
      </c>
      <c r="AF1148" s="1">
        <v>14199</v>
      </c>
      <c r="AG1148" s="1">
        <v>59245.98</v>
      </c>
      <c r="AH1148" s="215">
        <f t="shared" si="178"/>
        <v>8.2757586154302842E-4</v>
      </c>
      <c r="AI1148" s="215">
        <f t="shared" si="174"/>
        <v>3.0792917628945649E-3</v>
      </c>
      <c r="AJ1148" s="231">
        <v>934180</v>
      </c>
      <c r="AL1148" s="254"/>
      <c r="AQ1148" s="215" t="str">
        <f t="shared" si="179"/>
        <v>NA</v>
      </c>
      <c r="AR1148" s="215" t="str">
        <f t="shared" si="175"/>
        <v>NA</v>
      </c>
    </row>
    <row r="1149" spans="2:44">
      <c r="B1149" s="230">
        <v>44775</v>
      </c>
      <c r="C1149" s="1">
        <v>397.6</v>
      </c>
      <c r="D1149" s="1">
        <v>398.25294748124298</v>
      </c>
      <c r="E1149" s="1">
        <v>933</v>
      </c>
      <c r="F1149" s="215">
        <v>58136.36</v>
      </c>
      <c r="G1149" s="215">
        <f t="shared" si="180"/>
        <v>-3.6704036792810646E-3</v>
      </c>
      <c r="H1149" s="215">
        <f t="shared" si="181"/>
        <v>-1.4133399454500317E-2</v>
      </c>
      <c r="I1149" s="231">
        <v>371570</v>
      </c>
      <c r="K1149" s="230">
        <v>44774</v>
      </c>
      <c r="L1149" s="1">
        <v>292.05</v>
      </c>
      <c r="M1149" s="1">
        <v>290.73251586387499</v>
      </c>
      <c r="N1149" s="1">
        <v>44283</v>
      </c>
      <c r="O1149" s="1">
        <v>58115.5</v>
      </c>
      <c r="P1149" s="215">
        <f t="shared" si="176"/>
        <v>-3.5881159398354345E-4</v>
      </c>
      <c r="Q1149" s="215">
        <f t="shared" si="172"/>
        <v>1.6179540709812201E-2</v>
      </c>
      <c r="R1149" s="231">
        <v>12874508</v>
      </c>
      <c r="T1149" s="230">
        <v>44774</v>
      </c>
      <c r="U1149" s="1">
        <v>53.75</v>
      </c>
      <c r="V1149" s="1">
        <v>53.596539808766401</v>
      </c>
      <c r="W1149" s="1">
        <v>42252</v>
      </c>
      <c r="X1149" s="1">
        <v>58115.5</v>
      </c>
      <c r="Y1149" s="215">
        <f t="shared" si="177"/>
        <v>-3.5881159398354345E-4</v>
      </c>
      <c r="Z1149" s="215">
        <f t="shared" si="173"/>
        <v>-2.6268115942029047E-2</v>
      </c>
      <c r="AA1149" s="231">
        <v>2264561</v>
      </c>
      <c r="AC1149" s="230">
        <v>44810</v>
      </c>
      <c r="AD1149" s="1">
        <v>64.95</v>
      </c>
      <c r="AE1149" s="1">
        <v>64.745524074395902</v>
      </c>
      <c r="AF1149" s="1">
        <v>11506</v>
      </c>
      <c r="AG1149" s="1">
        <v>59196.99</v>
      </c>
      <c r="AH1149" s="215">
        <f t="shared" si="178"/>
        <v>2.8474183243429874E-3</v>
      </c>
      <c r="AI1149" s="215">
        <f t="shared" si="174"/>
        <v>1.0108864696734221E-2</v>
      </c>
      <c r="AJ1149" s="231">
        <v>744962</v>
      </c>
      <c r="AL1149" s="254"/>
      <c r="AQ1149" s="215" t="str">
        <f t="shared" si="179"/>
        <v>NA</v>
      </c>
      <c r="AR1149" s="215" t="str">
        <f t="shared" si="175"/>
        <v>NA</v>
      </c>
    </row>
    <row r="1150" spans="2:44">
      <c r="B1150" s="230">
        <v>44776</v>
      </c>
      <c r="C1150" s="1">
        <v>403.3</v>
      </c>
      <c r="D1150" s="1">
        <v>399.53903095558502</v>
      </c>
      <c r="E1150" s="1">
        <v>1486</v>
      </c>
      <c r="F1150" s="215">
        <v>58350.53</v>
      </c>
      <c r="G1150" s="215">
        <f t="shared" si="180"/>
        <v>8.8732529657553627E-4</v>
      </c>
      <c r="H1150" s="215">
        <f t="shared" si="181"/>
        <v>2.0366856419987478E-2</v>
      </c>
      <c r="I1150" s="231">
        <v>593715</v>
      </c>
      <c r="K1150" s="230">
        <v>44775</v>
      </c>
      <c r="L1150" s="1">
        <v>287.39999999999998</v>
      </c>
      <c r="M1150" s="1">
        <v>287.64065919037103</v>
      </c>
      <c r="N1150" s="1">
        <v>43872</v>
      </c>
      <c r="O1150" s="1">
        <v>58136.36</v>
      </c>
      <c r="P1150" s="215">
        <f t="shared" si="176"/>
        <v>-3.6704036792810646E-3</v>
      </c>
      <c r="Q1150" s="215">
        <f t="shared" si="172"/>
        <v>2.2775800711743788E-2</v>
      </c>
      <c r="R1150" s="231">
        <v>12619371</v>
      </c>
      <c r="T1150" s="230">
        <v>44775</v>
      </c>
      <c r="U1150" s="1">
        <v>55.2</v>
      </c>
      <c r="V1150" s="1">
        <v>54.696141085158303</v>
      </c>
      <c r="W1150" s="1">
        <v>151001</v>
      </c>
      <c r="X1150" s="1">
        <v>58136.36</v>
      </c>
      <c r="Y1150" s="215">
        <f t="shared" si="177"/>
        <v>-3.6704036792810646E-3</v>
      </c>
      <c r="Z1150" s="215">
        <f t="shared" si="173"/>
        <v>2.6976744186046675E-2</v>
      </c>
      <c r="AA1150" s="231">
        <v>8259172</v>
      </c>
      <c r="AC1150" s="230">
        <v>44811</v>
      </c>
      <c r="AD1150" s="1">
        <v>64.3</v>
      </c>
      <c r="AE1150" s="1">
        <v>64.618688455897697</v>
      </c>
      <c r="AF1150" s="1">
        <v>4773</v>
      </c>
      <c r="AG1150" s="1">
        <v>59028.91</v>
      </c>
      <c r="AH1150" s="215">
        <f t="shared" si="178"/>
        <v>-1.1045898168851376E-2</v>
      </c>
      <c r="AI1150" s="215">
        <f t="shared" si="174"/>
        <v>-1.5527950310559868E-3</v>
      </c>
      <c r="AJ1150" s="231">
        <v>308425</v>
      </c>
      <c r="AL1150" s="254"/>
      <c r="AQ1150" s="215" t="str">
        <f t="shared" si="179"/>
        <v>NA</v>
      </c>
      <c r="AR1150" s="215" t="str">
        <f t="shared" si="175"/>
        <v>NA</v>
      </c>
    </row>
    <row r="1151" spans="2:44">
      <c r="B1151" s="230">
        <v>44777</v>
      </c>
      <c r="C1151" s="1">
        <v>395.25</v>
      </c>
      <c r="D1151" s="1">
        <v>400.64738231412201</v>
      </c>
      <c r="E1151" s="1">
        <v>4546</v>
      </c>
      <c r="F1151" s="215">
        <v>58298.8</v>
      </c>
      <c r="G1151" s="215">
        <f t="shared" si="180"/>
        <v>-1.5265141271492144E-3</v>
      </c>
      <c r="H1151" s="215">
        <f t="shared" si="181"/>
        <v>-1.6418287446324786E-3</v>
      </c>
      <c r="I1151" s="231">
        <v>1821343</v>
      </c>
      <c r="K1151" s="230">
        <v>44776</v>
      </c>
      <c r="L1151" s="1">
        <v>281</v>
      </c>
      <c r="M1151" s="1">
        <v>283.00311088810798</v>
      </c>
      <c r="N1151" s="1">
        <v>19930</v>
      </c>
      <c r="O1151" s="1">
        <v>58350.53</v>
      </c>
      <c r="P1151" s="215">
        <f t="shared" si="176"/>
        <v>8.8732529657553627E-4</v>
      </c>
      <c r="Q1151" s="215">
        <f t="shared" si="172"/>
        <v>2.855103497501732E-3</v>
      </c>
      <c r="R1151" s="231">
        <v>5640252</v>
      </c>
      <c r="T1151" s="230">
        <v>44776</v>
      </c>
      <c r="U1151" s="1">
        <v>53.75</v>
      </c>
      <c r="V1151" s="1">
        <v>54.127057567399198</v>
      </c>
      <c r="W1151" s="1">
        <v>89912</v>
      </c>
      <c r="X1151" s="1">
        <v>58350.53</v>
      </c>
      <c r="Y1151" s="215">
        <f t="shared" si="177"/>
        <v>8.8732529657553627E-4</v>
      </c>
      <c r="Z1151" s="215">
        <f t="shared" si="173"/>
        <v>1.7029328287606393E-2</v>
      </c>
      <c r="AA1151" s="231">
        <v>4866672</v>
      </c>
      <c r="AC1151" s="230">
        <v>44812</v>
      </c>
      <c r="AD1151" s="1">
        <v>64.400000000000006</v>
      </c>
      <c r="AE1151" s="1">
        <v>65.055530392245601</v>
      </c>
      <c r="AF1151" s="1">
        <v>11039</v>
      </c>
      <c r="AG1151" s="1">
        <v>59688.22</v>
      </c>
      <c r="AH1151" s="215">
        <f t="shared" si="178"/>
        <v>-1.7547163437142688E-3</v>
      </c>
      <c r="AI1151" s="215">
        <f t="shared" si="174"/>
        <v>5.464480874317168E-3</v>
      </c>
      <c r="AJ1151" s="231">
        <v>718148</v>
      </c>
      <c r="AL1151" s="254"/>
      <c r="AQ1151" s="215" t="str">
        <f t="shared" si="179"/>
        <v>NA</v>
      </c>
      <c r="AR1151" s="215" t="str">
        <f t="shared" si="175"/>
        <v>NA</v>
      </c>
    </row>
    <row r="1152" spans="2:44">
      <c r="B1152" s="230">
        <v>44778</v>
      </c>
      <c r="C1152" s="1">
        <v>395.9</v>
      </c>
      <c r="D1152" s="1">
        <v>399.37214611872099</v>
      </c>
      <c r="E1152" s="1">
        <v>876</v>
      </c>
      <c r="F1152" s="215">
        <v>58387.93</v>
      </c>
      <c r="G1152" s="215">
        <f t="shared" si="180"/>
        <v>-7.9034109860368629E-3</v>
      </c>
      <c r="H1152" s="215">
        <f t="shared" si="181"/>
        <v>-4.406615960400817E-2</v>
      </c>
      <c r="I1152" s="231">
        <v>349850</v>
      </c>
      <c r="K1152" s="230">
        <v>44777</v>
      </c>
      <c r="L1152" s="1">
        <v>280.2</v>
      </c>
      <c r="M1152" s="1">
        <v>282.37484301672202</v>
      </c>
      <c r="N1152" s="1">
        <v>15129</v>
      </c>
      <c r="O1152" s="1">
        <v>58298.8</v>
      </c>
      <c r="P1152" s="215">
        <f t="shared" si="176"/>
        <v>-1.5265141271492144E-3</v>
      </c>
      <c r="Q1152" s="215">
        <f t="shared" si="172"/>
        <v>-1.9765611334616184E-2</v>
      </c>
      <c r="R1152" s="231">
        <v>4272049</v>
      </c>
      <c r="T1152" s="230">
        <v>44777</v>
      </c>
      <c r="U1152" s="1">
        <v>52.85</v>
      </c>
      <c r="V1152" s="1">
        <v>53.786953818827698</v>
      </c>
      <c r="W1152" s="1">
        <v>112600</v>
      </c>
      <c r="X1152" s="1">
        <v>58298.8</v>
      </c>
      <c r="Y1152" s="215">
        <f t="shared" si="177"/>
        <v>-1.5265141271492144E-3</v>
      </c>
      <c r="Z1152" s="215">
        <f t="shared" si="173"/>
        <v>1.4395393474088358E-2</v>
      </c>
      <c r="AA1152" s="231">
        <v>6056411</v>
      </c>
      <c r="AC1152" s="230">
        <v>44813</v>
      </c>
      <c r="AD1152" s="1">
        <v>64.05</v>
      </c>
      <c r="AE1152" s="1">
        <v>63.568603213844199</v>
      </c>
      <c r="AF1152" s="1">
        <v>4854</v>
      </c>
      <c r="AG1152" s="1">
        <v>59793.14</v>
      </c>
      <c r="AH1152" s="215">
        <f t="shared" si="178"/>
        <v>-5.3562223021059729E-3</v>
      </c>
      <c r="AI1152" s="215">
        <f t="shared" si="174"/>
        <v>6.2843676355066602E-3</v>
      </c>
      <c r="AJ1152" s="231">
        <v>308562</v>
      </c>
      <c r="AL1152" s="254"/>
      <c r="AQ1152" s="215" t="str">
        <f t="shared" si="179"/>
        <v>NA</v>
      </c>
      <c r="AR1152" s="215" t="str">
        <f t="shared" si="175"/>
        <v>NA</v>
      </c>
    </row>
    <row r="1153" spans="2:44">
      <c r="B1153" s="230">
        <v>44781</v>
      </c>
      <c r="C1153" s="1">
        <v>414.15</v>
      </c>
      <c r="D1153" s="1">
        <v>414.641111693759</v>
      </c>
      <c r="E1153" s="1">
        <v>9535</v>
      </c>
      <c r="F1153" s="215">
        <v>58853.07</v>
      </c>
      <c r="G1153" s="215">
        <f t="shared" si="180"/>
        <v>6.0832452498238432E-4</v>
      </c>
      <c r="H1153" s="215">
        <f t="shared" si="181"/>
        <v>-2.7360263034288512E-2</v>
      </c>
      <c r="I1153" s="231">
        <v>3953603</v>
      </c>
      <c r="K1153" s="230">
        <v>44778</v>
      </c>
      <c r="L1153" s="1">
        <v>285.85000000000002</v>
      </c>
      <c r="M1153" s="1">
        <v>285.356508596259</v>
      </c>
      <c r="N1153" s="1">
        <v>21172</v>
      </c>
      <c r="O1153" s="1">
        <v>58387.93</v>
      </c>
      <c r="P1153" s="215">
        <f t="shared" si="176"/>
        <v>-7.9034109860368629E-3</v>
      </c>
      <c r="Q1153" s="215">
        <f t="shared" si="172"/>
        <v>5.2751890276068192E-3</v>
      </c>
      <c r="R1153" s="231">
        <v>6041568</v>
      </c>
      <c r="T1153" s="230">
        <v>44778</v>
      </c>
      <c r="U1153" s="1">
        <v>52.1</v>
      </c>
      <c r="V1153" s="1">
        <v>52.128736600306198</v>
      </c>
      <c r="W1153" s="1">
        <v>130600</v>
      </c>
      <c r="X1153" s="1">
        <v>58387.93</v>
      </c>
      <c r="Y1153" s="215">
        <f t="shared" si="177"/>
        <v>-7.9034109860368629E-3</v>
      </c>
      <c r="Z1153" s="215">
        <f t="shared" si="173"/>
        <v>-1.1385199240986799E-2</v>
      </c>
      <c r="AA1153" s="231">
        <v>6808013</v>
      </c>
      <c r="AC1153" s="230">
        <v>44816</v>
      </c>
      <c r="AD1153" s="1">
        <v>63.65</v>
      </c>
      <c r="AE1153" s="1">
        <v>64.262594347902393</v>
      </c>
      <c r="AF1153" s="1">
        <v>5697</v>
      </c>
      <c r="AG1153" s="1">
        <v>60115.13</v>
      </c>
      <c r="AH1153" s="215">
        <f t="shared" si="178"/>
        <v>-7.5275197338400268E-3</v>
      </c>
      <c r="AI1153" s="215">
        <f t="shared" si="174"/>
        <v>8.7163232963549664E-3</v>
      </c>
      <c r="AJ1153" s="231">
        <v>366104</v>
      </c>
      <c r="AL1153" s="254"/>
      <c r="AQ1153" s="215" t="str">
        <f t="shared" si="179"/>
        <v>NA</v>
      </c>
      <c r="AR1153" s="215" t="str">
        <f t="shared" si="175"/>
        <v>NA</v>
      </c>
    </row>
    <row r="1154" spans="2:44">
      <c r="B1154" s="230">
        <v>44783</v>
      </c>
      <c r="C1154" s="1">
        <v>425.8</v>
      </c>
      <c r="D1154" s="1">
        <v>421.54418177645101</v>
      </c>
      <c r="E1154" s="1">
        <v>8714</v>
      </c>
      <c r="F1154" s="215">
        <v>58817.29</v>
      </c>
      <c r="G1154" s="215">
        <f t="shared" si="180"/>
        <v>-8.6851073440232796E-3</v>
      </c>
      <c r="H1154" s="215">
        <f t="shared" si="181"/>
        <v>1.3568198048083735E-2</v>
      </c>
      <c r="I1154" s="231">
        <v>3673336</v>
      </c>
      <c r="K1154" s="230">
        <v>44781</v>
      </c>
      <c r="L1154" s="1">
        <v>284.35000000000002</v>
      </c>
      <c r="M1154" s="1">
        <v>286.858449317446</v>
      </c>
      <c r="N1154" s="1">
        <v>29961</v>
      </c>
      <c r="O1154" s="1">
        <v>58853.07</v>
      </c>
      <c r="P1154" s="215">
        <f t="shared" si="176"/>
        <v>6.0832452498238432E-4</v>
      </c>
      <c r="Q1154" s="215">
        <f t="shared" si="172"/>
        <v>-2.6031854769652196E-2</v>
      </c>
      <c r="R1154" s="231">
        <v>8594566</v>
      </c>
      <c r="T1154" s="230">
        <v>44781</v>
      </c>
      <c r="U1154" s="1">
        <v>52.7</v>
      </c>
      <c r="V1154" s="1">
        <v>53.077429686505702</v>
      </c>
      <c r="W1154" s="1">
        <v>94292</v>
      </c>
      <c r="X1154" s="1">
        <v>58853.07</v>
      </c>
      <c r="Y1154" s="215">
        <f t="shared" si="177"/>
        <v>6.0832452498238432E-4</v>
      </c>
      <c r="Z1154" s="215">
        <f t="shared" si="173"/>
        <v>4.7664442326025291E-3</v>
      </c>
      <c r="AA1154" s="231">
        <v>5004777</v>
      </c>
      <c r="AC1154" s="230">
        <v>44817</v>
      </c>
      <c r="AD1154" s="1">
        <v>63.1</v>
      </c>
      <c r="AE1154" s="1">
        <v>63.184228091923302</v>
      </c>
      <c r="AF1154" s="1">
        <v>10487</v>
      </c>
      <c r="AG1154" s="1">
        <v>60571.08</v>
      </c>
      <c r="AH1154" s="215">
        <f t="shared" si="178"/>
        <v>3.713691010501341E-3</v>
      </c>
      <c r="AI1154" s="215">
        <f t="shared" si="174"/>
        <v>-1.0196078431372491E-2</v>
      </c>
      <c r="AJ1154" s="231">
        <v>662613</v>
      </c>
      <c r="AL1154" s="254"/>
      <c r="AQ1154" s="215" t="str">
        <f t="shared" si="179"/>
        <v>NA</v>
      </c>
      <c r="AR1154" s="215" t="str">
        <f t="shared" si="175"/>
        <v>NA</v>
      </c>
    </row>
    <row r="1155" spans="2:44">
      <c r="B1155" s="230">
        <v>44784</v>
      </c>
      <c r="C1155" s="1">
        <v>420.1</v>
      </c>
      <c r="D1155" s="1">
        <v>420.64080046069603</v>
      </c>
      <c r="E1155" s="1">
        <v>6946</v>
      </c>
      <c r="F1155" s="215">
        <v>59332.6</v>
      </c>
      <c r="G1155" s="215">
        <f t="shared" si="180"/>
        <v>-2.1892686483880874E-3</v>
      </c>
      <c r="H1155" s="215">
        <f t="shared" si="181"/>
        <v>-1.9006889997622567E-3</v>
      </c>
      <c r="I1155" s="231">
        <v>2921771</v>
      </c>
      <c r="K1155" s="230">
        <v>44783</v>
      </c>
      <c r="L1155" s="1">
        <v>291.95</v>
      </c>
      <c r="M1155" s="1">
        <v>288.80787985176499</v>
      </c>
      <c r="N1155" s="1">
        <v>20508</v>
      </c>
      <c r="O1155" s="1">
        <v>58817.29</v>
      </c>
      <c r="P1155" s="215">
        <f t="shared" si="176"/>
        <v>-8.6851073440232796E-3</v>
      </c>
      <c r="Q1155" s="215">
        <f t="shared" si="172"/>
        <v>1.2484827466620274E-2</v>
      </c>
      <c r="R1155" s="231">
        <v>5922872</v>
      </c>
      <c r="T1155" s="230">
        <v>44783</v>
      </c>
      <c r="U1155" s="1">
        <v>52.45</v>
      </c>
      <c r="V1155" s="1">
        <v>53.011655109912098</v>
      </c>
      <c r="W1155" s="1">
        <v>94894</v>
      </c>
      <c r="X1155" s="1">
        <v>58817.29</v>
      </c>
      <c r="Y1155" s="215">
        <f t="shared" si="177"/>
        <v>-8.6851073440232796E-3</v>
      </c>
      <c r="Z1155" s="215">
        <f t="shared" si="173"/>
        <v>9.5419847328259699E-4</v>
      </c>
      <c r="AA1155" s="231">
        <v>5030488</v>
      </c>
      <c r="AC1155" s="230">
        <v>44818</v>
      </c>
      <c r="AD1155" s="1">
        <v>63.75</v>
      </c>
      <c r="AE1155" s="1">
        <v>63.101497102382403</v>
      </c>
      <c r="AF1155" s="1">
        <v>12424</v>
      </c>
      <c r="AG1155" s="1">
        <v>60346.97</v>
      </c>
      <c r="AH1155" s="215">
        <f t="shared" si="178"/>
        <v>6.8902447875587303E-3</v>
      </c>
      <c r="AI1155" s="215">
        <f t="shared" si="174"/>
        <v>1.1904761904761862E-2</v>
      </c>
      <c r="AJ1155" s="231">
        <v>783973</v>
      </c>
      <c r="AL1155" s="254"/>
      <c r="AQ1155" s="215" t="str">
        <f t="shared" si="179"/>
        <v>NA</v>
      </c>
      <c r="AR1155" s="215" t="str">
        <f t="shared" si="175"/>
        <v>NA</v>
      </c>
    </row>
    <row r="1156" spans="2:44">
      <c r="B1156" s="230">
        <v>44785</v>
      </c>
      <c r="C1156" s="1">
        <v>420.9</v>
      </c>
      <c r="D1156" s="1">
        <v>424.50855938899099</v>
      </c>
      <c r="E1156" s="1">
        <v>3797</v>
      </c>
      <c r="F1156" s="215">
        <v>59462.78</v>
      </c>
      <c r="G1156" s="215">
        <f t="shared" si="180"/>
        <v>-6.3405078121279157E-3</v>
      </c>
      <c r="H1156" s="215">
        <f t="shared" si="181"/>
        <v>-2.0593368237347365E-2</v>
      </c>
      <c r="I1156" s="231">
        <v>1611859</v>
      </c>
      <c r="K1156" s="230">
        <v>44784</v>
      </c>
      <c r="L1156" s="1">
        <v>288.35000000000002</v>
      </c>
      <c r="M1156" s="1">
        <v>289.98627666593302</v>
      </c>
      <c r="N1156" s="1">
        <v>22735</v>
      </c>
      <c r="O1156" s="1">
        <v>59332.6</v>
      </c>
      <c r="P1156" s="215">
        <f t="shared" si="176"/>
        <v>-2.1892686483880874E-3</v>
      </c>
      <c r="Q1156" s="215">
        <f t="shared" si="172"/>
        <v>-9.1065292096219608E-3</v>
      </c>
      <c r="R1156" s="231">
        <v>6592838</v>
      </c>
      <c r="T1156" s="230">
        <v>44784</v>
      </c>
      <c r="U1156" s="1">
        <v>52.4</v>
      </c>
      <c r="V1156" s="1">
        <v>52.491528641260501</v>
      </c>
      <c r="W1156" s="1">
        <v>42142</v>
      </c>
      <c r="X1156" s="1">
        <v>59332.6</v>
      </c>
      <c r="Y1156" s="215">
        <f t="shared" si="177"/>
        <v>-2.1892686483880874E-3</v>
      </c>
      <c r="Z1156" s="215">
        <f t="shared" si="173"/>
        <v>-8.5146641438033077E-3</v>
      </c>
      <c r="AA1156" s="231">
        <v>2212098</v>
      </c>
      <c r="AC1156" s="230">
        <v>44819</v>
      </c>
      <c r="AD1156" s="1">
        <v>63</v>
      </c>
      <c r="AE1156" s="1">
        <v>63.317084602765398</v>
      </c>
      <c r="AF1156" s="1">
        <v>8534</v>
      </c>
      <c r="AG1156" s="1">
        <v>59934.01</v>
      </c>
      <c r="AH1156" s="215">
        <f t="shared" si="178"/>
        <v>1.857928827944022E-2</v>
      </c>
      <c r="AI1156" s="215">
        <f t="shared" si="174"/>
        <v>1.449275362318847E-2</v>
      </c>
      <c r="AJ1156" s="231">
        <v>540348</v>
      </c>
      <c r="AL1156" s="254"/>
      <c r="AQ1156" s="215" t="str">
        <f t="shared" si="179"/>
        <v>NA</v>
      </c>
      <c r="AR1156" s="215" t="str">
        <f t="shared" si="175"/>
        <v>NA</v>
      </c>
    </row>
    <row r="1157" spans="2:44">
      <c r="B1157" s="230">
        <v>44789</v>
      </c>
      <c r="C1157" s="1">
        <v>429.75</v>
      </c>
      <c r="D1157" s="1">
        <v>428.80581980973602</v>
      </c>
      <c r="E1157" s="1">
        <v>1787</v>
      </c>
      <c r="F1157" s="215">
        <v>59842.21</v>
      </c>
      <c r="G1157" s="215">
        <f t="shared" si="180"/>
        <v>-6.9352654898022781E-3</v>
      </c>
      <c r="H1157" s="215">
        <f t="shared" si="181"/>
        <v>-1.1045909561615441E-2</v>
      </c>
      <c r="I1157" s="231">
        <v>766276</v>
      </c>
      <c r="K1157" s="230">
        <v>44785</v>
      </c>
      <c r="L1157" s="1">
        <v>291</v>
      </c>
      <c r="M1157" s="1">
        <v>293.379218099132</v>
      </c>
      <c r="N1157" s="1">
        <v>26167</v>
      </c>
      <c r="O1157" s="1">
        <v>59462.78</v>
      </c>
      <c r="P1157" s="215">
        <f t="shared" si="176"/>
        <v>-6.3405078121279157E-3</v>
      </c>
      <c r="Q1157" s="215">
        <f t="shared" si="172"/>
        <v>-2.2834116856951026E-2</v>
      </c>
      <c r="R1157" s="231">
        <v>7676854</v>
      </c>
      <c r="T1157" s="230">
        <v>44785</v>
      </c>
      <c r="U1157" s="1">
        <v>52.85</v>
      </c>
      <c r="V1157" s="1">
        <v>52.926942932326199</v>
      </c>
      <c r="W1157" s="1">
        <v>149349</v>
      </c>
      <c r="X1157" s="1">
        <v>59462.78</v>
      </c>
      <c r="Y1157" s="215">
        <f t="shared" si="177"/>
        <v>-6.3405078121279157E-3</v>
      </c>
      <c r="Z1157" s="215">
        <f t="shared" si="173"/>
        <v>-9.4517958412088099E-4</v>
      </c>
      <c r="AA1157" s="231">
        <v>7904586</v>
      </c>
      <c r="AC1157" s="230">
        <v>44820</v>
      </c>
      <c r="AD1157" s="1">
        <v>62.1</v>
      </c>
      <c r="AE1157" s="1">
        <v>62.339661576557901</v>
      </c>
      <c r="AF1157" s="1">
        <v>9692</v>
      </c>
      <c r="AG1157" s="1">
        <v>58840.79</v>
      </c>
      <c r="AH1157" s="215">
        <f t="shared" si="178"/>
        <v>-5.0800431441822003E-3</v>
      </c>
      <c r="AI1157" s="215">
        <f t="shared" si="174"/>
        <v>-2.1276595744680882E-2</v>
      </c>
      <c r="AJ1157" s="231">
        <v>604196</v>
      </c>
      <c r="AL1157" s="254"/>
      <c r="AQ1157" s="215" t="str">
        <f t="shared" si="179"/>
        <v>NA</v>
      </c>
      <c r="AR1157" s="215" t="str">
        <f t="shared" si="175"/>
        <v>NA</v>
      </c>
    </row>
    <row r="1158" spans="2:44">
      <c r="B1158" s="230">
        <v>44790</v>
      </c>
      <c r="C1158" s="1">
        <v>434.55</v>
      </c>
      <c r="D1158" s="1">
        <v>430.34911242603499</v>
      </c>
      <c r="E1158" s="1">
        <v>2197</v>
      </c>
      <c r="F1158" s="215">
        <v>60260.13</v>
      </c>
      <c r="G1158" s="215">
        <f t="shared" si="180"/>
        <v>-6.2804736475507994E-4</v>
      </c>
      <c r="H1158" s="215">
        <f t="shared" si="181"/>
        <v>-7.7634433154468718E-3</v>
      </c>
      <c r="I1158" s="231">
        <v>945477</v>
      </c>
      <c r="K1158" s="230">
        <v>44789</v>
      </c>
      <c r="L1158" s="1">
        <v>297.8</v>
      </c>
      <c r="M1158" s="1">
        <v>296.24858424652399</v>
      </c>
      <c r="N1158" s="1">
        <v>27194</v>
      </c>
      <c r="O1158" s="1">
        <v>59842.21</v>
      </c>
      <c r="P1158" s="215">
        <f t="shared" si="176"/>
        <v>-6.9352654898022781E-3</v>
      </c>
      <c r="Q1158" s="215">
        <f t="shared" si="172"/>
        <v>-2.0233591051159627E-2</v>
      </c>
      <c r="R1158" s="231">
        <v>8056184</v>
      </c>
      <c r="T1158" s="230">
        <v>44789</v>
      </c>
      <c r="U1158" s="1">
        <v>52.9</v>
      </c>
      <c r="V1158" s="1">
        <v>52.949644626828601</v>
      </c>
      <c r="W1158" s="1">
        <v>84559</v>
      </c>
      <c r="X1158" s="1">
        <v>59842.21</v>
      </c>
      <c r="Y1158" s="215">
        <f t="shared" si="177"/>
        <v>-6.9352654898022781E-3</v>
      </c>
      <c r="Z1158" s="215">
        <f t="shared" si="173"/>
        <v>1.7307692307692246E-2</v>
      </c>
      <c r="AA1158" s="231">
        <v>4477369</v>
      </c>
      <c r="AC1158" s="230">
        <v>44823</v>
      </c>
      <c r="AD1158" s="1">
        <v>63.45</v>
      </c>
      <c r="AE1158" s="1">
        <v>63.142260579064498</v>
      </c>
      <c r="AF1158" s="1">
        <v>17960</v>
      </c>
      <c r="AG1158" s="1">
        <v>59141.23</v>
      </c>
      <c r="AH1158" s="215">
        <f t="shared" si="178"/>
        <v>-9.6870816919162328E-3</v>
      </c>
      <c r="AI1158" s="215">
        <f t="shared" si="174"/>
        <v>0</v>
      </c>
      <c r="AJ1158" s="231">
        <v>1134035</v>
      </c>
      <c r="AL1158" s="254"/>
      <c r="AQ1158" s="215" t="str">
        <f t="shared" si="179"/>
        <v>NA</v>
      </c>
      <c r="AR1158" s="215" t="str">
        <f t="shared" si="175"/>
        <v>NA</v>
      </c>
    </row>
    <row r="1159" spans="2:44">
      <c r="B1159" s="230">
        <v>44791</v>
      </c>
      <c r="C1159" s="1">
        <v>437.95</v>
      </c>
      <c r="D1159" s="1">
        <v>439.01438848920799</v>
      </c>
      <c r="E1159" s="1">
        <v>1251</v>
      </c>
      <c r="F1159" s="215">
        <v>60298</v>
      </c>
      <c r="G1159" s="215">
        <f t="shared" si="180"/>
        <v>1.0928618192456607E-2</v>
      </c>
      <c r="H1159" s="215">
        <f t="shared" si="181"/>
        <v>8.6365730078303837E-3</v>
      </c>
      <c r="I1159" s="231">
        <v>549207</v>
      </c>
      <c r="K1159" s="230">
        <v>44790</v>
      </c>
      <c r="L1159" s="1">
        <v>303.95</v>
      </c>
      <c r="M1159" s="1">
        <v>302.80397830018001</v>
      </c>
      <c r="N1159" s="1">
        <v>27650</v>
      </c>
      <c r="O1159" s="1">
        <v>60260.13</v>
      </c>
      <c r="P1159" s="215">
        <f t="shared" si="176"/>
        <v>-6.2804736475507994E-4</v>
      </c>
      <c r="Q1159" s="215">
        <f t="shared" si="172"/>
        <v>-1.650218411260318E-2</v>
      </c>
      <c r="R1159" s="231">
        <v>8372530</v>
      </c>
      <c r="T1159" s="230">
        <v>44790</v>
      </c>
      <c r="U1159" s="1">
        <v>52</v>
      </c>
      <c r="V1159" s="1">
        <v>52.4584664294905</v>
      </c>
      <c r="W1159" s="1">
        <v>66055</v>
      </c>
      <c r="X1159" s="1">
        <v>60260.13</v>
      </c>
      <c r="Y1159" s="215">
        <f t="shared" si="177"/>
        <v>-6.2804736475507994E-4</v>
      </c>
      <c r="Z1159" s="215">
        <f t="shared" si="173"/>
        <v>1.9267822736031004E-3</v>
      </c>
      <c r="AA1159" s="231">
        <v>3465144</v>
      </c>
      <c r="AC1159" s="230">
        <v>44824</v>
      </c>
      <c r="AD1159" s="1">
        <v>63.45</v>
      </c>
      <c r="AE1159" s="1">
        <v>63.592382944687103</v>
      </c>
      <c r="AF1159" s="1">
        <v>16253</v>
      </c>
      <c r="AG1159" s="1">
        <v>59719.74</v>
      </c>
      <c r="AH1159" s="215">
        <f t="shared" si="178"/>
        <v>4.4227083942318668E-3</v>
      </c>
      <c r="AI1159" s="215">
        <f t="shared" si="174"/>
        <v>-5.485893416927845E-3</v>
      </c>
      <c r="AJ1159" s="231">
        <v>1033567</v>
      </c>
      <c r="AL1159" s="254"/>
      <c r="AQ1159" s="215" t="str">
        <f t="shared" si="179"/>
        <v>NA</v>
      </c>
      <c r="AR1159" s="215" t="str">
        <f t="shared" si="175"/>
        <v>NA</v>
      </c>
    </row>
    <row r="1160" spans="2:44">
      <c r="B1160" s="230">
        <v>44792</v>
      </c>
      <c r="C1160" s="1">
        <v>434.2</v>
      </c>
      <c r="D1160" s="1">
        <v>433.31202600216602</v>
      </c>
      <c r="E1160" s="1">
        <v>923</v>
      </c>
      <c r="F1160" s="215">
        <v>59646.15</v>
      </c>
      <c r="G1160" s="215">
        <f t="shared" si="180"/>
        <v>1.4841289164725824E-2</v>
      </c>
      <c r="H1160" s="215">
        <f t="shared" si="181"/>
        <v>4.2789406730656676E-3</v>
      </c>
      <c r="I1160" s="231">
        <v>399947</v>
      </c>
      <c r="K1160" s="230">
        <v>44791</v>
      </c>
      <c r="L1160" s="1">
        <v>309.05</v>
      </c>
      <c r="M1160" s="1">
        <v>307.64456700754499</v>
      </c>
      <c r="N1160" s="1">
        <v>26109</v>
      </c>
      <c r="O1160" s="1">
        <v>60298</v>
      </c>
      <c r="P1160" s="215">
        <f t="shared" si="176"/>
        <v>1.0928618192456607E-2</v>
      </c>
      <c r="Q1160" s="215">
        <f t="shared" si="172"/>
        <v>1.2780599705063178E-2</v>
      </c>
      <c r="R1160" s="231">
        <v>8032292</v>
      </c>
      <c r="T1160" s="230">
        <v>44791</v>
      </c>
      <c r="U1160" s="1">
        <v>51.9</v>
      </c>
      <c r="V1160" s="1">
        <v>52.1860085199515</v>
      </c>
      <c r="W1160" s="1">
        <v>127935</v>
      </c>
      <c r="X1160" s="1">
        <v>60298</v>
      </c>
      <c r="Y1160" s="215">
        <f t="shared" si="177"/>
        <v>1.0928618192456607E-2</v>
      </c>
      <c r="Z1160" s="215">
        <f t="shared" si="173"/>
        <v>-3.8387715930903177E-3</v>
      </c>
      <c r="AA1160" s="231">
        <v>6676417</v>
      </c>
      <c r="AC1160" s="230">
        <v>44825</v>
      </c>
      <c r="AD1160" s="1">
        <v>63.8</v>
      </c>
      <c r="AE1160" s="1">
        <v>63.110155003419102</v>
      </c>
      <c r="AF1160" s="1">
        <v>17548</v>
      </c>
      <c r="AG1160" s="1">
        <v>59456.78</v>
      </c>
      <c r="AH1160" s="215">
        <f t="shared" si="178"/>
        <v>5.7013125231308859E-3</v>
      </c>
      <c r="AI1160" s="215">
        <f t="shared" si="174"/>
        <v>1.9169329073482455E-2</v>
      </c>
      <c r="AJ1160" s="231">
        <v>1107457</v>
      </c>
      <c r="AL1160" s="254"/>
      <c r="AQ1160" s="215" t="str">
        <f t="shared" si="179"/>
        <v>NA</v>
      </c>
      <c r="AR1160" s="215" t="str">
        <f t="shared" si="175"/>
        <v>NA</v>
      </c>
    </row>
    <row r="1161" spans="2:44">
      <c r="B1161" s="230">
        <v>44795</v>
      </c>
      <c r="C1161" s="1">
        <v>432.35</v>
      </c>
      <c r="D1161" s="1">
        <v>437.02832415420897</v>
      </c>
      <c r="E1161" s="1">
        <v>1271</v>
      </c>
      <c r="F1161" s="215">
        <v>58773.87</v>
      </c>
      <c r="G1161" s="215">
        <f t="shared" si="180"/>
        <v>-4.360906840947143E-3</v>
      </c>
      <c r="H1161" s="215">
        <f t="shared" si="181"/>
        <v>-1.4137498574848917E-2</v>
      </c>
      <c r="I1161" s="231">
        <v>555463</v>
      </c>
      <c r="K1161" s="230">
        <v>44792</v>
      </c>
      <c r="L1161" s="1">
        <v>305.14999999999998</v>
      </c>
      <c r="M1161" s="1">
        <v>306.48326324067398</v>
      </c>
      <c r="N1161" s="1">
        <v>29247</v>
      </c>
      <c r="O1161" s="1">
        <v>59646.15</v>
      </c>
      <c r="P1161" s="215">
        <f t="shared" si="176"/>
        <v>1.4841289164725824E-2</v>
      </c>
      <c r="Q1161" s="215">
        <f t="shared" si="172"/>
        <v>1.3282417399966828E-2</v>
      </c>
      <c r="R1161" s="231">
        <v>8963716</v>
      </c>
      <c r="T1161" s="230">
        <v>44792</v>
      </c>
      <c r="U1161" s="1">
        <v>52.1</v>
      </c>
      <c r="V1161" s="1">
        <v>52.299863531970097</v>
      </c>
      <c r="W1161" s="1">
        <v>90131</v>
      </c>
      <c r="X1161" s="1">
        <v>59646.15</v>
      </c>
      <c r="Y1161" s="215">
        <f t="shared" si="177"/>
        <v>1.4841289164725824E-2</v>
      </c>
      <c r="Z1161" s="215">
        <f t="shared" si="173"/>
        <v>1.9569471624266255E-2</v>
      </c>
      <c r="AA1161" s="231">
        <v>4713839</v>
      </c>
      <c r="AC1161" s="230">
        <v>44826</v>
      </c>
      <c r="AD1161" s="1">
        <v>62.6</v>
      </c>
      <c r="AE1161" s="1">
        <v>62.840310077519298</v>
      </c>
      <c r="AF1161" s="1">
        <v>1935</v>
      </c>
      <c r="AG1161" s="1">
        <v>59119.72</v>
      </c>
      <c r="AH1161" s="215">
        <f t="shared" si="178"/>
        <v>1.7570034004074531E-2</v>
      </c>
      <c r="AI1161" s="215">
        <f t="shared" si="174"/>
        <v>8.8638195004029363E-3</v>
      </c>
      <c r="AJ1161" s="231">
        <v>121596</v>
      </c>
      <c r="AL1161" s="254"/>
      <c r="AQ1161" s="215" t="str">
        <f t="shared" si="179"/>
        <v>NA</v>
      </c>
      <c r="AR1161" s="215" t="str">
        <f t="shared" si="175"/>
        <v>NA</v>
      </c>
    </row>
    <row r="1162" spans="2:44">
      <c r="B1162" s="230">
        <v>44796</v>
      </c>
      <c r="C1162" s="1">
        <v>438.55</v>
      </c>
      <c r="D1162" s="1">
        <v>435.19865319865301</v>
      </c>
      <c r="E1162" s="1">
        <v>1188</v>
      </c>
      <c r="F1162" s="215">
        <v>59031.3</v>
      </c>
      <c r="G1162" s="215">
        <f t="shared" si="180"/>
        <v>-9.161311003406114E-4</v>
      </c>
      <c r="H1162" s="215">
        <f t="shared" si="181"/>
        <v>2.7891714520098532E-2</v>
      </c>
      <c r="I1162" s="231">
        <v>517016</v>
      </c>
      <c r="K1162" s="230">
        <v>44795</v>
      </c>
      <c r="L1162" s="1">
        <v>301.14999999999998</v>
      </c>
      <c r="M1162" s="1">
        <v>302.30661305315903</v>
      </c>
      <c r="N1162" s="1">
        <v>46257</v>
      </c>
      <c r="O1162" s="1">
        <v>58773.87</v>
      </c>
      <c r="P1162" s="215">
        <f t="shared" si="176"/>
        <v>-4.360906840947143E-3</v>
      </c>
      <c r="Q1162" s="215">
        <f t="shared" si="172"/>
        <v>1.9963400432538858E-3</v>
      </c>
      <c r="R1162" s="231">
        <v>13983797</v>
      </c>
      <c r="T1162" s="230">
        <v>44795</v>
      </c>
      <c r="U1162" s="1">
        <v>51.1</v>
      </c>
      <c r="V1162" s="1">
        <v>51.225868839008299</v>
      </c>
      <c r="W1162" s="1">
        <v>51189</v>
      </c>
      <c r="X1162" s="1">
        <v>58773.87</v>
      </c>
      <c r="Y1162" s="215">
        <f t="shared" si="177"/>
        <v>-4.360906840947143E-3</v>
      </c>
      <c r="Z1162" s="215">
        <f t="shared" si="173"/>
        <v>-8.7293889427739746E-3</v>
      </c>
      <c r="AA1162" s="231">
        <v>2622201</v>
      </c>
      <c r="AC1162" s="230">
        <v>44827</v>
      </c>
      <c r="AD1162" s="1">
        <v>62.05</v>
      </c>
      <c r="AE1162" s="1">
        <v>62.514543851917097</v>
      </c>
      <c r="AF1162" s="1">
        <v>4538</v>
      </c>
      <c r="AG1162" s="1">
        <v>58098.92</v>
      </c>
      <c r="AH1162" s="215">
        <f t="shared" si="178"/>
        <v>1.6689059907372794E-2</v>
      </c>
      <c r="AI1162" s="215">
        <f t="shared" si="174"/>
        <v>5.1694915254237195E-2</v>
      </c>
      <c r="AJ1162" s="231">
        <v>283691</v>
      </c>
      <c r="AL1162" s="254"/>
      <c r="AQ1162" s="215" t="str">
        <f t="shared" si="179"/>
        <v>NA</v>
      </c>
      <c r="AR1162" s="215" t="str">
        <f t="shared" si="175"/>
        <v>NA</v>
      </c>
    </row>
    <row r="1163" spans="2:44">
      <c r="B1163" s="230">
        <v>44797</v>
      </c>
      <c r="C1163" s="1">
        <v>426.65</v>
      </c>
      <c r="D1163" s="1">
        <v>413.94499341238401</v>
      </c>
      <c r="E1163" s="1">
        <v>6072</v>
      </c>
      <c r="F1163" s="215">
        <v>59085.43</v>
      </c>
      <c r="G1163" s="215">
        <f t="shared" si="180"/>
        <v>5.286456490137148E-3</v>
      </c>
      <c r="H1163" s="215">
        <f t="shared" si="181"/>
        <v>6.7248702218025702E-3</v>
      </c>
      <c r="I1163" s="231">
        <v>2513474</v>
      </c>
      <c r="K1163" s="230">
        <v>44796</v>
      </c>
      <c r="L1163" s="1">
        <v>300.55</v>
      </c>
      <c r="M1163" s="1">
        <v>301.62193365342603</v>
      </c>
      <c r="N1163" s="1">
        <v>45820</v>
      </c>
      <c r="O1163" s="1">
        <v>59031.3</v>
      </c>
      <c r="P1163" s="215">
        <f t="shared" si="176"/>
        <v>-9.161311003406114E-4</v>
      </c>
      <c r="Q1163" s="215">
        <f t="shared" si="172"/>
        <v>-1.0209122344804755E-2</v>
      </c>
      <c r="R1163" s="231">
        <v>13820317</v>
      </c>
      <c r="T1163" s="230">
        <v>44796</v>
      </c>
      <c r="U1163" s="1">
        <v>51.55</v>
      </c>
      <c r="V1163" s="1">
        <v>51.325221878683998</v>
      </c>
      <c r="W1163" s="1">
        <v>44957</v>
      </c>
      <c r="X1163" s="1">
        <v>59031.3</v>
      </c>
      <c r="Y1163" s="215">
        <f t="shared" si="177"/>
        <v>-9.161311003406114E-4</v>
      </c>
      <c r="Z1163" s="215">
        <f t="shared" si="173"/>
        <v>-1.8095238095238164E-2</v>
      </c>
      <c r="AA1163" s="231">
        <v>2307428</v>
      </c>
      <c r="AC1163" s="230">
        <v>44830</v>
      </c>
      <c r="AD1163" s="1">
        <v>59</v>
      </c>
      <c r="AE1163" s="1">
        <v>59.378319978392</v>
      </c>
      <c r="AF1163" s="1">
        <v>11107</v>
      </c>
      <c r="AG1163" s="1">
        <v>57145.22</v>
      </c>
      <c r="AH1163" s="215">
        <f t="shared" si="178"/>
        <v>6.6015824185683414E-4</v>
      </c>
      <c r="AI1163" s="215">
        <f t="shared" si="174"/>
        <v>1.0273972602739656E-2</v>
      </c>
      <c r="AJ1163" s="231">
        <v>659515</v>
      </c>
      <c r="AL1163" s="254"/>
      <c r="AQ1163" s="215" t="str">
        <f t="shared" si="179"/>
        <v>NA</v>
      </c>
      <c r="AR1163" s="215" t="str">
        <f t="shared" si="175"/>
        <v>NA</v>
      </c>
    </row>
    <row r="1164" spans="2:44">
      <c r="B1164" s="230">
        <v>44798</v>
      </c>
      <c r="C1164" s="1">
        <v>423.8</v>
      </c>
      <c r="D1164" s="1">
        <v>423.78213689482402</v>
      </c>
      <c r="E1164" s="1">
        <v>1198</v>
      </c>
      <c r="F1164" s="215">
        <v>58774.720000000001</v>
      </c>
      <c r="G1164" s="215">
        <f t="shared" si="180"/>
        <v>-1.0053732654337066E-3</v>
      </c>
      <c r="H1164" s="215">
        <f t="shared" si="181"/>
        <v>1.2180558872701308E-2</v>
      </c>
      <c r="I1164" s="231">
        <v>507691</v>
      </c>
      <c r="K1164" s="230">
        <v>44797</v>
      </c>
      <c r="L1164" s="1">
        <v>303.64999999999998</v>
      </c>
      <c r="M1164" s="1">
        <v>304.67763826242401</v>
      </c>
      <c r="N1164" s="1">
        <v>49218</v>
      </c>
      <c r="O1164" s="1">
        <v>59085.43</v>
      </c>
      <c r="P1164" s="215">
        <f t="shared" si="176"/>
        <v>5.286456490137148E-3</v>
      </c>
      <c r="Q1164" s="215">
        <f t="shared" si="172"/>
        <v>1.4195056780227144E-2</v>
      </c>
      <c r="R1164" s="231">
        <v>14995624</v>
      </c>
      <c r="T1164" s="230">
        <v>44797</v>
      </c>
      <c r="U1164" s="1">
        <v>52.5</v>
      </c>
      <c r="V1164" s="1">
        <v>52.111905707853197</v>
      </c>
      <c r="W1164" s="1">
        <v>30204</v>
      </c>
      <c r="X1164" s="1">
        <v>59085.43</v>
      </c>
      <c r="Y1164" s="215">
        <f t="shared" si="177"/>
        <v>5.286456490137148E-3</v>
      </c>
      <c r="Z1164" s="215">
        <f t="shared" si="173"/>
        <v>6.7114093959732557E-3</v>
      </c>
      <c r="AA1164" s="231">
        <v>1573988</v>
      </c>
      <c r="AC1164" s="230">
        <v>44831</v>
      </c>
      <c r="AD1164" s="1">
        <v>58.4</v>
      </c>
      <c r="AE1164" s="1">
        <v>58.501547987616</v>
      </c>
      <c r="AF1164" s="1">
        <v>5814</v>
      </c>
      <c r="AG1164" s="1">
        <v>57107.519999999997</v>
      </c>
      <c r="AH1164" s="215">
        <f t="shared" si="178"/>
        <v>8.9974465655140445E-3</v>
      </c>
      <c r="AI1164" s="215">
        <f t="shared" si="174"/>
        <v>-2.0134228187919545E-2</v>
      </c>
      <c r="AJ1164" s="231">
        <v>340128</v>
      </c>
      <c r="AL1164" s="254"/>
      <c r="AQ1164" s="215" t="str">
        <f t="shared" si="179"/>
        <v>NA</v>
      </c>
      <c r="AR1164" s="215" t="str">
        <f t="shared" si="175"/>
        <v>NA</v>
      </c>
    </row>
    <row r="1165" spans="2:44">
      <c r="B1165" s="230">
        <v>44799</v>
      </c>
      <c r="C1165" s="1">
        <v>418.7</v>
      </c>
      <c r="D1165" s="1">
        <v>419.509846827133</v>
      </c>
      <c r="E1165" s="1">
        <v>1371</v>
      </c>
      <c r="F1165" s="215">
        <v>58833.87</v>
      </c>
      <c r="G1165" s="215">
        <f t="shared" si="180"/>
        <v>1.4856151058896483E-2</v>
      </c>
      <c r="H1165" s="215">
        <f t="shared" si="181"/>
        <v>-3.9789015021213237E-2</v>
      </c>
      <c r="I1165" s="231">
        <v>575148</v>
      </c>
      <c r="K1165" s="230">
        <v>44798</v>
      </c>
      <c r="L1165" s="1">
        <v>299.39999999999998</v>
      </c>
      <c r="M1165" s="1">
        <v>299.17639723387299</v>
      </c>
      <c r="N1165" s="1">
        <v>17642</v>
      </c>
      <c r="O1165" s="1">
        <v>58774.720000000001</v>
      </c>
      <c r="P1165" s="215">
        <f t="shared" si="176"/>
        <v>-1.0053732654337066E-3</v>
      </c>
      <c r="Q1165" s="215">
        <f t="shared" si="172"/>
        <v>-4.3232457598936236E-3</v>
      </c>
      <c r="R1165" s="231">
        <v>5278070</v>
      </c>
      <c r="T1165" s="230">
        <v>44798</v>
      </c>
      <c r="U1165" s="1">
        <v>52.15</v>
      </c>
      <c r="V1165" s="1">
        <v>52.378658002336401</v>
      </c>
      <c r="W1165" s="1">
        <v>136960</v>
      </c>
      <c r="X1165" s="1">
        <v>58774.720000000001</v>
      </c>
      <c r="Y1165" s="215">
        <f t="shared" si="177"/>
        <v>-1.0053732654337066E-3</v>
      </c>
      <c r="Z1165" s="215">
        <f t="shared" si="173"/>
        <v>-3.7822878228782386E-2</v>
      </c>
      <c r="AA1165" s="231">
        <v>7173781</v>
      </c>
      <c r="AC1165" s="230">
        <v>44832</v>
      </c>
      <c r="AD1165" s="1">
        <v>59.6</v>
      </c>
      <c r="AE1165" s="1">
        <v>58.3517930095324</v>
      </c>
      <c r="AF1165" s="1">
        <v>2203</v>
      </c>
      <c r="AG1165" s="1">
        <v>56598.28</v>
      </c>
      <c r="AH1165" s="215">
        <f t="shared" si="178"/>
        <v>3.3384175418667006E-3</v>
      </c>
      <c r="AI1165" s="215">
        <f t="shared" si="174"/>
        <v>2.670111972437561E-2</v>
      </c>
      <c r="AJ1165" s="231">
        <v>128549</v>
      </c>
      <c r="AL1165" s="254"/>
      <c r="AQ1165" s="215" t="str">
        <f t="shared" si="179"/>
        <v>NA</v>
      </c>
      <c r="AR1165" s="215" t="str">
        <f t="shared" si="175"/>
        <v>NA</v>
      </c>
    </row>
    <row r="1166" spans="2:44">
      <c r="B1166" s="230">
        <v>44802</v>
      </c>
      <c r="C1166" s="1">
        <v>436.05</v>
      </c>
      <c r="D1166" s="1">
        <v>428.76711590296401</v>
      </c>
      <c r="E1166" s="1">
        <v>1855</v>
      </c>
      <c r="F1166" s="215">
        <v>57972.62</v>
      </c>
      <c r="G1166" s="215">
        <f t="shared" si="180"/>
        <v>-2.6276906135958567E-2</v>
      </c>
      <c r="H1166" s="215">
        <f t="shared" si="181"/>
        <v>1.2774358378817796E-2</v>
      </c>
      <c r="I1166" s="231">
        <v>795363</v>
      </c>
      <c r="K1166" s="230">
        <v>44799</v>
      </c>
      <c r="L1166" s="1">
        <v>300.7</v>
      </c>
      <c r="M1166" s="1">
        <v>300.31808535722701</v>
      </c>
      <c r="N1166" s="1">
        <v>16964</v>
      </c>
      <c r="O1166" s="1">
        <v>58833.87</v>
      </c>
      <c r="P1166" s="215">
        <f t="shared" si="176"/>
        <v>1.4856151058896483E-2</v>
      </c>
      <c r="Q1166" s="215">
        <f t="shared" ref="Q1166:Q1229" si="182">IF(ISERROR(L1166/L1167-1),"NA",L1166/L1167-1)</f>
        <v>2.4357009027422771E-2</v>
      </c>
      <c r="R1166" s="231">
        <v>5094596</v>
      </c>
      <c r="T1166" s="230">
        <v>44799</v>
      </c>
      <c r="U1166" s="1">
        <v>54.2</v>
      </c>
      <c r="V1166" s="1">
        <v>53.996452963313601</v>
      </c>
      <c r="W1166" s="1">
        <v>208061</v>
      </c>
      <c r="X1166" s="1">
        <v>58833.87</v>
      </c>
      <c r="Y1166" s="215">
        <f t="shared" si="177"/>
        <v>1.4856151058896483E-2</v>
      </c>
      <c r="Z1166" s="215">
        <f t="shared" ref="Z1166:Z1229" si="183">IF(ISERROR(U1166/U1167-1),"NA",U1166/U1167-1)</f>
        <v>-5.9843885516045026E-2</v>
      </c>
      <c r="AA1166" s="231">
        <v>11234556</v>
      </c>
      <c r="AC1166" s="230">
        <v>44833</v>
      </c>
      <c r="AD1166" s="1">
        <v>58.05</v>
      </c>
      <c r="AE1166" s="1">
        <v>58.487843137254899</v>
      </c>
      <c r="AF1166" s="1">
        <v>6375</v>
      </c>
      <c r="AG1166" s="1">
        <v>56409.96</v>
      </c>
      <c r="AH1166" s="215">
        <f t="shared" si="178"/>
        <v>-1.7708767943675152E-2</v>
      </c>
      <c r="AI1166" s="215">
        <f t="shared" ref="AI1166:AI1229" si="184">IF(ISERROR(AD1166/AD1167-1),"NA",AD1166/AD1167-1)</f>
        <v>-2.5773195876289678E-3</v>
      </c>
      <c r="AJ1166" s="231">
        <v>372860</v>
      </c>
      <c r="AL1166" s="254"/>
      <c r="AQ1166" s="215" t="str">
        <f t="shared" si="179"/>
        <v>NA</v>
      </c>
      <c r="AR1166" s="215" t="str">
        <f t="shared" ref="AR1166:AR1229" si="185">IF(ISERROR(AM1166/AM1167-1),"NA",AM1166/AM1167-1)</f>
        <v>NA</v>
      </c>
    </row>
    <row r="1167" spans="2:44">
      <c r="B1167" s="230">
        <v>44803</v>
      </c>
      <c r="C1167" s="1">
        <v>430.55</v>
      </c>
      <c r="D1167" s="1">
        <v>434.66514245515299</v>
      </c>
      <c r="E1167" s="1">
        <v>2843</v>
      </c>
      <c r="F1167" s="215">
        <v>59537.07</v>
      </c>
      <c r="G1167" s="215">
        <f t="shared" si="180"/>
        <v>1.3110850910355687E-2</v>
      </c>
      <c r="H1167" s="215">
        <f t="shared" si="181"/>
        <v>-2.1143571672160966E-2</v>
      </c>
      <c r="I1167" s="231">
        <v>1235753</v>
      </c>
      <c r="K1167" s="230">
        <v>44802</v>
      </c>
      <c r="L1167" s="1">
        <v>293.55</v>
      </c>
      <c r="M1167" s="1">
        <v>293.33523441904799</v>
      </c>
      <c r="N1167" s="1">
        <v>46114</v>
      </c>
      <c r="O1167" s="1">
        <v>57972.62</v>
      </c>
      <c r="P1167" s="215">
        <f t="shared" ref="P1167:P1230" si="186">IF(ISERROR(O1167/O1168-1),"NA",O1167/O1168-1)</f>
        <v>-2.6276906135958567E-2</v>
      </c>
      <c r="Q1167" s="215">
        <f t="shared" si="182"/>
        <v>-5.252456794307081E-3</v>
      </c>
      <c r="R1167" s="231">
        <v>13526861</v>
      </c>
      <c r="T1167" s="230">
        <v>44802</v>
      </c>
      <c r="U1167" s="1">
        <v>57.65</v>
      </c>
      <c r="V1167" s="1">
        <v>55.941226994194302</v>
      </c>
      <c r="W1167" s="1">
        <v>372569</v>
      </c>
      <c r="X1167" s="1">
        <v>57972.62</v>
      </c>
      <c r="Y1167" s="215">
        <f t="shared" ref="Y1167:Y1230" si="187">IF(ISERROR(X1167/X1168-1),"NA",X1167/X1168-1)</f>
        <v>-2.6276906135958567E-2</v>
      </c>
      <c r="Z1167" s="215">
        <f t="shared" si="183"/>
        <v>2.6714158504007157E-2</v>
      </c>
      <c r="AA1167" s="231">
        <v>20841967</v>
      </c>
      <c r="AC1167" s="230">
        <v>44834</v>
      </c>
      <c r="AD1167" s="1">
        <v>58.2</v>
      </c>
      <c r="AE1167" s="1">
        <v>58.359083191850502</v>
      </c>
      <c r="AF1167" s="1">
        <v>2356</v>
      </c>
      <c r="AG1167" s="1">
        <v>57426.92</v>
      </c>
      <c r="AH1167" s="215">
        <f t="shared" ref="AH1167:AH1229" si="188">IF(ISERROR(AG1167/AG1168-1),"NA",AG1167/AG1168-1)</f>
        <v>1.1236544664344983E-2</v>
      </c>
      <c r="AI1167" s="215">
        <f t="shared" si="184"/>
        <v>-5.9777967549102806E-3</v>
      </c>
      <c r="AJ1167" s="231">
        <v>137494</v>
      </c>
      <c r="AL1167" s="254"/>
      <c r="AQ1167" s="215" t="str">
        <f t="shared" ref="AQ1167:AQ1230" si="189">IF(ISERROR(AP1167/AP1168-1),"NA",AP1167/AP1168-1)</f>
        <v>NA</v>
      </c>
      <c r="AR1167" s="215" t="str">
        <f t="shared" si="185"/>
        <v>NA</v>
      </c>
    </row>
    <row r="1168" spans="2:44">
      <c r="B1168" s="230">
        <v>44805</v>
      </c>
      <c r="C1168" s="1">
        <v>439.85</v>
      </c>
      <c r="D1168" s="1">
        <v>433.52047315741498</v>
      </c>
      <c r="E1168" s="1">
        <v>2198</v>
      </c>
      <c r="F1168" s="215">
        <v>58766.59</v>
      </c>
      <c r="G1168" s="215">
        <f t="shared" si="180"/>
        <v>-6.2479454819996949E-4</v>
      </c>
      <c r="H1168" s="215">
        <f t="shared" si="181"/>
        <v>4.7972587093090269E-3</v>
      </c>
      <c r="I1168" s="231">
        <v>952878</v>
      </c>
      <c r="K1168" s="230">
        <v>44803</v>
      </c>
      <c r="L1168" s="1">
        <v>295.10000000000002</v>
      </c>
      <c r="M1168" s="1">
        <v>297.588549403782</v>
      </c>
      <c r="N1168" s="1">
        <v>24907</v>
      </c>
      <c r="O1168" s="1">
        <v>59537.07</v>
      </c>
      <c r="P1168" s="215">
        <f t="shared" si="186"/>
        <v>1.3110850910355687E-2</v>
      </c>
      <c r="Q1168" s="215">
        <f t="shared" si="182"/>
        <v>3.5708212888965196E-3</v>
      </c>
      <c r="R1168" s="231">
        <v>7412038</v>
      </c>
      <c r="T1168" s="230">
        <v>44803</v>
      </c>
      <c r="U1168" s="1">
        <v>56.15</v>
      </c>
      <c r="V1168" s="1">
        <v>56.840128287363598</v>
      </c>
      <c r="W1168" s="1">
        <v>233850</v>
      </c>
      <c r="X1168" s="1">
        <v>59537.07</v>
      </c>
      <c r="Y1168" s="215">
        <f t="shared" si="187"/>
        <v>1.3110850910355687E-2</v>
      </c>
      <c r="Z1168" s="215">
        <f t="shared" si="183"/>
        <v>-5.8675607711651256E-2</v>
      </c>
      <c r="AA1168" s="231">
        <v>13292064</v>
      </c>
      <c r="AC1168" s="230">
        <v>44837</v>
      </c>
      <c r="AD1168" s="1">
        <v>58.55</v>
      </c>
      <c r="AE1168" s="1">
        <v>59.271101992966003</v>
      </c>
      <c r="AF1168" s="1">
        <v>6824</v>
      </c>
      <c r="AG1168" s="1">
        <v>56788.81</v>
      </c>
      <c r="AH1168" s="215">
        <f t="shared" si="188"/>
        <v>-2.1986561031883567E-2</v>
      </c>
      <c r="AI1168" s="215">
        <f t="shared" si="184"/>
        <v>-1.8440905280804665E-2</v>
      </c>
      <c r="AJ1168" s="231">
        <v>404466</v>
      </c>
      <c r="AL1168" s="254"/>
      <c r="AQ1168" s="215" t="str">
        <f t="shared" si="189"/>
        <v>NA</v>
      </c>
      <c r="AR1168" s="215" t="str">
        <f t="shared" si="185"/>
        <v>NA</v>
      </c>
    </row>
    <row r="1169" spans="2:44">
      <c r="B1169" s="230">
        <v>44806</v>
      </c>
      <c r="C1169" s="1">
        <v>437.75</v>
      </c>
      <c r="D1169" s="1">
        <v>440.35480464625101</v>
      </c>
      <c r="E1169" s="1">
        <v>947</v>
      </c>
      <c r="F1169" s="215">
        <v>58803.33</v>
      </c>
      <c r="G1169" s="215">
        <f t="shared" si="180"/>
        <v>-7.4713929957779257E-3</v>
      </c>
      <c r="H1169" s="215">
        <f t="shared" si="181"/>
        <v>-1.3687692483176361E-3</v>
      </c>
      <c r="I1169" s="231">
        <v>417016</v>
      </c>
      <c r="K1169" s="230">
        <v>44805</v>
      </c>
      <c r="L1169" s="1">
        <v>294.05</v>
      </c>
      <c r="M1169" s="1">
        <v>295.83554043444099</v>
      </c>
      <c r="N1169" s="1">
        <v>19105</v>
      </c>
      <c r="O1169" s="1">
        <v>58766.59</v>
      </c>
      <c r="P1169" s="215">
        <f t="shared" si="186"/>
        <v>-6.2479454819996949E-4</v>
      </c>
      <c r="Q1169" s="215">
        <f t="shared" si="182"/>
        <v>1.8002423403150392E-2</v>
      </c>
      <c r="R1169" s="231">
        <v>5651938</v>
      </c>
      <c r="T1169" s="230">
        <v>44805</v>
      </c>
      <c r="U1169" s="1">
        <v>59.65</v>
      </c>
      <c r="V1169" s="1">
        <v>58.447503014469397</v>
      </c>
      <c r="W1169" s="1">
        <v>199040</v>
      </c>
      <c r="X1169" s="1">
        <v>58766.59</v>
      </c>
      <c r="Y1169" s="215">
        <f t="shared" si="187"/>
        <v>-6.2479454819996949E-4</v>
      </c>
      <c r="Z1169" s="215">
        <f t="shared" si="183"/>
        <v>9.3062605752960437E-3</v>
      </c>
      <c r="AA1169" s="231">
        <v>11633391</v>
      </c>
      <c r="AC1169" s="230">
        <v>44838</v>
      </c>
      <c r="AD1169" s="1">
        <v>59.65</v>
      </c>
      <c r="AE1169" s="1">
        <v>59.746691871455504</v>
      </c>
      <c r="AF1169" s="1">
        <v>1587</v>
      </c>
      <c r="AG1169" s="1">
        <v>58065.47</v>
      </c>
      <c r="AH1169" s="215">
        <f t="shared" si="188"/>
        <v>-2.6902155710631925E-3</v>
      </c>
      <c r="AI1169" s="215">
        <f t="shared" si="184"/>
        <v>-9.9585062240664657E-3</v>
      </c>
      <c r="AJ1169" s="231">
        <v>94818</v>
      </c>
      <c r="AL1169" s="254"/>
      <c r="AQ1169" s="215" t="str">
        <f t="shared" si="189"/>
        <v>NA</v>
      </c>
      <c r="AR1169" s="215" t="str">
        <f t="shared" si="185"/>
        <v>NA</v>
      </c>
    </row>
    <row r="1170" spans="2:44">
      <c r="B1170" s="230">
        <v>44809</v>
      </c>
      <c r="C1170" s="1">
        <v>438.35</v>
      </c>
      <c r="D1170" s="1">
        <v>435.99795291709302</v>
      </c>
      <c r="E1170" s="1">
        <v>1954</v>
      </c>
      <c r="F1170" s="215">
        <v>59245.98</v>
      </c>
      <c r="G1170" s="215">
        <f t="shared" si="180"/>
        <v>8.2757586154302842E-4</v>
      </c>
      <c r="H1170" s="215">
        <f t="shared" si="181"/>
        <v>-2.0489470688673794E-3</v>
      </c>
      <c r="I1170" s="231">
        <v>851940</v>
      </c>
      <c r="K1170" s="230">
        <v>44806</v>
      </c>
      <c r="L1170" s="1">
        <v>288.85000000000002</v>
      </c>
      <c r="M1170" s="1">
        <v>291.33815237206898</v>
      </c>
      <c r="N1170" s="1">
        <v>23587</v>
      </c>
      <c r="O1170" s="1">
        <v>58803.33</v>
      </c>
      <c r="P1170" s="215">
        <f t="shared" si="186"/>
        <v>-7.4713929957779257E-3</v>
      </c>
      <c r="Q1170" s="215">
        <f t="shared" si="182"/>
        <v>3.2997568600210414E-3</v>
      </c>
      <c r="R1170" s="231">
        <v>6871793</v>
      </c>
      <c r="T1170" s="230">
        <v>44806</v>
      </c>
      <c r="U1170" s="1">
        <v>59.1</v>
      </c>
      <c r="V1170" s="1">
        <v>59.883471362637103</v>
      </c>
      <c r="W1170" s="1">
        <v>123283</v>
      </c>
      <c r="X1170" s="1">
        <v>58803.33</v>
      </c>
      <c r="Y1170" s="215">
        <f t="shared" si="187"/>
        <v>-7.4713929957779257E-3</v>
      </c>
      <c r="Z1170" s="215">
        <f t="shared" si="183"/>
        <v>1.3722126929674117E-2</v>
      </c>
      <c r="AA1170" s="231">
        <v>7382614</v>
      </c>
      <c r="AC1170" s="230">
        <v>44840</v>
      </c>
      <c r="AD1170" s="1">
        <v>60.25</v>
      </c>
      <c r="AE1170" s="1">
        <v>60.251481042654</v>
      </c>
      <c r="AF1170" s="1">
        <v>6752</v>
      </c>
      <c r="AG1170" s="1">
        <v>58222.1</v>
      </c>
      <c r="AH1170" s="215">
        <f t="shared" si="188"/>
        <v>5.2946068045578443E-4</v>
      </c>
      <c r="AI1170" s="215">
        <f t="shared" si="184"/>
        <v>7.5250836120401843E-3</v>
      </c>
      <c r="AJ1170" s="231">
        <v>406818</v>
      </c>
      <c r="AL1170" s="254"/>
      <c r="AQ1170" s="215" t="str">
        <f t="shared" si="189"/>
        <v>NA</v>
      </c>
      <c r="AR1170" s="215" t="str">
        <f t="shared" si="185"/>
        <v>NA</v>
      </c>
    </row>
    <row r="1171" spans="2:44">
      <c r="B1171" s="230">
        <v>44810</v>
      </c>
      <c r="C1171" s="1">
        <v>439.25</v>
      </c>
      <c r="D1171" s="1">
        <v>439.33556655986001</v>
      </c>
      <c r="E1171" s="1">
        <v>3433</v>
      </c>
      <c r="F1171" s="215">
        <v>59196.99</v>
      </c>
      <c r="G1171" s="215">
        <f t="shared" si="180"/>
        <v>2.8474183243429874E-3</v>
      </c>
      <c r="H1171" s="215">
        <f t="shared" si="181"/>
        <v>-1.7045454545454586E-3</v>
      </c>
      <c r="I1171" s="231">
        <v>1508239</v>
      </c>
      <c r="K1171" s="230">
        <v>44809</v>
      </c>
      <c r="L1171" s="1">
        <v>287.89999999999998</v>
      </c>
      <c r="M1171" s="1">
        <v>289.65360072926097</v>
      </c>
      <c r="N1171" s="1">
        <v>21940</v>
      </c>
      <c r="O1171" s="1">
        <v>59245.98</v>
      </c>
      <c r="P1171" s="215">
        <f t="shared" si="186"/>
        <v>8.2757586154302842E-4</v>
      </c>
      <c r="Q1171" s="215">
        <f t="shared" si="182"/>
        <v>-2.9437229437230261E-3</v>
      </c>
      <c r="R1171" s="231">
        <v>6355000</v>
      </c>
      <c r="T1171" s="230">
        <v>44809</v>
      </c>
      <c r="U1171" s="1">
        <v>58.3</v>
      </c>
      <c r="V1171" s="1">
        <v>59.207900307353697</v>
      </c>
      <c r="W1171" s="1">
        <v>83617</v>
      </c>
      <c r="X1171" s="1">
        <v>59245.98</v>
      </c>
      <c r="Y1171" s="215">
        <f t="shared" si="187"/>
        <v>8.2757586154302842E-4</v>
      </c>
      <c r="Z1171" s="215">
        <f t="shared" si="183"/>
        <v>2.4604569420035194E-2</v>
      </c>
      <c r="AA1171" s="231">
        <v>4950787</v>
      </c>
      <c r="AC1171" s="230">
        <v>44841</v>
      </c>
      <c r="AD1171" s="1">
        <v>59.8</v>
      </c>
      <c r="AE1171" s="1">
        <v>59.202349172450603</v>
      </c>
      <c r="AF1171" s="1">
        <v>3746</v>
      </c>
      <c r="AG1171" s="1">
        <v>58191.29</v>
      </c>
      <c r="AH1171" s="215">
        <f t="shared" si="188"/>
        <v>3.4519084045814274E-3</v>
      </c>
      <c r="AI1171" s="215">
        <f t="shared" si="184"/>
        <v>1.7006802721088343E-2</v>
      </c>
      <c r="AJ1171" s="231">
        <v>221772</v>
      </c>
      <c r="AL1171" s="254"/>
      <c r="AQ1171" s="215" t="str">
        <f t="shared" si="189"/>
        <v>NA</v>
      </c>
      <c r="AR1171" s="215" t="str">
        <f t="shared" si="185"/>
        <v>NA</v>
      </c>
    </row>
    <row r="1172" spans="2:44">
      <c r="B1172" s="230">
        <v>44811</v>
      </c>
      <c r="C1172" s="1">
        <v>440</v>
      </c>
      <c r="D1172" s="1">
        <v>438.81358695652102</v>
      </c>
      <c r="E1172" s="1">
        <v>1840</v>
      </c>
      <c r="F1172" s="215">
        <v>59028.91</v>
      </c>
      <c r="G1172" s="215">
        <f t="shared" si="180"/>
        <v>-1.1045898168851376E-2</v>
      </c>
      <c r="H1172" s="215">
        <f t="shared" si="181"/>
        <v>-2.8328611898017497E-3</v>
      </c>
      <c r="I1172" s="231">
        <v>807417</v>
      </c>
      <c r="K1172" s="230">
        <v>44810</v>
      </c>
      <c r="L1172" s="1">
        <v>288.75</v>
      </c>
      <c r="M1172" s="1">
        <v>289.90486669487899</v>
      </c>
      <c r="N1172" s="1">
        <v>23630</v>
      </c>
      <c r="O1172" s="1">
        <v>59196.99</v>
      </c>
      <c r="P1172" s="215">
        <f t="shared" si="186"/>
        <v>2.8474183243429874E-3</v>
      </c>
      <c r="Q1172" s="215">
        <f t="shared" si="182"/>
        <v>-3.7950664136623402E-3</v>
      </c>
      <c r="R1172" s="231">
        <v>6850452</v>
      </c>
      <c r="T1172" s="230">
        <v>44810</v>
      </c>
      <c r="U1172" s="1">
        <v>56.9</v>
      </c>
      <c r="V1172" s="1">
        <v>57.652207854230099</v>
      </c>
      <c r="W1172" s="1">
        <v>108884</v>
      </c>
      <c r="X1172" s="1">
        <v>59196.99</v>
      </c>
      <c r="Y1172" s="215">
        <f t="shared" si="187"/>
        <v>2.8474183243429874E-3</v>
      </c>
      <c r="Z1172" s="215">
        <f t="shared" si="183"/>
        <v>-1.3864818024263537E-2</v>
      </c>
      <c r="AA1172" s="231">
        <v>6277403</v>
      </c>
      <c r="AC1172" s="230">
        <v>44844</v>
      </c>
      <c r="AD1172" s="1">
        <v>58.8</v>
      </c>
      <c r="AE1172" s="1">
        <v>59.3078541374474</v>
      </c>
      <c r="AF1172" s="1">
        <v>5704</v>
      </c>
      <c r="AG1172" s="1">
        <v>57991.11</v>
      </c>
      <c r="AH1172" s="215">
        <f t="shared" si="188"/>
        <v>1.4765171840079194E-2</v>
      </c>
      <c r="AI1172" s="215">
        <f t="shared" si="184"/>
        <v>3.5211267605633756E-2</v>
      </c>
      <c r="AJ1172" s="231">
        <v>338292</v>
      </c>
      <c r="AL1172" s="254"/>
      <c r="AQ1172" s="215" t="str">
        <f t="shared" si="189"/>
        <v>NA</v>
      </c>
      <c r="AR1172" s="215" t="str">
        <f t="shared" si="185"/>
        <v>NA</v>
      </c>
    </row>
    <row r="1173" spans="2:44">
      <c r="B1173" s="230">
        <v>44812</v>
      </c>
      <c r="C1173" s="1">
        <v>441.25</v>
      </c>
      <c r="D1173" s="1">
        <v>445.81241565452001</v>
      </c>
      <c r="E1173" s="1">
        <v>2223</v>
      </c>
      <c r="F1173" s="215">
        <v>59688.22</v>
      </c>
      <c r="G1173" s="215">
        <f t="shared" si="180"/>
        <v>-1.7547163437142688E-3</v>
      </c>
      <c r="H1173" s="215">
        <f t="shared" si="181"/>
        <v>-2.0424020424020362E-2</v>
      </c>
      <c r="I1173" s="231">
        <v>991041</v>
      </c>
      <c r="K1173" s="230">
        <v>44811</v>
      </c>
      <c r="L1173" s="1">
        <v>289.85000000000002</v>
      </c>
      <c r="M1173" s="1">
        <v>290.41395180473597</v>
      </c>
      <c r="N1173" s="1">
        <v>19338</v>
      </c>
      <c r="O1173" s="1">
        <v>59028.91</v>
      </c>
      <c r="P1173" s="215">
        <f t="shared" si="186"/>
        <v>-1.1045898168851376E-2</v>
      </c>
      <c r="Q1173" s="215">
        <f t="shared" si="182"/>
        <v>-3.9518900343641361E-3</v>
      </c>
      <c r="R1173" s="231">
        <v>5616025</v>
      </c>
      <c r="T1173" s="230">
        <v>44811</v>
      </c>
      <c r="U1173" s="1">
        <v>57.7</v>
      </c>
      <c r="V1173" s="1">
        <v>57.578857357378197</v>
      </c>
      <c r="W1173" s="1">
        <v>143842</v>
      </c>
      <c r="X1173" s="1">
        <v>59028.91</v>
      </c>
      <c r="Y1173" s="215">
        <f t="shared" si="187"/>
        <v>-1.1045898168851376E-2</v>
      </c>
      <c r="Z1173" s="215">
        <f t="shared" si="183"/>
        <v>8.6730268863832727E-4</v>
      </c>
      <c r="AA1173" s="231">
        <v>8282258</v>
      </c>
      <c r="AC1173" s="230">
        <v>44845</v>
      </c>
      <c r="AD1173" s="1">
        <v>56.8</v>
      </c>
      <c r="AE1173" s="1">
        <v>57.963309813983301</v>
      </c>
      <c r="AF1173" s="1">
        <v>7795</v>
      </c>
      <c r="AG1173" s="1">
        <v>57147.32</v>
      </c>
      <c r="AH1173" s="215">
        <f t="shared" si="188"/>
        <v>-8.3051183052901267E-3</v>
      </c>
      <c r="AI1173" s="215">
        <f t="shared" si="184"/>
        <v>1.0676156583629748E-2</v>
      </c>
      <c r="AJ1173" s="231">
        <v>451824</v>
      </c>
      <c r="AL1173" s="254"/>
      <c r="AQ1173" s="215" t="str">
        <f t="shared" si="189"/>
        <v>NA</v>
      </c>
      <c r="AR1173" s="215" t="str">
        <f t="shared" si="185"/>
        <v>NA</v>
      </c>
    </row>
    <row r="1174" spans="2:44">
      <c r="B1174" s="230">
        <v>44813</v>
      </c>
      <c r="C1174" s="1">
        <v>450.45</v>
      </c>
      <c r="D1174" s="1">
        <v>457.889470093245</v>
      </c>
      <c r="E1174" s="1">
        <v>17588</v>
      </c>
      <c r="F1174" s="215">
        <v>59793.14</v>
      </c>
      <c r="G1174" s="215">
        <f t="shared" si="180"/>
        <v>-5.3562223021059729E-3</v>
      </c>
      <c r="H1174" s="215">
        <f t="shared" si="181"/>
        <v>-2.24609375E-2</v>
      </c>
      <c r="I1174" s="231">
        <v>8053360</v>
      </c>
      <c r="K1174" s="230">
        <v>44812</v>
      </c>
      <c r="L1174" s="1">
        <v>291</v>
      </c>
      <c r="M1174" s="1">
        <v>292.71171232411098</v>
      </c>
      <c r="N1174" s="1">
        <v>14711</v>
      </c>
      <c r="O1174" s="1">
        <v>59688.22</v>
      </c>
      <c r="P1174" s="215">
        <f t="shared" si="186"/>
        <v>-1.7547163437142688E-3</v>
      </c>
      <c r="Q1174" s="215">
        <f t="shared" si="182"/>
        <v>1.2349973908505785E-2</v>
      </c>
      <c r="R1174" s="231">
        <v>4306082</v>
      </c>
      <c r="T1174" s="230">
        <v>44812</v>
      </c>
      <c r="U1174" s="1">
        <v>57.65</v>
      </c>
      <c r="V1174" s="1">
        <v>57.605970787752803</v>
      </c>
      <c r="W1174" s="1">
        <v>98178</v>
      </c>
      <c r="X1174" s="1">
        <v>59688.22</v>
      </c>
      <c r="Y1174" s="215">
        <f t="shared" si="187"/>
        <v>-1.7547163437142688E-3</v>
      </c>
      <c r="Z1174" s="215">
        <f t="shared" si="183"/>
        <v>6.9868995633186604E-3</v>
      </c>
      <c r="AA1174" s="231">
        <v>5655639</v>
      </c>
      <c r="AC1174" s="230">
        <v>44846</v>
      </c>
      <c r="AD1174" s="1">
        <v>56.2</v>
      </c>
      <c r="AE1174" s="1">
        <v>56.720011171624002</v>
      </c>
      <c r="AF1174" s="1">
        <v>7161</v>
      </c>
      <c r="AG1174" s="1">
        <v>57625.91</v>
      </c>
      <c r="AH1174" s="215">
        <f t="shared" si="188"/>
        <v>6.8241067186998183E-3</v>
      </c>
      <c r="AI1174" s="215">
        <f t="shared" si="184"/>
        <v>1.9963702359346636E-2</v>
      </c>
      <c r="AJ1174" s="231">
        <v>406172</v>
      </c>
      <c r="AL1174" s="254"/>
      <c r="AQ1174" s="215" t="str">
        <f t="shared" si="189"/>
        <v>NA</v>
      </c>
      <c r="AR1174" s="215" t="str">
        <f t="shared" si="185"/>
        <v>NA</v>
      </c>
    </row>
    <row r="1175" spans="2:44">
      <c r="B1175" s="230">
        <v>44816</v>
      </c>
      <c r="C1175" s="1">
        <v>460.8</v>
      </c>
      <c r="D1175" s="1">
        <v>462.75940706955498</v>
      </c>
      <c r="E1175" s="1">
        <v>2631</v>
      </c>
      <c r="F1175" s="215">
        <v>60115.13</v>
      </c>
      <c r="G1175" s="215">
        <f t="shared" si="180"/>
        <v>-7.5275197338400268E-3</v>
      </c>
      <c r="H1175" s="215">
        <f t="shared" si="181"/>
        <v>2.1706099413942859E-4</v>
      </c>
      <c r="I1175" s="231">
        <v>1217520</v>
      </c>
      <c r="K1175" s="230">
        <v>44813</v>
      </c>
      <c r="L1175" s="1">
        <v>287.45</v>
      </c>
      <c r="M1175" s="1">
        <v>290.78912834737997</v>
      </c>
      <c r="N1175" s="1">
        <v>37492</v>
      </c>
      <c r="O1175" s="1">
        <v>59793.14</v>
      </c>
      <c r="P1175" s="215">
        <f t="shared" si="186"/>
        <v>-5.3562223021059729E-3</v>
      </c>
      <c r="Q1175" s="215">
        <f t="shared" si="182"/>
        <v>-1.9945448346403105E-2</v>
      </c>
      <c r="R1175" s="231">
        <v>10902266</v>
      </c>
      <c r="T1175" s="230">
        <v>44813</v>
      </c>
      <c r="U1175" s="1">
        <v>57.25</v>
      </c>
      <c r="V1175" s="1">
        <v>57.712599775320697</v>
      </c>
      <c r="W1175" s="1">
        <v>84565</v>
      </c>
      <c r="X1175" s="1">
        <v>59793.14</v>
      </c>
      <c r="Y1175" s="215">
        <f t="shared" si="187"/>
        <v>-5.3562223021059729E-3</v>
      </c>
      <c r="Z1175" s="215">
        <f t="shared" si="183"/>
        <v>-2.3037542662116106E-2</v>
      </c>
      <c r="AA1175" s="231">
        <v>4880466</v>
      </c>
      <c r="AC1175" s="230">
        <v>44847</v>
      </c>
      <c r="AD1175" s="1">
        <v>55.1</v>
      </c>
      <c r="AE1175" s="1">
        <v>55.318530266983799</v>
      </c>
      <c r="AF1175" s="1">
        <v>7566</v>
      </c>
      <c r="AG1175" s="1">
        <v>57235.33</v>
      </c>
      <c r="AH1175" s="215">
        <f t="shared" si="188"/>
        <v>-1.1820448111419912E-2</v>
      </c>
      <c r="AI1175" s="215">
        <f t="shared" si="184"/>
        <v>-7.3170731707317138E-2</v>
      </c>
      <c r="AJ1175" s="231">
        <v>418540</v>
      </c>
      <c r="AL1175" s="254"/>
      <c r="AQ1175" s="215" t="str">
        <f t="shared" si="189"/>
        <v>NA</v>
      </c>
      <c r="AR1175" s="215" t="str">
        <f t="shared" si="185"/>
        <v>NA</v>
      </c>
    </row>
    <row r="1176" spans="2:44">
      <c r="B1176" s="230">
        <v>44817</v>
      </c>
      <c r="C1176" s="1">
        <v>460.7</v>
      </c>
      <c r="D1176" s="1">
        <v>470.31445016661598</v>
      </c>
      <c r="E1176" s="1">
        <v>3301</v>
      </c>
      <c r="F1176" s="215">
        <v>60571.08</v>
      </c>
      <c r="G1176" s="215">
        <f t="shared" si="180"/>
        <v>3.713691010501341E-3</v>
      </c>
      <c r="H1176" s="215">
        <f t="shared" si="181"/>
        <v>-4.8601360838103069E-3</v>
      </c>
      <c r="I1176" s="231">
        <v>1552508</v>
      </c>
      <c r="K1176" s="230">
        <v>44816</v>
      </c>
      <c r="L1176" s="1">
        <v>293.3</v>
      </c>
      <c r="M1176" s="1">
        <v>292.45069231251102</v>
      </c>
      <c r="N1176" s="1">
        <v>31922</v>
      </c>
      <c r="O1176" s="1">
        <v>60115.13</v>
      </c>
      <c r="P1176" s="215">
        <f t="shared" si="186"/>
        <v>-7.5275197338400268E-3</v>
      </c>
      <c r="Q1176" s="215">
        <f t="shared" si="182"/>
        <v>-2.4447031431897415E-2</v>
      </c>
      <c r="R1176" s="231">
        <v>9335611</v>
      </c>
      <c r="T1176" s="230">
        <v>44816</v>
      </c>
      <c r="U1176" s="1">
        <v>58.6</v>
      </c>
      <c r="V1176" s="1">
        <v>58.721278795038302</v>
      </c>
      <c r="W1176" s="1">
        <v>203160</v>
      </c>
      <c r="X1176" s="1">
        <v>60115.13</v>
      </c>
      <c r="Y1176" s="215">
        <f t="shared" si="187"/>
        <v>-7.5275197338400268E-3</v>
      </c>
      <c r="Z1176" s="215">
        <f t="shared" si="183"/>
        <v>-1.7035775127768327E-3</v>
      </c>
      <c r="AA1176" s="231">
        <v>11929815</v>
      </c>
      <c r="AC1176" s="230">
        <v>44848</v>
      </c>
      <c r="AD1176" s="1">
        <v>59.45</v>
      </c>
      <c r="AE1176" s="1">
        <v>60.543646781260499</v>
      </c>
      <c r="AF1176" s="1">
        <v>20769</v>
      </c>
      <c r="AG1176" s="1">
        <v>57919.97</v>
      </c>
      <c r="AH1176" s="215">
        <f t="shared" si="188"/>
        <v>-8.4061250127972498E-3</v>
      </c>
      <c r="AI1176" s="215">
        <f t="shared" si="184"/>
        <v>9.3378607809848635E-3</v>
      </c>
      <c r="AJ1176" s="231">
        <v>1257431</v>
      </c>
      <c r="AL1176" s="254"/>
      <c r="AQ1176" s="215" t="str">
        <f t="shared" si="189"/>
        <v>NA</v>
      </c>
      <c r="AR1176" s="215" t="str">
        <f t="shared" si="185"/>
        <v>NA</v>
      </c>
    </row>
    <row r="1177" spans="2:44">
      <c r="B1177" s="230">
        <v>44818</v>
      </c>
      <c r="C1177" s="1">
        <v>462.95</v>
      </c>
      <c r="D1177" s="1">
        <v>460.90374087591198</v>
      </c>
      <c r="E1177" s="1">
        <v>2192</v>
      </c>
      <c r="F1177" s="215">
        <v>60346.97</v>
      </c>
      <c r="G1177" s="215">
        <f t="shared" si="180"/>
        <v>6.8902447875587303E-3</v>
      </c>
      <c r="H1177" s="215">
        <f t="shared" si="181"/>
        <v>6.4130434782607715E-3</v>
      </c>
      <c r="I1177" s="231">
        <v>1010301</v>
      </c>
      <c r="K1177" s="230">
        <v>44817</v>
      </c>
      <c r="L1177" s="1">
        <v>300.64999999999998</v>
      </c>
      <c r="M1177" s="1">
        <v>301.46476082649298</v>
      </c>
      <c r="N1177" s="1">
        <v>38863</v>
      </c>
      <c r="O1177" s="1">
        <v>60571.08</v>
      </c>
      <c r="P1177" s="215">
        <f t="shared" si="186"/>
        <v>3.713691010501341E-3</v>
      </c>
      <c r="Q1177" s="215">
        <f t="shared" si="182"/>
        <v>-6.9364161849712058E-3</v>
      </c>
      <c r="R1177" s="231">
        <v>11715825</v>
      </c>
      <c r="T1177" s="230">
        <v>44817</v>
      </c>
      <c r="U1177" s="1">
        <v>58.7</v>
      </c>
      <c r="V1177" s="1">
        <v>58.739017208663199</v>
      </c>
      <c r="W1177" s="1">
        <v>76415</v>
      </c>
      <c r="X1177" s="1">
        <v>60571.08</v>
      </c>
      <c r="Y1177" s="215">
        <f t="shared" si="187"/>
        <v>3.713691010501341E-3</v>
      </c>
      <c r="Z1177" s="215">
        <f t="shared" si="183"/>
        <v>-1.7006802721087899E-3</v>
      </c>
      <c r="AA1177" s="231">
        <v>4488542</v>
      </c>
      <c r="AC1177" s="230">
        <v>44851</v>
      </c>
      <c r="AD1177" s="1">
        <v>58.9</v>
      </c>
      <c r="AE1177" s="1">
        <v>58.969372693726903</v>
      </c>
      <c r="AF1177" s="1">
        <v>2710</v>
      </c>
      <c r="AG1177" s="1">
        <v>58410.98</v>
      </c>
      <c r="AH1177" s="215">
        <f t="shared" si="188"/>
        <v>-9.3218182989995846E-3</v>
      </c>
      <c r="AI1177" s="215">
        <f t="shared" si="184"/>
        <v>-1.6949152542372614E-3</v>
      </c>
      <c r="AJ1177" s="231">
        <v>159807</v>
      </c>
      <c r="AL1177" s="254"/>
      <c r="AQ1177" s="215" t="str">
        <f t="shared" si="189"/>
        <v>NA</v>
      </c>
      <c r="AR1177" s="215" t="str">
        <f t="shared" si="185"/>
        <v>NA</v>
      </c>
    </row>
    <row r="1178" spans="2:44">
      <c r="B1178" s="230">
        <v>44819</v>
      </c>
      <c r="C1178" s="1">
        <v>460</v>
      </c>
      <c r="D1178" s="1">
        <v>463.97521179792898</v>
      </c>
      <c r="E1178" s="1">
        <v>3187</v>
      </c>
      <c r="F1178" s="215">
        <v>59934.01</v>
      </c>
      <c r="G1178" s="215">
        <f t="shared" si="180"/>
        <v>1.857928827944022E-2</v>
      </c>
      <c r="H1178" s="215">
        <f t="shared" si="181"/>
        <v>-1.0752688172043001E-2</v>
      </c>
      <c r="I1178" s="231">
        <v>1478689</v>
      </c>
      <c r="K1178" s="230">
        <v>44818</v>
      </c>
      <c r="L1178" s="1">
        <v>302.75</v>
      </c>
      <c r="M1178" s="1">
        <v>303.00981341597202</v>
      </c>
      <c r="N1178" s="1">
        <v>46467</v>
      </c>
      <c r="O1178" s="1">
        <v>60346.97</v>
      </c>
      <c r="P1178" s="215">
        <f t="shared" si="186"/>
        <v>6.8902447875587303E-3</v>
      </c>
      <c r="Q1178" s="215">
        <f t="shared" si="182"/>
        <v>2.9937064126552171E-2</v>
      </c>
      <c r="R1178" s="231">
        <v>14079957</v>
      </c>
      <c r="T1178" s="230">
        <v>44818</v>
      </c>
      <c r="U1178" s="1">
        <v>58.8</v>
      </c>
      <c r="V1178" s="1">
        <v>58.314225370251101</v>
      </c>
      <c r="W1178" s="1">
        <v>194125</v>
      </c>
      <c r="X1178" s="1">
        <v>60346.97</v>
      </c>
      <c r="Y1178" s="215">
        <f t="shared" si="187"/>
        <v>6.8902447875587303E-3</v>
      </c>
      <c r="Z1178" s="215">
        <f t="shared" si="183"/>
        <v>1.6421780466724156E-2</v>
      </c>
      <c r="AA1178" s="231">
        <v>11320249</v>
      </c>
      <c r="AC1178" s="230">
        <v>44852</v>
      </c>
      <c r="AD1178" s="1">
        <v>59</v>
      </c>
      <c r="AE1178" s="1">
        <v>59.233063700707703</v>
      </c>
      <c r="AF1178" s="1">
        <v>1978</v>
      </c>
      <c r="AG1178" s="1">
        <v>58960.6</v>
      </c>
      <c r="AH1178" s="215">
        <f t="shared" si="188"/>
        <v>-2.4800705294906189E-3</v>
      </c>
      <c r="AI1178" s="215">
        <f t="shared" si="184"/>
        <v>-8.4674005080431769E-4</v>
      </c>
      <c r="AJ1178" s="231">
        <v>117163</v>
      </c>
      <c r="AL1178" s="254"/>
      <c r="AQ1178" s="215" t="str">
        <f t="shared" si="189"/>
        <v>NA</v>
      </c>
      <c r="AR1178" s="215" t="str">
        <f t="shared" si="185"/>
        <v>NA</v>
      </c>
    </row>
    <row r="1179" spans="2:44">
      <c r="B1179" s="230">
        <v>44820</v>
      </c>
      <c r="C1179" s="1">
        <v>465</v>
      </c>
      <c r="D1179" s="1">
        <v>470.04068367838198</v>
      </c>
      <c r="E1179" s="1">
        <v>4154</v>
      </c>
      <c r="F1179" s="215">
        <v>58840.79</v>
      </c>
      <c r="G1179" s="215">
        <f t="shared" si="180"/>
        <v>-5.0800431441822003E-3</v>
      </c>
      <c r="H1179" s="215">
        <f t="shared" si="181"/>
        <v>-2.5974025974025983E-2</v>
      </c>
      <c r="I1179" s="231">
        <v>1952549</v>
      </c>
      <c r="K1179" s="230">
        <v>44819</v>
      </c>
      <c r="L1179" s="1">
        <v>293.95</v>
      </c>
      <c r="M1179" s="1">
        <v>297.95980550581498</v>
      </c>
      <c r="N1179" s="1">
        <v>68691</v>
      </c>
      <c r="O1179" s="1">
        <v>59934.01</v>
      </c>
      <c r="P1179" s="215">
        <f t="shared" si="186"/>
        <v>1.857928827944022E-2</v>
      </c>
      <c r="Q1179" s="215">
        <f t="shared" si="182"/>
        <v>1.7304031839418643E-2</v>
      </c>
      <c r="R1179" s="231">
        <v>20467157</v>
      </c>
      <c r="T1179" s="230">
        <v>44819</v>
      </c>
      <c r="U1179" s="1">
        <v>57.85</v>
      </c>
      <c r="V1179" s="1">
        <v>57.906662716542101</v>
      </c>
      <c r="W1179" s="1">
        <v>64133</v>
      </c>
      <c r="X1179" s="1">
        <v>59934.01</v>
      </c>
      <c r="Y1179" s="215">
        <f t="shared" si="187"/>
        <v>1.857928827944022E-2</v>
      </c>
      <c r="Z1179" s="215">
        <f t="shared" si="183"/>
        <v>1.848591549295775E-2</v>
      </c>
      <c r="AA1179" s="231">
        <v>3713728</v>
      </c>
      <c r="AC1179" s="230">
        <v>44853</v>
      </c>
      <c r="AD1179" s="1">
        <v>59.05</v>
      </c>
      <c r="AE1179" s="1">
        <v>59.363841298467001</v>
      </c>
      <c r="AF1179" s="1">
        <v>2218</v>
      </c>
      <c r="AG1179" s="1">
        <v>59107.19</v>
      </c>
      <c r="AH1179" s="215">
        <f t="shared" si="188"/>
        <v>-1.6166437792742849E-3</v>
      </c>
      <c r="AI1179" s="215">
        <f t="shared" si="184"/>
        <v>1.3733905579399019E-2</v>
      </c>
      <c r="AJ1179" s="231">
        <v>131669</v>
      </c>
      <c r="AL1179" s="254"/>
      <c r="AQ1179" s="215" t="str">
        <f t="shared" si="189"/>
        <v>NA</v>
      </c>
      <c r="AR1179" s="215" t="str">
        <f t="shared" si="185"/>
        <v>NA</v>
      </c>
    </row>
    <row r="1180" spans="2:44">
      <c r="B1180" s="230">
        <v>44823</v>
      </c>
      <c r="C1180" s="1">
        <v>477.4</v>
      </c>
      <c r="D1180" s="1">
        <v>472.98855633802799</v>
      </c>
      <c r="E1180" s="1">
        <v>2272</v>
      </c>
      <c r="F1180" s="215">
        <v>59141.23</v>
      </c>
      <c r="G1180" s="215">
        <f t="shared" si="180"/>
        <v>-9.6870816919162328E-3</v>
      </c>
      <c r="H1180" s="215">
        <f t="shared" si="181"/>
        <v>1.468428781204123E-3</v>
      </c>
      <c r="I1180" s="231">
        <v>1074630</v>
      </c>
      <c r="K1180" s="230">
        <v>44820</v>
      </c>
      <c r="L1180" s="1">
        <v>288.95</v>
      </c>
      <c r="M1180" s="1">
        <v>294.525956367449</v>
      </c>
      <c r="N1180" s="1">
        <v>82003</v>
      </c>
      <c r="O1180" s="1">
        <v>58840.79</v>
      </c>
      <c r="P1180" s="215">
        <f t="shared" si="186"/>
        <v>-5.0800431441822003E-3</v>
      </c>
      <c r="Q1180" s="215">
        <f t="shared" si="182"/>
        <v>1.3504033672395499E-2</v>
      </c>
      <c r="R1180" s="231">
        <v>24152012</v>
      </c>
      <c r="T1180" s="230">
        <v>44820</v>
      </c>
      <c r="U1180" s="1">
        <v>56.8</v>
      </c>
      <c r="V1180" s="1">
        <v>57.208572854475797</v>
      </c>
      <c r="W1180" s="1">
        <v>108202</v>
      </c>
      <c r="X1180" s="1">
        <v>58840.79</v>
      </c>
      <c r="Y1180" s="215">
        <f t="shared" si="187"/>
        <v>-5.0800431441822003E-3</v>
      </c>
      <c r="Z1180" s="215">
        <f t="shared" si="183"/>
        <v>1.7636684303350414E-3</v>
      </c>
      <c r="AA1180" s="231">
        <v>6190082</v>
      </c>
      <c r="AC1180" s="230">
        <v>44854</v>
      </c>
      <c r="AD1180" s="1">
        <v>58.25</v>
      </c>
      <c r="AE1180" s="1">
        <v>58.384799808199404</v>
      </c>
      <c r="AF1180" s="1">
        <v>4171</v>
      </c>
      <c r="AG1180" s="1">
        <v>59202.9</v>
      </c>
      <c r="AH1180" s="215">
        <f t="shared" si="188"/>
        <v>-1.7577981744191229E-3</v>
      </c>
      <c r="AI1180" s="215">
        <f t="shared" si="184"/>
        <v>9.5320623916810288E-3</v>
      </c>
      <c r="AJ1180" s="231">
        <v>243523</v>
      </c>
      <c r="AL1180" s="254"/>
      <c r="AQ1180" s="215" t="str">
        <f t="shared" si="189"/>
        <v>NA</v>
      </c>
      <c r="AR1180" s="215" t="str">
        <f t="shared" si="185"/>
        <v>NA</v>
      </c>
    </row>
    <row r="1181" spans="2:44">
      <c r="B1181" s="230">
        <v>44824</v>
      </c>
      <c r="C1181" s="1">
        <v>476.7</v>
      </c>
      <c r="D1181" s="1">
        <v>477.52607502287202</v>
      </c>
      <c r="E1181" s="1">
        <v>1093</v>
      </c>
      <c r="F1181" s="215">
        <v>59719.74</v>
      </c>
      <c r="G1181" s="215">
        <f t="shared" si="180"/>
        <v>4.4227083942318668E-3</v>
      </c>
      <c r="H1181" s="215">
        <f t="shared" si="181"/>
        <v>3.895967147520274E-3</v>
      </c>
      <c r="I1181" s="231">
        <v>521936</v>
      </c>
      <c r="K1181" s="230">
        <v>44823</v>
      </c>
      <c r="L1181" s="1">
        <v>285.10000000000002</v>
      </c>
      <c r="M1181" s="1">
        <v>287.46219005325702</v>
      </c>
      <c r="N1181" s="1">
        <v>63277</v>
      </c>
      <c r="O1181" s="1">
        <v>59141.23</v>
      </c>
      <c r="P1181" s="215">
        <f t="shared" si="186"/>
        <v>-9.6870816919162328E-3</v>
      </c>
      <c r="Q1181" s="215">
        <f t="shared" si="182"/>
        <v>7.2425366543014125E-3</v>
      </c>
      <c r="R1181" s="231">
        <v>18189745</v>
      </c>
      <c r="T1181" s="230">
        <v>44823</v>
      </c>
      <c r="U1181" s="1">
        <v>56.7</v>
      </c>
      <c r="V1181" s="1">
        <v>56.803437037448802</v>
      </c>
      <c r="W1181" s="1">
        <v>143903</v>
      </c>
      <c r="X1181" s="1">
        <v>59141.23</v>
      </c>
      <c r="Y1181" s="215">
        <f t="shared" si="187"/>
        <v>-9.6870816919162328E-3</v>
      </c>
      <c r="Z1181" s="215">
        <f t="shared" si="183"/>
        <v>2.6525198938993633E-3</v>
      </c>
      <c r="AA1181" s="231">
        <v>8174185</v>
      </c>
      <c r="AC1181" s="230">
        <v>44855</v>
      </c>
      <c r="AD1181" s="1">
        <v>57.7</v>
      </c>
      <c r="AE1181" s="1">
        <v>58.180157448526401</v>
      </c>
      <c r="AF1181" s="1">
        <v>9908</v>
      </c>
      <c r="AG1181" s="1">
        <v>59307.15</v>
      </c>
      <c r="AH1181" s="215">
        <f t="shared" si="188"/>
        <v>-8.7664290109952248E-3</v>
      </c>
      <c r="AI1181" s="215">
        <f t="shared" si="184"/>
        <v>-2.120441051738764E-2</v>
      </c>
      <c r="AJ1181" s="231">
        <v>576449</v>
      </c>
      <c r="AL1181" s="254"/>
      <c r="AQ1181" s="215" t="str">
        <f t="shared" si="189"/>
        <v>NA</v>
      </c>
      <c r="AR1181" s="215" t="str">
        <f t="shared" si="185"/>
        <v>NA</v>
      </c>
    </row>
    <row r="1182" spans="2:44">
      <c r="B1182" s="230">
        <v>44825</v>
      </c>
      <c r="C1182" s="1">
        <v>474.85</v>
      </c>
      <c r="D1182" s="1">
        <v>468.38606676342499</v>
      </c>
      <c r="E1182" s="1">
        <v>689</v>
      </c>
      <c r="F1182" s="215">
        <v>59456.78</v>
      </c>
      <c r="G1182" s="215">
        <f t="shared" si="180"/>
        <v>5.7013125231308859E-3</v>
      </c>
      <c r="H1182" s="215">
        <f t="shared" si="181"/>
        <v>-1.0523025630339577E-2</v>
      </c>
      <c r="I1182" s="231">
        <v>322718</v>
      </c>
      <c r="K1182" s="230">
        <v>44824</v>
      </c>
      <c r="L1182" s="1">
        <v>283.05</v>
      </c>
      <c r="M1182" s="1">
        <v>285.47373920311998</v>
      </c>
      <c r="N1182" s="1">
        <v>43068</v>
      </c>
      <c r="O1182" s="1">
        <v>59719.74</v>
      </c>
      <c r="P1182" s="215">
        <f t="shared" si="186"/>
        <v>4.4227083942318668E-3</v>
      </c>
      <c r="Q1182" s="215">
        <f t="shared" si="182"/>
        <v>1.3426423200859183E-2</v>
      </c>
      <c r="R1182" s="231">
        <v>12294783</v>
      </c>
      <c r="T1182" s="230">
        <v>44824</v>
      </c>
      <c r="U1182" s="1">
        <v>56.55</v>
      </c>
      <c r="V1182" s="1">
        <v>56.950481007091398</v>
      </c>
      <c r="W1182" s="1">
        <v>90955</v>
      </c>
      <c r="X1182" s="1">
        <v>59719.74</v>
      </c>
      <c r="Y1182" s="215">
        <f t="shared" si="187"/>
        <v>4.4227083942318668E-3</v>
      </c>
      <c r="Z1182" s="215">
        <f t="shared" si="183"/>
        <v>4.4404973357015098E-3</v>
      </c>
      <c r="AA1182" s="231">
        <v>5179931</v>
      </c>
      <c r="AC1182" s="230">
        <v>44858</v>
      </c>
      <c r="AD1182" s="1">
        <v>58.95</v>
      </c>
      <c r="AE1182" s="1">
        <v>58.808163265306099</v>
      </c>
      <c r="AF1182" s="1">
        <v>1715</v>
      </c>
      <c r="AG1182" s="1">
        <v>59831.66</v>
      </c>
      <c r="AH1182" s="215">
        <f t="shared" si="188"/>
        <v>4.831724326027409E-3</v>
      </c>
      <c r="AI1182" s="215">
        <f t="shared" si="184"/>
        <v>2.0779220779220786E-2</v>
      </c>
      <c r="AJ1182" s="231">
        <v>100856</v>
      </c>
      <c r="AL1182" s="254"/>
      <c r="AQ1182" s="215" t="str">
        <f t="shared" si="189"/>
        <v>NA</v>
      </c>
      <c r="AR1182" s="215" t="str">
        <f t="shared" si="185"/>
        <v>NA</v>
      </c>
    </row>
    <row r="1183" spans="2:44">
      <c r="B1183" s="230">
        <v>44826</v>
      </c>
      <c r="C1183" s="1">
        <v>479.9</v>
      </c>
      <c r="D1183" s="1">
        <v>478.98454404945898</v>
      </c>
      <c r="E1183" s="1">
        <v>5176</v>
      </c>
      <c r="F1183" s="215">
        <v>59119.72</v>
      </c>
      <c r="G1183" s="215">
        <f t="shared" si="180"/>
        <v>1.7570034004074531E-2</v>
      </c>
      <c r="H1183" s="215">
        <f t="shared" si="181"/>
        <v>3.1266284523190357E-4</v>
      </c>
      <c r="I1183" s="231">
        <v>2479224</v>
      </c>
      <c r="K1183" s="230">
        <v>44825</v>
      </c>
      <c r="L1183" s="1">
        <v>279.3</v>
      </c>
      <c r="M1183" s="1">
        <v>282.13153124118702</v>
      </c>
      <c r="N1183" s="1">
        <v>24823</v>
      </c>
      <c r="O1183" s="1">
        <v>59456.78</v>
      </c>
      <c r="P1183" s="215">
        <f t="shared" si="186"/>
        <v>5.7013125231308859E-3</v>
      </c>
      <c r="Q1183" s="215">
        <f t="shared" si="182"/>
        <v>-1.8105115134469996E-2</v>
      </c>
      <c r="R1183" s="231">
        <v>7003351</v>
      </c>
      <c r="T1183" s="230">
        <v>44825</v>
      </c>
      <c r="U1183" s="1">
        <v>56.3</v>
      </c>
      <c r="V1183" s="1">
        <v>56.315434794328503</v>
      </c>
      <c r="W1183" s="1">
        <v>148392</v>
      </c>
      <c r="X1183" s="1">
        <v>59456.78</v>
      </c>
      <c r="Y1183" s="215">
        <f t="shared" si="187"/>
        <v>5.7013125231308859E-3</v>
      </c>
      <c r="Z1183" s="215">
        <f t="shared" si="183"/>
        <v>1.1680143755615324E-2</v>
      </c>
      <c r="AA1183" s="231">
        <v>8356760</v>
      </c>
      <c r="AC1183" s="230">
        <v>44859</v>
      </c>
      <c r="AD1183" s="1">
        <v>57.75</v>
      </c>
      <c r="AE1183" s="1">
        <v>58.049197415050998</v>
      </c>
      <c r="AF1183" s="1">
        <v>4797</v>
      </c>
      <c r="AG1183" s="1">
        <v>59543.96</v>
      </c>
      <c r="AH1183" s="215">
        <f t="shared" si="188"/>
        <v>-3.5624373711862223E-3</v>
      </c>
      <c r="AI1183" s="215">
        <f t="shared" si="184"/>
        <v>0</v>
      </c>
      <c r="AJ1183" s="231">
        <v>278462</v>
      </c>
      <c r="AL1183" s="254"/>
      <c r="AQ1183" s="215" t="str">
        <f t="shared" si="189"/>
        <v>NA</v>
      </c>
      <c r="AR1183" s="215" t="str">
        <f t="shared" si="185"/>
        <v>NA</v>
      </c>
    </row>
    <row r="1184" spans="2:44">
      <c r="B1184" s="230">
        <v>44827</v>
      </c>
      <c r="C1184" s="1">
        <v>479.75</v>
      </c>
      <c r="D1184" s="1">
        <v>474.25715955581501</v>
      </c>
      <c r="E1184" s="1">
        <v>3422</v>
      </c>
      <c r="F1184" s="215">
        <v>58098.92</v>
      </c>
      <c r="G1184" s="215">
        <f t="shared" si="180"/>
        <v>1.6689059907372794E-2</v>
      </c>
      <c r="H1184" s="215">
        <f t="shared" si="181"/>
        <v>4.3501903208265302E-2</v>
      </c>
      <c r="I1184" s="231">
        <v>1622908</v>
      </c>
      <c r="K1184" s="230">
        <v>44826</v>
      </c>
      <c r="L1184" s="1">
        <v>284.45</v>
      </c>
      <c r="M1184" s="1">
        <v>284.26785321907198</v>
      </c>
      <c r="N1184" s="1">
        <v>18204</v>
      </c>
      <c r="O1184" s="1">
        <v>59119.72</v>
      </c>
      <c r="P1184" s="215">
        <f t="shared" si="186"/>
        <v>1.7570034004074531E-2</v>
      </c>
      <c r="Q1184" s="215">
        <f t="shared" si="182"/>
        <v>1.8438954529180096E-2</v>
      </c>
      <c r="R1184" s="231">
        <v>5174812</v>
      </c>
      <c r="T1184" s="230">
        <v>44826</v>
      </c>
      <c r="U1184" s="1">
        <v>55.65</v>
      </c>
      <c r="V1184" s="1">
        <v>55.908307503661497</v>
      </c>
      <c r="W1184" s="1">
        <v>146795</v>
      </c>
      <c r="X1184" s="1">
        <v>59119.72</v>
      </c>
      <c r="Y1184" s="215">
        <f t="shared" si="187"/>
        <v>1.7570034004074531E-2</v>
      </c>
      <c r="Z1184" s="215">
        <f t="shared" si="183"/>
        <v>2.2977941176470562E-2</v>
      </c>
      <c r="AA1184" s="231">
        <v>8207060</v>
      </c>
      <c r="AC1184" s="230">
        <v>44861</v>
      </c>
      <c r="AD1184" s="1">
        <v>57.75</v>
      </c>
      <c r="AE1184" s="1">
        <v>58.033745212804298</v>
      </c>
      <c r="AF1184" s="1">
        <v>13839</v>
      </c>
      <c r="AG1184" s="1">
        <v>59756.84</v>
      </c>
      <c r="AH1184" s="215">
        <f t="shared" si="188"/>
        <v>-3.385765641508498E-3</v>
      </c>
      <c r="AI1184" s="215">
        <f t="shared" si="184"/>
        <v>-1.7021276595744705E-2</v>
      </c>
      <c r="AJ1184" s="231">
        <v>803129</v>
      </c>
      <c r="AL1184" s="254"/>
      <c r="AQ1184" s="215" t="str">
        <f t="shared" si="189"/>
        <v>NA</v>
      </c>
      <c r="AR1184" s="215" t="str">
        <f t="shared" si="185"/>
        <v>NA</v>
      </c>
    </row>
    <row r="1185" spans="2:44">
      <c r="B1185" s="230">
        <v>44830</v>
      </c>
      <c r="C1185" s="1">
        <v>459.75</v>
      </c>
      <c r="D1185" s="1">
        <v>463.16305290546399</v>
      </c>
      <c r="E1185" s="1">
        <v>2306</v>
      </c>
      <c r="F1185" s="215">
        <v>57145.22</v>
      </c>
      <c r="G1185" s="215">
        <f t="shared" si="180"/>
        <v>6.6015824185683414E-4</v>
      </c>
      <c r="H1185" s="215">
        <f t="shared" si="181"/>
        <v>1.3781697905181911E-2</v>
      </c>
      <c r="I1185" s="231">
        <v>1068054</v>
      </c>
      <c r="K1185" s="230">
        <v>44827</v>
      </c>
      <c r="L1185" s="1">
        <v>279.3</v>
      </c>
      <c r="M1185" s="1">
        <v>279.68150797416098</v>
      </c>
      <c r="N1185" s="1">
        <v>27401</v>
      </c>
      <c r="O1185" s="1">
        <v>58098.92</v>
      </c>
      <c r="P1185" s="215">
        <f t="shared" si="186"/>
        <v>1.6689059907372794E-2</v>
      </c>
      <c r="Q1185" s="215">
        <f t="shared" si="182"/>
        <v>4.1387024608501299E-2</v>
      </c>
      <c r="R1185" s="231">
        <v>7663553</v>
      </c>
      <c r="T1185" s="230">
        <v>44827</v>
      </c>
      <c r="U1185" s="1">
        <v>54.4</v>
      </c>
      <c r="V1185" s="1">
        <v>54.636438633356597</v>
      </c>
      <c r="W1185" s="1">
        <v>128490</v>
      </c>
      <c r="X1185" s="1">
        <v>58098.92</v>
      </c>
      <c r="Y1185" s="215">
        <f t="shared" si="187"/>
        <v>1.6689059907372794E-2</v>
      </c>
      <c r="Z1185" s="215">
        <f t="shared" si="183"/>
        <v>5.4263565891472743E-2</v>
      </c>
      <c r="AA1185" s="231">
        <v>7020236</v>
      </c>
      <c r="AC1185" s="230">
        <v>44862</v>
      </c>
      <c r="AD1185" s="1">
        <v>58.75</v>
      </c>
      <c r="AE1185" s="1">
        <v>58.804932735426</v>
      </c>
      <c r="AF1185" s="1">
        <v>892</v>
      </c>
      <c r="AG1185" s="1">
        <v>59959.85</v>
      </c>
      <c r="AH1185" s="215">
        <f t="shared" si="188"/>
        <v>-1.2951179646462418E-2</v>
      </c>
      <c r="AI1185" s="215">
        <f t="shared" si="184"/>
        <v>-5.6224899598393607E-2</v>
      </c>
      <c r="AJ1185" s="231">
        <v>52454</v>
      </c>
      <c r="AL1185" s="254"/>
      <c r="AQ1185" s="215" t="str">
        <f t="shared" si="189"/>
        <v>NA</v>
      </c>
      <c r="AR1185" s="215" t="str">
        <f t="shared" si="185"/>
        <v>NA</v>
      </c>
    </row>
    <row r="1186" spans="2:44">
      <c r="B1186" s="230">
        <v>44831</v>
      </c>
      <c r="C1186" s="1">
        <v>453.5</v>
      </c>
      <c r="D1186" s="1">
        <v>444.49857006673</v>
      </c>
      <c r="E1186" s="1">
        <v>2098</v>
      </c>
      <c r="F1186" s="215">
        <v>57107.519999999997</v>
      </c>
      <c r="G1186" s="215">
        <f t="shared" si="180"/>
        <v>8.9974465655140445E-3</v>
      </c>
      <c r="H1186" s="215">
        <f t="shared" si="181"/>
        <v>-1.6695576756287966E-2</v>
      </c>
      <c r="I1186" s="231">
        <v>932558</v>
      </c>
      <c r="K1186" s="230">
        <v>44830</v>
      </c>
      <c r="L1186" s="1">
        <v>268.2</v>
      </c>
      <c r="M1186" s="1">
        <v>268.71049815717498</v>
      </c>
      <c r="N1186" s="1">
        <v>58877</v>
      </c>
      <c r="O1186" s="1">
        <v>57145.22</v>
      </c>
      <c r="P1186" s="215">
        <f t="shared" si="186"/>
        <v>6.6015824185683414E-4</v>
      </c>
      <c r="Q1186" s="215">
        <f t="shared" si="182"/>
        <v>-2.5436046511627897E-2</v>
      </c>
      <c r="R1186" s="231">
        <v>15820868</v>
      </c>
      <c r="T1186" s="230">
        <v>44830</v>
      </c>
      <c r="U1186" s="1">
        <v>51.6</v>
      </c>
      <c r="V1186" s="1">
        <v>51.868765511420101</v>
      </c>
      <c r="W1186" s="1">
        <v>158754</v>
      </c>
      <c r="X1186" s="1">
        <v>57145.22</v>
      </c>
      <c r="Y1186" s="215">
        <f t="shared" si="187"/>
        <v>6.6015824185683414E-4</v>
      </c>
      <c r="Z1186" s="215">
        <f t="shared" si="183"/>
        <v>-9.5969289827255722E-3</v>
      </c>
      <c r="AA1186" s="231">
        <v>8234374</v>
      </c>
      <c r="AC1186" s="230">
        <v>44865</v>
      </c>
      <c r="AD1186" s="1">
        <v>62.25</v>
      </c>
      <c r="AE1186" s="1">
        <v>63.114691351322001</v>
      </c>
      <c r="AF1186" s="1">
        <v>36838</v>
      </c>
      <c r="AG1186" s="1">
        <v>60746.59</v>
      </c>
      <c r="AH1186" s="215">
        <f t="shared" si="188"/>
        <v>-6.131409073916072E-3</v>
      </c>
      <c r="AI1186" s="215">
        <f t="shared" si="184"/>
        <v>7.2815533980583602E-3</v>
      </c>
      <c r="AJ1186" s="231">
        <v>2325019</v>
      </c>
      <c r="AL1186" s="254"/>
      <c r="AQ1186" s="215" t="str">
        <f t="shared" si="189"/>
        <v>NA</v>
      </c>
      <c r="AR1186" s="215" t="str">
        <f t="shared" si="185"/>
        <v>NA</v>
      </c>
    </row>
    <row r="1187" spans="2:44">
      <c r="B1187" s="230">
        <v>44832</v>
      </c>
      <c r="C1187" s="1">
        <v>461.2</v>
      </c>
      <c r="D1187" s="1">
        <v>461.76649417852502</v>
      </c>
      <c r="E1187" s="1">
        <v>1546</v>
      </c>
      <c r="F1187" s="215">
        <v>56598.28</v>
      </c>
      <c r="G1187" s="215">
        <f t="shared" si="180"/>
        <v>3.3384175418667006E-3</v>
      </c>
      <c r="H1187" s="215">
        <f t="shared" si="181"/>
        <v>-7.638515330823048E-3</v>
      </c>
      <c r="I1187" s="231">
        <v>713891</v>
      </c>
      <c r="K1187" s="230">
        <v>44831</v>
      </c>
      <c r="L1187" s="1">
        <v>275.2</v>
      </c>
      <c r="M1187" s="1">
        <v>272.69826093903902</v>
      </c>
      <c r="N1187" s="1">
        <v>37549</v>
      </c>
      <c r="O1187" s="1">
        <v>57107.519999999997</v>
      </c>
      <c r="P1187" s="215">
        <f t="shared" si="186"/>
        <v>8.9974465655140445E-3</v>
      </c>
      <c r="Q1187" s="215">
        <f t="shared" si="182"/>
        <v>4.0131338927398286E-3</v>
      </c>
      <c r="R1187" s="231">
        <v>10239547</v>
      </c>
      <c r="T1187" s="230">
        <v>44831</v>
      </c>
      <c r="U1187" s="1">
        <v>52.1</v>
      </c>
      <c r="V1187" s="1">
        <v>51.957399334485501</v>
      </c>
      <c r="W1187" s="1">
        <v>77534</v>
      </c>
      <c r="X1187" s="1">
        <v>57107.519999999997</v>
      </c>
      <c r="Y1187" s="215">
        <f t="shared" si="187"/>
        <v>8.9974465655140445E-3</v>
      </c>
      <c r="Z1187" s="215">
        <f t="shared" si="183"/>
        <v>8.7124878993223298E-3</v>
      </c>
      <c r="AA1187" s="231">
        <v>4028465</v>
      </c>
      <c r="AC1187" s="230">
        <v>44866</v>
      </c>
      <c r="AD1187" s="1">
        <v>61.8</v>
      </c>
      <c r="AE1187" s="1">
        <v>62.323490879774198</v>
      </c>
      <c r="AF1187" s="1">
        <v>9923</v>
      </c>
      <c r="AG1187" s="1">
        <v>61121.35</v>
      </c>
      <c r="AH1187" s="215">
        <f t="shared" si="188"/>
        <v>3.5342935328799285E-3</v>
      </c>
      <c r="AI1187" s="215">
        <f t="shared" si="184"/>
        <v>8.0971659919026884E-4</v>
      </c>
      <c r="AJ1187" s="231">
        <v>618436</v>
      </c>
      <c r="AL1187" s="254"/>
      <c r="AQ1187" s="215" t="str">
        <f t="shared" si="189"/>
        <v>NA</v>
      </c>
      <c r="AR1187" s="215" t="str">
        <f t="shared" si="185"/>
        <v>NA</v>
      </c>
    </row>
    <row r="1188" spans="2:44">
      <c r="B1188" s="230">
        <v>44833</v>
      </c>
      <c r="C1188" s="1">
        <v>464.75</v>
      </c>
      <c r="D1188" s="1">
        <v>465.40588235294098</v>
      </c>
      <c r="E1188" s="1">
        <v>680</v>
      </c>
      <c r="F1188" s="215">
        <v>56409.96</v>
      </c>
      <c r="G1188" s="215">
        <f t="shared" si="180"/>
        <v>-1.7708767943675152E-2</v>
      </c>
      <c r="H1188" s="215">
        <f t="shared" si="181"/>
        <v>-5.3763440860210565E-4</v>
      </c>
      <c r="I1188" s="231">
        <v>316476</v>
      </c>
      <c r="K1188" s="230">
        <v>44832</v>
      </c>
      <c r="L1188" s="1">
        <v>274.10000000000002</v>
      </c>
      <c r="M1188" s="1">
        <v>273.60062228484202</v>
      </c>
      <c r="N1188" s="1">
        <v>17034</v>
      </c>
      <c r="O1188" s="1">
        <v>56598.28</v>
      </c>
      <c r="P1188" s="215">
        <f t="shared" si="186"/>
        <v>3.3384175418667006E-3</v>
      </c>
      <c r="Q1188" s="215">
        <f t="shared" si="182"/>
        <v>-3.272727272727205E-3</v>
      </c>
      <c r="R1188" s="231">
        <v>4660513</v>
      </c>
      <c r="T1188" s="230">
        <v>44832</v>
      </c>
      <c r="U1188" s="1">
        <v>51.65</v>
      </c>
      <c r="V1188" s="1">
        <v>52.097039565728302</v>
      </c>
      <c r="W1188" s="1">
        <v>71476</v>
      </c>
      <c r="X1188" s="1">
        <v>56598.28</v>
      </c>
      <c r="Y1188" s="215">
        <f t="shared" si="187"/>
        <v>3.3384175418667006E-3</v>
      </c>
      <c r="Z1188" s="215">
        <f t="shared" si="183"/>
        <v>2.9126213592232109E-3</v>
      </c>
      <c r="AA1188" s="231">
        <v>3723688</v>
      </c>
      <c r="AC1188" s="230">
        <v>44867</v>
      </c>
      <c r="AD1188" s="1">
        <v>61.75</v>
      </c>
      <c r="AE1188" s="1">
        <v>62.150611492712301</v>
      </c>
      <c r="AF1188" s="1">
        <v>5969</v>
      </c>
      <c r="AG1188" s="1">
        <v>60906.09</v>
      </c>
      <c r="AH1188" s="215">
        <f t="shared" si="188"/>
        <v>1.145366730219477E-3</v>
      </c>
      <c r="AI1188" s="215">
        <f t="shared" si="184"/>
        <v>1.7298187808896248E-2</v>
      </c>
      <c r="AJ1188" s="231">
        <v>370977</v>
      </c>
      <c r="AL1188" s="254"/>
      <c r="AQ1188" s="215" t="str">
        <f t="shared" si="189"/>
        <v>NA</v>
      </c>
      <c r="AR1188" s="215" t="str">
        <f t="shared" si="185"/>
        <v>NA</v>
      </c>
    </row>
    <row r="1189" spans="2:44">
      <c r="B1189" s="230">
        <v>44834</v>
      </c>
      <c r="C1189" s="1">
        <v>465</v>
      </c>
      <c r="D1189" s="1">
        <v>465.43367346938697</v>
      </c>
      <c r="E1189" s="1">
        <v>588</v>
      </c>
      <c r="F1189" s="215">
        <v>57426.92</v>
      </c>
      <c r="G1189" s="215">
        <f t="shared" si="180"/>
        <v>1.1236544664344983E-2</v>
      </c>
      <c r="H1189" s="215">
        <f t="shared" si="181"/>
        <v>6.3845904122930008E-3</v>
      </c>
      <c r="I1189" s="231">
        <v>273675</v>
      </c>
      <c r="K1189" s="230">
        <v>44833</v>
      </c>
      <c r="L1189" s="1">
        <v>275</v>
      </c>
      <c r="M1189" s="1">
        <v>276.90546991157299</v>
      </c>
      <c r="N1189" s="1">
        <v>25558</v>
      </c>
      <c r="O1189" s="1">
        <v>56409.96</v>
      </c>
      <c r="P1189" s="215">
        <f t="shared" si="186"/>
        <v>-1.7708767943675152E-2</v>
      </c>
      <c r="Q1189" s="215">
        <f t="shared" si="182"/>
        <v>-1.1324824734855188E-2</v>
      </c>
      <c r="R1189" s="231">
        <v>7077150</v>
      </c>
      <c r="T1189" s="230">
        <v>44833</v>
      </c>
      <c r="U1189" s="1">
        <v>51.5</v>
      </c>
      <c r="V1189" s="1">
        <v>51.826600493525902</v>
      </c>
      <c r="W1189" s="1">
        <v>36067</v>
      </c>
      <c r="X1189" s="1">
        <v>56409.96</v>
      </c>
      <c r="Y1189" s="215">
        <f t="shared" si="187"/>
        <v>-1.7708767943675152E-2</v>
      </c>
      <c r="Z1189" s="215">
        <f t="shared" si="183"/>
        <v>-9.6153846153845812E-3</v>
      </c>
      <c r="AA1189" s="231">
        <v>1869230</v>
      </c>
      <c r="AC1189" s="230">
        <v>44868</v>
      </c>
      <c r="AD1189" s="1">
        <v>60.7</v>
      </c>
      <c r="AE1189" s="1">
        <v>60.953361209392</v>
      </c>
      <c r="AF1189" s="1">
        <v>3109</v>
      </c>
      <c r="AG1189" s="1">
        <v>60836.41</v>
      </c>
      <c r="AH1189" s="215">
        <f t="shared" si="188"/>
        <v>-1.86955417490553E-3</v>
      </c>
      <c r="AI1189" s="215">
        <f t="shared" si="184"/>
        <v>-5.0820953870211127E-2</v>
      </c>
      <c r="AJ1189" s="231">
        <v>189504</v>
      </c>
      <c r="AL1189" s="254"/>
      <c r="AQ1189" s="215" t="str">
        <f t="shared" si="189"/>
        <v>NA</v>
      </c>
      <c r="AR1189" s="215" t="str">
        <f t="shared" si="185"/>
        <v>NA</v>
      </c>
    </row>
    <row r="1190" spans="2:44">
      <c r="B1190" s="230">
        <v>44837</v>
      </c>
      <c r="C1190" s="1">
        <v>462.05</v>
      </c>
      <c r="D1190" s="1">
        <v>460.67985611510699</v>
      </c>
      <c r="E1190" s="1">
        <v>834</v>
      </c>
      <c r="F1190" s="215">
        <v>56788.81</v>
      </c>
      <c r="G1190" s="215">
        <f t="shared" si="180"/>
        <v>-2.1986561031883567E-2</v>
      </c>
      <c r="H1190" s="215">
        <f t="shared" si="181"/>
        <v>-1.6705682060012661E-2</v>
      </c>
      <c r="I1190" s="231">
        <v>384207</v>
      </c>
      <c r="K1190" s="230">
        <v>44834</v>
      </c>
      <c r="L1190" s="1">
        <v>278.14999999999998</v>
      </c>
      <c r="M1190" s="1">
        <v>277.87820300419702</v>
      </c>
      <c r="N1190" s="1">
        <v>36216</v>
      </c>
      <c r="O1190" s="1">
        <v>57426.92</v>
      </c>
      <c r="P1190" s="215">
        <f t="shared" si="186"/>
        <v>1.1236544664344983E-2</v>
      </c>
      <c r="Q1190" s="215">
        <f t="shared" si="182"/>
        <v>1.292789512017456E-2</v>
      </c>
      <c r="R1190" s="231">
        <v>10063637</v>
      </c>
      <c r="T1190" s="230">
        <v>44834</v>
      </c>
      <c r="U1190" s="1">
        <v>52</v>
      </c>
      <c r="V1190" s="1">
        <v>52.179114149629001</v>
      </c>
      <c r="W1190" s="1">
        <v>61726</v>
      </c>
      <c r="X1190" s="1">
        <v>57426.92</v>
      </c>
      <c r="Y1190" s="215">
        <f t="shared" si="187"/>
        <v>1.1236544664344983E-2</v>
      </c>
      <c r="Z1190" s="215">
        <f t="shared" si="183"/>
        <v>8.7293889427739746E-3</v>
      </c>
      <c r="AA1190" s="231">
        <v>3220808</v>
      </c>
      <c r="AC1190" s="230">
        <v>44869</v>
      </c>
      <c r="AD1190" s="1">
        <v>63.95</v>
      </c>
      <c r="AE1190" s="1">
        <v>63.445365697348301</v>
      </c>
      <c r="AF1190" s="1">
        <v>24966</v>
      </c>
      <c r="AG1190" s="1">
        <v>60950.36</v>
      </c>
      <c r="AH1190" s="215">
        <f t="shared" si="188"/>
        <v>-3.8373690348066924E-3</v>
      </c>
      <c r="AI1190" s="215">
        <f t="shared" si="184"/>
        <v>4.7132757266301617E-3</v>
      </c>
      <c r="AJ1190" s="231">
        <v>1583977</v>
      </c>
      <c r="AL1190" s="254"/>
      <c r="AQ1190" s="215" t="str">
        <f t="shared" si="189"/>
        <v>NA</v>
      </c>
      <c r="AR1190" s="215" t="str">
        <f t="shared" si="185"/>
        <v>NA</v>
      </c>
    </row>
    <row r="1191" spans="2:44">
      <c r="B1191" s="230">
        <v>44838</v>
      </c>
      <c r="C1191" s="1">
        <v>469.9</v>
      </c>
      <c r="D1191" s="1">
        <v>465.59626436781599</v>
      </c>
      <c r="E1191" s="1">
        <v>696</v>
      </c>
      <c r="F1191" s="215">
        <v>58065.47</v>
      </c>
      <c r="G1191" s="215">
        <f t="shared" si="180"/>
        <v>-2.6902155710631925E-3</v>
      </c>
      <c r="H1191" s="215">
        <f t="shared" si="181"/>
        <v>-7.1836044791887543E-3</v>
      </c>
      <c r="I1191" s="231">
        <v>324055</v>
      </c>
      <c r="K1191" s="230">
        <v>44837</v>
      </c>
      <c r="L1191" s="1">
        <v>274.60000000000002</v>
      </c>
      <c r="M1191" s="1">
        <v>276.17078823163598</v>
      </c>
      <c r="N1191" s="1">
        <v>35383</v>
      </c>
      <c r="O1191" s="1">
        <v>56788.81</v>
      </c>
      <c r="P1191" s="215">
        <f t="shared" si="186"/>
        <v>-2.1986561031883567E-2</v>
      </c>
      <c r="Q1191" s="215">
        <f t="shared" si="182"/>
        <v>-1.6360661697872869E-3</v>
      </c>
      <c r="R1191" s="231">
        <v>9771751</v>
      </c>
      <c r="T1191" s="230">
        <v>44837</v>
      </c>
      <c r="U1191" s="1">
        <v>51.55</v>
      </c>
      <c r="V1191" s="1">
        <v>51.8325585494282</v>
      </c>
      <c r="W1191" s="1">
        <v>45389</v>
      </c>
      <c r="X1191" s="1">
        <v>56788.81</v>
      </c>
      <c r="Y1191" s="215">
        <f t="shared" si="187"/>
        <v>-2.1986561031883567E-2</v>
      </c>
      <c r="Z1191" s="215">
        <f t="shared" si="183"/>
        <v>-1.2452107279693592E-2</v>
      </c>
      <c r="AA1191" s="231">
        <v>2352628</v>
      </c>
      <c r="AC1191" s="230">
        <v>44872</v>
      </c>
      <c r="AD1191" s="1">
        <v>63.65</v>
      </c>
      <c r="AE1191" s="1">
        <v>64.194259299075398</v>
      </c>
      <c r="AF1191" s="1">
        <v>9302</v>
      </c>
      <c r="AG1191" s="1">
        <v>61185.15</v>
      </c>
      <c r="AH1191" s="215">
        <f t="shared" si="188"/>
        <v>2.4838797677670943E-3</v>
      </c>
      <c r="AI1191" s="215">
        <f t="shared" si="184"/>
        <v>-6.2451209992193668E-3</v>
      </c>
      <c r="AJ1191" s="231">
        <v>597135</v>
      </c>
      <c r="AL1191" s="254"/>
      <c r="AQ1191" s="215" t="str">
        <f t="shared" si="189"/>
        <v>NA</v>
      </c>
      <c r="AR1191" s="215" t="str">
        <f t="shared" si="185"/>
        <v>NA</v>
      </c>
    </row>
    <row r="1192" spans="2:44">
      <c r="B1192" s="230">
        <v>44840</v>
      </c>
      <c r="C1192" s="1">
        <v>473.3</v>
      </c>
      <c r="D1192" s="1">
        <v>473.09228039041699</v>
      </c>
      <c r="E1192" s="1">
        <v>1127</v>
      </c>
      <c r="F1192" s="215">
        <v>58222.1</v>
      </c>
      <c r="G1192" s="215">
        <f t="shared" ref="G1192:G1251" si="190">IF(ISERROR(F1192/F1193-1),"NA",F1192/F1193-1)</f>
        <v>5.2946068045578443E-4</v>
      </c>
      <c r="H1192" s="215">
        <f t="shared" ref="H1192:H1251" si="191">IF(ISERROR(C1192/C1193-1),"NA",C1192/C1193-1)</f>
        <v>1.8068401806840217E-2</v>
      </c>
      <c r="I1192" s="231">
        <v>533175</v>
      </c>
      <c r="K1192" s="230">
        <v>44838</v>
      </c>
      <c r="L1192" s="1">
        <v>275.05</v>
      </c>
      <c r="M1192" s="1">
        <v>276.21600594260599</v>
      </c>
      <c r="N1192" s="1">
        <v>25578</v>
      </c>
      <c r="O1192" s="1">
        <v>58065.47</v>
      </c>
      <c r="P1192" s="215">
        <f t="shared" si="186"/>
        <v>-2.6902155710631925E-3</v>
      </c>
      <c r="Q1192" s="215">
        <f t="shared" si="182"/>
        <v>-3.9833423863840922E-3</v>
      </c>
      <c r="R1192" s="231">
        <v>7065053</v>
      </c>
      <c r="T1192" s="230">
        <v>44838</v>
      </c>
      <c r="U1192" s="1">
        <v>52.2</v>
      </c>
      <c r="V1192" s="1">
        <v>52.234285566289302</v>
      </c>
      <c r="W1192" s="1">
        <v>38611</v>
      </c>
      <c r="X1192" s="1">
        <v>58065.47</v>
      </c>
      <c r="Y1192" s="215">
        <f t="shared" si="187"/>
        <v>-2.6902155710631925E-3</v>
      </c>
      <c r="Z1192" s="215">
        <f t="shared" si="183"/>
        <v>-8.5470085470085166E-3</v>
      </c>
      <c r="AA1192" s="231">
        <v>2016818</v>
      </c>
      <c r="AC1192" s="230">
        <v>44874</v>
      </c>
      <c r="AD1192" s="1">
        <v>64.05</v>
      </c>
      <c r="AE1192" s="1">
        <v>63.832139399806302</v>
      </c>
      <c r="AF1192" s="1">
        <v>5165</v>
      </c>
      <c r="AG1192" s="1">
        <v>61033.55</v>
      </c>
      <c r="AH1192" s="215">
        <f t="shared" si="188"/>
        <v>6.9266518955286571E-3</v>
      </c>
      <c r="AI1192" s="215">
        <f t="shared" si="184"/>
        <v>1.5637216575448143E-3</v>
      </c>
      <c r="AJ1192" s="231">
        <v>329693</v>
      </c>
      <c r="AL1192" s="254"/>
      <c r="AQ1192" s="215" t="str">
        <f t="shared" si="189"/>
        <v>NA</v>
      </c>
      <c r="AR1192" s="215" t="str">
        <f t="shared" si="185"/>
        <v>NA</v>
      </c>
    </row>
    <row r="1193" spans="2:44">
      <c r="B1193" s="230">
        <v>44841</v>
      </c>
      <c r="C1193" s="1">
        <v>464.9</v>
      </c>
      <c r="D1193" s="1">
        <v>465.82814814814799</v>
      </c>
      <c r="E1193" s="1">
        <v>675</v>
      </c>
      <c r="F1193" s="215">
        <v>58191.29</v>
      </c>
      <c r="G1193" s="215">
        <f t="shared" si="190"/>
        <v>3.4519084045814274E-3</v>
      </c>
      <c r="H1193" s="215">
        <f t="shared" si="191"/>
        <v>-4.4967880085653444E-3</v>
      </c>
      <c r="I1193" s="231">
        <v>314434</v>
      </c>
      <c r="K1193" s="230">
        <v>44840</v>
      </c>
      <c r="L1193" s="1">
        <v>276.14999999999998</v>
      </c>
      <c r="M1193" s="1">
        <v>279.09945184025003</v>
      </c>
      <c r="N1193" s="1">
        <v>35756</v>
      </c>
      <c r="O1193" s="1">
        <v>58222.1</v>
      </c>
      <c r="P1193" s="215">
        <f t="shared" si="186"/>
        <v>5.2946068045578443E-4</v>
      </c>
      <c r="Q1193" s="215">
        <f t="shared" si="182"/>
        <v>2.3593466424680631E-3</v>
      </c>
      <c r="R1193" s="231">
        <v>9979480</v>
      </c>
      <c r="T1193" s="230">
        <v>44840</v>
      </c>
      <c r="U1193" s="1">
        <v>52.65</v>
      </c>
      <c r="V1193" s="1">
        <v>52.6209785702776</v>
      </c>
      <c r="W1193" s="1">
        <v>74476</v>
      </c>
      <c r="X1193" s="1">
        <v>58222.1</v>
      </c>
      <c r="Y1193" s="215">
        <f t="shared" si="187"/>
        <v>5.2946068045578443E-4</v>
      </c>
      <c r="Z1193" s="215">
        <f t="shared" si="183"/>
        <v>-3.7842951750236553E-3</v>
      </c>
      <c r="AA1193" s="231">
        <v>3919000</v>
      </c>
      <c r="AC1193" s="230">
        <v>44875</v>
      </c>
      <c r="AD1193" s="1">
        <v>63.95</v>
      </c>
      <c r="AE1193" s="1">
        <v>64.114025500910699</v>
      </c>
      <c r="AF1193" s="1">
        <v>2745</v>
      </c>
      <c r="AG1193" s="1">
        <v>60613.7</v>
      </c>
      <c r="AH1193" s="215">
        <f t="shared" si="188"/>
        <v>-1.9117068295449013E-2</v>
      </c>
      <c r="AI1193" s="215">
        <f t="shared" si="184"/>
        <v>-1.5612802498047307E-3</v>
      </c>
      <c r="AJ1193" s="231">
        <v>175993</v>
      </c>
      <c r="AL1193" s="254"/>
      <c r="AQ1193" s="215" t="str">
        <f t="shared" si="189"/>
        <v>NA</v>
      </c>
      <c r="AR1193" s="215" t="str">
        <f t="shared" si="185"/>
        <v>NA</v>
      </c>
    </row>
    <row r="1194" spans="2:44">
      <c r="B1194" s="230">
        <v>44844</v>
      </c>
      <c r="C1194" s="1">
        <v>467</v>
      </c>
      <c r="D1194" s="1">
        <v>469.415184678522</v>
      </c>
      <c r="E1194" s="1">
        <v>1462</v>
      </c>
      <c r="F1194" s="215">
        <v>57991.11</v>
      </c>
      <c r="G1194" s="215">
        <f t="shared" si="190"/>
        <v>1.4765171840079194E-2</v>
      </c>
      <c r="H1194" s="215">
        <f t="shared" si="191"/>
        <v>1.9094380796508492E-2</v>
      </c>
      <c r="I1194" s="231">
        <v>686285</v>
      </c>
      <c r="K1194" s="230">
        <v>44841</v>
      </c>
      <c r="L1194" s="1">
        <v>275.5</v>
      </c>
      <c r="M1194" s="1">
        <v>275.06689189189098</v>
      </c>
      <c r="N1194" s="1">
        <v>10360</v>
      </c>
      <c r="O1194" s="1">
        <v>58191.29</v>
      </c>
      <c r="P1194" s="215">
        <f t="shared" si="186"/>
        <v>3.4519084045814274E-3</v>
      </c>
      <c r="Q1194" s="215">
        <f t="shared" si="182"/>
        <v>-7.5648414985591828E-3</v>
      </c>
      <c r="R1194" s="231">
        <v>2849693</v>
      </c>
      <c r="T1194" s="230">
        <v>44841</v>
      </c>
      <c r="U1194" s="1">
        <v>52.85</v>
      </c>
      <c r="V1194" s="1">
        <v>52.363150521454799</v>
      </c>
      <c r="W1194" s="1">
        <v>77092</v>
      </c>
      <c r="X1194" s="1">
        <v>58191.29</v>
      </c>
      <c r="Y1194" s="215">
        <f t="shared" si="187"/>
        <v>3.4519084045814274E-3</v>
      </c>
      <c r="Z1194" s="215">
        <f t="shared" si="183"/>
        <v>9.4696969696972388E-4</v>
      </c>
      <c r="AA1194" s="231">
        <v>4036780</v>
      </c>
      <c r="AC1194" s="230">
        <v>44876</v>
      </c>
      <c r="AD1194" s="1">
        <v>64.05</v>
      </c>
      <c r="AE1194" s="1">
        <v>63.989966082532497</v>
      </c>
      <c r="AF1194" s="1">
        <v>7076</v>
      </c>
      <c r="AG1194" s="1">
        <v>61795.040000000001</v>
      </c>
      <c r="AH1194" s="215">
        <f t="shared" si="188"/>
        <v>2.7731011299954034E-3</v>
      </c>
      <c r="AI1194" s="215">
        <f t="shared" si="184"/>
        <v>3.1323414252153459E-3</v>
      </c>
      <c r="AJ1194" s="231">
        <v>452793</v>
      </c>
      <c r="AL1194" s="254"/>
      <c r="AQ1194" s="215" t="str">
        <f t="shared" si="189"/>
        <v>NA</v>
      </c>
      <c r="AR1194" s="215" t="str">
        <f t="shared" si="185"/>
        <v>NA</v>
      </c>
    </row>
    <row r="1195" spans="2:44">
      <c r="B1195" s="230">
        <v>44845</v>
      </c>
      <c r="C1195" s="1">
        <v>458.25</v>
      </c>
      <c r="D1195" s="1">
        <v>460.96335697399502</v>
      </c>
      <c r="E1195" s="1">
        <v>846</v>
      </c>
      <c r="F1195" s="215">
        <v>57147.32</v>
      </c>
      <c r="G1195" s="215">
        <f t="shared" si="190"/>
        <v>-8.3051183052901267E-3</v>
      </c>
      <c r="H1195" s="215">
        <f t="shared" si="191"/>
        <v>3.0817680800809821E-2</v>
      </c>
      <c r="I1195" s="231">
        <v>389975</v>
      </c>
      <c r="K1195" s="230">
        <v>44844</v>
      </c>
      <c r="L1195" s="1">
        <v>277.60000000000002</v>
      </c>
      <c r="M1195" s="1">
        <v>275.14445356398699</v>
      </c>
      <c r="N1195" s="1">
        <v>15839</v>
      </c>
      <c r="O1195" s="1">
        <v>57991.11</v>
      </c>
      <c r="P1195" s="215">
        <f t="shared" si="186"/>
        <v>1.4765171840079194E-2</v>
      </c>
      <c r="Q1195" s="215">
        <f t="shared" si="182"/>
        <v>2.6817088958757118E-2</v>
      </c>
      <c r="R1195" s="231">
        <v>4358013</v>
      </c>
      <c r="T1195" s="230">
        <v>44844</v>
      </c>
      <c r="U1195" s="1">
        <v>52.8</v>
      </c>
      <c r="V1195" s="1">
        <v>52.586479381285699</v>
      </c>
      <c r="W1195" s="1">
        <v>65426</v>
      </c>
      <c r="X1195" s="1">
        <v>57991.11</v>
      </c>
      <c r="Y1195" s="215">
        <f t="shared" si="187"/>
        <v>1.4765171840079194E-2</v>
      </c>
      <c r="Z1195" s="215">
        <f t="shared" si="183"/>
        <v>2.4248302618816719E-2</v>
      </c>
      <c r="AA1195" s="231">
        <v>3440523</v>
      </c>
      <c r="AC1195" s="230">
        <v>44879</v>
      </c>
      <c r="AD1195" s="1">
        <v>63.85</v>
      </c>
      <c r="AE1195" s="1">
        <v>64.434864992894305</v>
      </c>
      <c r="AF1195" s="1">
        <v>4222</v>
      </c>
      <c r="AG1195" s="1">
        <v>61624.15</v>
      </c>
      <c r="AH1195" s="215">
        <f t="shared" si="188"/>
        <v>-4.0217872128047727E-3</v>
      </c>
      <c r="AI1195" s="215">
        <f t="shared" si="184"/>
        <v>1.7529880478087678E-2</v>
      </c>
      <c r="AJ1195" s="231">
        <v>272044</v>
      </c>
      <c r="AL1195" s="254"/>
      <c r="AQ1195" s="215" t="str">
        <f t="shared" si="189"/>
        <v>NA</v>
      </c>
      <c r="AR1195" s="215" t="str">
        <f t="shared" si="185"/>
        <v>NA</v>
      </c>
    </row>
    <row r="1196" spans="2:44">
      <c r="B1196" s="230">
        <v>44846</v>
      </c>
      <c r="C1196" s="1">
        <v>444.55</v>
      </c>
      <c r="D1196" s="1">
        <v>450.08465143526598</v>
      </c>
      <c r="E1196" s="1">
        <v>3414</v>
      </c>
      <c r="F1196" s="215">
        <v>57625.91</v>
      </c>
      <c r="G1196" s="215">
        <f t="shared" si="190"/>
        <v>6.8241067186998183E-3</v>
      </c>
      <c r="H1196" s="215">
        <f t="shared" si="191"/>
        <v>-3.5474072466912476E-2</v>
      </c>
      <c r="I1196" s="231">
        <v>1536589</v>
      </c>
      <c r="K1196" s="230">
        <v>44845</v>
      </c>
      <c r="L1196" s="1">
        <v>270.35000000000002</v>
      </c>
      <c r="M1196" s="1">
        <v>274.87024177705098</v>
      </c>
      <c r="N1196" s="1">
        <v>51411</v>
      </c>
      <c r="O1196" s="1">
        <v>57147.32</v>
      </c>
      <c r="P1196" s="215">
        <f t="shared" si="186"/>
        <v>-8.3051183052901267E-3</v>
      </c>
      <c r="Q1196" s="215">
        <f t="shared" si="182"/>
        <v>-7.3923489188687519E-4</v>
      </c>
      <c r="R1196" s="231">
        <v>14131354</v>
      </c>
      <c r="T1196" s="230">
        <v>44845</v>
      </c>
      <c r="U1196" s="1">
        <v>51.55</v>
      </c>
      <c r="V1196" s="1">
        <v>51.646486800729299</v>
      </c>
      <c r="W1196" s="1">
        <v>75686</v>
      </c>
      <c r="X1196" s="1">
        <v>57147.32</v>
      </c>
      <c r="Y1196" s="215">
        <f t="shared" si="187"/>
        <v>-8.3051183052901267E-3</v>
      </c>
      <c r="Z1196" s="215">
        <f t="shared" si="183"/>
        <v>-1.6221374045801595E-2</v>
      </c>
      <c r="AA1196" s="231">
        <v>3908916</v>
      </c>
      <c r="AC1196" s="230">
        <v>44880</v>
      </c>
      <c r="AD1196" s="1">
        <v>62.75</v>
      </c>
      <c r="AE1196" s="1">
        <v>63.5</v>
      </c>
      <c r="AF1196" s="1">
        <v>106</v>
      </c>
      <c r="AG1196" s="1">
        <v>61872.99</v>
      </c>
      <c r="AH1196" s="215">
        <f t="shared" si="188"/>
        <v>-1.7381211447689005E-3</v>
      </c>
      <c r="AI1196" s="215">
        <f t="shared" si="184"/>
        <v>-2.258566978193155E-2</v>
      </c>
      <c r="AJ1196" s="231">
        <v>6731</v>
      </c>
      <c r="AL1196" s="254"/>
      <c r="AQ1196" s="215" t="str">
        <f t="shared" si="189"/>
        <v>NA</v>
      </c>
      <c r="AR1196" s="215" t="str">
        <f t="shared" si="185"/>
        <v>NA</v>
      </c>
    </row>
    <row r="1197" spans="2:44">
      <c r="B1197" s="230">
        <v>44847</v>
      </c>
      <c r="C1197" s="1">
        <v>460.9</v>
      </c>
      <c r="D1197" s="1">
        <v>453.83649410558598</v>
      </c>
      <c r="E1197" s="1">
        <v>1951</v>
      </c>
      <c r="F1197" s="215">
        <v>57235.33</v>
      </c>
      <c r="G1197" s="215">
        <f t="shared" si="190"/>
        <v>-1.1820448111419912E-2</v>
      </c>
      <c r="H1197" s="215">
        <f t="shared" si="191"/>
        <v>-1.6326966172233504E-2</v>
      </c>
      <c r="I1197" s="231">
        <v>885435</v>
      </c>
      <c r="K1197" s="230">
        <v>44846</v>
      </c>
      <c r="L1197" s="1">
        <v>270.55</v>
      </c>
      <c r="M1197" s="1">
        <v>269.59451092732002</v>
      </c>
      <c r="N1197" s="1">
        <v>21643</v>
      </c>
      <c r="O1197" s="1">
        <v>57625.91</v>
      </c>
      <c r="P1197" s="215">
        <f t="shared" si="186"/>
        <v>6.8241067186998183E-3</v>
      </c>
      <c r="Q1197" s="215">
        <f t="shared" si="182"/>
        <v>1.5196998123827354E-2</v>
      </c>
      <c r="R1197" s="231">
        <v>5834834</v>
      </c>
      <c r="T1197" s="230">
        <v>44846</v>
      </c>
      <c r="U1197" s="1">
        <v>52.4</v>
      </c>
      <c r="V1197" s="1">
        <v>51.710264052089002</v>
      </c>
      <c r="W1197" s="1">
        <v>52679</v>
      </c>
      <c r="X1197" s="1">
        <v>57625.91</v>
      </c>
      <c r="Y1197" s="215">
        <f t="shared" si="187"/>
        <v>6.8241067186998183E-3</v>
      </c>
      <c r="Z1197" s="215">
        <f t="shared" si="183"/>
        <v>1.5503875968992276E-2</v>
      </c>
      <c r="AA1197" s="231">
        <v>2724045</v>
      </c>
      <c r="AC1197" s="230">
        <v>44881</v>
      </c>
      <c r="AD1197" s="1">
        <v>64.2</v>
      </c>
      <c r="AE1197" s="1">
        <v>66.131899890179696</v>
      </c>
      <c r="AF1197" s="1">
        <v>17301</v>
      </c>
      <c r="AG1197" s="1">
        <v>61980.72</v>
      </c>
      <c r="AH1197" s="215">
        <f t="shared" si="188"/>
        <v>3.7266034662011283E-3</v>
      </c>
      <c r="AI1197" s="215">
        <f t="shared" si="184"/>
        <v>-3.7481259370314879E-2</v>
      </c>
      <c r="AJ1197" s="231">
        <v>1144148</v>
      </c>
      <c r="AL1197" s="254"/>
      <c r="AQ1197" s="215" t="str">
        <f t="shared" si="189"/>
        <v>NA</v>
      </c>
      <c r="AR1197" s="215" t="str">
        <f t="shared" si="185"/>
        <v>NA</v>
      </c>
    </row>
    <row r="1198" spans="2:44">
      <c r="B1198" s="230">
        <v>44848</v>
      </c>
      <c r="C1198" s="1">
        <v>468.55</v>
      </c>
      <c r="D1198" s="1">
        <v>467.70671641791</v>
      </c>
      <c r="E1198" s="1">
        <v>1340</v>
      </c>
      <c r="F1198" s="215">
        <v>57919.97</v>
      </c>
      <c r="G1198" s="215">
        <f t="shared" si="190"/>
        <v>-8.4061250127972498E-3</v>
      </c>
      <c r="H1198" s="215">
        <f t="shared" si="191"/>
        <v>1.7260095527572794E-2</v>
      </c>
      <c r="I1198" s="231">
        <v>626727</v>
      </c>
      <c r="K1198" s="230">
        <v>44847</v>
      </c>
      <c r="L1198" s="1">
        <v>266.5</v>
      </c>
      <c r="M1198" s="1">
        <v>267.787572607019</v>
      </c>
      <c r="N1198" s="1">
        <v>20487</v>
      </c>
      <c r="O1198" s="1">
        <v>57235.33</v>
      </c>
      <c r="P1198" s="215">
        <f t="shared" si="186"/>
        <v>-1.1820448111419912E-2</v>
      </c>
      <c r="Q1198" s="215">
        <f t="shared" si="182"/>
        <v>1.3693419551160213E-2</v>
      </c>
      <c r="R1198" s="231">
        <v>5486164</v>
      </c>
      <c r="T1198" s="230">
        <v>44847</v>
      </c>
      <c r="U1198" s="1">
        <v>51.6</v>
      </c>
      <c r="V1198" s="1">
        <v>51.7093532128089</v>
      </c>
      <c r="W1198" s="1">
        <v>33133</v>
      </c>
      <c r="X1198" s="1">
        <v>57235.33</v>
      </c>
      <c r="Y1198" s="215">
        <f t="shared" si="187"/>
        <v>-1.1820448111419912E-2</v>
      </c>
      <c r="Z1198" s="215">
        <f t="shared" si="183"/>
        <v>1.4749262536873253E-2</v>
      </c>
      <c r="AA1198" s="231">
        <v>1713286</v>
      </c>
      <c r="AC1198" s="230">
        <v>44882</v>
      </c>
      <c r="AD1198" s="1">
        <v>66.7</v>
      </c>
      <c r="AE1198" s="1">
        <v>66.761929606292796</v>
      </c>
      <c r="AF1198" s="1">
        <v>24917</v>
      </c>
      <c r="AG1198" s="1">
        <v>61750.6</v>
      </c>
      <c r="AH1198" s="215">
        <f t="shared" si="188"/>
        <v>1.4128297656894606E-3</v>
      </c>
      <c r="AI1198" s="215">
        <f t="shared" si="184"/>
        <v>2.5365103766333608E-2</v>
      </c>
      <c r="AJ1198" s="231">
        <v>1663507</v>
      </c>
      <c r="AL1198" s="254"/>
      <c r="AQ1198" s="215" t="str">
        <f t="shared" si="189"/>
        <v>NA</v>
      </c>
      <c r="AR1198" s="215" t="str">
        <f t="shared" si="185"/>
        <v>NA</v>
      </c>
    </row>
    <row r="1199" spans="2:44">
      <c r="B1199" s="230">
        <v>44851</v>
      </c>
      <c r="C1199" s="1">
        <v>460.6</v>
      </c>
      <c r="D1199" s="1">
        <v>458.47777777777702</v>
      </c>
      <c r="E1199" s="1">
        <v>630</v>
      </c>
      <c r="F1199" s="215">
        <v>58410.98</v>
      </c>
      <c r="G1199" s="215">
        <f t="shared" si="190"/>
        <v>-9.3218182989995846E-3</v>
      </c>
      <c r="H1199" s="215">
        <f t="shared" si="191"/>
        <v>-2.1663778162911429E-3</v>
      </c>
      <c r="I1199" s="231">
        <v>288841</v>
      </c>
      <c r="K1199" s="230">
        <v>44848</v>
      </c>
      <c r="L1199" s="1">
        <v>262.89999999999998</v>
      </c>
      <c r="M1199" s="1">
        <v>267.38086737372601</v>
      </c>
      <c r="N1199" s="1">
        <v>9523</v>
      </c>
      <c r="O1199" s="1">
        <v>57919.97</v>
      </c>
      <c r="P1199" s="215">
        <f t="shared" si="186"/>
        <v>-8.4061250127972498E-3</v>
      </c>
      <c r="Q1199" s="215">
        <f t="shared" si="182"/>
        <v>-6.9877242681776197E-3</v>
      </c>
      <c r="R1199" s="231">
        <v>2546268</v>
      </c>
      <c r="T1199" s="230">
        <v>44848</v>
      </c>
      <c r="U1199" s="1">
        <v>50.85</v>
      </c>
      <c r="V1199" s="1">
        <v>51.323741495444402</v>
      </c>
      <c r="W1199" s="1">
        <v>58939</v>
      </c>
      <c r="X1199" s="1">
        <v>57919.97</v>
      </c>
      <c r="Y1199" s="215">
        <f t="shared" si="187"/>
        <v>-8.4061250127972498E-3</v>
      </c>
      <c r="Z1199" s="215">
        <f t="shared" si="183"/>
        <v>-1.5488867376573068E-2</v>
      </c>
      <c r="AA1199" s="231">
        <v>3024970</v>
      </c>
      <c r="AC1199" s="230">
        <v>44883</v>
      </c>
      <c r="AD1199" s="1">
        <v>65.05</v>
      </c>
      <c r="AE1199" s="1">
        <v>65.662225664859207</v>
      </c>
      <c r="AF1199" s="1">
        <v>19365</v>
      </c>
      <c r="AG1199" s="1">
        <v>61663.48</v>
      </c>
      <c r="AH1199" s="215">
        <f t="shared" si="188"/>
        <v>8.4821548310536343E-3</v>
      </c>
      <c r="AI1199" s="215">
        <f t="shared" si="184"/>
        <v>2.0392156862744981E-2</v>
      </c>
      <c r="AJ1199" s="231">
        <v>1271549</v>
      </c>
      <c r="AL1199" s="254"/>
      <c r="AQ1199" s="215" t="str">
        <f t="shared" si="189"/>
        <v>NA</v>
      </c>
      <c r="AR1199" s="215" t="str">
        <f t="shared" si="185"/>
        <v>NA</v>
      </c>
    </row>
    <row r="1200" spans="2:44">
      <c r="B1200" s="230">
        <v>44852</v>
      </c>
      <c r="C1200" s="1">
        <v>461.6</v>
      </c>
      <c r="D1200" s="1">
        <v>461.26859903381597</v>
      </c>
      <c r="E1200" s="1">
        <v>1035</v>
      </c>
      <c r="F1200" s="215">
        <v>58960.6</v>
      </c>
      <c r="G1200" s="215">
        <f t="shared" si="190"/>
        <v>-2.4800705294906189E-3</v>
      </c>
      <c r="H1200" s="215">
        <f t="shared" si="191"/>
        <v>9.6237970253718608E-3</v>
      </c>
      <c r="I1200" s="231">
        <v>477413</v>
      </c>
      <c r="K1200" s="230">
        <v>44851</v>
      </c>
      <c r="L1200" s="1">
        <v>264.75</v>
      </c>
      <c r="M1200" s="1">
        <v>262.84091853082498</v>
      </c>
      <c r="N1200" s="1">
        <v>16853</v>
      </c>
      <c r="O1200" s="1">
        <v>58410.98</v>
      </c>
      <c r="P1200" s="215">
        <f t="shared" si="186"/>
        <v>-9.3218182989995846E-3</v>
      </c>
      <c r="Q1200" s="215">
        <f t="shared" si="182"/>
        <v>7.0368961582352174E-3</v>
      </c>
      <c r="R1200" s="231">
        <v>4429658</v>
      </c>
      <c r="T1200" s="230">
        <v>44851</v>
      </c>
      <c r="U1200" s="1">
        <v>51.65</v>
      </c>
      <c r="V1200" s="1">
        <v>51.106839096036403</v>
      </c>
      <c r="W1200" s="1">
        <v>77481</v>
      </c>
      <c r="X1200" s="1">
        <v>58410.98</v>
      </c>
      <c r="Y1200" s="215">
        <f t="shared" si="187"/>
        <v>-9.3218182989995846E-3</v>
      </c>
      <c r="Z1200" s="215">
        <f t="shared" si="183"/>
        <v>0</v>
      </c>
      <c r="AA1200" s="231">
        <v>3959809</v>
      </c>
      <c r="AC1200" s="230">
        <v>44886</v>
      </c>
      <c r="AD1200" s="1">
        <v>63.75</v>
      </c>
      <c r="AE1200" s="1">
        <v>64.504488574537504</v>
      </c>
      <c r="AF1200" s="1">
        <v>7352</v>
      </c>
      <c r="AG1200" s="1">
        <v>61144.84</v>
      </c>
      <c r="AH1200" s="215">
        <f t="shared" si="188"/>
        <v>-4.4631169267601578E-3</v>
      </c>
      <c r="AI1200" s="215">
        <f t="shared" si="184"/>
        <v>1.4319809069212486E-2</v>
      </c>
      <c r="AJ1200" s="231">
        <v>474237</v>
      </c>
      <c r="AL1200" s="254"/>
      <c r="AQ1200" s="215" t="str">
        <f t="shared" si="189"/>
        <v>NA</v>
      </c>
      <c r="AR1200" s="215" t="str">
        <f t="shared" si="185"/>
        <v>NA</v>
      </c>
    </row>
    <row r="1201" spans="2:44">
      <c r="B1201" s="230">
        <v>44853</v>
      </c>
      <c r="C1201" s="1">
        <v>457.2</v>
      </c>
      <c r="D1201" s="1">
        <v>462.37436548223297</v>
      </c>
      <c r="E1201" s="1">
        <v>788</v>
      </c>
      <c r="F1201" s="215">
        <v>59107.19</v>
      </c>
      <c r="G1201" s="215">
        <f t="shared" si="190"/>
        <v>-1.6166437792742849E-3</v>
      </c>
      <c r="H1201" s="215">
        <f t="shared" si="191"/>
        <v>2.2018553705152488E-2</v>
      </c>
      <c r="I1201" s="231">
        <v>364351</v>
      </c>
      <c r="K1201" s="230">
        <v>44852</v>
      </c>
      <c r="L1201" s="1">
        <v>262.89999999999998</v>
      </c>
      <c r="M1201" s="1">
        <v>264.08415294507603</v>
      </c>
      <c r="N1201" s="1">
        <v>18098</v>
      </c>
      <c r="O1201" s="1">
        <v>58960.6</v>
      </c>
      <c r="P1201" s="215">
        <f t="shared" si="186"/>
        <v>-2.4800705294906189E-3</v>
      </c>
      <c r="Q1201" s="215">
        <f t="shared" si="182"/>
        <v>-3.4520749173705623E-2</v>
      </c>
      <c r="R1201" s="231">
        <v>4779395</v>
      </c>
      <c r="T1201" s="230">
        <v>44852</v>
      </c>
      <c r="U1201" s="1">
        <v>51.65</v>
      </c>
      <c r="V1201" s="1">
        <v>51.725072706816299</v>
      </c>
      <c r="W1201" s="1">
        <v>47107</v>
      </c>
      <c r="X1201" s="1">
        <v>58960.6</v>
      </c>
      <c r="Y1201" s="215">
        <f t="shared" si="187"/>
        <v>-2.4800705294906189E-3</v>
      </c>
      <c r="Z1201" s="215">
        <f t="shared" si="183"/>
        <v>5.8422590068158975E-3</v>
      </c>
      <c r="AA1201" s="231">
        <v>2436613</v>
      </c>
      <c r="AC1201" s="230">
        <v>44887</v>
      </c>
      <c r="AD1201" s="1">
        <v>62.85</v>
      </c>
      <c r="AE1201" s="1">
        <v>63.122682323856601</v>
      </c>
      <c r="AF1201" s="1">
        <v>3236</v>
      </c>
      <c r="AG1201" s="1">
        <v>61418.96</v>
      </c>
      <c r="AH1201" s="215">
        <f t="shared" si="188"/>
        <v>-1.489499855146903E-3</v>
      </c>
      <c r="AI1201" s="215">
        <f t="shared" si="184"/>
        <v>-1.4890282131661325E-2</v>
      </c>
      <c r="AJ1201" s="231">
        <v>204265</v>
      </c>
      <c r="AL1201" s="254"/>
      <c r="AQ1201" s="215" t="str">
        <f t="shared" si="189"/>
        <v>NA</v>
      </c>
      <c r="AR1201" s="215" t="str">
        <f t="shared" si="185"/>
        <v>NA</v>
      </c>
    </row>
    <row r="1202" spans="2:44">
      <c r="B1202" s="230">
        <v>44854</v>
      </c>
      <c r="C1202" s="1">
        <v>447.35</v>
      </c>
      <c r="D1202" s="1">
        <v>451.43422459892997</v>
      </c>
      <c r="E1202" s="1">
        <v>935</v>
      </c>
      <c r="F1202" s="215">
        <v>59202.9</v>
      </c>
      <c r="G1202" s="215">
        <f t="shared" si="190"/>
        <v>-1.7577981744191229E-3</v>
      </c>
      <c r="H1202" s="215">
        <f t="shared" si="191"/>
        <v>6.9780528981429057E-3</v>
      </c>
      <c r="I1202" s="231">
        <v>422091</v>
      </c>
      <c r="K1202" s="230">
        <v>44853</v>
      </c>
      <c r="L1202" s="1">
        <v>272.3</v>
      </c>
      <c r="M1202" s="1">
        <v>270.38992501441999</v>
      </c>
      <c r="N1202" s="1">
        <v>20804</v>
      </c>
      <c r="O1202" s="1">
        <v>59107.19</v>
      </c>
      <c r="P1202" s="215">
        <f t="shared" si="186"/>
        <v>-1.6166437792742849E-3</v>
      </c>
      <c r="Q1202" s="215">
        <f t="shared" si="182"/>
        <v>2.1955338712704053E-2</v>
      </c>
      <c r="R1202" s="231">
        <v>5625192</v>
      </c>
      <c r="T1202" s="230">
        <v>44853</v>
      </c>
      <c r="U1202" s="1">
        <v>51.35</v>
      </c>
      <c r="V1202" s="1">
        <v>51.517692277726503</v>
      </c>
      <c r="W1202" s="1">
        <v>77011</v>
      </c>
      <c r="X1202" s="1">
        <v>59107.19</v>
      </c>
      <c r="Y1202" s="215">
        <f t="shared" si="187"/>
        <v>-1.6166437792742849E-3</v>
      </c>
      <c r="Z1202" s="215">
        <f t="shared" si="183"/>
        <v>-9.7276264591439343E-4</v>
      </c>
      <c r="AA1202" s="231">
        <v>3967429</v>
      </c>
      <c r="AC1202" s="230">
        <v>44888</v>
      </c>
      <c r="AD1202" s="1">
        <v>63.8</v>
      </c>
      <c r="AE1202" s="1">
        <v>63.743026499302601</v>
      </c>
      <c r="AF1202" s="1">
        <v>2868</v>
      </c>
      <c r="AG1202" s="1">
        <v>61510.58</v>
      </c>
      <c r="AH1202" s="215">
        <f t="shared" si="188"/>
        <v>-1.2238111480026181E-2</v>
      </c>
      <c r="AI1202" s="215">
        <f t="shared" si="184"/>
        <v>1.1895321173671647E-2</v>
      </c>
      <c r="AJ1202" s="231">
        <v>182815</v>
      </c>
      <c r="AL1202" s="254"/>
      <c r="AQ1202" s="215" t="str">
        <f t="shared" si="189"/>
        <v>NA</v>
      </c>
      <c r="AR1202" s="215" t="str">
        <f t="shared" si="185"/>
        <v>NA</v>
      </c>
    </row>
    <row r="1203" spans="2:44">
      <c r="B1203" s="230">
        <v>44855</v>
      </c>
      <c r="C1203" s="1">
        <v>444.25</v>
      </c>
      <c r="D1203" s="1">
        <v>448.93821926105301</v>
      </c>
      <c r="E1203" s="1">
        <v>1651</v>
      </c>
      <c r="F1203" s="215">
        <v>59307.15</v>
      </c>
      <c r="G1203" s="215">
        <f t="shared" si="190"/>
        <v>-8.7664290109952248E-3</v>
      </c>
      <c r="H1203" s="215">
        <f t="shared" si="191"/>
        <v>-3.4449032818952396E-2</v>
      </c>
      <c r="I1203" s="231">
        <v>741197</v>
      </c>
      <c r="K1203" s="230">
        <v>44854</v>
      </c>
      <c r="L1203" s="1">
        <v>266.45</v>
      </c>
      <c r="M1203" s="1">
        <v>267.081555686505</v>
      </c>
      <c r="N1203" s="1">
        <v>16970</v>
      </c>
      <c r="O1203" s="1">
        <v>59202.9</v>
      </c>
      <c r="P1203" s="215">
        <f t="shared" si="186"/>
        <v>-1.7577981744191229E-3</v>
      </c>
      <c r="Q1203" s="215">
        <f t="shared" si="182"/>
        <v>7.3724007561435378E-3</v>
      </c>
      <c r="R1203" s="231">
        <v>4532374</v>
      </c>
      <c r="T1203" s="230">
        <v>44854</v>
      </c>
      <c r="U1203" s="1">
        <v>51.4</v>
      </c>
      <c r="V1203" s="1">
        <v>51.133730747206599</v>
      </c>
      <c r="W1203" s="1">
        <v>68107</v>
      </c>
      <c r="X1203" s="1">
        <v>59202.9</v>
      </c>
      <c r="Y1203" s="215">
        <f t="shared" si="187"/>
        <v>-1.7577981744191229E-3</v>
      </c>
      <c r="Z1203" s="215">
        <f t="shared" si="183"/>
        <v>3.90625E-3</v>
      </c>
      <c r="AA1203" s="231">
        <v>3482565</v>
      </c>
      <c r="AC1203" s="230">
        <v>44889</v>
      </c>
      <c r="AD1203" s="1">
        <v>63.05</v>
      </c>
      <c r="AE1203" s="1">
        <v>63.149894067796602</v>
      </c>
      <c r="AF1203" s="1">
        <v>3776</v>
      </c>
      <c r="AG1203" s="1">
        <v>62272.68</v>
      </c>
      <c r="AH1203" s="215">
        <f t="shared" si="188"/>
        <v>-3.364709463117288E-4</v>
      </c>
      <c r="AI1203" s="215">
        <f t="shared" si="184"/>
        <v>-2.1722265321955092E-2</v>
      </c>
      <c r="AJ1203" s="231">
        <v>238454</v>
      </c>
      <c r="AL1203" s="254"/>
      <c r="AQ1203" s="215" t="str">
        <f t="shared" si="189"/>
        <v>NA</v>
      </c>
      <c r="AR1203" s="215" t="str">
        <f t="shared" si="185"/>
        <v>NA</v>
      </c>
    </row>
    <row r="1204" spans="2:44">
      <c r="B1204" s="230">
        <v>44858</v>
      </c>
      <c r="C1204" s="1">
        <v>460.1</v>
      </c>
      <c r="D1204" s="1">
        <v>452.12549019607798</v>
      </c>
      <c r="E1204" s="1">
        <v>510</v>
      </c>
      <c r="F1204" s="215">
        <v>59831.66</v>
      </c>
      <c r="G1204" s="215">
        <f t="shared" si="190"/>
        <v>4.831724326027409E-3</v>
      </c>
      <c r="H1204" s="215">
        <f t="shared" si="191"/>
        <v>4.3487714720602533E-4</v>
      </c>
      <c r="I1204" s="231">
        <v>230584</v>
      </c>
      <c r="K1204" s="230">
        <v>44855</v>
      </c>
      <c r="L1204" s="1">
        <v>264.5</v>
      </c>
      <c r="M1204" s="1">
        <v>266.386087267525</v>
      </c>
      <c r="N1204" s="1">
        <v>16776</v>
      </c>
      <c r="O1204" s="1">
        <v>59307.15</v>
      </c>
      <c r="P1204" s="215">
        <f t="shared" si="186"/>
        <v>-8.7664290109952248E-3</v>
      </c>
      <c r="Q1204" s="215">
        <f t="shared" si="182"/>
        <v>2.6535253980286555E-3</v>
      </c>
      <c r="R1204" s="231">
        <v>4468893</v>
      </c>
      <c r="T1204" s="230">
        <v>44855</v>
      </c>
      <c r="U1204" s="1">
        <v>51.2</v>
      </c>
      <c r="V1204" s="1">
        <v>51.369502678678998</v>
      </c>
      <c r="W1204" s="1">
        <v>58051</v>
      </c>
      <c r="X1204" s="1">
        <v>59307.15</v>
      </c>
      <c r="Y1204" s="215">
        <f t="shared" si="187"/>
        <v>-8.7664290109952248E-3</v>
      </c>
      <c r="Z1204" s="215">
        <f t="shared" si="183"/>
        <v>-9.6711798839458352E-3</v>
      </c>
      <c r="AA1204" s="231">
        <v>2982051</v>
      </c>
      <c r="AC1204" s="230">
        <v>44890</v>
      </c>
      <c r="AD1204" s="1">
        <v>64.45</v>
      </c>
      <c r="AE1204" s="1">
        <v>64.354503464203205</v>
      </c>
      <c r="AF1204" s="1">
        <v>1732</v>
      </c>
      <c r="AG1204" s="1">
        <v>62293.64</v>
      </c>
      <c r="AH1204" s="215">
        <f t="shared" si="188"/>
        <v>-3.3783005465181093E-3</v>
      </c>
      <c r="AI1204" s="215">
        <f t="shared" si="184"/>
        <v>7.8186082877247376E-3</v>
      </c>
      <c r="AJ1204" s="231">
        <v>111462</v>
      </c>
      <c r="AL1204" s="254"/>
      <c r="AQ1204" s="215" t="str">
        <f t="shared" si="189"/>
        <v>NA</v>
      </c>
      <c r="AR1204" s="215" t="str">
        <f t="shared" si="185"/>
        <v>NA</v>
      </c>
    </row>
    <row r="1205" spans="2:44">
      <c r="B1205" s="230">
        <v>44859</v>
      </c>
      <c r="C1205" s="1">
        <v>459.9</v>
      </c>
      <c r="D1205" s="1">
        <v>457.68349753694503</v>
      </c>
      <c r="E1205" s="1">
        <v>812</v>
      </c>
      <c r="F1205" s="215">
        <v>59543.96</v>
      </c>
      <c r="G1205" s="215">
        <f t="shared" si="190"/>
        <v>-3.5624373711862223E-3</v>
      </c>
      <c r="H1205" s="215">
        <f t="shared" si="191"/>
        <v>2.9550033579583523E-2</v>
      </c>
      <c r="I1205" s="231">
        <v>371639</v>
      </c>
      <c r="K1205" s="230">
        <v>44858</v>
      </c>
      <c r="L1205" s="1">
        <v>263.8</v>
      </c>
      <c r="M1205" s="1">
        <v>264.437643149054</v>
      </c>
      <c r="N1205" s="1">
        <v>22267</v>
      </c>
      <c r="O1205" s="1">
        <v>59831.66</v>
      </c>
      <c r="P1205" s="215">
        <f t="shared" si="186"/>
        <v>4.831724326027409E-3</v>
      </c>
      <c r="Q1205" s="215">
        <f t="shared" si="182"/>
        <v>-3.7893141341405201E-4</v>
      </c>
      <c r="R1205" s="231">
        <v>5888233</v>
      </c>
      <c r="T1205" s="230">
        <v>44858</v>
      </c>
      <c r="U1205" s="1">
        <v>51.7</v>
      </c>
      <c r="V1205" s="1">
        <v>51.719758427979002</v>
      </c>
      <c r="W1205" s="1">
        <v>11094</v>
      </c>
      <c r="X1205" s="1">
        <v>59831.66</v>
      </c>
      <c r="Y1205" s="215">
        <f t="shared" si="187"/>
        <v>4.831724326027409E-3</v>
      </c>
      <c r="Z1205" s="215">
        <f t="shared" si="183"/>
        <v>-5.7692307692307487E-3</v>
      </c>
      <c r="AA1205" s="231">
        <v>573779</v>
      </c>
      <c r="AC1205" s="230">
        <v>44893</v>
      </c>
      <c r="AD1205" s="1">
        <v>63.95</v>
      </c>
      <c r="AE1205" s="1">
        <v>64.062130971551198</v>
      </c>
      <c r="AF1205" s="1">
        <v>7452</v>
      </c>
      <c r="AG1205" s="1">
        <v>62504.800000000003</v>
      </c>
      <c r="AH1205" s="215">
        <f t="shared" si="188"/>
        <v>-2.8244225121660804E-3</v>
      </c>
      <c r="AI1205" s="215">
        <f t="shared" si="184"/>
        <v>4.7132757266301617E-3</v>
      </c>
      <c r="AJ1205" s="231">
        <v>477391</v>
      </c>
      <c r="AL1205" s="254"/>
      <c r="AQ1205" s="215" t="str">
        <f t="shared" si="189"/>
        <v>NA</v>
      </c>
      <c r="AR1205" s="215" t="str">
        <f t="shared" si="185"/>
        <v>NA</v>
      </c>
    </row>
    <row r="1206" spans="2:44">
      <c r="B1206" s="230">
        <v>44861</v>
      </c>
      <c r="C1206" s="1">
        <v>446.7</v>
      </c>
      <c r="D1206" s="1">
        <v>450.130885873902</v>
      </c>
      <c r="E1206" s="1">
        <v>5012</v>
      </c>
      <c r="F1206" s="215">
        <v>59756.84</v>
      </c>
      <c r="G1206" s="215">
        <f t="shared" si="190"/>
        <v>-3.385765641508498E-3</v>
      </c>
      <c r="H1206" s="215">
        <f t="shared" si="191"/>
        <v>-2.7904900100457208E-3</v>
      </c>
      <c r="I1206" s="231">
        <v>2256056</v>
      </c>
      <c r="K1206" s="230">
        <v>44859</v>
      </c>
      <c r="L1206" s="1">
        <v>263.89999999999998</v>
      </c>
      <c r="M1206" s="1">
        <v>260.35445080851798</v>
      </c>
      <c r="N1206" s="1">
        <v>31601</v>
      </c>
      <c r="O1206" s="1">
        <v>59543.96</v>
      </c>
      <c r="P1206" s="215">
        <f t="shared" si="186"/>
        <v>-3.5624373711862223E-3</v>
      </c>
      <c r="Q1206" s="215">
        <f t="shared" si="182"/>
        <v>5.9081379836094516E-3</v>
      </c>
      <c r="R1206" s="231">
        <v>8227461</v>
      </c>
      <c r="T1206" s="230">
        <v>44859</v>
      </c>
      <c r="U1206" s="1">
        <v>52</v>
      </c>
      <c r="V1206" s="1">
        <v>51.827223109457499</v>
      </c>
      <c r="W1206" s="1">
        <v>56981</v>
      </c>
      <c r="X1206" s="1">
        <v>59543.96</v>
      </c>
      <c r="Y1206" s="215">
        <f t="shared" si="187"/>
        <v>-3.5624373711862223E-3</v>
      </c>
      <c r="Z1206" s="215">
        <f t="shared" si="183"/>
        <v>-4.784688995215336E-3</v>
      </c>
      <c r="AA1206" s="231">
        <v>2953167</v>
      </c>
      <c r="AC1206" s="230">
        <v>44894</v>
      </c>
      <c r="AD1206" s="1">
        <v>63.65</v>
      </c>
      <c r="AE1206" s="1">
        <v>63.279063435883401</v>
      </c>
      <c r="AF1206" s="1">
        <v>3673</v>
      </c>
      <c r="AG1206" s="1">
        <v>62681.84</v>
      </c>
      <c r="AH1206" s="215">
        <f t="shared" si="188"/>
        <v>-6.6214313391596002E-3</v>
      </c>
      <c r="AI1206" s="215">
        <f t="shared" si="184"/>
        <v>7.9176563737133332E-3</v>
      </c>
      <c r="AJ1206" s="231">
        <v>232424</v>
      </c>
      <c r="AL1206" s="254"/>
      <c r="AQ1206" s="215" t="str">
        <f t="shared" si="189"/>
        <v>NA</v>
      </c>
      <c r="AR1206" s="215" t="str">
        <f t="shared" si="185"/>
        <v>NA</v>
      </c>
    </row>
    <row r="1207" spans="2:44">
      <c r="B1207" s="230">
        <v>44862</v>
      </c>
      <c r="C1207" s="1">
        <v>447.95</v>
      </c>
      <c r="D1207" s="1">
        <v>446.64278187565799</v>
      </c>
      <c r="E1207" s="1">
        <v>949</v>
      </c>
      <c r="F1207" s="215">
        <v>59959.85</v>
      </c>
      <c r="G1207" s="215">
        <f t="shared" si="190"/>
        <v>-1.2951179646462418E-2</v>
      </c>
      <c r="H1207" s="215">
        <f t="shared" si="191"/>
        <v>-2.449615855695364E-3</v>
      </c>
      <c r="I1207" s="231">
        <v>423864</v>
      </c>
      <c r="K1207" s="230">
        <v>44861</v>
      </c>
      <c r="L1207" s="1">
        <v>262.35000000000002</v>
      </c>
      <c r="M1207" s="1">
        <v>263.42743417023797</v>
      </c>
      <c r="N1207" s="1">
        <v>19596</v>
      </c>
      <c r="O1207" s="1">
        <v>59756.84</v>
      </c>
      <c r="P1207" s="215">
        <f t="shared" si="186"/>
        <v>-3.385765641508498E-3</v>
      </c>
      <c r="Q1207" s="215">
        <f t="shared" si="182"/>
        <v>4.5950603101667653E-3</v>
      </c>
      <c r="R1207" s="231">
        <v>5162124</v>
      </c>
      <c r="T1207" s="230">
        <v>44861</v>
      </c>
      <c r="U1207" s="1">
        <v>52.25</v>
      </c>
      <c r="V1207" s="1">
        <v>52.234704926908499</v>
      </c>
      <c r="W1207" s="1">
        <v>48022</v>
      </c>
      <c r="X1207" s="1">
        <v>59756.84</v>
      </c>
      <c r="Y1207" s="215">
        <f t="shared" si="187"/>
        <v>-3.385765641508498E-3</v>
      </c>
      <c r="Z1207" s="215">
        <f t="shared" si="183"/>
        <v>9.5785440613016526E-4</v>
      </c>
      <c r="AA1207" s="231">
        <v>2508415</v>
      </c>
      <c r="AC1207" s="230">
        <v>44895</v>
      </c>
      <c r="AD1207" s="1">
        <v>63.15</v>
      </c>
      <c r="AE1207" s="1">
        <v>63.557951482479702</v>
      </c>
      <c r="AF1207" s="1">
        <v>1113</v>
      </c>
      <c r="AG1207" s="1">
        <v>63099.65</v>
      </c>
      <c r="AH1207" s="215">
        <f t="shared" si="188"/>
        <v>-2.9160521766968817E-3</v>
      </c>
      <c r="AI1207" s="215">
        <f t="shared" si="184"/>
        <v>-1.3281250000000022E-2</v>
      </c>
      <c r="AJ1207" s="231">
        <v>70740</v>
      </c>
      <c r="AL1207" s="254"/>
      <c r="AQ1207" s="215" t="str">
        <f t="shared" si="189"/>
        <v>NA</v>
      </c>
      <c r="AR1207" s="215" t="str">
        <f t="shared" si="185"/>
        <v>NA</v>
      </c>
    </row>
    <row r="1208" spans="2:44">
      <c r="B1208" s="230">
        <v>44865</v>
      </c>
      <c r="C1208" s="1">
        <v>449.05</v>
      </c>
      <c r="D1208" s="1">
        <v>449.85806451612899</v>
      </c>
      <c r="E1208" s="1">
        <v>2015</v>
      </c>
      <c r="F1208" s="215">
        <v>60746.59</v>
      </c>
      <c r="G1208" s="215">
        <f t="shared" si="190"/>
        <v>-6.131409073916072E-3</v>
      </c>
      <c r="H1208" s="215">
        <f t="shared" si="191"/>
        <v>2.231075697211149E-2</v>
      </c>
      <c r="I1208" s="231">
        <v>906464</v>
      </c>
      <c r="K1208" s="230">
        <v>44862</v>
      </c>
      <c r="L1208" s="1">
        <v>261.14999999999998</v>
      </c>
      <c r="M1208" s="1">
        <v>261.63185631318498</v>
      </c>
      <c r="N1208" s="1">
        <v>9298</v>
      </c>
      <c r="O1208" s="1">
        <v>59959.85</v>
      </c>
      <c r="P1208" s="215">
        <f t="shared" si="186"/>
        <v>-1.2951179646462418E-2</v>
      </c>
      <c r="Q1208" s="215">
        <f t="shared" si="182"/>
        <v>-1.1918274687854891E-2</v>
      </c>
      <c r="R1208" s="231">
        <v>2432653</v>
      </c>
      <c r="T1208" s="230">
        <v>44862</v>
      </c>
      <c r="U1208" s="1">
        <v>52.2</v>
      </c>
      <c r="V1208" s="1">
        <v>51.966039128829799</v>
      </c>
      <c r="W1208" s="1">
        <v>35217</v>
      </c>
      <c r="X1208" s="1">
        <v>59959.85</v>
      </c>
      <c r="Y1208" s="215">
        <f t="shared" si="187"/>
        <v>-1.2951179646462418E-2</v>
      </c>
      <c r="Z1208" s="215">
        <f t="shared" si="183"/>
        <v>1.3592233009708687E-2</v>
      </c>
      <c r="AA1208" s="231">
        <v>1830088</v>
      </c>
      <c r="AC1208" s="230">
        <v>44896</v>
      </c>
      <c r="AD1208" s="1">
        <v>64</v>
      </c>
      <c r="AE1208" s="1">
        <v>64.248443891161301</v>
      </c>
      <c r="AF1208" s="1">
        <v>5623</v>
      </c>
      <c r="AG1208" s="1">
        <v>63284.19</v>
      </c>
      <c r="AH1208" s="215">
        <f t="shared" si="188"/>
        <v>6.6120553218225186E-3</v>
      </c>
      <c r="AI1208" s="215">
        <f t="shared" si="184"/>
        <v>-1.6141429669484952E-2</v>
      </c>
      <c r="AJ1208" s="231">
        <v>361269</v>
      </c>
      <c r="AL1208" s="254"/>
      <c r="AQ1208" s="215" t="str">
        <f t="shared" si="189"/>
        <v>NA</v>
      </c>
      <c r="AR1208" s="215" t="str">
        <f t="shared" si="185"/>
        <v>NA</v>
      </c>
    </row>
    <row r="1209" spans="2:44">
      <c r="B1209" s="230">
        <v>44866</v>
      </c>
      <c r="C1209" s="1">
        <v>439.25</v>
      </c>
      <c r="D1209" s="1">
        <v>440.16080374039802</v>
      </c>
      <c r="E1209" s="1">
        <v>17966</v>
      </c>
      <c r="F1209" s="215">
        <v>61121.35</v>
      </c>
      <c r="G1209" s="215">
        <f t="shared" si="190"/>
        <v>3.5342935328799285E-3</v>
      </c>
      <c r="H1209" s="215">
        <f t="shared" si="191"/>
        <v>6.5307057745187524E-3</v>
      </c>
      <c r="I1209" s="231">
        <v>7907929</v>
      </c>
      <c r="K1209" s="230">
        <v>44865</v>
      </c>
      <c r="L1209" s="1">
        <v>264.3</v>
      </c>
      <c r="M1209" s="1">
        <v>262.243399417457</v>
      </c>
      <c r="N1209" s="1">
        <v>21286</v>
      </c>
      <c r="O1209" s="1">
        <v>60746.59</v>
      </c>
      <c r="P1209" s="215">
        <f t="shared" si="186"/>
        <v>-6.131409073916072E-3</v>
      </c>
      <c r="Q1209" s="215">
        <f t="shared" si="182"/>
        <v>-1.3253686764980399E-2</v>
      </c>
      <c r="R1209" s="231">
        <v>5582113</v>
      </c>
      <c r="T1209" s="230">
        <v>44865</v>
      </c>
      <c r="U1209" s="1">
        <v>51.5</v>
      </c>
      <c r="V1209" s="1">
        <v>51.537773744096498</v>
      </c>
      <c r="W1209" s="1">
        <v>59499</v>
      </c>
      <c r="X1209" s="1">
        <v>60746.59</v>
      </c>
      <c r="Y1209" s="215">
        <f t="shared" si="187"/>
        <v>-6.131409073916072E-3</v>
      </c>
      <c r="Z1209" s="215">
        <f t="shared" si="183"/>
        <v>-2.9041626331074433E-3</v>
      </c>
      <c r="AA1209" s="231">
        <v>3066446</v>
      </c>
      <c r="AC1209" s="230">
        <v>44897</v>
      </c>
      <c r="AD1209" s="1">
        <v>65.05</v>
      </c>
      <c r="AE1209" s="1">
        <v>65.099945533769002</v>
      </c>
      <c r="AF1209" s="1">
        <v>11016</v>
      </c>
      <c r="AG1209" s="1">
        <v>62868.5</v>
      </c>
      <c r="AH1209" s="215">
        <f t="shared" si="188"/>
        <v>5.3951167032173508E-4</v>
      </c>
      <c r="AI1209" s="215">
        <f t="shared" si="184"/>
        <v>-3.0651340996169507E-3</v>
      </c>
      <c r="AJ1209" s="231">
        <v>717141</v>
      </c>
      <c r="AL1209" s="254"/>
      <c r="AQ1209" s="215" t="str">
        <f t="shared" si="189"/>
        <v>NA</v>
      </c>
      <c r="AR1209" s="215" t="str">
        <f t="shared" si="185"/>
        <v>NA</v>
      </c>
    </row>
    <row r="1210" spans="2:44">
      <c r="B1210" s="230">
        <v>44867</v>
      </c>
      <c r="C1210" s="1">
        <v>436.4</v>
      </c>
      <c r="D1210" s="1">
        <v>437.88219895287898</v>
      </c>
      <c r="E1210" s="1">
        <v>1528</v>
      </c>
      <c r="F1210" s="215">
        <v>60906.09</v>
      </c>
      <c r="G1210" s="215">
        <f t="shared" si="190"/>
        <v>1.145366730219477E-3</v>
      </c>
      <c r="H1210" s="215">
        <f t="shared" si="191"/>
        <v>3.3337165191400508E-3</v>
      </c>
      <c r="I1210" s="231">
        <v>669084</v>
      </c>
      <c r="K1210" s="230">
        <v>44866</v>
      </c>
      <c r="L1210" s="1">
        <v>267.85000000000002</v>
      </c>
      <c r="M1210" s="1">
        <v>265.55680676711597</v>
      </c>
      <c r="N1210" s="1">
        <v>18915</v>
      </c>
      <c r="O1210" s="1">
        <v>61121.35</v>
      </c>
      <c r="P1210" s="215">
        <f t="shared" si="186"/>
        <v>3.5342935328799285E-3</v>
      </c>
      <c r="Q1210" s="215">
        <f t="shared" si="182"/>
        <v>-2.4208566108007146E-3</v>
      </c>
      <c r="R1210" s="231">
        <v>5023007</v>
      </c>
      <c r="T1210" s="230">
        <v>44866</v>
      </c>
      <c r="U1210" s="1">
        <v>51.65</v>
      </c>
      <c r="V1210" s="1">
        <v>51.781690019177198</v>
      </c>
      <c r="W1210" s="1">
        <v>57881</v>
      </c>
      <c r="X1210" s="1">
        <v>61121.35</v>
      </c>
      <c r="Y1210" s="215">
        <f t="shared" si="187"/>
        <v>3.5342935328799285E-3</v>
      </c>
      <c r="Z1210" s="215">
        <f t="shared" si="183"/>
        <v>-2.8957528957528345E-3</v>
      </c>
      <c r="AA1210" s="231">
        <v>2997176</v>
      </c>
      <c r="AC1210" s="230">
        <v>44900</v>
      </c>
      <c r="AD1210" s="1">
        <v>65.25</v>
      </c>
      <c r="AE1210" s="1">
        <v>64.629522965588507</v>
      </c>
      <c r="AF1210" s="1">
        <v>13542</v>
      </c>
      <c r="AG1210" s="1">
        <v>62834.6</v>
      </c>
      <c r="AH1210" s="215">
        <f t="shared" si="188"/>
        <v>3.3251174106239123E-3</v>
      </c>
      <c r="AI1210" s="215">
        <f t="shared" si="184"/>
        <v>1.87353629976581E-2</v>
      </c>
      <c r="AJ1210" s="231">
        <v>875213</v>
      </c>
      <c r="AL1210" s="254"/>
      <c r="AQ1210" s="215" t="str">
        <f t="shared" si="189"/>
        <v>NA</v>
      </c>
      <c r="AR1210" s="215" t="str">
        <f t="shared" si="185"/>
        <v>NA</v>
      </c>
    </row>
    <row r="1211" spans="2:44">
      <c r="B1211" s="230">
        <v>44868</v>
      </c>
      <c r="C1211" s="1">
        <v>434.95</v>
      </c>
      <c r="D1211" s="1">
        <v>435.05431698419102</v>
      </c>
      <c r="E1211" s="1">
        <v>9868</v>
      </c>
      <c r="F1211" s="215">
        <v>60836.41</v>
      </c>
      <c r="G1211" s="215">
        <f t="shared" si="190"/>
        <v>-1.86955417490553E-3</v>
      </c>
      <c r="H1211" s="215">
        <f t="shared" si="191"/>
        <v>1.1511627906976685E-2</v>
      </c>
      <c r="I1211" s="231">
        <v>4293116</v>
      </c>
      <c r="K1211" s="230">
        <v>44867</v>
      </c>
      <c r="L1211" s="1">
        <v>268.5</v>
      </c>
      <c r="M1211" s="1">
        <v>270.141444827763</v>
      </c>
      <c r="N1211" s="1">
        <v>19421</v>
      </c>
      <c r="O1211" s="1">
        <v>60906.09</v>
      </c>
      <c r="P1211" s="215">
        <f t="shared" si="186"/>
        <v>1.145366730219477E-3</v>
      </c>
      <c r="Q1211" s="215">
        <f t="shared" si="182"/>
        <v>-5.5834729201553746E-4</v>
      </c>
      <c r="R1211" s="231">
        <v>5246417</v>
      </c>
      <c r="T1211" s="230">
        <v>44867</v>
      </c>
      <c r="U1211" s="1">
        <v>51.8</v>
      </c>
      <c r="V1211" s="1">
        <v>51.919871013196698</v>
      </c>
      <c r="W1211" s="1">
        <v>36903</v>
      </c>
      <c r="X1211" s="1">
        <v>60906.09</v>
      </c>
      <c r="Y1211" s="215">
        <f t="shared" si="187"/>
        <v>1.145366730219477E-3</v>
      </c>
      <c r="Z1211" s="215">
        <f t="shared" si="183"/>
        <v>4.8496605237633439E-3</v>
      </c>
      <c r="AA1211" s="231">
        <v>1915999</v>
      </c>
      <c r="AC1211" s="230">
        <v>44901</v>
      </c>
      <c r="AD1211" s="1">
        <v>64.05</v>
      </c>
      <c r="AE1211" s="1">
        <v>64.024232633279397</v>
      </c>
      <c r="AF1211" s="1">
        <v>3095</v>
      </c>
      <c r="AG1211" s="1">
        <v>62626.36</v>
      </c>
      <c r="AH1211" s="215">
        <f t="shared" si="188"/>
        <v>3.4558187797344431E-3</v>
      </c>
      <c r="AI1211" s="215">
        <f t="shared" si="184"/>
        <v>3.9184952978057463E-3</v>
      </c>
      <c r="AJ1211" s="231">
        <v>198155</v>
      </c>
      <c r="AL1211" s="254"/>
      <c r="AQ1211" s="215" t="str">
        <f t="shared" si="189"/>
        <v>NA</v>
      </c>
      <c r="AR1211" s="215" t="str">
        <f t="shared" si="185"/>
        <v>NA</v>
      </c>
    </row>
    <row r="1212" spans="2:44">
      <c r="B1212" s="230">
        <v>44869</v>
      </c>
      <c r="C1212" s="1">
        <v>430</v>
      </c>
      <c r="D1212" s="1">
        <v>434.25564577518298</v>
      </c>
      <c r="E1212" s="1">
        <v>7882</v>
      </c>
      <c r="F1212" s="215">
        <v>60950.36</v>
      </c>
      <c r="G1212" s="215">
        <f t="shared" si="190"/>
        <v>-3.8373690348066924E-3</v>
      </c>
      <c r="H1212" s="215">
        <f t="shared" si="191"/>
        <v>1.2002824193928063E-2</v>
      </c>
      <c r="I1212" s="231">
        <v>3422803</v>
      </c>
      <c r="K1212" s="230">
        <v>44868</v>
      </c>
      <c r="L1212" s="1">
        <v>268.64999999999998</v>
      </c>
      <c r="M1212" s="1">
        <v>269.09269820869099</v>
      </c>
      <c r="N1212" s="1">
        <v>12449</v>
      </c>
      <c r="O1212" s="1">
        <v>60836.41</v>
      </c>
      <c r="P1212" s="215">
        <f t="shared" si="186"/>
        <v>-1.86955417490553E-3</v>
      </c>
      <c r="Q1212" s="215">
        <f t="shared" si="182"/>
        <v>-2.4332667514073147E-2</v>
      </c>
      <c r="R1212" s="231">
        <v>3349935</v>
      </c>
      <c r="T1212" s="230">
        <v>44868</v>
      </c>
      <c r="U1212" s="1">
        <v>51.55</v>
      </c>
      <c r="V1212" s="1">
        <v>51.638157533117102</v>
      </c>
      <c r="W1212" s="1">
        <v>54579</v>
      </c>
      <c r="X1212" s="1">
        <v>60836.41</v>
      </c>
      <c r="Y1212" s="215">
        <f t="shared" si="187"/>
        <v>-1.86955417490553E-3</v>
      </c>
      <c r="Z1212" s="215">
        <f t="shared" si="183"/>
        <v>-2.3674242424242431E-2</v>
      </c>
      <c r="AA1212" s="231">
        <v>2818359</v>
      </c>
      <c r="AC1212" s="230">
        <v>44902</v>
      </c>
      <c r="AD1212" s="1">
        <v>63.8</v>
      </c>
      <c r="AE1212" s="1">
        <v>63.930685618729001</v>
      </c>
      <c r="AF1212" s="1">
        <v>11960</v>
      </c>
      <c r="AG1212" s="1">
        <v>62410.68</v>
      </c>
      <c r="AH1212" s="215">
        <f t="shared" si="188"/>
        <v>-2.5571082174590254E-3</v>
      </c>
      <c r="AI1212" s="215">
        <f t="shared" si="184"/>
        <v>-3.1250000000000444E-3</v>
      </c>
      <c r="AJ1212" s="231">
        <v>764611</v>
      </c>
      <c r="AL1212" s="254"/>
      <c r="AQ1212" s="215" t="str">
        <f t="shared" si="189"/>
        <v>NA</v>
      </c>
      <c r="AR1212" s="215" t="str">
        <f t="shared" si="185"/>
        <v>NA</v>
      </c>
    </row>
    <row r="1213" spans="2:44">
      <c r="B1213" s="230">
        <v>44872</v>
      </c>
      <c r="C1213" s="1">
        <v>424.9</v>
      </c>
      <c r="D1213" s="1">
        <v>426.449698862368</v>
      </c>
      <c r="E1213" s="1">
        <v>4483</v>
      </c>
      <c r="F1213" s="215">
        <v>61185.15</v>
      </c>
      <c r="G1213" s="215">
        <f t="shared" si="190"/>
        <v>2.4838797677670943E-3</v>
      </c>
      <c r="H1213" s="215">
        <f t="shared" si="191"/>
        <v>1.2389802239695102E-2</v>
      </c>
      <c r="I1213" s="231">
        <v>1911774</v>
      </c>
      <c r="K1213" s="230">
        <v>44869</v>
      </c>
      <c r="L1213" s="1">
        <v>275.35000000000002</v>
      </c>
      <c r="M1213" s="1">
        <v>275.00923909305499</v>
      </c>
      <c r="N1213" s="1">
        <v>43619</v>
      </c>
      <c r="O1213" s="1">
        <v>60950.36</v>
      </c>
      <c r="P1213" s="215">
        <f t="shared" si="186"/>
        <v>-3.8373690348066924E-3</v>
      </c>
      <c r="Q1213" s="215">
        <f t="shared" si="182"/>
        <v>-2.2541711040113488E-2</v>
      </c>
      <c r="R1213" s="231">
        <v>11995628</v>
      </c>
      <c r="T1213" s="230">
        <v>44869</v>
      </c>
      <c r="U1213" s="1">
        <v>52.8</v>
      </c>
      <c r="V1213" s="1">
        <v>52.287192321191398</v>
      </c>
      <c r="W1213" s="1">
        <v>65531</v>
      </c>
      <c r="X1213" s="1">
        <v>60950.36</v>
      </c>
      <c r="Y1213" s="215">
        <f t="shared" si="187"/>
        <v>-3.8373690348066924E-3</v>
      </c>
      <c r="Z1213" s="215">
        <f t="shared" si="183"/>
        <v>7.6335877862594437E-3</v>
      </c>
      <c r="AA1213" s="231">
        <v>3426432</v>
      </c>
      <c r="AC1213" s="230">
        <v>44903</v>
      </c>
      <c r="AD1213" s="1">
        <v>64</v>
      </c>
      <c r="AE1213" s="1">
        <v>63.858407079646</v>
      </c>
      <c r="AF1213" s="1">
        <v>1243</v>
      </c>
      <c r="AG1213" s="1">
        <v>62570.68</v>
      </c>
      <c r="AH1213" s="215">
        <f t="shared" si="188"/>
        <v>6.2560236802904345E-3</v>
      </c>
      <c r="AI1213" s="215">
        <f t="shared" si="184"/>
        <v>1.3460015835312866E-2</v>
      </c>
      <c r="AJ1213" s="231">
        <v>79376</v>
      </c>
      <c r="AL1213" s="254"/>
      <c r="AQ1213" s="215" t="str">
        <f t="shared" si="189"/>
        <v>NA</v>
      </c>
      <c r="AR1213" s="215" t="str">
        <f t="shared" si="185"/>
        <v>NA</v>
      </c>
    </row>
    <row r="1214" spans="2:44">
      <c r="B1214" s="230">
        <v>44874</v>
      </c>
      <c r="C1214" s="1">
        <v>419.7</v>
      </c>
      <c r="D1214" s="1">
        <v>420.189904223582</v>
      </c>
      <c r="E1214" s="1">
        <v>12738</v>
      </c>
      <c r="F1214" s="215">
        <v>61033.55</v>
      </c>
      <c r="G1214" s="215">
        <f t="shared" si="190"/>
        <v>6.9266518955286571E-3</v>
      </c>
      <c r="H1214" s="215">
        <f t="shared" si="191"/>
        <v>2.5158768930141795E-2</v>
      </c>
      <c r="I1214" s="231">
        <v>5352379</v>
      </c>
      <c r="K1214" s="230">
        <v>44872</v>
      </c>
      <c r="L1214" s="1">
        <v>281.7</v>
      </c>
      <c r="M1214" s="1">
        <v>279.83192352918797</v>
      </c>
      <c r="N1214" s="1">
        <v>26363</v>
      </c>
      <c r="O1214" s="1">
        <v>61185.15</v>
      </c>
      <c r="P1214" s="215">
        <f t="shared" si="186"/>
        <v>2.4838797677670943E-3</v>
      </c>
      <c r="Q1214" s="215">
        <f t="shared" si="182"/>
        <v>5.5327503123328015E-3</v>
      </c>
      <c r="R1214" s="231">
        <v>7377209</v>
      </c>
      <c r="T1214" s="230">
        <v>44872</v>
      </c>
      <c r="U1214" s="1">
        <v>52.4</v>
      </c>
      <c r="V1214" s="1">
        <v>52.904997015897102</v>
      </c>
      <c r="W1214" s="1">
        <v>73724</v>
      </c>
      <c r="X1214" s="1">
        <v>61185.15</v>
      </c>
      <c r="Y1214" s="215">
        <f t="shared" si="187"/>
        <v>2.4838797677670943E-3</v>
      </c>
      <c r="Z1214" s="215">
        <f t="shared" si="183"/>
        <v>-4.2047531992687515E-2</v>
      </c>
      <c r="AA1214" s="231">
        <v>3900368</v>
      </c>
      <c r="AC1214" s="230">
        <v>44904</v>
      </c>
      <c r="AD1214" s="1">
        <v>63.15</v>
      </c>
      <c r="AE1214" s="1">
        <v>63.502314814814802</v>
      </c>
      <c r="AF1214" s="1">
        <v>3456</v>
      </c>
      <c r="AG1214" s="1">
        <v>62181.67</v>
      </c>
      <c r="AH1214" s="215">
        <f t="shared" si="188"/>
        <v>8.224614710601319E-4</v>
      </c>
      <c r="AI1214" s="215">
        <f t="shared" si="184"/>
        <v>-8.6342229199373177E-3</v>
      </c>
      <c r="AJ1214" s="231">
        <v>219464</v>
      </c>
      <c r="AL1214" s="254"/>
      <c r="AQ1214" s="215" t="str">
        <f t="shared" si="189"/>
        <v>NA</v>
      </c>
      <c r="AR1214" s="215" t="str">
        <f t="shared" si="185"/>
        <v>NA</v>
      </c>
    </row>
    <row r="1215" spans="2:44">
      <c r="B1215" s="230">
        <v>44875</v>
      </c>
      <c r="C1215" s="1">
        <v>409.4</v>
      </c>
      <c r="D1215" s="1">
        <v>412.64365055538798</v>
      </c>
      <c r="E1215" s="1">
        <v>3331</v>
      </c>
      <c r="F1215" s="215">
        <v>60613.7</v>
      </c>
      <c r="G1215" s="215">
        <f t="shared" si="190"/>
        <v>-1.9117068295449013E-2</v>
      </c>
      <c r="H1215" s="215">
        <f t="shared" si="191"/>
        <v>9.2444225317391826E-3</v>
      </c>
      <c r="I1215" s="231">
        <v>1374516</v>
      </c>
      <c r="K1215" s="230">
        <v>44874</v>
      </c>
      <c r="L1215" s="1">
        <v>280.14999999999998</v>
      </c>
      <c r="M1215" s="1">
        <v>279.89462407905302</v>
      </c>
      <c r="N1215" s="1">
        <v>45741</v>
      </c>
      <c r="O1215" s="1">
        <v>61033.55</v>
      </c>
      <c r="P1215" s="215">
        <f t="shared" si="186"/>
        <v>6.9266518955286571E-3</v>
      </c>
      <c r="Q1215" s="215">
        <f t="shared" si="182"/>
        <v>7.7338129496402619E-3</v>
      </c>
      <c r="R1215" s="231">
        <v>12802660</v>
      </c>
      <c r="T1215" s="230">
        <v>44874</v>
      </c>
      <c r="U1215" s="1">
        <v>54.7</v>
      </c>
      <c r="V1215" s="1">
        <v>55.330445076161702</v>
      </c>
      <c r="W1215" s="1">
        <v>351423</v>
      </c>
      <c r="X1215" s="1">
        <v>61033.55</v>
      </c>
      <c r="Y1215" s="215">
        <f t="shared" si="187"/>
        <v>6.9266518955286571E-3</v>
      </c>
      <c r="Z1215" s="215">
        <f t="shared" si="183"/>
        <v>2.1475256769374562E-2</v>
      </c>
      <c r="AA1215" s="231">
        <v>19444391</v>
      </c>
      <c r="AC1215" s="230">
        <v>44907</v>
      </c>
      <c r="AD1215" s="1">
        <v>63.7</v>
      </c>
      <c r="AE1215" s="1">
        <v>62.662271062271003</v>
      </c>
      <c r="AF1215" s="1">
        <v>1365</v>
      </c>
      <c r="AG1215" s="1">
        <v>62130.57</v>
      </c>
      <c r="AH1215" s="215">
        <f t="shared" si="188"/>
        <v>-6.4402486355270572E-3</v>
      </c>
      <c r="AI1215" s="215">
        <f t="shared" si="184"/>
        <v>1.6759776536312998E-2</v>
      </c>
      <c r="AJ1215" s="231">
        <v>85534</v>
      </c>
      <c r="AL1215" s="254"/>
      <c r="AQ1215" s="215" t="str">
        <f t="shared" si="189"/>
        <v>NA</v>
      </c>
      <c r="AR1215" s="215" t="str">
        <f t="shared" si="185"/>
        <v>NA</v>
      </c>
    </row>
    <row r="1216" spans="2:44">
      <c r="B1216" s="230">
        <v>44876</v>
      </c>
      <c r="C1216" s="1">
        <v>405.65</v>
      </c>
      <c r="D1216" s="1">
        <v>408.29023640977601</v>
      </c>
      <c r="E1216" s="1">
        <v>14974</v>
      </c>
      <c r="F1216" s="215">
        <v>61795.040000000001</v>
      </c>
      <c r="G1216" s="215">
        <f t="shared" si="190"/>
        <v>2.7731011299954034E-3</v>
      </c>
      <c r="H1216" s="215">
        <f t="shared" si="191"/>
        <v>5.9691745036572597E-2</v>
      </c>
      <c r="I1216" s="231">
        <v>6113738</v>
      </c>
      <c r="K1216" s="230">
        <v>44875</v>
      </c>
      <c r="L1216" s="1">
        <v>278</v>
      </c>
      <c r="M1216" s="1">
        <v>278.23252211563499</v>
      </c>
      <c r="N1216" s="1">
        <v>53582</v>
      </c>
      <c r="O1216" s="1">
        <v>60613.7</v>
      </c>
      <c r="P1216" s="215">
        <f t="shared" si="186"/>
        <v>-1.9117068295449013E-2</v>
      </c>
      <c r="Q1216" s="215">
        <f t="shared" si="182"/>
        <v>-1.3134540291089736E-2</v>
      </c>
      <c r="R1216" s="231">
        <v>14908255</v>
      </c>
      <c r="T1216" s="230">
        <v>44875</v>
      </c>
      <c r="U1216" s="1">
        <v>53.55</v>
      </c>
      <c r="V1216" s="1">
        <v>53.606168108399302</v>
      </c>
      <c r="W1216" s="1">
        <v>98377</v>
      </c>
      <c r="X1216" s="1">
        <v>60613.7</v>
      </c>
      <c r="Y1216" s="215">
        <f t="shared" si="187"/>
        <v>-1.9117068295449013E-2</v>
      </c>
      <c r="Z1216" s="215">
        <f t="shared" si="183"/>
        <v>-1.4719411223551138E-2</v>
      </c>
      <c r="AA1216" s="231">
        <v>5273614</v>
      </c>
      <c r="AC1216" s="230">
        <v>44908</v>
      </c>
      <c r="AD1216" s="1">
        <v>62.65</v>
      </c>
      <c r="AE1216" s="1">
        <v>62.763598326359798</v>
      </c>
      <c r="AF1216" s="1">
        <v>7170</v>
      </c>
      <c r="AG1216" s="1">
        <v>62533.3</v>
      </c>
      <c r="AH1216" s="215">
        <f t="shared" si="188"/>
        <v>-2.3071924382929154E-3</v>
      </c>
      <c r="AI1216" s="215">
        <f t="shared" si="184"/>
        <v>-5.5555555555555358E-3</v>
      </c>
      <c r="AJ1216" s="231">
        <v>450015</v>
      </c>
      <c r="AL1216" s="254"/>
      <c r="AQ1216" s="215" t="str">
        <f t="shared" si="189"/>
        <v>NA</v>
      </c>
      <c r="AR1216" s="215" t="str">
        <f t="shared" si="185"/>
        <v>NA</v>
      </c>
    </row>
    <row r="1217" spans="2:44">
      <c r="B1217" s="230">
        <v>44879</v>
      </c>
      <c r="C1217" s="1">
        <v>382.8</v>
      </c>
      <c r="D1217" s="1">
        <v>378.54920677601501</v>
      </c>
      <c r="E1217" s="1">
        <v>29752</v>
      </c>
      <c r="F1217" s="215">
        <v>61624.15</v>
      </c>
      <c r="G1217" s="215">
        <f t="shared" si="190"/>
        <v>-4.0217872128047727E-3</v>
      </c>
      <c r="H1217" s="215">
        <f t="shared" si="191"/>
        <v>8.6956521739129933E-3</v>
      </c>
      <c r="I1217" s="231">
        <v>11262596</v>
      </c>
      <c r="K1217" s="230">
        <v>44876</v>
      </c>
      <c r="L1217" s="1">
        <v>281.7</v>
      </c>
      <c r="M1217" s="1">
        <v>277.08139667091098</v>
      </c>
      <c r="N1217" s="1">
        <v>87952</v>
      </c>
      <c r="O1217" s="1">
        <v>61795.040000000001</v>
      </c>
      <c r="P1217" s="215">
        <f t="shared" si="186"/>
        <v>2.7731011299954034E-3</v>
      </c>
      <c r="Q1217" s="215">
        <f t="shared" si="182"/>
        <v>-1.3137151865475594E-2</v>
      </c>
      <c r="R1217" s="231">
        <v>24369863</v>
      </c>
      <c r="T1217" s="230">
        <v>44876</v>
      </c>
      <c r="U1217" s="1">
        <v>54.35</v>
      </c>
      <c r="V1217" s="1">
        <v>53.9012590379944</v>
      </c>
      <c r="W1217" s="1">
        <v>71642</v>
      </c>
      <c r="X1217" s="1">
        <v>61795.040000000001</v>
      </c>
      <c r="Y1217" s="215">
        <f t="shared" si="187"/>
        <v>2.7731011299954034E-3</v>
      </c>
      <c r="Z1217" s="215">
        <f t="shared" si="183"/>
        <v>1.8433179723502668E-3</v>
      </c>
      <c r="AA1217" s="231">
        <v>3861594</v>
      </c>
      <c r="AC1217" s="230">
        <v>44909</v>
      </c>
      <c r="AD1217" s="1">
        <v>63</v>
      </c>
      <c r="AE1217" s="1">
        <v>63.2684429385492</v>
      </c>
      <c r="AF1217" s="1">
        <v>6493</v>
      </c>
      <c r="AG1217" s="1">
        <v>62677.91</v>
      </c>
      <c r="AH1217" s="215">
        <f t="shared" si="188"/>
        <v>1.422158244231353E-2</v>
      </c>
      <c r="AI1217" s="215">
        <f t="shared" si="184"/>
        <v>1.6949152542372836E-2</v>
      </c>
      <c r="AJ1217" s="231">
        <v>410802</v>
      </c>
      <c r="AL1217" s="254"/>
      <c r="AQ1217" s="215" t="str">
        <f t="shared" si="189"/>
        <v>NA</v>
      </c>
      <c r="AR1217" s="215" t="str">
        <f t="shared" si="185"/>
        <v>NA</v>
      </c>
    </row>
    <row r="1218" spans="2:44">
      <c r="B1218" s="230">
        <v>44880</v>
      </c>
      <c r="C1218" s="1">
        <v>379.5</v>
      </c>
      <c r="D1218" s="1">
        <v>381.73294764659602</v>
      </c>
      <c r="E1218" s="1">
        <v>14001</v>
      </c>
      <c r="F1218" s="215">
        <v>61872.99</v>
      </c>
      <c r="G1218" s="215">
        <f t="shared" si="190"/>
        <v>-1.7381211447689005E-3</v>
      </c>
      <c r="H1218" s="215">
        <f t="shared" si="191"/>
        <v>-1.1074918566775227E-2</v>
      </c>
      <c r="I1218" s="231">
        <v>5344643</v>
      </c>
      <c r="K1218" s="230">
        <v>44879</v>
      </c>
      <c r="L1218" s="1">
        <v>285.45</v>
      </c>
      <c r="M1218" s="1">
        <v>284.66811002985401</v>
      </c>
      <c r="N1218" s="1">
        <v>43879</v>
      </c>
      <c r="O1218" s="1">
        <v>61624.15</v>
      </c>
      <c r="P1218" s="215">
        <f t="shared" si="186"/>
        <v>-4.0217872128047727E-3</v>
      </c>
      <c r="Q1218" s="215">
        <f t="shared" si="182"/>
        <v>1.6017084890549871E-2</v>
      </c>
      <c r="R1218" s="231">
        <v>12490952</v>
      </c>
      <c r="T1218" s="230">
        <v>44879</v>
      </c>
      <c r="U1218" s="1">
        <v>54.25</v>
      </c>
      <c r="V1218" s="1">
        <v>54.614395926084001</v>
      </c>
      <c r="W1218" s="1">
        <v>65588</v>
      </c>
      <c r="X1218" s="1">
        <v>61624.15</v>
      </c>
      <c r="Y1218" s="215">
        <f t="shared" si="187"/>
        <v>-4.0217872128047727E-3</v>
      </c>
      <c r="Z1218" s="215">
        <f t="shared" si="183"/>
        <v>2.3584905660377409E-2</v>
      </c>
      <c r="AA1218" s="231">
        <v>3582049</v>
      </c>
      <c r="AC1218" s="230">
        <v>44910</v>
      </c>
      <c r="AD1218" s="1">
        <v>61.95</v>
      </c>
      <c r="AE1218" s="1">
        <v>62.462948517940703</v>
      </c>
      <c r="AF1218" s="1">
        <v>5128</v>
      </c>
      <c r="AG1218" s="1">
        <v>61799.03</v>
      </c>
      <c r="AH1218" s="215">
        <f t="shared" si="188"/>
        <v>7.5193424740791492E-3</v>
      </c>
      <c r="AI1218" s="215">
        <f t="shared" si="184"/>
        <v>1.5573770491803307E-2</v>
      </c>
      <c r="AJ1218" s="231">
        <v>320310</v>
      </c>
      <c r="AL1218" s="254"/>
      <c r="AQ1218" s="215" t="str">
        <f t="shared" si="189"/>
        <v>NA</v>
      </c>
      <c r="AR1218" s="215" t="str">
        <f t="shared" si="185"/>
        <v>NA</v>
      </c>
    </row>
    <row r="1219" spans="2:44">
      <c r="B1219" s="230">
        <v>44881</v>
      </c>
      <c r="C1219" s="1">
        <v>383.75</v>
      </c>
      <c r="D1219" s="1">
        <v>391.539319576129</v>
      </c>
      <c r="E1219" s="1">
        <v>5379</v>
      </c>
      <c r="F1219" s="215">
        <v>61980.72</v>
      </c>
      <c r="G1219" s="215">
        <f t="shared" si="190"/>
        <v>3.7266034662011283E-3</v>
      </c>
      <c r="H1219" s="215">
        <f t="shared" si="191"/>
        <v>4.1868376292033549E-3</v>
      </c>
      <c r="I1219" s="231">
        <v>2106090</v>
      </c>
      <c r="K1219" s="230">
        <v>44880</v>
      </c>
      <c r="L1219" s="1">
        <v>280.95</v>
      </c>
      <c r="M1219" s="1">
        <v>282.87006651884701</v>
      </c>
      <c r="N1219" s="1">
        <v>24805</v>
      </c>
      <c r="O1219" s="1">
        <v>61872.99</v>
      </c>
      <c r="P1219" s="215">
        <f t="shared" si="186"/>
        <v>-1.7381211447689005E-3</v>
      </c>
      <c r="Q1219" s="215">
        <f t="shared" si="182"/>
        <v>2.9309397325517406E-2</v>
      </c>
      <c r="R1219" s="231">
        <v>7016592</v>
      </c>
      <c r="T1219" s="230">
        <v>44880</v>
      </c>
      <c r="U1219" s="1">
        <v>53</v>
      </c>
      <c r="V1219" s="1">
        <v>53.668235157429898</v>
      </c>
      <c r="W1219" s="1">
        <v>86070</v>
      </c>
      <c r="X1219" s="1">
        <v>61872.99</v>
      </c>
      <c r="Y1219" s="215">
        <f t="shared" si="187"/>
        <v>-1.7381211447689005E-3</v>
      </c>
      <c r="Z1219" s="215">
        <f t="shared" si="183"/>
        <v>9.52380952380949E-3</v>
      </c>
      <c r="AA1219" s="231">
        <v>4619225</v>
      </c>
      <c r="AC1219" s="230">
        <v>44911</v>
      </c>
      <c r="AD1219" s="1">
        <v>61</v>
      </c>
      <c r="AE1219" s="1">
        <v>61.3069422776911</v>
      </c>
      <c r="AF1219" s="1">
        <v>5128</v>
      </c>
      <c r="AG1219" s="1">
        <v>61337.81</v>
      </c>
      <c r="AH1219" s="215">
        <f t="shared" si="188"/>
        <v>-7.5782053545122574E-3</v>
      </c>
      <c r="AI1219" s="215">
        <f t="shared" si="184"/>
        <v>-9.7402597402597157E-3</v>
      </c>
      <c r="AJ1219" s="231">
        <v>314382</v>
      </c>
      <c r="AL1219" s="254"/>
      <c r="AQ1219" s="215" t="str">
        <f t="shared" si="189"/>
        <v>NA</v>
      </c>
      <c r="AR1219" s="215" t="str">
        <f t="shared" si="185"/>
        <v>NA</v>
      </c>
    </row>
    <row r="1220" spans="2:44">
      <c r="B1220" s="230">
        <v>44882</v>
      </c>
      <c r="C1220" s="1">
        <v>382.15</v>
      </c>
      <c r="D1220" s="1">
        <v>381.401297497683</v>
      </c>
      <c r="E1220" s="1">
        <v>3237</v>
      </c>
      <c r="F1220" s="215">
        <v>61750.6</v>
      </c>
      <c r="G1220" s="215">
        <f t="shared" si="190"/>
        <v>1.4128297656894606E-3</v>
      </c>
      <c r="H1220" s="215">
        <f t="shared" si="191"/>
        <v>-1.9248043115616564E-2</v>
      </c>
      <c r="I1220" s="231">
        <v>1234596</v>
      </c>
      <c r="K1220" s="230">
        <v>44881</v>
      </c>
      <c r="L1220" s="1">
        <v>272.95</v>
      </c>
      <c r="M1220" s="1">
        <v>276.36412144897002</v>
      </c>
      <c r="N1220" s="1">
        <v>26612</v>
      </c>
      <c r="O1220" s="1">
        <v>61980.72</v>
      </c>
      <c r="P1220" s="215">
        <f t="shared" si="186"/>
        <v>3.7266034662011283E-3</v>
      </c>
      <c r="Q1220" s="215">
        <f t="shared" si="182"/>
        <v>2.3050974512743627E-2</v>
      </c>
      <c r="R1220" s="231">
        <v>7354602</v>
      </c>
      <c r="T1220" s="230">
        <v>44881</v>
      </c>
      <c r="U1220" s="1">
        <v>52.5</v>
      </c>
      <c r="V1220" s="1">
        <v>52.919823365923101</v>
      </c>
      <c r="W1220" s="1">
        <v>70881</v>
      </c>
      <c r="X1220" s="1">
        <v>61980.72</v>
      </c>
      <c r="Y1220" s="215">
        <f t="shared" si="187"/>
        <v>3.7266034662011283E-3</v>
      </c>
      <c r="Z1220" s="215">
        <f t="shared" si="183"/>
        <v>-1.1299435028248594E-2</v>
      </c>
      <c r="AA1220" s="231">
        <v>3751010</v>
      </c>
      <c r="AC1220" s="230">
        <v>44914</v>
      </c>
      <c r="AD1220" s="1">
        <v>61.6</v>
      </c>
      <c r="AE1220" s="1">
        <v>61.473856209150298</v>
      </c>
      <c r="AF1220" s="1">
        <v>5202</v>
      </c>
      <c r="AG1220" s="1">
        <v>61806.19</v>
      </c>
      <c r="AH1220" s="215">
        <f t="shared" si="188"/>
        <v>1.683892121346009E-3</v>
      </c>
      <c r="AI1220" s="215">
        <f t="shared" si="184"/>
        <v>-2.4544734758511488E-2</v>
      </c>
      <c r="AJ1220" s="231">
        <v>319787</v>
      </c>
      <c r="AL1220" s="254"/>
      <c r="AQ1220" s="215" t="str">
        <f t="shared" si="189"/>
        <v>NA</v>
      </c>
      <c r="AR1220" s="215" t="str">
        <f t="shared" si="185"/>
        <v>NA</v>
      </c>
    </row>
    <row r="1221" spans="2:44">
      <c r="B1221" s="230">
        <v>44883</v>
      </c>
      <c r="C1221" s="1">
        <v>389.65</v>
      </c>
      <c r="D1221" s="1">
        <v>387.71316789626599</v>
      </c>
      <c r="E1221" s="1">
        <v>4473</v>
      </c>
      <c r="F1221" s="215">
        <v>61663.48</v>
      </c>
      <c r="G1221" s="215">
        <f t="shared" si="190"/>
        <v>8.4821548310536343E-3</v>
      </c>
      <c r="H1221" s="215">
        <f t="shared" si="191"/>
        <v>-5.1369446135118735E-2</v>
      </c>
      <c r="I1221" s="231">
        <v>1734241</v>
      </c>
      <c r="K1221" s="230">
        <v>44882</v>
      </c>
      <c r="L1221" s="1">
        <v>266.8</v>
      </c>
      <c r="M1221" s="1">
        <v>269.02867430270999</v>
      </c>
      <c r="N1221" s="1">
        <v>38327</v>
      </c>
      <c r="O1221" s="1">
        <v>61750.6</v>
      </c>
      <c r="P1221" s="215">
        <f t="shared" si="186"/>
        <v>1.4128297656894606E-3</v>
      </c>
      <c r="Q1221" s="215">
        <f t="shared" si="182"/>
        <v>-2.2173355323437782E-2</v>
      </c>
      <c r="R1221" s="231">
        <v>10311062</v>
      </c>
      <c r="T1221" s="230">
        <v>44882</v>
      </c>
      <c r="U1221" s="1">
        <v>53.1</v>
      </c>
      <c r="V1221" s="1">
        <v>53.088295066372602</v>
      </c>
      <c r="W1221" s="1">
        <v>23127</v>
      </c>
      <c r="X1221" s="1">
        <v>61750.6</v>
      </c>
      <c r="Y1221" s="215">
        <f t="shared" si="187"/>
        <v>1.4128297656894606E-3</v>
      </c>
      <c r="Z1221" s="215">
        <f t="shared" si="183"/>
        <v>1.8216682646212901E-2</v>
      </c>
      <c r="AA1221" s="231">
        <v>1227773</v>
      </c>
      <c r="AC1221" s="230">
        <v>44915</v>
      </c>
      <c r="AD1221" s="1">
        <v>63.15</v>
      </c>
      <c r="AE1221" s="1">
        <v>63.371098863244903</v>
      </c>
      <c r="AF1221" s="1">
        <v>29030</v>
      </c>
      <c r="AG1221" s="1">
        <v>61702.29</v>
      </c>
      <c r="AH1221" s="215">
        <f t="shared" si="188"/>
        <v>1.0399192758670628E-2</v>
      </c>
      <c r="AI1221" s="215">
        <f t="shared" si="184"/>
        <v>3.2706459525756237E-2</v>
      </c>
      <c r="AJ1221" s="231">
        <v>1839663</v>
      </c>
      <c r="AL1221" s="254"/>
      <c r="AQ1221" s="215" t="str">
        <f t="shared" si="189"/>
        <v>NA</v>
      </c>
      <c r="AR1221" s="215" t="str">
        <f t="shared" si="185"/>
        <v>NA</v>
      </c>
    </row>
    <row r="1222" spans="2:44">
      <c r="B1222" s="230">
        <v>44886</v>
      </c>
      <c r="C1222" s="1">
        <v>410.75</v>
      </c>
      <c r="D1222" s="1">
        <v>404.70235254006099</v>
      </c>
      <c r="E1222" s="1">
        <v>2933</v>
      </c>
      <c r="F1222" s="215">
        <v>61144.84</v>
      </c>
      <c r="G1222" s="215">
        <f t="shared" si="190"/>
        <v>-4.4631169267601578E-3</v>
      </c>
      <c r="H1222" s="215">
        <f t="shared" si="191"/>
        <v>-2.050792893764164E-2</v>
      </c>
      <c r="I1222" s="231">
        <v>1186992</v>
      </c>
      <c r="K1222" s="230">
        <v>44883</v>
      </c>
      <c r="L1222" s="1">
        <v>272.85000000000002</v>
      </c>
      <c r="M1222" s="1">
        <v>269.529893238434</v>
      </c>
      <c r="N1222" s="1">
        <v>8430</v>
      </c>
      <c r="O1222" s="1">
        <v>61663.48</v>
      </c>
      <c r="P1222" s="215">
        <f t="shared" si="186"/>
        <v>8.4821548310536343E-3</v>
      </c>
      <c r="Q1222" s="215">
        <f t="shared" si="182"/>
        <v>-0.12590100913022573</v>
      </c>
      <c r="R1222" s="231">
        <v>2272137</v>
      </c>
      <c r="T1222" s="230">
        <v>44883</v>
      </c>
      <c r="U1222" s="1">
        <v>52.15</v>
      </c>
      <c r="V1222" s="1">
        <v>52.204364606661201</v>
      </c>
      <c r="W1222" s="1">
        <v>104935</v>
      </c>
      <c r="X1222" s="1">
        <v>61663.48</v>
      </c>
      <c r="Y1222" s="215">
        <f t="shared" si="187"/>
        <v>8.4821548310536343E-3</v>
      </c>
      <c r="Z1222" s="215">
        <f t="shared" si="183"/>
        <v>-2.7958993476234872E-2</v>
      </c>
      <c r="AA1222" s="231">
        <v>5478065</v>
      </c>
      <c r="AC1222" s="230">
        <v>44916</v>
      </c>
      <c r="AD1222" s="1">
        <v>61.15</v>
      </c>
      <c r="AE1222" s="1">
        <v>62.287363593230999</v>
      </c>
      <c r="AF1222" s="1">
        <v>6323</v>
      </c>
      <c r="AG1222" s="1">
        <v>61067.24</v>
      </c>
      <c r="AH1222" s="215">
        <f t="shared" si="188"/>
        <v>3.9624359363445993E-3</v>
      </c>
      <c r="AI1222" s="215">
        <f t="shared" si="184"/>
        <v>3.6440677966101731E-2</v>
      </c>
      <c r="AJ1222" s="231">
        <v>393843</v>
      </c>
      <c r="AL1222" s="254"/>
      <c r="AQ1222" s="215" t="str">
        <f t="shared" si="189"/>
        <v>NA</v>
      </c>
      <c r="AR1222" s="215" t="str">
        <f t="shared" si="185"/>
        <v>NA</v>
      </c>
    </row>
    <row r="1223" spans="2:44">
      <c r="B1223" s="230">
        <v>44887</v>
      </c>
      <c r="C1223" s="1">
        <v>419.35</v>
      </c>
      <c r="D1223" s="1">
        <v>419.92615687561499</v>
      </c>
      <c r="E1223" s="1">
        <v>3047</v>
      </c>
      <c r="F1223" s="215">
        <v>61418.96</v>
      </c>
      <c r="G1223" s="215">
        <f t="shared" si="190"/>
        <v>-1.489499855146903E-3</v>
      </c>
      <c r="H1223" s="215">
        <f t="shared" si="191"/>
        <v>2.7944601054050722E-2</v>
      </c>
      <c r="I1223" s="231">
        <v>1279515</v>
      </c>
      <c r="K1223" s="230">
        <v>44886</v>
      </c>
      <c r="L1223" s="1">
        <v>312.14999999999998</v>
      </c>
      <c r="M1223" s="1">
        <v>310.66009698278202</v>
      </c>
      <c r="N1223" s="1">
        <v>457607</v>
      </c>
      <c r="O1223" s="1">
        <v>61144.84</v>
      </c>
      <c r="P1223" s="215">
        <f t="shared" si="186"/>
        <v>-4.4631169267601578E-3</v>
      </c>
      <c r="Q1223" s="215">
        <f t="shared" si="182"/>
        <v>2.596548890714856E-2</v>
      </c>
      <c r="R1223" s="231">
        <v>142160235</v>
      </c>
      <c r="T1223" s="230">
        <v>44886</v>
      </c>
      <c r="U1223" s="1">
        <v>53.65</v>
      </c>
      <c r="V1223" s="1">
        <v>54.5416791335048</v>
      </c>
      <c r="W1223" s="1">
        <v>334220</v>
      </c>
      <c r="X1223" s="1">
        <v>61144.84</v>
      </c>
      <c r="Y1223" s="215">
        <f t="shared" si="187"/>
        <v>-4.4631169267601578E-3</v>
      </c>
      <c r="Z1223" s="215">
        <f t="shared" si="183"/>
        <v>3.7418147801682178E-3</v>
      </c>
      <c r="AA1223" s="231">
        <v>18228920</v>
      </c>
      <c r="AC1223" s="230">
        <v>44917</v>
      </c>
      <c r="AD1223" s="1">
        <v>59</v>
      </c>
      <c r="AE1223" s="1">
        <v>59.146414342629399</v>
      </c>
      <c r="AF1223" s="1">
        <v>4016</v>
      </c>
      <c r="AG1223" s="1">
        <v>60826.22</v>
      </c>
      <c r="AH1223" s="215">
        <f t="shared" si="188"/>
        <v>1.6391097778956309E-2</v>
      </c>
      <c r="AI1223" s="215">
        <f t="shared" si="184"/>
        <v>4.1482789055604652E-2</v>
      </c>
      <c r="AJ1223" s="231">
        <v>237532</v>
      </c>
      <c r="AL1223" s="254"/>
      <c r="AQ1223" s="215" t="str">
        <f t="shared" si="189"/>
        <v>NA</v>
      </c>
      <c r="AR1223" s="215" t="str">
        <f t="shared" si="185"/>
        <v>NA</v>
      </c>
    </row>
    <row r="1224" spans="2:44">
      <c r="B1224" s="230">
        <v>44888</v>
      </c>
      <c r="C1224" s="1">
        <v>407.95</v>
      </c>
      <c r="D1224" s="1">
        <v>406.07869249394599</v>
      </c>
      <c r="E1224" s="1">
        <v>2478</v>
      </c>
      <c r="F1224" s="215">
        <v>61510.58</v>
      </c>
      <c r="G1224" s="215">
        <f t="shared" si="190"/>
        <v>-1.2238111480026181E-2</v>
      </c>
      <c r="H1224" s="215">
        <f t="shared" si="191"/>
        <v>-2.0792563600783298E-3</v>
      </c>
      <c r="I1224" s="231">
        <v>1006263</v>
      </c>
      <c r="K1224" s="230">
        <v>44887</v>
      </c>
      <c r="L1224" s="1">
        <v>304.25</v>
      </c>
      <c r="M1224" s="1">
        <v>304.11631831525602</v>
      </c>
      <c r="N1224" s="1">
        <v>56887</v>
      </c>
      <c r="O1224" s="1">
        <v>61418.96</v>
      </c>
      <c r="P1224" s="215">
        <f t="shared" si="186"/>
        <v>-1.489499855146903E-3</v>
      </c>
      <c r="Q1224" s="215">
        <f t="shared" si="182"/>
        <v>-1.8390062913373084E-2</v>
      </c>
      <c r="R1224" s="231">
        <v>17300265</v>
      </c>
      <c r="T1224" s="230">
        <v>44887</v>
      </c>
      <c r="U1224" s="1">
        <v>53.45</v>
      </c>
      <c r="V1224" s="1">
        <v>53.710329097425799</v>
      </c>
      <c r="W1224" s="1">
        <v>73656</v>
      </c>
      <c r="X1224" s="1">
        <v>61418.96</v>
      </c>
      <c r="Y1224" s="215">
        <f t="shared" si="187"/>
        <v>-1.489499855146903E-3</v>
      </c>
      <c r="Z1224" s="215">
        <f t="shared" si="183"/>
        <v>1.1352885525071077E-2</v>
      </c>
      <c r="AA1224" s="231">
        <v>3956088</v>
      </c>
      <c r="AC1224" s="230">
        <v>44918</v>
      </c>
      <c r="AD1224" s="1">
        <v>56.65</v>
      </c>
      <c r="AE1224" s="1">
        <v>57.269759913676801</v>
      </c>
      <c r="AF1224" s="1">
        <v>11121</v>
      </c>
      <c r="AG1224" s="1">
        <v>59845.29</v>
      </c>
      <c r="AH1224" s="215">
        <f t="shared" si="188"/>
        <v>-1.1906432640397036E-2</v>
      </c>
      <c r="AI1224" s="215">
        <f t="shared" si="184"/>
        <v>-4.7098402018503016E-2</v>
      </c>
      <c r="AJ1224" s="231">
        <v>636897</v>
      </c>
      <c r="AL1224" s="254"/>
      <c r="AQ1224" s="215" t="str">
        <f t="shared" si="189"/>
        <v>NA</v>
      </c>
      <c r="AR1224" s="215" t="str">
        <f t="shared" si="185"/>
        <v>NA</v>
      </c>
    </row>
    <row r="1225" spans="2:44">
      <c r="B1225" s="230">
        <v>44889</v>
      </c>
      <c r="C1225" s="1">
        <v>408.8</v>
      </c>
      <c r="D1225" s="1">
        <v>409.85018726591699</v>
      </c>
      <c r="E1225" s="1">
        <v>801</v>
      </c>
      <c r="F1225" s="215">
        <v>62272.68</v>
      </c>
      <c r="G1225" s="215">
        <f t="shared" si="190"/>
        <v>-3.364709463117288E-4</v>
      </c>
      <c r="H1225" s="215">
        <f t="shared" si="191"/>
        <v>-5.2317800219003896E-3</v>
      </c>
      <c r="I1225" s="231">
        <v>328290</v>
      </c>
      <c r="K1225" s="230">
        <v>44888</v>
      </c>
      <c r="L1225" s="1">
        <v>309.95</v>
      </c>
      <c r="M1225" s="1">
        <v>310.880666764024</v>
      </c>
      <c r="N1225" s="1">
        <v>47933</v>
      </c>
      <c r="O1225" s="1">
        <v>61510.58</v>
      </c>
      <c r="P1225" s="215">
        <f t="shared" si="186"/>
        <v>-1.2238111480026181E-2</v>
      </c>
      <c r="Q1225" s="215">
        <f t="shared" si="182"/>
        <v>8.9518229166667407E-3</v>
      </c>
      <c r="R1225" s="231">
        <v>14901443</v>
      </c>
      <c r="T1225" s="230">
        <v>44888</v>
      </c>
      <c r="U1225" s="1">
        <v>52.85</v>
      </c>
      <c r="V1225" s="1">
        <v>53.112683173319802</v>
      </c>
      <c r="W1225" s="1">
        <v>59370</v>
      </c>
      <c r="X1225" s="1">
        <v>61510.58</v>
      </c>
      <c r="Y1225" s="215">
        <f t="shared" si="187"/>
        <v>-1.2238111480026181E-2</v>
      </c>
      <c r="Z1225" s="215">
        <f t="shared" si="183"/>
        <v>9.4696969696972388E-4</v>
      </c>
      <c r="AA1225" s="231">
        <v>3153300</v>
      </c>
      <c r="AC1225" s="230">
        <v>44921</v>
      </c>
      <c r="AD1225" s="1">
        <v>59.45</v>
      </c>
      <c r="AE1225" s="1">
        <v>58.002900953170297</v>
      </c>
      <c r="AF1225" s="1">
        <v>9652</v>
      </c>
      <c r="AG1225" s="1">
        <v>60566.42</v>
      </c>
      <c r="AH1225" s="215">
        <f t="shared" si="188"/>
        <v>-5.9252458211350723E-3</v>
      </c>
      <c r="AI1225" s="215">
        <f t="shared" si="184"/>
        <v>-5.9335443037974667E-2</v>
      </c>
      <c r="AJ1225" s="231">
        <v>559844</v>
      </c>
      <c r="AL1225" s="254"/>
      <c r="AQ1225" s="215" t="str">
        <f t="shared" si="189"/>
        <v>NA</v>
      </c>
      <c r="AR1225" s="215" t="str">
        <f t="shared" si="185"/>
        <v>NA</v>
      </c>
    </row>
    <row r="1226" spans="2:44">
      <c r="B1226" s="230">
        <v>44890</v>
      </c>
      <c r="C1226" s="1">
        <v>410.95</v>
      </c>
      <c r="D1226" s="1">
        <v>415.38153070577403</v>
      </c>
      <c r="E1226" s="1">
        <v>4364</v>
      </c>
      <c r="F1226" s="215">
        <v>62293.64</v>
      </c>
      <c r="G1226" s="215">
        <f t="shared" si="190"/>
        <v>-3.3783005465181093E-3</v>
      </c>
      <c r="H1226" s="215">
        <f t="shared" si="191"/>
        <v>-6.887385210246566E-3</v>
      </c>
      <c r="I1226" s="231">
        <v>1812725</v>
      </c>
      <c r="K1226" s="230">
        <v>44889</v>
      </c>
      <c r="L1226" s="1">
        <v>307.2</v>
      </c>
      <c r="M1226" s="1">
        <v>307.23809821968899</v>
      </c>
      <c r="N1226" s="1">
        <v>47913</v>
      </c>
      <c r="O1226" s="1">
        <v>62272.68</v>
      </c>
      <c r="P1226" s="215">
        <f t="shared" si="186"/>
        <v>-3.364709463117288E-4</v>
      </c>
      <c r="Q1226" s="215">
        <f t="shared" si="182"/>
        <v>1.4866204162537144E-2</v>
      </c>
      <c r="R1226" s="231">
        <v>14720699</v>
      </c>
      <c r="T1226" s="230">
        <v>44889</v>
      </c>
      <c r="U1226" s="1">
        <v>52.8</v>
      </c>
      <c r="V1226" s="1">
        <v>53.189295232454803</v>
      </c>
      <c r="W1226" s="1">
        <v>108064</v>
      </c>
      <c r="X1226" s="1">
        <v>62272.68</v>
      </c>
      <c r="Y1226" s="215">
        <f t="shared" si="187"/>
        <v>-3.364709463117288E-4</v>
      </c>
      <c r="Z1226" s="215">
        <f t="shared" si="183"/>
        <v>-3.7735849056603765E-3</v>
      </c>
      <c r="AA1226" s="231">
        <v>5747848</v>
      </c>
      <c r="AC1226" s="230">
        <v>44922</v>
      </c>
      <c r="AD1226" s="1">
        <v>63.2</v>
      </c>
      <c r="AE1226" s="1">
        <v>62.393236714975799</v>
      </c>
      <c r="AF1226" s="1">
        <v>3105</v>
      </c>
      <c r="AG1226" s="1">
        <v>60927.43</v>
      </c>
      <c r="AH1226" s="215">
        <f t="shared" si="188"/>
        <v>2.8156166742299149E-4</v>
      </c>
      <c r="AI1226" s="215">
        <f t="shared" si="184"/>
        <v>1.4446227929374E-2</v>
      </c>
      <c r="AJ1226" s="231">
        <v>193731</v>
      </c>
      <c r="AL1226" s="254"/>
      <c r="AQ1226" s="215" t="str">
        <f t="shared" si="189"/>
        <v>NA</v>
      </c>
      <c r="AR1226" s="215" t="str">
        <f t="shared" si="185"/>
        <v>NA</v>
      </c>
    </row>
    <row r="1227" spans="2:44">
      <c r="B1227" s="230">
        <v>44893</v>
      </c>
      <c r="C1227" s="1">
        <v>413.8</v>
      </c>
      <c r="D1227" s="1">
        <v>418.50583333333299</v>
      </c>
      <c r="E1227" s="1">
        <v>2400</v>
      </c>
      <c r="F1227" s="215">
        <v>62504.800000000003</v>
      </c>
      <c r="G1227" s="215">
        <f t="shared" si="190"/>
        <v>-2.8244225121660804E-3</v>
      </c>
      <c r="H1227" s="215">
        <f t="shared" si="191"/>
        <v>4.2470573959469959E-3</v>
      </c>
      <c r="I1227" s="231">
        <v>1004414</v>
      </c>
      <c r="K1227" s="230">
        <v>44890</v>
      </c>
      <c r="L1227" s="1">
        <v>302.7</v>
      </c>
      <c r="M1227" s="1">
        <v>303.928833387493</v>
      </c>
      <c r="N1227" s="1">
        <v>21541</v>
      </c>
      <c r="O1227" s="1">
        <v>62293.64</v>
      </c>
      <c r="P1227" s="215">
        <f t="shared" si="186"/>
        <v>-3.3783005465181093E-3</v>
      </c>
      <c r="Q1227" s="215">
        <f t="shared" si="182"/>
        <v>7.8242050940569019E-3</v>
      </c>
      <c r="R1227" s="231">
        <v>6546931</v>
      </c>
      <c r="T1227" s="230">
        <v>44890</v>
      </c>
      <c r="U1227" s="1">
        <v>53</v>
      </c>
      <c r="V1227" s="1">
        <v>53.165113325728001</v>
      </c>
      <c r="W1227" s="1">
        <v>46459</v>
      </c>
      <c r="X1227" s="1">
        <v>62293.64</v>
      </c>
      <c r="Y1227" s="215">
        <f t="shared" si="187"/>
        <v>-3.3783005465181093E-3</v>
      </c>
      <c r="Z1227" s="215">
        <f t="shared" si="183"/>
        <v>-5.6285178236397115E-3</v>
      </c>
      <c r="AA1227" s="231">
        <v>2469998</v>
      </c>
      <c r="AC1227" s="230">
        <v>44923</v>
      </c>
      <c r="AD1227" s="1">
        <v>62.3</v>
      </c>
      <c r="AE1227" s="1">
        <v>62.0943025540275</v>
      </c>
      <c r="AF1227" s="1">
        <v>4581</v>
      </c>
      <c r="AG1227" s="1">
        <v>60910.28</v>
      </c>
      <c r="AH1227" s="215">
        <f t="shared" si="188"/>
        <v>-3.657546355637753E-3</v>
      </c>
      <c r="AI1227" s="215">
        <f t="shared" si="184"/>
        <v>1.5484922575387028E-2</v>
      </c>
      <c r="AJ1227" s="231">
        <v>284454</v>
      </c>
      <c r="AL1227" s="254"/>
      <c r="AQ1227" s="215" t="str">
        <f t="shared" si="189"/>
        <v>NA</v>
      </c>
      <c r="AR1227" s="215" t="str">
        <f t="shared" si="185"/>
        <v>NA</v>
      </c>
    </row>
    <row r="1228" spans="2:44">
      <c r="B1228" s="230">
        <v>44894</v>
      </c>
      <c r="C1228" s="1">
        <v>412.05</v>
      </c>
      <c r="D1228" s="1">
        <v>413.48382437897101</v>
      </c>
      <c r="E1228" s="1">
        <v>3462</v>
      </c>
      <c r="F1228" s="215">
        <v>62681.84</v>
      </c>
      <c r="G1228" s="215">
        <f t="shared" si="190"/>
        <v>-6.6214313391596002E-3</v>
      </c>
      <c r="H1228" s="215">
        <f t="shared" si="191"/>
        <v>2.6767246623677909E-3</v>
      </c>
      <c r="I1228" s="231">
        <v>1431481</v>
      </c>
      <c r="K1228" s="230">
        <v>44893</v>
      </c>
      <c r="L1228" s="1">
        <v>300.35000000000002</v>
      </c>
      <c r="M1228" s="1">
        <v>301.794692829393</v>
      </c>
      <c r="N1228" s="1">
        <v>15187</v>
      </c>
      <c r="O1228" s="1">
        <v>62504.800000000003</v>
      </c>
      <c r="P1228" s="215">
        <f t="shared" si="186"/>
        <v>-2.8244225121660804E-3</v>
      </c>
      <c r="Q1228" s="215">
        <f t="shared" si="182"/>
        <v>-3.6413217837664269E-2</v>
      </c>
      <c r="R1228" s="231">
        <v>4583356</v>
      </c>
      <c r="T1228" s="230">
        <v>44893</v>
      </c>
      <c r="U1228" s="1">
        <v>53.3</v>
      </c>
      <c r="V1228" s="1">
        <v>53.308956225608298</v>
      </c>
      <c r="W1228" s="1">
        <v>40229</v>
      </c>
      <c r="X1228" s="1">
        <v>62504.800000000003</v>
      </c>
      <c r="Y1228" s="215">
        <f t="shared" si="187"/>
        <v>-2.8244225121660804E-3</v>
      </c>
      <c r="Z1228" s="215">
        <f t="shared" si="183"/>
        <v>9.3896713615015948E-4</v>
      </c>
      <c r="AA1228" s="231">
        <v>2144566</v>
      </c>
      <c r="AC1228" s="230">
        <v>44924</v>
      </c>
      <c r="AD1228" s="1">
        <v>61.35</v>
      </c>
      <c r="AE1228" s="1">
        <v>61.645056139079998</v>
      </c>
      <c r="AF1228" s="1">
        <v>2761</v>
      </c>
      <c r="AG1228" s="1">
        <v>61133.88</v>
      </c>
      <c r="AH1228" s="215">
        <f t="shared" si="188"/>
        <v>4.8181530993869348E-3</v>
      </c>
      <c r="AI1228" s="215">
        <f t="shared" si="184"/>
        <v>-1.3665594855305496E-2</v>
      </c>
      <c r="AJ1228" s="231">
        <v>170202</v>
      </c>
      <c r="AL1228" s="254"/>
      <c r="AQ1228" s="215" t="str">
        <f t="shared" si="189"/>
        <v>NA</v>
      </c>
      <c r="AR1228" s="215" t="str">
        <f t="shared" si="185"/>
        <v>NA</v>
      </c>
    </row>
    <row r="1229" spans="2:44">
      <c r="B1229" s="230">
        <v>44895</v>
      </c>
      <c r="C1229" s="1">
        <v>410.95</v>
      </c>
      <c r="D1229" s="1">
        <v>410.391041162227</v>
      </c>
      <c r="E1229" s="1">
        <v>2478</v>
      </c>
      <c r="F1229" s="215">
        <v>63099.65</v>
      </c>
      <c r="G1229" s="215">
        <f t="shared" si="190"/>
        <v>-2.9160521766968817E-3</v>
      </c>
      <c r="H1229" s="215">
        <f t="shared" si="191"/>
        <v>-1.3680547221888828E-2</v>
      </c>
      <c r="I1229" s="231">
        <v>1016949</v>
      </c>
      <c r="K1229" s="230">
        <v>44894</v>
      </c>
      <c r="L1229" s="1">
        <v>311.7</v>
      </c>
      <c r="M1229" s="1">
        <v>310.95573187546802</v>
      </c>
      <c r="N1229" s="1">
        <v>41339</v>
      </c>
      <c r="O1229" s="1">
        <v>62681.84</v>
      </c>
      <c r="P1229" s="215">
        <f t="shared" si="186"/>
        <v>-6.6214313391596002E-3</v>
      </c>
      <c r="Q1229" s="215">
        <f t="shared" si="182"/>
        <v>-1.6253747830203724E-2</v>
      </c>
      <c r="R1229" s="231">
        <v>12854599</v>
      </c>
      <c r="T1229" s="230">
        <v>44894</v>
      </c>
      <c r="U1229" s="1">
        <v>53.25</v>
      </c>
      <c r="V1229" s="1">
        <v>53.921188530310303</v>
      </c>
      <c r="W1229" s="1">
        <v>128966</v>
      </c>
      <c r="X1229" s="1">
        <v>62681.84</v>
      </c>
      <c r="Y1229" s="215">
        <f t="shared" si="187"/>
        <v>-6.6214313391596002E-3</v>
      </c>
      <c r="Z1229" s="215">
        <f t="shared" si="183"/>
        <v>-2.8089887640448952E-3</v>
      </c>
      <c r="AA1229" s="231">
        <v>6954000</v>
      </c>
      <c r="AC1229" s="232">
        <v>44925</v>
      </c>
      <c r="AD1229" s="220">
        <v>62.2</v>
      </c>
      <c r="AE1229" s="220">
        <v>62.818724559023003</v>
      </c>
      <c r="AF1229" s="220">
        <v>7370</v>
      </c>
      <c r="AG1229" s="220">
        <v>60840.74</v>
      </c>
      <c r="AH1229" s="233" t="str">
        <f t="shared" si="188"/>
        <v>NA</v>
      </c>
      <c r="AI1229" s="233" t="str">
        <f t="shared" si="184"/>
        <v>NA</v>
      </c>
      <c r="AJ1229" s="234">
        <v>462974</v>
      </c>
      <c r="AL1229" s="254"/>
      <c r="AQ1229" s="215" t="str">
        <f t="shared" si="189"/>
        <v>NA</v>
      </c>
      <c r="AR1229" s="215" t="str">
        <f t="shared" si="185"/>
        <v>NA</v>
      </c>
    </row>
    <row r="1230" spans="2:44">
      <c r="B1230" s="230">
        <v>44896</v>
      </c>
      <c r="C1230" s="1">
        <v>416.65</v>
      </c>
      <c r="D1230" s="1">
        <v>413.58294880246001</v>
      </c>
      <c r="E1230" s="1">
        <v>4551</v>
      </c>
      <c r="F1230" s="215">
        <v>63284.19</v>
      </c>
      <c r="G1230" s="215">
        <f t="shared" si="190"/>
        <v>6.6120553218225186E-3</v>
      </c>
      <c r="H1230" s="215">
        <f t="shared" si="191"/>
        <v>2.1326142909670276E-2</v>
      </c>
      <c r="I1230" s="231">
        <v>1882216</v>
      </c>
      <c r="K1230" s="230">
        <v>44895</v>
      </c>
      <c r="L1230" s="1">
        <v>316.85000000000002</v>
      </c>
      <c r="M1230" s="1">
        <v>318.74276577087699</v>
      </c>
      <c r="N1230" s="1">
        <v>38774</v>
      </c>
      <c r="O1230" s="1">
        <v>63099.65</v>
      </c>
      <c r="P1230" s="215">
        <f t="shared" si="186"/>
        <v>-2.9160521766968817E-3</v>
      </c>
      <c r="Q1230" s="215">
        <f t="shared" ref="Q1230:Q1251" si="192">IF(ISERROR(L1230/L1231-1),"NA",L1230/L1231-1)</f>
        <v>-1.5229215229215165E-2</v>
      </c>
      <c r="R1230" s="231">
        <v>12358932</v>
      </c>
      <c r="T1230" s="230">
        <v>44895</v>
      </c>
      <c r="U1230" s="1">
        <v>53.4</v>
      </c>
      <c r="V1230" s="1">
        <v>53.545384836576197</v>
      </c>
      <c r="W1230" s="1">
        <v>20866</v>
      </c>
      <c r="X1230" s="1">
        <v>63099.65</v>
      </c>
      <c r="Y1230" s="215">
        <f t="shared" si="187"/>
        <v>-2.9160521766968817E-3</v>
      </c>
      <c r="Z1230" s="215">
        <f t="shared" ref="Z1230:Z1252" si="193">IF(ISERROR(U1230/U1231-1),"NA",U1230/U1231-1)</f>
        <v>-4.6598322460391639E-3</v>
      </c>
      <c r="AA1230" s="231">
        <v>1117278</v>
      </c>
      <c r="AC1230" s="254"/>
      <c r="AH1230" s="215"/>
      <c r="AI1230" s="215"/>
      <c r="AL1230" s="254"/>
      <c r="AQ1230" s="215" t="str">
        <f t="shared" si="189"/>
        <v>NA</v>
      </c>
      <c r="AR1230" s="215" t="str">
        <f t="shared" ref="AR1230:AR1252" si="194">IF(ISERROR(AM1230/AM1231-1),"NA",AM1230/AM1231-1)</f>
        <v>NA</v>
      </c>
    </row>
    <row r="1231" spans="2:44">
      <c r="B1231" s="230">
        <v>44897</v>
      </c>
      <c r="C1231" s="1">
        <v>407.95</v>
      </c>
      <c r="D1231" s="1">
        <v>409.419193184665</v>
      </c>
      <c r="E1231" s="1">
        <v>3991</v>
      </c>
      <c r="F1231" s="215">
        <v>62868.5</v>
      </c>
      <c r="G1231" s="215">
        <f t="shared" si="190"/>
        <v>5.3951167032173508E-4</v>
      </c>
      <c r="H1231" s="215">
        <f t="shared" si="191"/>
        <v>-4.9510717614165922E-2</v>
      </c>
      <c r="I1231" s="231">
        <v>1633992</v>
      </c>
      <c r="K1231" s="230">
        <v>44896</v>
      </c>
      <c r="L1231" s="1">
        <v>321.75</v>
      </c>
      <c r="M1231" s="1">
        <v>321.08849716056602</v>
      </c>
      <c r="N1231" s="1">
        <v>55821</v>
      </c>
      <c r="O1231" s="1">
        <v>63284.19</v>
      </c>
      <c r="P1231" s="215">
        <f t="shared" ref="P1231:P1251" si="195">IF(ISERROR(O1231/O1232-1),"NA",O1231/O1232-1)</f>
        <v>6.6120553218225186E-3</v>
      </c>
      <c r="Q1231" s="215">
        <f t="shared" si="192"/>
        <v>-3.0873493975903665E-2</v>
      </c>
      <c r="R1231" s="231">
        <v>17923481</v>
      </c>
      <c r="T1231" s="230">
        <v>44896</v>
      </c>
      <c r="U1231" s="1">
        <v>53.65</v>
      </c>
      <c r="V1231" s="1">
        <v>53.554339494839603</v>
      </c>
      <c r="W1231" s="1">
        <v>56101</v>
      </c>
      <c r="X1231" s="1">
        <v>63284.19</v>
      </c>
      <c r="Y1231" s="215">
        <f t="shared" ref="Y1231:Y1252" si="196">IF(ISERROR(X1231/X1232-1),"NA",X1231/X1232-1)</f>
        <v>6.6120553218225186E-3</v>
      </c>
      <c r="Z1231" s="215">
        <f t="shared" si="193"/>
        <v>-2.9837251356238714E-2</v>
      </c>
      <c r="AA1231" s="231">
        <v>3004452</v>
      </c>
      <c r="AC1231" s="254"/>
      <c r="AH1231" s="215"/>
      <c r="AI1231" s="215"/>
      <c r="AL1231" s="254"/>
      <c r="AQ1231" s="215" t="str">
        <f t="shared" ref="AQ1231:AQ1252" si="197">IF(ISERROR(AP1231/AP1232-1),"NA",AP1231/AP1232-1)</f>
        <v>NA</v>
      </c>
      <c r="AR1231" s="215" t="str">
        <f t="shared" si="194"/>
        <v>NA</v>
      </c>
    </row>
    <row r="1232" spans="2:44">
      <c r="B1232" s="230">
        <v>44900</v>
      </c>
      <c r="C1232" s="1">
        <v>429.2</v>
      </c>
      <c r="D1232" s="1">
        <v>426.39617178703497</v>
      </c>
      <c r="E1232" s="1">
        <v>6217</v>
      </c>
      <c r="F1232" s="215">
        <v>62834.6</v>
      </c>
      <c r="G1232" s="215">
        <f t="shared" si="190"/>
        <v>3.3251174106239123E-3</v>
      </c>
      <c r="H1232" s="215">
        <f t="shared" si="191"/>
        <v>1.9477434679334937E-2</v>
      </c>
      <c r="I1232" s="231">
        <v>2650905</v>
      </c>
      <c r="K1232" s="230">
        <v>44897</v>
      </c>
      <c r="L1232" s="1">
        <v>332</v>
      </c>
      <c r="M1232" s="1">
        <v>326.811672683513</v>
      </c>
      <c r="N1232" s="1">
        <v>49860</v>
      </c>
      <c r="O1232" s="1">
        <v>62868.5</v>
      </c>
      <c r="P1232" s="215">
        <f t="shared" si="195"/>
        <v>5.3951167032173508E-4</v>
      </c>
      <c r="Q1232" s="215">
        <f t="shared" si="192"/>
        <v>-5.9880239520958556E-3</v>
      </c>
      <c r="R1232" s="231">
        <v>16294830</v>
      </c>
      <c r="T1232" s="230">
        <v>44897</v>
      </c>
      <c r="U1232" s="1">
        <v>55.3</v>
      </c>
      <c r="V1232" s="1">
        <v>55.323055461297699</v>
      </c>
      <c r="W1232" s="1">
        <v>132615</v>
      </c>
      <c r="X1232" s="1">
        <v>62868.5</v>
      </c>
      <c r="Y1232" s="215">
        <f t="shared" si="196"/>
        <v>5.3951167032173508E-4</v>
      </c>
      <c r="Z1232" s="215">
        <f t="shared" si="193"/>
        <v>-3.4904013961605584E-2</v>
      </c>
      <c r="AA1232" s="231">
        <v>7336667</v>
      </c>
      <c r="AC1232" s="254"/>
      <c r="AH1232" s="215"/>
      <c r="AI1232" s="215"/>
      <c r="AL1232" s="254"/>
      <c r="AQ1232" s="215" t="str">
        <f t="shared" si="197"/>
        <v>NA</v>
      </c>
      <c r="AR1232" s="215" t="str">
        <f t="shared" si="194"/>
        <v>NA</v>
      </c>
    </row>
    <row r="1233" spans="2:44">
      <c r="B1233" s="230">
        <v>44901</v>
      </c>
      <c r="C1233" s="1">
        <v>421</v>
      </c>
      <c r="D1233" s="1">
        <v>425.94873776403898</v>
      </c>
      <c r="E1233" s="1">
        <v>3882</v>
      </c>
      <c r="F1233" s="215">
        <v>62626.36</v>
      </c>
      <c r="G1233" s="215">
        <f t="shared" si="190"/>
        <v>3.4558187797344431E-3</v>
      </c>
      <c r="H1233" s="215">
        <f t="shared" si="191"/>
        <v>-5.0809405648114536E-3</v>
      </c>
      <c r="I1233" s="231">
        <v>1653533</v>
      </c>
      <c r="K1233" s="230">
        <v>44900</v>
      </c>
      <c r="L1233" s="1">
        <v>334</v>
      </c>
      <c r="M1233" s="1">
        <v>336.27042440782299</v>
      </c>
      <c r="N1233" s="1">
        <v>57162</v>
      </c>
      <c r="O1233" s="1">
        <v>62834.6</v>
      </c>
      <c r="P1233" s="215">
        <f t="shared" si="195"/>
        <v>3.3251174106239123E-3</v>
      </c>
      <c r="Q1233" s="215">
        <f t="shared" si="192"/>
        <v>6.327206990057288E-3</v>
      </c>
      <c r="R1233" s="231">
        <v>19221890</v>
      </c>
      <c r="T1233" s="230">
        <v>44900</v>
      </c>
      <c r="U1233" s="1">
        <v>57.3</v>
      </c>
      <c r="V1233" s="1">
        <v>57.143994091313303</v>
      </c>
      <c r="W1233" s="1">
        <v>132686</v>
      </c>
      <c r="X1233" s="1">
        <v>62834.6</v>
      </c>
      <c r="Y1233" s="215">
        <f t="shared" si="196"/>
        <v>3.3251174106239123E-3</v>
      </c>
      <c r="Z1233" s="215">
        <f t="shared" si="193"/>
        <v>1.6858917480035318E-2</v>
      </c>
      <c r="AA1233" s="231">
        <v>7582208</v>
      </c>
      <c r="AC1233" s="254"/>
      <c r="AH1233" s="215"/>
      <c r="AI1233" s="215"/>
      <c r="AL1233" s="254"/>
      <c r="AQ1233" s="215" t="str">
        <f t="shared" si="197"/>
        <v>NA</v>
      </c>
      <c r="AR1233" s="215" t="str">
        <f t="shared" si="194"/>
        <v>NA</v>
      </c>
    </row>
    <row r="1234" spans="2:44">
      <c r="B1234" s="230">
        <v>44902</v>
      </c>
      <c r="C1234" s="1">
        <v>423.15</v>
      </c>
      <c r="D1234" s="1">
        <v>425.484819121447</v>
      </c>
      <c r="E1234" s="1">
        <v>3096</v>
      </c>
      <c r="F1234" s="215">
        <v>62410.68</v>
      </c>
      <c r="G1234" s="215">
        <f t="shared" si="190"/>
        <v>-2.5571082174590254E-3</v>
      </c>
      <c r="H1234" s="215">
        <f t="shared" si="191"/>
        <v>2.3637867864301221E-4</v>
      </c>
      <c r="I1234" s="231">
        <v>1317301</v>
      </c>
      <c r="K1234" s="230">
        <v>44901</v>
      </c>
      <c r="L1234" s="1">
        <v>331.9</v>
      </c>
      <c r="M1234" s="1">
        <v>333.62254341011902</v>
      </c>
      <c r="N1234" s="1">
        <v>40198</v>
      </c>
      <c r="O1234" s="1">
        <v>62626.36</v>
      </c>
      <c r="P1234" s="215">
        <f t="shared" si="195"/>
        <v>3.4558187797344431E-3</v>
      </c>
      <c r="Q1234" s="215">
        <f t="shared" si="192"/>
        <v>4.844081138358991E-3</v>
      </c>
      <c r="R1234" s="231">
        <v>13410959</v>
      </c>
      <c r="T1234" s="230">
        <v>44901</v>
      </c>
      <c r="U1234" s="1">
        <v>56.35</v>
      </c>
      <c r="V1234" s="1">
        <v>57.127182093257801</v>
      </c>
      <c r="W1234" s="1">
        <v>51556</v>
      </c>
      <c r="X1234" s="1">
        <v>62626.36</v>
      </c>
      <c r="Y1234" s="215">
        <f t="shared" si="196"/>
        <v>3.4558187797344431E-3</v>
      </c>
      <c r="Z1234" s="215">
        <f t="shared" si="193"/>
        <v>1.3489208633093552E-2</v>
      </c>
      <c r="AA1234" s="231">
        <v>2945249</v>
      </c>
      <c r="AC1234" s="254"/>
      <c r="AH1234" s="215"/>
      <c r="AI1234" s="215"/>
      <c r="AL1234" s="254"/>
      <c r="AQ1234" s="215" t="str">
        <f t="shared" si="197"/>
        <v>NA</v>
      </c>
      <c r="AR1234" s="215" t="str">
        <f t="shared" si="194"/>
        <v>NA</v>
      </c>
    </row>
    <row r="1235" spans="2:44">
      <c r="B1235" s="230">
        <v>44903</v>
      </c>
      <c r="C1235" s="1">
        <v>423.05</v>
      </c>
      <c r="D1235" s="1">
        <v>428.74058660324999</v>
      </c>
      <c r="E1235" s="1">
        <v>5046</v>
      </c>
      <c r="F1235" s="215">
        <v>62570.68</v>
      </c>
      <c r="G1235" s="215">
        <f t="shared" si="190"/>
        <v>6.2560236802904345E-3</v>
      </c>
      <c r="H1235" s="215">
        <f t="shared" si="191"/>
        <v>-3.2983861467781317E-3</v>
      </c>
      <c r="I1235" s="231">
        <v>2163425</v>
      </c>
      <c r="K1235" s="230">
        <v>44902</v>
      </c>
      <c r="L1235" s="1">
        <v>330.3</v>
      </c>
      <c r="M1235" s="1">
        <v>329.29119987010802</v>
      </c>
      <c r="N1235" s="1">
        <v>36954</v>
      </c>
      <c r="O1235" s="1">
        <v>62410.68</v>
      </c>
      <c r="P1235" s="215">
        <f t="shared" si="195"/>
        <v>-2.5571082174590254E-3</v>
      </c>
      <c r="Q1235" s="215">
        <f t="shared" si="192"/>
        <v>-3.364540667056759E-2</v>
      </c>
      <c r="R1235" s="231">
        <v>12168627</v>
      </c>
      <c r="T1235" s="230">
        <v>44902</v>
      </c>
      <c r="U1235" s="1">
        <v>55.6</v>
      </c>
      <c r="V1235" s="1">
        <v>55.9627679200348</v>
      </c>
      <c r="W1235" s="1">
        <v>59626</v>
      </c>
      <c r="X1235" s="1">
        <v>62410.68</v>
      </c>
      <c r="Y1235" s="215">
        <f t="shared" si="196"/>
        <v>-2.5571082174590254E-3</v>
      </c>
      <c r="Z1235" s="215">
        <f t="shared" si="193"/>
        <v>2.7051397655544207E-3</v>
      </c>
      <c r="AA1235" s="231">
        <v>3336836</v>
      </c>
      <c r="AC1235" s="254"/>
      <c r="AH1235" s="215"/>
      <c r="AI1235" s="215"/>
      <c r="AL1235" s="254"/>
      <c r="AQ1235" s="215" t="str">
        <f t="shared" si="197"/>
        <v>NA</v>
      </c>
      <c r="AR1235" s="215" t="str">
        <f t="shared" si="194"/>
        <v>NA</v>
      </c>
    </row>
    <row r="1236" spans="2:44">
      <c r="B1236" s="230">
        <v>44904</v>
      </c>
      <c r="C1236" s="1">
        <v>424.45</v>
      </c>
      <c r="D1236" s="1">
        <v>426.69977802441701</v>
      </c>
      <c r="E1236" s="1">
        <v>1802</v>
      </c>
      <c r="F1236" s="215">
        <v>62181.67</v>
      </c>
      <c r="G1236" s="215">
        <f t="shared" si="190"/>
        <v>8.224614710601319E-4</v>
      </c>
      <c r="H1236" s="215">
        <f t="shared" si="191"/>
        <v>-9.6826878208120526E-3</v>
      </c>
      <c r="I1236" s="231">
        <v>768913</v>
      </c>
      <c r="K1236" s="230">
        <v>44903</v>
      </c>
      <c r="L1236" s="1">
        <v>341.8</v>
      </c>
      <c r="M1236" s="1">
        <v>339.51230135228502</v>
      </c>
      <c r="N1236" s="1">
        <v>81048</v>
      </c>
      <c r="O1236" s="1">
        <v>62570.68</v>
      </c>
      <c r="P1236" s="215">
        <f t="shared" si="195"/>
        <v>6.2560236802904345E-3</v>
      </c>
      <c r="Q1236" s="215">
        <f t="shared" si="192"/>
        <v>-4.659289458357474E-3</v>
      </c>
      <c r="R1236" s="231">
        <v>27516793</v>
      </c>
      <c r="T1236" s="230">
        <v>44903</v>
      </c>
      <c r="U1236" s="1">
        <v>55.45</v>
      </c>
      <c r="V1236" s="1">
        <v>55.6424644267302</v>
      </c>
      <c r="W1236" s="1">
        <v>67115</v>
      </c>
      <c r="X1236" s="1">
        <v>62570.68</v>
      </c>
      <c r="Y1236" s="215">
        <f t="shared" si="196"/>
        <v>6.2560236802904345E-3</v>
      </c>
      <c r="Z1236" s="215">
        <f t="shared" si="193"/>
        <v>0</v>
      </c>
      <c r="AA1236" s="231">
        <v>3734444</v>
      </c>
      <c r="AC1236" s="254"/>
      <c r="AH1236" s="215"/>
      <c r="AI1236" s="215"/>
      <c r="AL1236" s="254"/>
      <c r="AQ1236" s="215" t="str">
        <f t="shared" si="197"/>
        <v>NA</v>
      </c>
      <c r="AR1236" s="215" t="str">
        <f t="shared" si="194"/>
        <v>NA</v>
      </c>
    </row>
    <row r="1237" spans="2:44">
      <c r="B1237" s="230">
        <v>44907</v>
      </c>
      <c r="C1237" s="1">
        <v>428.6</v>
      </c>
      <c r="D1237" s="1">
        <v>419.96537585421402</v>
      </c>
      <c r="E1237" s="1">
        <v>4390</v>
      </c>
      <c r="F1237" s="215">
        <v>62130.57</v>
      </c>
      <c r="G1237" s="215">
        <f t="shared" si="190"/>
        <v>-6.4402486355270572E-3</v>
      </c>
      <c r="H1237" s="215">
        <f t="shared" si="191"/>
        <v>7.8777189888301624E-3</v>
      </c>
      <c r="I1237" s="231">
        <v>1843648</v>
      </c>
      <c r="K1237" s="230">
        <v>44904</v>
      </c>
      <c r="L1237" s="1">
        <v>343.4</v>
      </c>
      <c r="M1237" s="1">
        <v>343.48025337052502</v>
      </c>
      <c r="N1237" s="1">
        <v>86040</v>
      </c>
      <c r="O1237" s="1">
        <v>62181.67</v>
      </c>
      <c r="P1237" s="215">
        <f t="shared" si="195"/>
        <v>8.224614710601319E-4</v>
      </c>
      <c r="Q1237" s="215">
        <f t="shared" si="192"/>
        <v>-3.1584884376762656E-2</v>
      </c>
      <c r="R1237" s="231">
        <v>29553041</v>
      </c>
      <c r="T1237" s="230">
        <v>44904</v>
      </c>
      <c r="U1237" s="1">
        <v>55.45</v>
      </c>
      <c r="V1237" s="1">
        <v>55.9856437993584</v>
      </c>
      <c r="W1237" s="1">
        <v>69517</v>
      </c>
      <c r="X1237" s="1">
        <v>62181.67</v>
      </c>
      <c r="Y1237" s="215">
        <f t="shared" si="196"/>
        <v>8.224614710601319E-4</v>
      </c>
      <c r="Z1237" s="215">
        <f t="shared" si="193"/>
        <v>-6.2724014336916767E-3</v>
      </c>
      <c r="AA1237" s="231">
        <v>3891954</v>
      </c>
      <c r="AC1237" s="254"/>
      <c r="AH1237" s="215"/>
      <c r="AI1237" s="215"/>
      <c r="AL1237" s="254"/>
      <c r="AQ1237" s="215" t="str">
        <f t="shared" si="197"/>
        <v>NA</v>
      </c>
      <c r="AR1237" s="215" t="str">
        <f t="shared" si="194"/>
        <v>NA</v>
      </c>
    </row>
    <row r="1238" spans="2:44">
      <c r="B1238" s="230">
        <v>44908</v>
      </c>
      <c r="C1238" s="1">
        <v>425.25</v>
      </c>
      <c r="D1238" s="1">
        <v>433.08738772455001</v>
      </c>
      <c r="E1238" s="1">
        <v>5344</v>
      </c>
      <c r="F1238" s="215">
        <v>62533.3</v>
      </c>
      <c r="G1238" s="215">
        <f t="shared" si="190"/>
        <v>-2.3071924382929154E-3</v>
      </c>
      <c r="H1238" s="215">
        <f t="shared" si="191"/>
        <v>-1.0125698324022436E-2</v>
      </c>
      <c r="I1238" s="231">
        <v>2314419</v>
      </c>
      <c r="K1238" s="230">
        <v>44907</v>
      </c>
      <c r="L1238" s="1">
        <v>354.6</v>
      </c>
      <c r="M1238" s="1">
        <v>348.60224897706797</v>
      </c>
      <c r="N1238" s="1">
        <v>33971</v>
      </c>
      <c r="O1238" s="1">
        <v>62130.57</v>
      </c>
      <c r="P1238" s="215">
        <f t="shared" si="195"/>
        <v>-6.4402486355270572E-3</v>
      </c>
      <c r="Q1238" s="215">
        <f t="shared" si="192"/>
        <v>-9.8605437385534955E-4</v>
      </c>
      <c r="R1238" s="231">
        <v>11842367</v>
      </c>
      <c r="T1238" s="230">
        <v>44907</v>
      </c>
      <c r="U1238" s="1">
        <v>55.8</v>
      </c>
      <c r="V1238" s="1">
        <v>55.959319227585098</v>
      </c>
      <c r="W1238" s="1">
        <v>51941</v>
      </c>
      <c r="X1238" s="1">
        <v>62130.57</v>
      </c>
      <c r="Y1238" s="215">
        <f t="shared" si="196"/>
        <v>-6.4402486355270572E-3</v>
      </c>
      <c r="Z1238" s="215">
        <f t="shared" si="193"/>
        <v>2.1043000914912957E-2</v>
      </c>
      <c r="AA1238" s="231">
        <v>2906583</v>
      </c>
      <c r="AC1238" s="254"/>
      <c r="AH1238" s="215"/>
      <c r="AI1238" s="215"/>
      <c r="AL1238" s="254"/>
      <c r="AQ1238" s="215" t="str">
        <f t="shared" si="197"/>
        <v>NA</v>
      </c>
      <c r="AR1238" s="215" t="str">
        <f t="shared" si="194"/>
        <v>NA</v>
      </c>
    </row>
    <row r="1239" spans="2:44">
      <c r="B1239" s="230">
        <v>44909</v>
      </c>
      <c r="C1239" s="1">
        <v>429.6</v>
      </c>
      <c r="D1239" s="1">
        <v>429.12812659520102</v>
      </c>
      <c r="E1239" s="1">
        <v>1959</v>
      </c>
      <c r="F1239" s="215">
        <v>62677.91</v>
      </c>
      <c r="G1239" s="215">
        <f t="shared" si="190"/>
        <v>1.422158244231353E-2</v>
      </c>
      <c r="H1239" s="215">
        <f t="shared" si="191"/>
        <v>1.8009478672985857E-2</v>
      </c>
      <c r="I1239" s="231">
        <v>840662</v>
      </c>
      <c r="K1239" s="230">
        <v>44908</v>
      </c>
      <c r="L1239" s="1">
        <v>354.95</v>
      </c>
      <c r="M1239" s="1">
        <v>357.32377336904199</v>
      </c>
      <c r="N1239" s="1">
        <v>38459</v>
      </c>
      <c r="O1239" s="1">
        <v>62533.3</v>
      </c>
      <c r="P1239" s="215">
        <f t="shared" si="195"/>
        <v>-2.3071924382929154E-3</v>
      </c>
      <c r="Q1239" s="215">
        <f t="shared" si="192"/>
        <v>-2.5665660170189453E-2</v>
      </c>
      <c r="R1239" s="231">
        <v>13742315</v>
      </c>
      <c r="T1239" s="230">
        <v>44908</v>
      </c>
      <c r="U1239" s="1">
        <v>54.65</v>
      </c>
      <c r="V1239" s="1">
        <v>55.356291577064503</v>
      </c>
      <c r="W1239" s="1">
        <v>49757</v>
      </c>
      <c r="X1239" s="1">
        <v>62533.3</v>
      </c>
      <c r="Y1239" s="215">
        <f t="shared" si="196"/>
        <v>-2.3071924382929154E-3</v>
      </c>
      <c r="Z1239" s="215">
        <f t="shared" si="193"/>
        <v>-1.2646793134598044E-2</v>
      </c>
      <c r="AA1239" s="231">
        <v>2754363</v>
      </c>
      <c r="AC1239" s="254"/>
      <c r="AH1239" s="215"/>
      <c r="AI1239" s="215"/>
      <c r="AL1239" s="254"/>
      <c r="AQ1239" s="215" t="str">
        <f t="shared" si="197"/>
        <v>NA</v>
      </c>
      <c r="AR1239" s="215" t="str">
        <f t="shared" si="194"/>
        <v>NA</v>
      </c>
    </row>
    <row r="1240" spans="2:44">
      <c r="B1240" s="230">
        <v>44910</v>
      </c>
      <c r="C1240" s="1">
        <v>422</v>
      </c>
      <c r="D1240" s="1">
        <v>423.63404050144601</v>
      </c>
      <c r="E1240" s="1">
        <v>2074</v>
      </c>
      <c r="F1240" s="215">
        <v>61799.03</v>
      </c>
      <c r="G1240" s="215">
        <f t="shared" si="190"/>
        <v>7.5193424740791492E-3</v>
      </c>
      <c r="H1240" s="215">
        <f t="shared" si="191"/>
        <v>9.2072222886525612E-3</v>
      </c>
      <c r="I1240" s="231">
        <v>878617</v>
      </c>
      <c r="K1240" s="230">
        <v>44909</v>
      </c>
      <c r="L1240" s="1">
        <v>364.3</v>
      </c>
      <c r="M1240" s="1">
        <v>359.03830219651297</v>
      </c>
      <c r="N1240" s="1">
        <v>25586</v>
      </c>
      <c r="O1240" s="1">
        <v>62677.91</v>
      </c>
      <c r="P1240" s="215">
        <f t="shared" si="195"/>
        <v>1.422158244231353E-2</v>
      </c>
      <c r="Q1240" s="215">
        <f t="shared" si="192"/>
        <v>1.3915947676036655E-2</v>
      </c>
      <c r="R1240" s="231">
        <v>9186354</v>
      </c>
      <c r="T1240" s="230">
        <v>44909</v>
      </c>
      <c r="U1240" s="1">
        <v>55.35</v>
      </c>
      <c r="V1240" s="1">
        <v>55.346957522139597</v>
      </c>
      <c r="W1240" s="1">
        <v>112129</v>
      </c>
      <c r="X1240" s="1">
        <v>62677.91</v>
      </c>
      <c r="Y1240" s="215">
        <f t="shared" si="196"/>
        <v>1.422158244231353E-2</v>
      </c>
      <c r="Z1240" s="215">
        <f t="shared" si="193"/>
        <v>-1.072386058981234E-2</v>
      </c>
      <c r="AA1240" s="231">
        <v>6205999</v>
      </c>
      <c r="AC1240" s="254"/>
      <c r="AH1240" s="215"/>
      <c r="AI1240" s="215"/>
      <c r="AL1240" s="254"/>
      <c r="AQ1240" s="215" t="str">
        <f t="shared" si="197"/>
        <v>NA</v>
      </c>
      <c r="AR1240" s="215" t="str">
        <f t="shared" si="194"/>
        <v>NA</v>
      </c>
    </row>
    <row r="1241" spans="2:44">
      <c r="B1241" s="230">
        <v>44911</v>
      </c>
      <c r="C1241" s="1">
        <v>418.15</v>
      </c>
      <c r="D1241" s="1">
        <v>421.33308298910998</v>
      </c>
      <c r="E1241" s="1">
        <v>2663</v>
      </c>
      <c r="F1241" s="215">
        <v>61337.81</v>
      </c>
      <c r="G1241" s="215">
        <f t="shared" si="190"/>
        <v>-7.5782053545122574E-3</v>
      </c>
      <c r="H1241" s="215">
        <f t="shared" si="191"/>
        <v>-9.5926101373756678E-3</v>
      </c>
      <c r="I1241" s="231">
        <v>1122010</v>
      </c>
      <c r="K1241" s="230">
        <v>44910</v>
      </c>
      <c r="L1241" s="1">
        <v>359.3</v>
      </c>
      <c r="M1241" s="1">
        <v>365.816891104332</v>
      </c>
      <c r="N1241" s="1">
        <v>80646</v>
      </c>
      <c r="O1241" s="1">
        <v>61799.03</v>
      </c>
      <c r="P1241" s="215">
        <f t="shared" si="195"/>
        <v>7.5193424740791492E-3</v>
      </c>
      <c r="Q1241" s="215">
        <f t="shared" si="192"/>
        <v>1.5832626519649562E-2</v>
      </c>
      <c r="R1241" s="231">
        <v>29501669</v>
      </c>
      <c r="T1241" s="230">
        <v>44910</v>
      </c>
      <c r="U1241" s="1">
        <v>55.95</v>
      </c>
      <c r="V1241" s="1">
        <v>56.561731923406597</v>
      </c>
      <c r="W1241" s="1">
        <v>125964</v>
      </c>
      <c r="X1241" s="1">
        <v>61799.03</v>
      </c>
      <c r="Y1241" s="215">
        <f t="shared" si="196"/>
        <v>7.5193424740791492E-3</v>
      </c>
      <c r="Z1241" s="215">
        <f t="shared" si="193"/>
        <v>1.2669683257918507E-2</v>
      </c>
      <c r="AA1241" s="231">
        <v>7124742</v>
      </c>
      <c r="AC1241" s="254"/>
      <c r="AH1241" s="215"/>
      <c r="AI1241" s="215"/>
      <c r="AL1241" s="254"/>
      <c r="AQ1241" s="215" t="str">
        <f t="shared" si="197"/>
        <v>NA</v>
      </c>
      <c r="AR1241" s="215" t="str">
        <f t="shared" si="194"/>
        <v>NA</v>
      </c>
    </row>
    <row r="1242" spans="2:44">
      <c r="B1242" s="230">
        <v>44914</v>
      </c>
      <c r="C1242" s="1">
        <v>422.2</v>
      </c>
      <c r="D1242" s="1">
        <v>423.88902439024298</v>
      </c>
      <c r="E1242" s="1">
        <v>2460</v>
      </c>
      <c r="F1242" s="215">
        <v>61806.19</v>
      </c>
      <c r="G1242" s="215">
        <f t="shared" si="190"/>
        <v>1.683892121346009E-3</v>
      </c>
      <c r="H1242" s="215">
        <f t="shared" si="191"/>
        <v>5.2380952380952639E-3</v>
      </c>
      <c r="I1242" s="231">
        <v>1042767</v>
      </c>
      <c r="K1242" s="230">
        <v>44911</v>
      </c>
      <c r="L1242" s="1">
        <v>353.7</v>
      </c>
      <c r="M1242" s="1">
        <v>357.297792561233</v>
      </c>
      <c r="N1242" s="1">
        <v>33070</v>
      </c>
      <c r="O1242" s="1">
        <v>61337.81</v>
      </c>
      <c r="P1242" s="215">
        <f t="shared" si="195"/>
        <v>-7.5782053545122574E-3</v>
      </c>
      <c r="Q1242" s="215">
        <f t="shared" si="192"/>
        <v>-6.7861378310712928E-2</v>
      </c>
      <c r="R1242" s="231">
        <v>11815838</v>
      </c>
      <c r="T1242" s="230">
        <v>44911</v>
      </c>
      <c r="U1242" s="1">
        <v>55.25</v>
      </c>
      <c r="V1242" s="1">
        <v>55.7224164638194</v>
      </c>
      <c r="W1242" s="1">
        <v>45190</v>
      </c>
      <c r="X1242" s="1">
        <v>61337.81</v>
      </c>
      <c r="Y1242" s="215">
        <f t="shared" si="196"/>
        <v>-7.5782053545122574E-3</v>
      </c>
      <c r="Z1242" s="215">
        <f t="shared" si="193"/>
        <v>-2.1257750221434946E-2</v>
      </c>
      <c r="AA1242" s="231">
        <v>2518096</v>
      </c>
      <c r="AC1242" s="254"/>
      <c r="AH1242" s="215"/>
      <c r="AI1242" s="215"/>
      <c r="AL1242" s="254"/>
      <c r="AQ1242" s="215" t="str">
        <f t="shared" si="197"/>
        <v>NA</v>
      </c>
      <c r="AR1242" s="215" t="str">
        <f t="shared" si="194"/>
        <v>NA</v>
      </c>
    </row>
    <row r="1243" spans="2:44">
      <c r="B1243" s="230">
        <v>44915</v>
      </c>
      <c r="C1243" s="1">
        <v>420</v>
      </c>
      <c r="D1243" s="1">
        <v>416.69736291335198</v>
      </c>
      <c r="E1243" s="1">
        <v>2389</v>
      </c>
      <c r="F1243" s="215">
        <v>61702.29</v>
      </c>
      <c r="G1243" s="215">
        <f t="shared" si="190"/>
        <v>1.0399192758670628E-2</v>
      </c>
      <c r="H1243" s="215">
        <f t="shared" si="191"/>
        <v>7.3150257824678988E-3</v>
      </c>
      <c r="I1243" s="231">
        <v>995490</v>
      </c>
      <c r="K1243" s="230">
        <v>44914</v>
      </c>
      <c r="L1243" s="1">
        <v>379.45</v>
      </c>
      <c r="M1243" s="1">
        <v>372.06307357623399</v>
      </c>
      <c r="N1243" s="1">
        <v>69411</v>
      </c>
      <c r="O1243" s="1">
        <v>61806.19</v>
      </c>
      <c r="P1243" s="215">
        <f t="shared" si="195"/>
        <v>1.683892121346009E-3</v>
      </c>
      <c r="Q1243" s="215">
        <f t="shared" si="192"/>
        <v>3.1955398422627068E-2</v>
      </c>
      <c r="R1243" s="231">
        <v>25825270</v>
      </c>
      <c r="T1243" s="230">
        <v>44914</v>
      </c>
      <c r="U1243" s="1">
        <v>56.45</v>
      </c>
      <c r="V1243" s="1">
        <v>56.125855705227202</v>
      </c>
      <c r="W1243" s="1">
        <v>126796</v>
      </c>
      <c r="X1243" s="1">
        <v>61806.19</v>
      </c>
      <c r="Y1243" s="215">
        <f t="shared" si="196"/>
        <v>1.683892121346009E-3</v>
      </c>
      <c r="Z1243" s="215">
        <f t="shared" si="193"/>
        <v>2.6642984014211279E-3</v>
      </c>
      <c r="AA1243" s="231">
        <v>7116534</v>
      </c>
      <c r="AC1243" s="254"/>
      <c r="AH1243" s="215"/>
      <c r="AI1243" s="215"/>
      <c r="AL1243" s="254"/>
      <c r="AQ1243" s="215" t="str">
        <f t="shared" si="197"/>
        <v>NA</v>
      </c>
      <c r="AR1243" s="215" t="str">
        <f t="shared" si="194"/>
        <v>NA</v>
      </c>
    </row>
    <row r="1244" spans="2:44">
      <c r="B1244" s="230">
        <v>44916</v>
      </c>
      <c r="C1244" s="1">
        <v>416.95</v>
      </c>
      <c r="D1244" s="1">
        <v>424.09584607084997</v>
      </c>
      <c r="E1244" s="1">
        <v>5561</v>
      </c>
      <c r="F1244" s="215">
        <v>61067.24</v>
      </c>
      <c r="G1244" s="215">
        <f t="shared" si="190"/>
        <v>3.9624359363445993E-3</v>
      </c>
      <c r="H1244" s="215">
        <f t="shared" si="191"/>
        <v>1.8441621885686432E-2</v>
      </c>
      <c r="I1244" s="231">
        <v>2358397</v>
      </c>
      <c r="K1244" s="230">
        <v>44915</v>
      </c>
      <c r="L1244" s="1">
        <v>367.7</v>
      </c>
      <c r="M1244" s="1">
        <v>372.04708111653599</v>
      </c>
      <c r="N1244" s="1">
        <v>41163</v>
      </c>
      <c r="O1244" s="1">
        <v>61702.29</v>
      </c>
      <c r="P1244" s="215">
        <f t="shared" si="195"/>
        <v>1.0399192758670628E-2</v>
      </c>
      <c r="Q1244" s="215">
        <f t="shared" si="192"/>
        <v>7.3106668612286541E-2</v>
      </c>
      <c r="R1244" s="231">
        <v>15314574</v>
      </c>
      <c r="T1244" s="230">
        <v>44915</v>
      </c>
      <c r="U1244" s="1">
        <v>56.3</v>
      </c>
      <c r="V1244" s="1">
        <v>56.468215826552303</v>
      </c>
      <c r="W1244" s="1">
        <v>36622</v>
      </c>
      <c r="X1244" s="1">
        <v>61702.29</v>
      </c>
      <c r="Y1244" s="215">
        <f t="shared" si="196"/>
        <v>1.0399192758670628E-2</v>
      </c>
      <c r="Z1244" s="215">
        <f t="shared" si="193"/>
        <v>3.7788018433179582E-2</v>
      </c>
      <c r="AA1244" s="231">
        <v>2067979</v>
      </c>
      <c r="AC1244" s="254"/>
      <c r="AH1244" s="215"/>
      <c r="AI1244" s="215"/>
      <c r="AL1244" s="254"/>
      <c r="AQ1244" s="215" t="str">
        <f t="shared" si="197"/>
        <v>NA</v>
      </c>
      <c r="AR1244" s="215" t="str">
        <f t="shared" si="194"/>
        <v>NA</v>
      </c>
    </row>
    <row r="1245" spans="2:44">
      <c r="B1245" s="230">
        <v>44917</v>
      </c>
      <c r="C1245" s="1">
        <v>409.4</v>
      </c>
      <c r="D1245" s="1">
        <v>403.14295370057403</v>
      </c>
      <c r="E1245" s="1">
        <v>2959</v>
      </c>
      <c r="F1245" s="215">
        <v>60826.22</v>
      </c>
      <c r="G1245" s="215">
        <f t="shared" si="190"/>
        <v>1.6391097778956309E-2</v>
      </c>
      <c r="H1245" s="215">
        <f t="shared" si="191"/>
        <v>5.0282195997947587E-2</v>
      </c>
      <c r="I1245" s="231">
        <v>1192900</v>
      </c>
      <c r="K1245" s="230">
        <v>44916</v>
      </c>
      <c r="L1245" s="1">
        <v>342.65</v>
      </c>
      <c r="M1245" s="1">
        <v>352.22055298066101</v>
      </c>
      <c r="N1245" s="1">
        <v>68827</v>
      </c>
      <c r="O1245" s="1">
        <v>61067.24</v>
      </c>
      <c r="P1245" s="215">
        <f t="shared" si="195"/>
        <v>3.9624359363445993E-3</v>
      </c>
      <c r="Q1245" s="215">
        <f t="shared" si="192"/>
        <v>-1.1253787332275333E-2</v>
      </c>
      <c r="R1245" s="231">
        <v>24242284</v>
      </c>
      <c r="T1245" s="230">
        <v>44916</v>
      </c>
      <c r="U1245" s="1">
        <v>54.25</v>
      </c>
      <c r="V1245" s="1">
        <v>55.369764368886401</v>
      </c>
      <c r="W1245" s="1">
        <v>112761</v>
      </c>
      <c r="X1245" s="1">
        <v>61067.24</v>
      </c>
      <c r="Y1245" s="215">
        <f t="shared" si="196"/>
        <v>3.9624359363445993E-3</v>
      </c>
      <c r="Z1245" s="215">
        <f t="shared" si="193"/>
        <v>4.6287367405978719E-2</v>
      </c>
      <c r="AA1245" s="231">
        <v>6243550</v>
      </c>
      <c r="AC1245" s="254"/>
      <c r="AH1245" s="215"/>
      <c r="AI1245" s="215"/>
      <c r="AL1245" s="254"/>
      <c r="AQ1245" s="215" t="str">
        <f t="shared" si="197"/>
        <v>NA</v>
      </c>
      <c r="AR1245" s="215" t="str">
        <f t="shared" si="194"/>
        <v>NA</v>
      </c>
    </row>
    <row r="1246" spans="2:44">
      <c r="B1246" s="230">
        <v>44918</v>
      </c>
      <c r="C1246" s="1">
        <v>389.8</v>
      </c>
      <c r="D1246" s="1">
        <v>392.64361350099199</v>
      </c>
      <c r="E1246" s="1">
        <v>6044</v>
      </c>
      <c r="F1246" s="215">
        <v>59845.29</v>
      </c>
      <c r="G1246" s="215">
        <f t="shared" si="190"/>
        <v>-1.1906432640397036E-2</v>
      </c>
      <c r="H1246" s="215">
        <f t="shared" si="191"/>
        <v>-3.6579337617399954E-2</v>
      </c>
      <c r="I1246" s="231">
        <v>2373138</v>
      </c>
      <c r="K1246" s="230">
        <v>44917</v>
      </c>
      <c r="L1246" s="1">
        <v>346.55</v>
      </c>
      <c r="M1246" s="1">
        <v>334.93369444863202</v>
      </c>
      <c r="N1246" s="1">
        <v>192367</v>
      </c>
      <c r="O1246" s="1">
        <v>60826.22</v>
      </c>
      <c r="P1246" s="215">
        <f t="shared" si="195"/>
        <v>1.6391097778956309E-2</v>
      </c>
      <c r="Q1246" s="215">
        <f t="shared" si="192"/>
        <v>9.7719353816914767E-2</v>
      </c>
      <c r="R1246" s="231">
        <v>64430190</v>
      </c>
      <c r="T1246" s="230">
        <v>44917</v>
      </c>
      <c r="U1246" s="1">
        <v>51.85</v>
      </c>
      <c r="V1246" s="1">
        <v>52.570103055166001</v>
      </c>
      <c r="W1246" s="1">
        <v>191839</v>
      </c>
      <c r="X1246" s="1">
        <v>60826.22</v>
      </c>
      <c r="Y1246" s="215">
        <f t="shared" si="196"/>
        <v>1.6391097778956309E-2</v>
      </c>
      <c r="Z1246" s="215">
        <f t="shared" si="193"/>
        <v>7.9084287200832604E-2</v>
      </c>
      <c r="AA1246" s="231">
        <v>10084996</v>
      </c>
      <c r="AC1246" s="254"/>
      <c r="AH1246" s="215"/>
      <c r="AI1246" s="215"/>
      <c r="AL1246" s="254"/>
      <c r="AQ1246" s="215" t="str">
        <f t="shared" si="197"/>
        <v>NA</v>
      </c>
      <c r="AR1246" s="215" t="str">
        <f t="shared" si="194"/>
        <v>NA</v>
      </c>
    </row>
    <row r="1247" spans="2:44">
      <c r="B1247" s="230">
        <v>44921</v>
      </c>
      <c r="C1247" s="1">
        <v>404.6</v>
      </c>
      <c r="D1247" s="1">
        <v>397.35323465824001</v>
      </c>
      <c r="E1247" s="1">
        <v>6013</v>
      </c>
      <c r="F1247" s="215">
        <v>60566.42</v>
      </c>
      <c r="G1247" s="215">
        <f t="shared" si="190"/>
        <v>-5.9252458211350723E-3</v>
      </c>
      <c r="H1247" s="215">
        <f t="shared" si="191"/>
        <v>3.7211610022327424E-3</v>
      </c>
      <c r="I1247" s="231">
        <v>2389285</v>
      </c>
      <c r="K1247" s="230">
        <v>44918</v>
      </c>
      <c r="L1247" s="1">
        <v>315.7</v>
      </c>
      <c r="M1247" s="1">
        <v>328.975002351613</v>
      </c>
      <c r="N1247" s="1">
        <v>42524</v>
      </c>
      <c r="O1247" s="1">
        <v>59845.29</v>
      </c>
      <c r="P1247" s="215">
        <f t="shared" si="195"/>
        <v>-1.1906432640397036E-2</v>
      </c>
      <c r="Q1247" s="215">
        <f t="shared" si="192"/>
        <v>-6.2091503267973969E-2</v>
      </c>
      <c r="R1247" s="231">
        <v>13989333</v>
      </c>
      <c r="T1247" s="230">
        <v>44918</v>
      </c>
      <c r="U1247" s="1">
        <v>48.05</v>
      </c>
      <c r="V1247" s="1">
        <v>49.573977529612698</v>
      </c>
      <c r="W1247" s="1">
        <v>206583</v>
      </c>
      <c r="X1247" s="1">
        <v>59845.29</v>
      </c>
      <c r="Y1247" s="215">
        <f t="shared" si="196"/>
        <v>-1.1906432640397036E-2</v>
      </c>
      <c r="Z1247" s="215">
        <f t="shared" si="193"/>
        <v>-3.803803803803818E-2</v>
      </c>
      <c r="AA1247" s="231">
        <v>10241141</v>
      </c>
      <c r="AC1247" s="254"/>
      <c r="AH1247" s="215"/>
      <c r="AI1247" s="215"/>
      <c r="AL1247" s="254"/>
      <c r="AQ1247" s="215" t="str">
        <f t="shared" si="197"/>
        <v>NA</v>
      </c>
      <c r="AR1247" s="215" t="str">
        <f t="shared" si="194"/>
        <v>NA</v>
      </c>
    </row>
    <row r="1248" spans="2:44">
      <c r="B1248" s="230">
        <v>44922</v>
      </c>
      <c r="C1248" s="1">
        <v>403.1</v>
      </c>
      <c r="D1248" s="1">
        <v>405.06590004422799</v>
      </c>
      <c r="E1248" s="1">
        <v>2261</v>
      </c>
      <c r="F1248" s="215">
        <v>60927.43</v>
      </c>
      <c r="G1248" s="215">
        <f t="shared" si="190"/>
        <v>2.8156166742299149E-4</v>
      </c>
      <c r="H1248" s="215">
        <f t="shared" si="191"/>
        <v>-2.1483189707488637E-2</v>
      </c>
      <c r="I1248" s="231">
        <v>915854</v>
      </c>
      <c r="K1248" s="230">
        <v>44921</v>
      </c>
      <c r="L1248" s="1">
        <v>336.6</v>
      </c>
      <c r="M1248" s="1">
        <v>331.13178767541098</v>
      </c>
      <c r="N1248" s="1">
        <v>40975</v>
      </c>
      <c r="O1248" s="1">
        <v>60566.42</v>
      </c>
      <c r="P1248" s="215">
        <f t="shared" si="195"/>
        <v>-5.9252458211350723E-3</v>
      </c>
      <c r="Q1248" s="215">
        <f t="shared" si="192"/>
        <v>-7.3110285006195652E-2</v>
      </c>
      <c r="R1248" s="231">
        <v>13568125</v>
      </c>
      <c r="T1248" s="230">
        <v>44921</v>
      </c>
      <c r="U1248" s="1">
        <v>49.95</v>
      </c>
      <c r="V1248" s="1">
        <v>49.827431284455798</v>
      </c>
      <c r="W1248" s="1">
        <v>50971</v>
      </c>
      <c r="X1248" s="1">
        <v>60566.42</v>
      </c>
      <c r="Y1248" s="215">
        <f t="shared" si="196"/>
        <v>-5.9252458211350723E-3</v>
      </c>
      <c r="Z1248" s="215">
        <f t="shared" si="193"/>
        <v>-4.4933078393881387E-2</v>
      </c>
      <c r="AA1248" s="231">
        <v>2539754</v>
      </c>
      <c r="AC1248" s="254"/>
      <c r="AH1248" s="215"/>
      <c r="AI1248" s="215"/>
      <c r="AL1248" s="254"/>
      <c r="AQ1248" s="215" t="str">
        <f t="shared" si="197"/>
        <v>NA</v>
      </c>
      <c r="AR1248" s="215" t="str">
        <f t="shared" si="194"/>
        <v>NA</v>
      </c>
    </row>
    <row r="1249" spans="2:44">
      <c r="B1249" s="230">
        <v>44923</v>
      </c>
      <c r="C1249" s="1">
        <v>411.95</v>
      </c>
      <c r="D1249" s="1">
        <v>404.41761418384999</v>
      </c>
      <c r="E1249" s="1">
        <v>5189</v>
      </c>
      <c r="F1249" s="215">
        <v>60910.28</v>
      </c>
      <c r="G1249" s="215">
        <f t="shared" si="190"/>
        <v>-3.657546355637753E-3</v>
      </c>
      <c r="H1249" s="215">
        <f t="shared" si="191"/>
        <v>-1.0911736178467191E-3</v>
      </c>
      <c r="I1249" s="231">
        <v>2098523</v>
      </c>
      <c r="K1249" s="230">
        <v>44922</v>
      </c>
      <c r="L1249" s="1">
        <v>363.15</v>
      </c>
      <c r="M1249" s="1">
        <v>357.12621453086399</v>
      </c>
      <c r="N1249" s="1">
        <v>62061</v>
      </c>
      <c r="O1249" s="1">
        <v>60927.43</v>
      </c>
      <c r="P1249" s="215">
        <f t="shared" si="195"/>
        <v>2.8156166742299149E-4</v>
      </c>
      <c r="Q1249" s="215">
        <f t="shared" si="192"/>
        <v>1.6372795969773257E-2</v>
      </c>
      <c r="R1249" s="231">
        <v>22163610</v>
      </c>
      <c r="T1249" s="230">
        <v>44922</v>
      </c>
      <c r="U1249" s="1">
        <v>52.3</v>
      </c>
      <c r="V1249" s="1">
        <v>51.546425840118701</v>
      </c>
      <c r="W1249" s="1">
        <v>88916</v>
      </c>
      <c r="X1249" s="1">
        <v>60927.43</v>
      </c>
      <c r="Y1249" s="215">
        <f t="shared" si="196"/>
        <v>2.8156166742299149E-4</v>
      </c>
      <c r="Z1249" s="215">
        <f t="shared" si="193"/>
        <v>7.7071290944124016E-3</v>
      </c>
      <c r="AA1249" s="231">
        <v>4583302</v>
      </c>
      <c r="AC1249" s="254"/>
      <c r="AH1249" s="215"/>
      <c r="AI1249" s="215"/>
      <c r="AL1249" s="254"/>
      <c r="AQ1249" s="215" t="str">
        <f t="shared" si="197"/>
        <v>NA</v>
      </c>
      <c r="AR1249" s="215" t="str">
        <f t="shared" si="194"/>
        <v>NA</v>
      </c>
    </row>
    <row r="1250" spans="2:44">
      <c r="B1250" s="230">
        <v>44924</v>
      </c>
      <c r="C1250" s="1">
        <v>412.4</v>
      </c>
      <c r="D1250" s="1">
        <v>415.12221618685402</v>
      </c>
      <c r="E1250" s="1">
        <v>3682</v>
      </c>
      <c r="F1250" s="215">
        <v>61133.88</v>
      </c>
      <c r="G1250" s="215">
        <f t="shared" si="190"/>
        <v>4.8181530993869348E-3</v>
      </c>
      <c r="H1250" s="215">
        <f t="shared" si="191"/>
        <v>5.9763385778752731E-3</v>
      </c>
      <c r="I1250" s="231">
        <v>1528480</v>
      </c>
      <c r="K1250" s="230">
        <v>44923</v>
      </c>
      <c r="L1250" s="1">
        <v>357.3</v>
      </c>
      <c r="M1250" s="1">
        <v>361.58675047391</v>
      </c>
      <c r="N1250" s="1">
        <v>30069</v>
      </c>
      <c r="O1250" s="1">
        <v>60910.28</v>
      </c>
      <c r="P1250" s="215">
        <f t="shared" si="195"/>
        <v>-3.657546355637753E-3</v>
      </c>
      <c r="Q1250" s="215">
        <f t="shared" si="192"/>
        <v>-3.2362897765741305E-2</v>
      </c>
      <c r="R1250" s="231">
        <v>10872552</v>
      </c>
      <c r="T1250" s="230">
        <v>44923</v>
      </c>
      <c r="U1250" s="1">
        <v>51.9</v>
      </c>
      <c r="V1250" s="1">
        <v>52.679636470243302</v>
      </c>
      <c r="W1250" s="1">
        <v>85275</v>
      </c>
      <c r="X1250" s="1">
        <v>60910.28</v>
      </c>
      <c r="Y1250" s="215">
        <f t="shared" si="196"/>
        <v>-3.657546355637753E-3</v>
      </c>
      <c r="Z1250" s="215">
        <f t="shared" si="193"/>
        <v>-2.3518344308560701E-2</v>
      </c>
      <c r="AA1250" s="231">
        <v>4492256</v>
      </c>
      <c r="AC1250" s="254"/>
      <c r="AH1250" s="215"/>
      <c r="AI1250" s="215"/>
      <c r="AL1250" s="254"/>
      <c r="AQ1250" s="215" t="str">
        <f t="shared" si="197"/>
        <v>NA</v>
      </c>
      <c r="AR1250" s="215" t="str">
        <f t="shared" si="194"/>
        <v>NA</v>
      </c>
    </row>
    <row r="1251" spans="2:44">
      <c r="B1251" s="232">
        <v>44925</v>
      </c>
      <c r="C1251" s="220">
        <v>409.95</v>
      </c>
      <c r="D1251" s="220">
        <v>414.77535159141303</v>
      </c>
      <c r="E1251" s="220">
        <v>2702</v>
      </c>
      <c r="F1251" s="233">
        <v>60840.74</v>
      </c>
      <c r="G1251" s="233" t="str">
        <f t="shared" si="190"/>
        <v>NA</v>
      </c>
      <c r="H1251" s="233" t="str">
        <f t="shared" si="191"/>
        <v>NA</v>
      </c>
      <c r="I1251" s="234">
        <v>1120723</v>
      </c>
      <c r="K1251" s="230">
        <v>44924</v>
      </c>
      <c r="L1251" s="1">
        <v>369.25</v>
      </c>
      <c r="M1251" s="1">
        <v>365.818165168978</v>
      </c>
      <c r="N1251" s="1">
        <v>81904</v>
      </c>
      <c r="O1251" s="1">
        <v>61133.88</v>
      </c>
      <c r="P1251" s="215">
        <f t="shared" si="195"/>
        <v>4.8181530993869348E-3</v>
      </c>
      <c r="Q1251" s="215">
        <f t="shared" si="192"/>
        <v>-1.0981652604794445E-2</v>
      </c>
      <c r="R1251" s="231">
        <v>29961971</v>
      </c>
      <c r="T1251" s="230">
        <v>44924</v>
      </c>
      <c r="U1251" s="1">
        <v>53.15</v>
      </c>
      <c r="V1251" s="1">
        <v>52.806387771311002</v>
      </c>
      <c r="W1251" s="1">
        <v>76803</v>
      </c>
      <c r="X1251" s="1">
        <v>61133.88</v>
      </c>
      <c r="Y1251" s="215">
        <f t="shared" si="196"/>
        <v>4.8181530993869348E-3</v>
      </c>
      <c r="Z1251" s="215">
        <f t="shared" si="193"/>
        <v>-2.5664527956003602E-2</v>
      </c>
      <c r="AA1251" s="231">
        <v>4055689</v>
      </c>
      <c r="AC1251" s="254"/>
      <c r="AH1251" s="215"/>
      <c r="AI1251" s="215"/>
      <c r="AL1251" s="254"/>
      <c r="AQ1251" s="215" t="str">
        <f t="shared" si="197"/>
        <v>NA</v>
      </c>
      <c r="AR1251" s="215" t="str">
        <f t="shared" si="194"/>
        <v>NA</v>
      </c>
    </row>
    <row r="1252" spans="2:44">
      <c r="K1252" s="232">
        <v>44925</v>
      </c>
      <c r="L1252" s="220">
        <v>373.35</v>
      </c>
      <c r="M1252" s="220">
        <v>377.61162704880201</v>
      </c>
      <c r="N1252" s="220">
        <v>65038</v>
      </c>
      <c r="O1252" s="220">
        <v>60840.74</v>
      </c>
      <c r="P1252" s="220" t="str">
        <f t="shared" ref="P1252" si="198">IF(ISERROR(O1252/O1253-1),"NA",O1252/O1253-1)</f>
        <v>NA</v>
      </c>
      <c r="Q1252" s="220" t="str">
        <f t="shared" ref="Q1252" si="199">IF(ISERROR(L1252/L1253-1),"NA",L1252/L1253-1)</f>
        <v>NA</v>
      </c>
      <c r="R1252" s="234">
        <v>24559105</v>
      </c>
      <c r="T1252" s="232">
        <v>44925</v>
      </c>
      <c r="U1252" s="220">
        <v>54.55</v>
      </c>
      <c r="V1252" s="220">
        <v>54.531858686223401</v>
      </c>
      <c r="W1252" s="220">
        <v>50724</v>
      </c>
      <c r="X1252" s="220">
        <v>60840.74</v>
      </c>
      <c r="Y1252" s="220" t="str">
        <f t="shared" si="196"/>
        <v>NA</v>
      </c>
      <c r="Z1252" s="220" t="str">
        <f t="shared" si="193"/>
        <v>NA</v>
      </c>
      <c r="AA1252" s="234">
        <v>2766074</v>
      </c>
      <c r="AL1252" s="254"/>
      <c r="AQ1252" s="1" t="str">
        <f t="shared" si="197"/>
        <v>NA</v>
      </c>
      <c r="AR1252" s="1" t="str">
        <f t="shared" si="194"/>
        <v>NA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I525"/>
  <sheetViews>
    <sheetView showGridLines="0" topLeftCell="L1" workbookViewId="0"/>
  </sheetViews>
  <sheetFormatPr defaultColWidth="9.140625" defaultRowHeight="12.75" outlineLevelRow="1"/>
  <cols>
    <col min="1" max="1" width="9.140625" style="15"/>
    <col min="2" max="2" width="34.5703125" style="15" customWidth="1"/>
    <col min="3" max="3" width="12.5703125" style="15" customWidth="1"/>
    <col min="4" max="4" width="12.42578125" style="15" bestFit="1" customWidth="1"/>
    <col min="5" max="5" width="16" style="15" customWidth="1"/>
    <col min="6" max="6" width="17.28515625" style="15" bestFit="1" customWidth="1"/>
    <col min="7" max="7" width="8.85546875" style="15" customWidth="1"/>
    <col min="8" max="8" width="14.5703125" style="15" customWidth="1"/>
    <col min="9" max="10" width="12.5703125" style="15" customWidth="1"/>
    <col min="11" max="11" width="12.140625" style="15" customWidth="1"/>
    <col min="12" max="12" width="14.85546875" style="15" customWidth="1"/>
    <col min="13" max="13" width="8.7109375" style="15" customWidth="1"/>
    <col min="14" max="14" width="15.85546875" style="15" customWidth="1"/>
    <col min="15" max="15" width="13" style="15" customWidth="1"/>
    <col min="16" max="16" width="15.5703125" style="15" customWidth="1"/>
    <col min="17" max="18" width="13.42578125" style="15" customWidth="1"/>
    <col min="19" max="19" width="15" style="15" bestFit="1" customWidth="1"/>
    <col min="20" max="20" width="4.7109375" style="15" customWidth="1"/>
    <col min="21" max="21" width="9.7109375" style="15" bestFit="1" customWidth="1"/>
    <col min="22" max="24" width="8.7109375" style="15" bestFit="1" customWidth="1"/>
    <col min="25" max="25" width="3.85546875" style="15" customWidth="1"/>
    <col min="26" max="26" width="8.140625" style="15" hidden="1" customWidth="1"/>
    <col min="27" max="27" width="6.7109375" style="15" hidden="1" customWidth="1"/>
    <col min="28" max="28" width="6.85546875" style="15" hidden="1" customWidth="1"/>
    <col min="29" max="29" width="3.28515625" style="15" hidden="1" customWidth="1"/>
    <col min="30" max="30" width="7.85546875" style="15" bestFit="1" customWidth="1"/>
    <col min="31" max="31" width="7.5703125" style="15" bestFit="1" customWidth="1"/>
    <col min="32" max="32" width="10.140625" style="15" bestFit="1" customWidth="1"/>
    <col min="33" max="33" width="9.140625" style="15"/>
    <col min="34" max="34" width="11.42578125" style="15" bestFit="1" customWidth="1"/>
    <col min="35" max="35" width="10.42578125" style="15" bestFit="1" customWidth="1"/>
    <col min="36" max="16384" width="9.140625" style="15"/>
  </cols>
  <sheetData>
    <row r="2" spans="2:35" ht="18.75">
      <c r="B2" s="14" t="s">
        <v>125</v>
      </c>
    </row>
    <row r="3" spans="2:35" ht="15.75">
      <c r="B3" s="130" t="s">
        <v>60</v>
      </c>
    </row>
    <row r="4" spans="2:35">
      <c r="B4" s="16" t="s">
        <v>61</v>
      </c>
    </row>
    <row r="5" spans="2:35">
      <c r="B5" s="17"/>
      <c r="J5" s="28"/>
    </row>
    <row r="6" spans="2:35">
      <c r="B6" s="17"/>
      <c r="E6" s="140"/>
      <c r="M6" s="590" t="s">
        <v>62</v>
      </c>
      <c r="N6" s="590"/>
      <c r="O6" s="590"/>
      <c r="P6" s="590"/>
      <c r="Q6" s="590"/>
      <c r="R6" s="590"/>
    </row>
    <row r="7" spans="2:35">
      <c r="G7" s="591" t="s">
        <v>63</v>
      </c>
      <c r="H7" s="592"/>
      <c r="I7" s="593"/>
      <c r="M7" s="18" t="s">
        <v>64</v>
      </c>
      <c r="N7" s="19" t="s">
        <v>64</v>
      </c>
      <c r="O7" s="19" t="s">
        <v>65</v>
      </c>
      <c r="P7" s="19" t="s">
        <v>65</v>
      </c>
      <c r="Q7" s="19" t="s">
        <v>65</v>
      </c>
      <c r="R7" s="20" t="s">
        <v>64</v>
      </c>
      <c r="U7" s="591" t="s">
        <v>66</v>
      </c>
      <c r="V7" s="592"/>
      <c r="W7" s="592"/>
      <c r="X7" s="592"/>
      <c r="Y7" s="592"/>
      <c r="Z7" s="592"/>
      <c r="AA7" s="592"/>
      <c r="AB7" s="593"/>
      <c r="AD7" s="591" t="s">
        <v>67</v>
      </c>
      <c r="AE7" s="592"/>
      <c r="AF7" s="593"/>
    </row>
    <row r="8" spans="2:35" ht="38.25">
      <c r="B8" s="21" t="s">
        <v>2</v>
      </c>
      <c r="C8" s="22" t="s">
        <v>68</v>
      </c>
      <c r="D8" s="22" t="s">
        <v>69</v>
      </c>
      <c r="E8" s="22" t="s">
        <v>70</v>
      </c>
      <c r="F8" s="22" t="s">
        <v>114</v>
      </c>
      <c r="G8" s="22" t="s">
        <v>71</v>
      </c>
      <c r="H8" s="22" t="s">
        <v>72</v>
      </c>
      <c r="I8" s="22" t="s">
        <v>73</v>
      </c>
      <c r="J8" s="22" t="s">
        <v>74</v>
      </c>
      <c r="K8" s="22" t="s">
        <v>75</v>
      </c>
      <c r="L8" s="22" t="s">
        <v>38</v>
      </c>
      <c r="M8" s="22" t="s">
        <v>76</v>
      </c>
      <c r="N8" s="22" t="s">
        <v>77</v>
      </c>
      <c r="O8" s="22" t="s">
        <v>78</v>
      </c>
      <c r="P8" s="22" t="s">
        <v>79</v>
      </c>
      <c r="Q8" s="22" t="s">
        <v>80</v>
      </c>
      <c r="R8" s="22" t="s">
        <v>81</v>
      </c>
      <c r="S8" s="23" t="s">
        <v>115</v>
      </c>
      <c r="T8" s="23"/>
      <c r="U8" s="22" t="s">
        <v>82</v>
      </c>
      <c r="V8" s="22" t="s">
        <v>7</v>
      </c>
      <c r="W8" s="22" t="s">
        <v>8</v>
      </c>
      <c r="X8" s="22" t="s">
        <v>83</v>
      </c>
      <c r="Y8" s="22"/>
      <c r="Z8" s="22" t="s">
        <v>84</v>
      </c>
      <c r="AA8" s="22" t="s">
        <v>85</v>
      </c>
      <c r="AB8" s="22" t="s">
        <v>86</v>
      </c>
      <c r="AC8" s="23"/>
      <c r="AD8" s="24" t="s">
        <v>87</v>
      </c>
      <c r="AE8" s="24" t="s">
        <v>88</v>
      </c>
      <c r="AF8" s="24" t="s">
        <v>89</v>
      </c>
      <c r="AH8" s="15" t="s">
        <v>84</v>
      </c>
      <c r="AI8" s="15" t="s">
        <v>86</v>
      </c>
    </row>
    <row r="9" spans="2:35">
      <c r="B9" s="15" t="s">
        <v>116</v>
      </c>
      <c r="C9" s="39" t="s">
        <v>90</v>
      </c>
      <c r="D9" s="47">
        <f>C22</f>
        <v>420.72883064516128</v>
      </c>
      <c r="E9" s="27">
        <v>19090952</v>
      </c>
      <c r="F9" s="26">
        <f>(E9*D9)/10^7</f>
        <v>803.21139108629029</v>
      </c>
      <c r="G9" s="26">
        <f>14980.29/100</f>
        <v>149.80290000000002</v>
      </c>
      <c r="H9" s="26">
        <f>12575.12/100</f>
        <v>125.75120000000001</v>
      </c>
      <c r="I9" s="26">
        <f t="shared" ref="I9:I13" si="0">G9+H9</f>
        <v>275.55410000000006</v>
      </c>
      <c r="J9" s="26">
        <f>(415.41+298.33)/100</f>
        <v>7.1374000000000004</v>
      </c>
      <c r="K9" s="26">
        <f t="shared" ref="K9:K13" si="1">I9-J9</f>
        <v>268.41670000000005</v>
      </c>
      <c r="L9" s="26">
        <f t="shared" ref="L9:L13" si="2">F9+K9</f>
        <v>1071.6280910862904</v>
      </c>
      <c r="M9" s="26">
        <v>0</v>
      </c>
      <c r="N9" s="26">
        <v>0</v>
      </c>
      <c r="O9" s="26">
        <v>0</v>
      </c>
      <c r="P9" s="26">
        <v>0</v>
      </c>
      <c r="Q9" s="26">
        <f>2215.25/100</f>
        <v>22.1525</v>
      </c>
      <c r="R9" s="26">
        <v>0</v>
      </c>
      <c r="S9" s="28">
        <f t="shared" ref="S9:S13" si="3">L9+M9+N9-O9-P9-Q9+R9</f>
        <v>1049.4755910862905</v>
      </c>
      <c r="T9" s="28"/>
      <c r="U9" s="26">
        <v>1314.3226999999999</v>
      </c>
      <c r="V9" s="26">
        <f>(20657.25+1215.99+2158.77)/100</f>
        <v>240.32010000000002</v>
      </c>
      <c r="W9" s="26">
        <f>V9-2158.77/100</f>
        <v>218.73240000000004</v>
      </c>
      <c r="X9" s="26">
        <v>155.7758</v>
      </c>
      <c r="Y9" s="25"/>
      <c r="Z9" s="29">
        <f t="shared" ref="Z9:Z11" si="4">V9/U9</f>
        <v>0.18284710444398475</v>
      </c>
      <c r="AA9" s="29">
        <f t="shared" ref="AA9:AA11" si="5">W9/U9</f>
        <v>0.16642214275078721</v>
      </c>
      <c r="AB9" s="29">
        <f t="shared" ref="AB9:AB13" si="6">X9/U9</f>
        <v>0.11852172986131945</v>
      </c>
      <c r="AD9" s="26">
        <f t="shared" ref="AD9:AD13" si="7">S9/U9</f>
        <v>0.79849156610190974</v>
      </c>
      <c r="AE9" s="26">
        <f t="shared" ref="AE9:AE13" si="8">S9/V9</f>
        <v>4.3669904892944471</v>
      </c>
      <c r="AF9" s="26">
        <f t="shared" ref="AF9:AF13" si="9">S9/X9</f>
        <v>6.7370900427812952</v>
      </c>
      <c r="AH9" s="281">
        <f>V9/U9</f>
        <v>0.18284710444398475</v>
      </c>
      <c r="AI9" s="281">
        <f>X9/U9</f>
        <v>0.11852172986131945</v>
      </c>
    </row>
    <row r="10" spans="2:35">
      <c r="B10" s="15" t="s">
        <v>117</v>
      </c>
      <c r="C10" s="39" t="s">
        <v>90</v>
      </c>
      <c r="D10" s="47">
        <f>F22</f>
        <v>313.40967741935503</v>
      </c>
      <c r="E10" s="27">
        <v>136444988</v>
      </c>
      <c r="F10" s="26">
        <f>(E10*D10)/10^7</f>
        <v>4276.3179674567773</v>
      </c>
      <c r="G10" s="26">
        <f>1017.39/100</f>
        <v>10.1739</v>
      </c>
      <c r="H10" s="26">
        <f>41829.17/100</f>
        <v>418.29169999999999</v>
      </c>
      <c r="I10" s="26">
        <f t="shared" si="0"/>
        <v>428.46559999999999</v>
      </c>
      <c r="J10" s="26">
        <f>(1099.69+56371.16)/100</f>
        <v>574.70850000000007</v>
      </c>
      <c r="K10" s="26">
        <f t="shared" si="1"/>
        <v>-146.24290000000008</v>
      </c>
      <c r="L10" s="26">
        <f t="shared" si="2"/>
        <v>4130.0750674567771</v>
      </c>
      <c r="M10" s="26">
        <v>129.83340000000001</v>
      </c>
      <c r="N10" s="26">
        <v>0</v>
      </c>
      <c r="O10" s="26">
        <v>207.4341</v>
      </c>
      <c r="P10" s="26">
        <f>34.1311+82.5465</f>
        <v>116.6776</v>
      </c>
      <c r="Q10" s="26">
        <v>31.937100000000001</v>
      </c>
      <c r="R10" s="26">
        <v>0</v>
      </c>
      <c r="S10" s="28">
        <f t="shared" si="3"/>
        <v>3903.8596674567775</v>
      </c>
      <c r="T10" s="28"/>
      <c r="U10" s="26">
        <v>5428.5519999999997</v>
      </c>
      <c r="V10" s="26">
        <f>1769.1492+104.6968+19.6876</f>
        <v>1893.5336</v>
      </c>
      <c r="W10" s="26">
        <f>V10-104.6968</f>
        <v>1788.8368</v>
      </c>
      <c r="X10" s="26">
        <v>1467.3108</v>
      </c>
      <c r="Y10" s="25"/>
      <c r="Z10" s="29">
        <f t="shared" si="4"/>
        <v>0.34881006942551163</v>
      </c>
      <c r="AA10" s="29">
        <f t="shared" si="5"/>
        <v>0.32952374776920257</v>
      </c>
      <c r="AB10" s="29">
        <f t="shared" si="6"/>
        <v>0.27029506210864335</v>
      </c>
      <c r="AD10" s="26">
        <f t="shared" si="7"/>
        <v>0.71913461775014365</v>
      </c>
      <c r="AE10" s="26">
        <f t="shared" si="8"/>
        <v>2.0616796382471256</v>
      </c>
      <c r="AF10" s="26">
        <f t="shared" si="9"/>
        <v>2.6605540335808731</v>
      </c>
      <c r="AH10" s="281">
        <f t="shared" ref="AH10:AH13" si="10">V10/U10</f>
        <v>0.34881006942551163</v>
      </c>
      <c r="AI10" s="281">
        <f t="shared" ref="AI10:AI13" si="11">X10/U10</f>
        <v>0.27029506210864335</v>
      </c>
    </row>
    <row r="11" spans="2:35">
      <c r="B11" s="15" t="s">
        <v>118</v>
      </c>
      <c r="C11" s="39" t="s">
        <v>90</v>
      </c>
      <c r="D11" s="47">
        <f>I22</f>
        <v>58.691935483870957</v>
      </c>
      <c r="E11" s="27">
        <v>179081839</v>
      </c>
      <c r="F11" s="26">
        <f t="shared" ref="F11:F13" si="12">(E11*D11)/10^7</f>
        <v>1051.0659740920964</v>
      </c>
      <c r="G11" s="26">
        <v>290.22000000000003</v>
      </c>
      <c r="H11" s="26">
        <v>255.85</v>
      </c>
      <c r="I11" s="26">
        <f t="shared" si="0"/>
        <v>546.07000000000005</v>
      </c>
      <c r="J11" s="26">
        <f>8.49+202.11</f>
        <v>210.60000000000002</v>
      </c>
      <c r="K11" s="26">
        <f t="shared" si="1"/>
        <v>335.47</v>
      </c>
      <c r="L11" s="26">
        <f t="shared" si="2"/>
        <v>1386.5359740920965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8">
        <f t="shared" si="3"/>
        <v>1386.5359740920965</v>
      </c>
      <c r="T11" s="28"/>
      <c r="U11" s="26">
        <v>3937.2</v>
      </c>
      <c r="V11" s="26">
        <f>168.82+157.85+72.67</f>
        <v>399.34</v>
      </c>
      <c r="W11" s="26">
        <f>V11-157.85</f>
        <v>241.48999999999998</v>
      </c>
      <c r="X11" s="26">
        <v>168.72</v>
      </c>
      <c r="Y11" s="25"/>
      <c r="Z11" s="29">
        <f t="shared" si="4"/>
        <v>0.10142741034237529</v>
      </c>
      <c r="AA11" s="29">
        <f t="shared" si="5"/>
        <v>6.1335466829218734E-2</v>
      </c>
      <c r="AB11" s="29">
        <f t="shared" si="6"/>
        <v>4.2852788783907345E-2</v>
      </c>
      <c r="AD11" s="26">
        <f t="shared" si="7"/>
        <v>0.35216295186734137</v>
      </c>
      <c r="AE11" s="26">
        <f t="shared" si="8"/>
        <v>3.472068848830812</v>
      </c>
      <c r="AF11" s="26">
        <f t="shared" si="9"/>
        <v>8.217970448625513</v>
      </c>
      <c r="AH11" s="281">
        <f t="shared" si="10"/>
        <v>0.10142741034237529</v>
      </c>
      <c r="AI11" s="281">
        <f t="shared" si="11"/>
        <v>4.2852788783907345E-2</v>
      </c>
    </row>
    <row r="12" spans="2:35">
      <c r="B12" s="15" t="s">
        <v>119</v>
      </c>
      <c r="C12" s="39" t="s">
        <v>90</v>
      </c>
      <c r="D12" s="47">
        <f>L22</f>
        <v>66.647379032258101</v>
      </c>
      <c r="E12" s="27">
        <v>241280900</v>
      </c>
      <c r="F12" s="26">
        <f t="shared" si="12"/>
        <v>1608.0739595544362</v>
      </c>
      <c r="G12" s="26">
        <v>98.8947</v>
      </c>
      <c r="H12" s="26">
        <v>287.66340000000002</v>
      </c>
      <c r="I12" s="26">
        <f t="shared" si="0"/>
        <v>386.55810000000002</v>
      </c>
      <c r="J12" s="26">
        <f>8.6496+4.7333</f>
        <v>13.382899999999999</v>
      </c>
      <c r="K12" s="26">
        <f t="shared" si="1"/>
        <v>373.17520000000002</v>
      </c>
      <c r="L12" s="26">
        <f t="shared" si="2"/>
        <v>1981.2491595544361</v>
      </c>
      <c r="M12" s="26">
        <v>0</v>
      </c>
      <c r="N12" s="26">
        <v>0</v>
      </c>
      <c r="O12" s="26">
        <v>0</v>
      </c>
      <c r="P12" s="26">
        <v>0</v>
      </c>
      <c r="Q12" s="26">
        <v>1.4298</v>
      </c>
      <c r="R12" s="26">
        <v>0</v>
      </c>
      <c r="S12" s="28">
        <f t="shared" si="3"/>
        <v>1979.8193595544362</v>
      </c>
      <c r="T12" s="28"/>
      <c r="U12" s="26">
        <v>3070.9839999999999</v>
      </c>
      <c r="V12" s="26">
        <f>237.3038+92.0926+20.4635</f>
        <v>349.85989999999998</v>
      </c>
      <c r="W12" s="26">
        <f>237.3038+20.4635</f>
        <v>257.76729999999998</v>
      </c>
      <c r="X12" s="26">
        <v>175.83930000000001</v>
      </c>
      <c r="Y12" s="25"/>
      <c r="Z12" s="29"/>
      <c r="AA12" s="29"/>
      <c r="AB12" s="29">
        <f t="shared" si="6"/>
        <v>5.7258292456098765E-2</v>
      </c>
      <c r="AD12" s="26">
        <f t="shared" si="7"/>
        <v>0.64468566412408412</v>
      </c>
      <c r="AE12" s="26">
        <f t="shared" si="8"/>
        <v>5.6588919151764356</v>
      </c>
      <c r="AF12" s="26">
        <f t="shared" si="9"/>
        <v>11.259254100502197</v>
      </c>
      <c r="AH12" s="281">
        <f t="shared" si="10"/>
        <v>0.11392436430798727</v>
      </c>
      <c r="AI12" s="281">
        <f t="shared" si="11"/>
        <v>5.7258292456098765E-2</v>
      </c>
    </row>
    <row r="13" spans="2:35" ht="13.5" thickBot="1">
      <c r="B13" s="30" t="s">
        <v>235</v>
      </c>
      <c r="C13" s="40" t="s">
        <v>90</v>
      </c>
      <c r="D13" s="49">
        <f>P22</f>
        <v>312.10020161290333</v>
      </c>
      <c r="E13" s="256">
        <v>255080688</v>
      </c>
      <c r="F13" s="32">
        <f t="shared" si="12"/>
        <v>7961.0734152358091</v>
      </c>
      <c r="G13" s="32">
        <v>125.83</v>
      </c>
      <c r="H13" s="32">
        <v>407.84</v>
      </c>
      <c r="I13" s="32">
        <f t="shared" si="0"/>
        <v>533.66999999999996</v>
      </c>
      <c r="J13" s="32">
        <f>91.9+233.98</f>
        <v>325.88</v>
      </c>
      <c r="K13" s="32">
        <f t="shared" si="1"/>
        <v>207.78999999999996</v>
      </c>
      <c r="L13" s="32">
        <f t="shared" si="2"/>
        <v>8168.863415235809</v>
      </c>
      <c r="M13" s="32">
        <v>3.99</v>
      </c>
      <c r="N13" s="49">
        <v>0</v>
      </c>
      <c r="O13" s="32">
        <v>1.57</v>
      </c>
      <c r="P13" s="32">
        <v>0</v>
      </c>
      <c r="Q13" s="32">
        <v>348.68</v>
      </c>
      <c r="R13" s="32">
        <v>0</v>
      </c>
      <c r="S13" s="33">
        <f t="shared" si="3"/>
        <v>7822.6034152358088</v>
      </c>
      <c r="T13" s="33"/>
      <c r="U13" s="32">
        <v>10453.969999999999</v>
      </c>
      <c r="V13" s="32">
        <f>2364.19+272.4+23.16</f>
        <v>2659.75</v>
      </c>
      <c r="W13" s="32">
        <f>V13-272.4</f>
        <v>2387.35</v>
      </c>
      <c r="X13" s="32">
        <v>1724.18</v>
      </c>
      <c r="Y13" s="31"/>
      <c r="Z13" s="34">
        <f t="shared" ref="Z13" si="13">V13/U13</f>
        <v>0.25442487399523817</v>
      </c>
      <c r="AA13" s="34">
        <f t="shared" ref="AA13" si="14">W13/U13</f>
        <v>0.22836778754865378</v>
      </c>
      <c r="AB13" s="34">
        <f t="shared" si="6"/>
        <v>0.16493064357368542</v>
      </c>
      <c r="AC13" s="30"/>
      <c r="AD13" s="32">
        <f t="shared" si="7"/>
        <v>0.74829021082285574</v>
      </c>
      <c r="AE13" s="32">
        <f t="shared" si="8"/>
        <v>2.9411047712137641</v>
      </c>
      <c r="AF13" s="32">
        <f t="shared" si="9"/>
        <v>4.5369992780543846</v>
      </c>
      <c r="AH13" s="281">
        <f t="shared" si="10"/>
        <v>0.25442487399523817</v>
      </c>
      <c r="AI13" s="281">
        <f t="shared" si="11"/>
        <v>0.16493064357368542</v>
      </c>
    </row>
    <row r="15" spans="2:35">
      <c r="B15" s="35" t="s">
        <v>91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7">
        <f>AVERAGE(AD9:AD13)</f>
        <v>0.65255300213326684</v>
      </c>
      <c r="AE15" s="38">
        <f t="shared" ref="AE15:AF15" si="15">AVERAGE(AE9:AE13)</f>
        <v>3.7001471325525173</v>
      </c>
      <c r="AF15" s="37">
        <f t="shared" si="15"/>
        <v>6.6823735807088527</v>
      </c>
    </row>
    <row r="16" spans="2:35">
      <c r="B16" s="35" t="s">
        <v>92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7">
        <f>MEDIAN(AD9:AD13)</f>
        <v>0.71913461775014365</v>
      </c>
      <c r="AE16" s="38">
        <f t="shared" ref="AE16:AF16" si="16">MEDIAN(AE9:AE13)</f>
        <v>3.472068848830812</v>
      </c>
      <c r="AF16" s="37">
        <f t="shared" si="16"/>
        <v>6.7370900427812952</v>
      </c>
    </row>
    <row r="17" spans="2:32">
      <c r="B17" s="35" t="s">
        <v>93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7">
        <f>MAX(AD9:AD13)</f>
        <v>0.79849156610190974</v>
      </c>
      <c r="AE17" s="37">
        <f t="shared" ref="AE17:AF17" si="17">MAX(AE9:AE13)</f>
        <v>5.6588919151764356</v>
      </c>
      <c r="AF17" s="37">
        <f t="shared" si="17"/>
        <v>11.259254100502197</v>
      </c>
    </row>
    <row r="18" spans="2:32">
      <c r="B18" s="35" t="s">
        <v>94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7">
        <f>MIN(AD9:AD13)</f>
        <v>0.35216295186734137</v>
      </c>
      <c r="AE18" s="37">
        <f t="shared" ref="AE18:AF18" si="18">MIN(AE9:AE13)</f>
        <v>2.0616796382471256</v>
      </c>
      <c r="AF18" s="37">
        <f t="shared" si="18"/>
        <v>2.6605540335808731</v>
      </c>
    </row>
    <row r="19" spans="2:32">
      <c r="B19" s="45" t="s">
        <v>120</v>
      </c>
    </row>
    <row r="21" spans="2:32">
      <c r="B21" s="11" t="s">
        <v>121</v>
      </c>
      <c r="C21" s="11"/>
      <c r="E21" s="11" t="s">
        <v>122</v>
      </c>
      <c r="F21" s="11"/>
      <c r="H21" s="11" t="s">
        <v>123</v>
      </c>
      <c r="I21" s="41"/>
      <c r="K21" s="11" t="s">
        <v>124</v>
      </c>
      <c r="L21" s="41"/>
      <c r="O21" s="11" t="s">
        <v>237</v>
      </c>
      <c r="P21" s="41"/>
    </row>
    <row r="22" spans="2:32">
      <c r="B22" s="8" t="s">
        <v>97</v>
      </c>
      <c r="C22" s="48">
        <f>AVERAGE(C24:C271)</f>
        <v>420.72883064516128</v>
      </c>
      <c r="E22" s="8" t="s">
        <v>97</v>
      </c>
      <c r="F22" s="48">
        <f>AVERAGE(F24:F271)</f>
        <v>313.40967741935503</v>
      </c>
      <c r="H22" s="8" t="s">
        <v>97</v>
      </c>
      <c r="I22" s="46">
        <f>AVERAGE(I24:I271)</f>
        <v>58.691935483870957</v>
      </c>
      <c r="K22" s="8" t="s">
        <v>97</v>
      </c>
      <c r="L22" s="46">
        <f>AVERAGE(L24:L271)</f>
        <v>66.647379032258101</v>
      </c>
      <c r="O22" s="8" t="s">
        <v>97</v>
      </c>
      <c r="P22" s="46">
        <f>AVERAGE(P24:P271)</f>
        <v>312.10020161290333</v>
      </c>
    </row>
    <row r="23" spans="2:32" ht="25.5">
      <c r="B23" s="42" t="s">
        <v>95</v>
      </c>
      <c r="C23" s="42" t="s">
        <v>96</v>
      </c>
      <c r="E23" s="42" t="s">
        <v>95</v>
      </c>
      <c r="F23" s="42" t="s">
        <v>96</v>
      </c>
      <c r="H23" s="42" t="s">
        <v>95</v>
      </c>
      <c r="I23" s="43" t="s">
        <v>96</v>
      </c>
      <c r="K23" s="42" t="s">
        <v>95</v>
      </c>
      <c r="L23" s="43" t="s">
        <v>96</v>
      </c>
      <c r="O23" s="42" t="s">
        <v>95</v>
      </c>
      <c r="P23" s="43" t="s">
        <v>96</v>
      </c>
    </row>
    <row r="24" spans="2:32" outlineLevel="1">
      <c r="B24" s="44">
        <v>44925</v>
      </c>
      <c r="C24" s="141">
        <v>409.95</v>
      </c>
      <c r="E24" s="44">
        <v>44925</v>
      </c>
      <c r="F24" s="141">
        <v>373.35</v>
      </c>
      <c r="H24" s="44">
        <v>44925</v>
      </c>
      <c r="I24" s="141">
        <v>54.55</v>
      </c>
      <c r="K24" s="44">
        <v>44925</v>
      </c>
      <c r="L24" s="141">
        <v>62.2</v>
      </c>
      <c r="O24" s="44">
        <v>44925</v>
      </c>
      <c r="P24" s="141">
        <v>313.5</v>
      </c>
    </row>
    <row r="25" spans="2:32" outlineLevel="1">
      <c r="B25" s="44">
        <v>44924</v>
      </c>
      <c r="C25" s="141">
        <v>412.4</v>
      </c>
      <c r="E25" s="44">
        <v>44924</v>
      </c>
      <c r="F25" s="141">
        <v>369.25</v>
      </c>
      <c r="H25" s="44">
        <v>44924</v>
      </c>
      <c r="I25" s="141">
        <v>53.15</v>
      </c>
      <c r="K25" s="44">
        <v>44924</v>
      </c>
      <c r="L25" s="141">
        <v>61.35</v>
      </c>
      <c r="O25" s="44">
        <v>44924</v>
      </c>
      <c r="P25" s="141">
        <v>305.95</v>
      </c>
    </row>
    <row r="26" spans="2:32" outlineLevel="1">
      <c r="B26" s="44">
        <v>44923</v>
      </c>
      <c r="C26" s="141">
        <v>411.95</v>
      </c>
      <c r="E26" s="44">
        <v>44923</v>
      </c>
      <c r="F26" s="141">
        <v>357.3</v>
      </c>
      <c r="H26" s="44">
        <v>44923</v>
      </c>
      <c r="I26" s="141">
        <v>51.9</v>
      </c>
      <c r="K26" s="44">
        <v>44923</v>
      </c>
      <c r="L26" s="141">
        <v>62.3</v>
      </c>
      <c r="O26" s="44">
        <v>44923</v>
      </c>
      <c r="P26" s="141">
        <v>313.75</v>
      </c>
    </row>
    <row r="27" spans="2:32" outlineLevel="1">
      <c r="B27" s="44">
        <v>44922</v>
      </c>
      <c r="C27" s="141">
        <v>403.1</v>
      </c>
      <c r="E27" s="44">
        <v>44922</v>
      </c>
      <c r="F27" s="141">
        <v>363.15</v>
      </c>
      <c r="H27" s="44">
        <v>44922</v>
      </c>
      <c r="I27" s="141">
        <v>52.3</v>
      </c>
      <c r="K27" s="44">
        <v>44922</v>
      </c>
      <c r="L27" s="141">
        <v>63.2</v>
      </c>
      <c r="O27" s="44">
        <v>44922</v>
      </c>
      <c r="P27" s="141">
        <v>308.89999999999998</v>
      </c>
    </row>
    <row r="28" spans="2:32" outlineLevel="1">
      <c r="B28" s="44">
        <v>44921</v>
      </c>
      <c r="C28" s="141">
        <v>404.6</v>
      </c>
      <c r="E28" s="44">
        <v>44921</v>
      </c>
      <c r="F28" s="141">
        <v>336.6</v>
      </c>
      <c r="H28" s="44">
        <v>44921</v>
      </c>
      <c r="I28" s="141">
        <v>49.95</v>
      </c>
      <c r="K28" s="44">
        <v>44921</v>
      </c>
      <c r="L28" s="141">
        <v>59.45</v>
      </c>
      <c r="O28" s="44">
        <v>44921</v>
      </c>
      <c r="P28" s="141">
        <v>297.25</v>
      </c>
    </row>
    <row r="29" spans="2:32" outlineLevel="1">
      <c r="B29" s="44">
        <v>44918</v>
      </c>
      <c r="C29" s="141">
        <v>389.8</v>
      </c>
      <c r="E29" s="44">
        <v>44918</v>
      </c>
      <c r="F29" s="141">
        <v>315.7</v>
      </c>
      <c r="H29" s="44">
        <v>44918</v>
      </c>
      <c r="I29" s="141">
        <v>48.05</v>
      </c>
      <c r="K29" s="44">
        <v>44918</v>
      </c>
      <c r="L29" s="141">
        <v>56.65</v>
      </c>
      <c r="O29" s="44">
        <v>44918</v>
      </c>
      <c r="P29" s="141">
        <v>283.60000000000002</v>
      </c>
    </row>
    <row r="30" spans="2:32" outlineLevel="1">
      <c r="B30" s="44">
        <v>44917</v>
      </c>
      <c r="C30" s="141">
        <v>409.4</v>
      </c>
      <c r="E30" s="44">
        <v>44917</v>
      </c>
      <c r="F30" s="141">
        <v>346.55</v>
      </c>
      <c r="H30" s="44">
        <v>44917</v>
      </c>
      <c r="I30" s="141">
        <v>51.85</v>
      </c>
      <c r="K30" s="44">
        <v>44917</v>
      </c>
      <c r="L30" s="141">
        <v>59</v>
      </c>
      <c r="O30" s="44">
        <v>44917</v>
      </c>
      <c r="P30" s="141">
        <v>293.75</v>
      </c>
    </row>
    <row r="31" spans="2:32" outlineLevel="1">
      <c r="B31" s="44">
        <v>44916</v>
      </c>
      <c r="C31" s="141">
        <v>416.95</v>
      </c>
      <c r="E31" s="44">
        <v>44916</v>
      </c>
      <c r="F31" s="141">
        <v>342.65</v>
      </c>
      <c r="H31" s="44">
        <v>44916</v>
      </c>
      <c r="I31" s="141">
        <v>54.25</v>
      </c>
      <c r="K31" s="44">
        <v>44916</v>
      </c>
      <c r="L31" s="141">
        <v>61.15</v>
      </c>
      <c r="O31" s="44">
        <v>44916</v>
      </c>
      <c r="P31" s="141">
        <v>299.5</v>
      </c>
    </row>
    <row r="32" spans="2:32" outlineLevel="1">
      <c r="B32" s="44">
        <v>44915</v>
      </c>
      <c r="C32" s="141">
        <v>420</v>
      </c>
      <c r="E32" s="44">
        <v>44915</v>
      </c>
      <c r="F32" s="141">
        <v>367.7</v>
      </c>
      <c r="H32" s="44">
        <v>44915</v>
      </c>
      <c r="I32" s="141">
        <v>56.3</v>
      </c>
      <c r="K32" s="44">
        <v>44915</v>
      </c>
      <c r="L32" s="141">
        <v>63.15</v>
      </c>
      <c r="O32" s="44">
        <v>44915</v>
      </c>
      <c r="P32" s="141">
        <v>291.3</v>
      </c>
    </row>
    <row r="33" spans="2:16" outlineLevel="1">
      <c r="B33" s="44">
        <v>44914</v>
      </c>
      <c r="C33" s="141">
        <v>422.2</v>
      </c>
      <c r="E33" s="44">
        <v>44914</v>
      </c>
      <c r="F33" s="141">
        <v>379.45</v>
      </c>
      <c r="H33" s="44">
        <v>44914</v>
      </c>
      <c r="I33" s="141">
        <v>56.45</v>
      </c>
      <c r="K33" s="44">
        <v>44914</v>
      </c>
      <c r="L33" s="141">
        <v>61.6</v>
      </c>
      <c r="O33" s="44">
        <v>44914</v>
      </c>
      <c r="P33" s="141">
        <v>294.10000000000002</v>
      </c>
    </row>
    <row r="34" spans="2:16" outlineLevel="1">
      <c r="B34" s="44">
        <v>44911</v>
      </c>
      <c r="C34" s="141">
        <v>418.15</v>
      </c>
      <c r="E34" s="44">
        <v>44911</v>
      </c>
      <c r="F34" s="141">
        <v>353.7</v>
      </c>
      <c r="H34" s="44">
        <v>44911</v>
      </c>
      <c r="I34" s="141">
        <v>55.25</v>
      </c>
      <c r="K34" s="44">
        <v>44911</v>
      </c>
      <c r="L34" s="141">
        <v>61</v>
      </c>
      <c r="O34" s="44">
        <v>44911</v>
      </c>
      <c r="P34" s="141">
        <v>291.2</v>
      </c>
    </row>
    <row r="35" spans="2:16" outlineLevel="1">
      <c r="B35" s="44">
        <v>44910</v>
      </c>
      <c r="C35" s="141">
        <v>422</v>
      </c>
      <c r="E35" s="44">
        <v>44910</v>
      </c>
      <c r="F35" s="141">
        <v>359.3</v>
      </c>
      <c r="H35" s="44">
        <v>44910</v>
      </c>
      <c r="I35" s="141">
        <v>55.95</v>
      </c>
      <c r="K35" s="44">
        <v>44910</v>
      </c>
      <c r="L35" s="141">
        <v>61.95</v>
      </c>
      <c r="O35" s="44">
        <v>44910</v>
      </c>
      <c r="P35" s="141">
        <v>293</v>
      </c>
    </row>
    <row r="36" spans="2:16" outlineLevel="1">
      <c r="B36" s="44">
        <v>44909</v>
      </c>
      <c r="C36" s="141">
        <v>429.6</v>
      </c>
      <c r="E36" s="44">
        <v>44909</v>
      </c>
      <c r="F36" s="141">
        <v>364.3</v>
      </c>
      <c r="H36" s="44">
        <v>44909</v>
      </c>
      <c r="I36" s="141">
        <v>55.35</v>
      </c>
      <c r="K36" s="44">
        <v>44909</v>
      </c>
      <c r="L36" s="141">
        <v>63</v>
      </c>
      <c r="O36" s="44">
        <v>44909</v>
      </c>
      <c r="P36" s="141">
        <v>293.85000000000002</v>
      </c>
    </row>
    <row r="37" spans="2:16" outlineLevel="1">
      <c r="B37" s="44">
        <v>44908</v>
      </c>
      <c r="C37" s="141">
        <v>425.25</v>
      </c>
      <c r="E37" s="44">
        <v>44908</v>
      </c>
      <c r="F37" s="141">
        <v>354.95</v>
      </c>
      <c r="H37" s="44">
        <v>44908</v>
      </c>
      <c r="I37" s="141">
        <v>54.65</v>
      </c>
      <c r="K37" s="44">
        <v>44908</v>
      </c>
      <c r="L37" s="141">
        <v>62.65</v>
      </c>
      <c r="O37" s="44">
        <v>44908</v>
      </c>
      <c r="P37" s="141">
        <v>292.45</v>
      </c>
    </row>
    <row r="38" spans="2:16" outlineLevel="1">
      <c r="B38" s="44">
        <v>44907</v>
      </c>
      <c r="C38" s="141">
        <v>428.6</v>
      </c>
      <c r="E38" s="44">
        <v>44907</v>
      </c>
      <c r="F38" s="141">
        <v>354.6</v>
      </c>
      <c r="H38" s="44">
        <v>44907</v>
      </c>
      <c r="I38" s="141">
        <v>55.8</v>
      </c>
      <c r="K38" s="44">
        <v>44907</v>
      </c>
      <c r="L38" s="141">
        <v>63.7</v>
      </c>
      <c r="O38" s="44">
        <v>44907</v>
      </c>
      <c r="P38" s="141">
        <v>293.25</v>
      </c>
    </row>
    <row r="39" spans="2:16" outlineLevel="1">
      <c r="B39" s="44">
        <v>44904</v>
      </c>
      <c r="C39" s="141">
        <v>424.45</v>
      </c>
      <c r="E39" s="44">
        <v>44904</v>
      </c>
      <c r="F39" s="141">
        <v>343.4</v>
      </c>
      <c r="H39" s="44">
        <v>44904</v>
      </c>
      <c r="I39" s="141">
        <v>55.45</v>
      </c>
      <c r="K39" s="44">
        <v>44904</v>
      </c>
      <c r="L39" s="141">
        <v>63.15</v>
      </c>
      <c r="O39" s="44">
        <v>44904</v>
      </c>
      <c r="P39" s="141">
        <v>291.7</v>
      </c>
    </row>
    <row r="40" spans="2:16" outlineLevel="1">
      <c r="B40" s="44">
        <v>44903</v>
      </c>
      <c r="C40" s="141">
        <v>423.05</v>
      </c>
      <c r="E40" s="44">
        <v>44903</v>
      </c>
      <c r="F40" s="141">
        <v>341.8</v>
      </c>
      <c r="H40" s="44">
        <v>44903</v>
      </c>
      <c r="I40" s="141">
        <v>55.45</v>
      </c>
      <c r="K40" s="44">
        <v>44903</v>
      </c>
      <c r="L40" s="141">
        <v>64</v>
      </c>
      <c r="O40" s="44">
        <v>44903</v>
      </c>
      <c r="P40" s="141">
        <v>292.25</v>
      </c>
    </row>
    <row r="41" spans="2:16" outlineLevel="1">
      <c r="B41" s="44">
        <v>44902</v>
      </c>
      <c r="C41" s="141">
        <v>423.15</v>
      </c>
      <c r="E41" s="44">
        <v>44902</v>
      </c>
      <c r="F41" s="141">
        <v>330.3</v>
      </c>
      <c r="H41" s="44">
        <v>44902</v>
      </c>
      <c r="I41" s="141">
        <v>55.6</v>
      </c>
      <c r="K41" s="44">
        <v>44902</v>
      </c>
      <c r="L41" s="141">
        <v>63.8</v>
      </c>
      <c r="O41" s="44">
        <v>44902</v>
      </c>
      <c r="P41" s="141">
        <v>291.85000000000002</v>
      </c>
    </row>
    <row r="42" spans="2:16" outlineLevel="1">
      <c r="B42" s="44">
        <v>44901</v>
      </c>
      <c r="C42" s="141">
        <v>421</v>
      </c>
      <c r="E42" s="44">
        <v>44901</v>
      </c>
      <c r="F42" s="141">
        <v>331.9</v>
      </c>
      <c r="H42" s="44">
        <v>44901</v>
      </c>
      <c r="I42" s="141">
        <v>56.35</v>
      </c>
      <c r="K42" s="44">
        <v>44901</v>
      </c>
      <c r="L42" s="141">
        <v>64.05</v>
      </c>
      <c r="O42" s="44">
        <v>44901</v>
      </c>
      <c r="P42" s="141">
        <v>292</v>
      </c>
    </row>
    <row r="43" spans="2:16" outlineLevel="1">
      <c r="B43" s="44">
        <v>44900</v>
      </c>
      <c r="C43" s="141">
        <v>429.2</v>
      </c>
      <c r="E43" s="44">
        <v>44900</v>
      </c>
      <c r="F43" s="141">
        <v>334</v>
      </c>
      <c r="H43" s="44">
        <v>44900</v>
      </c>
      <c r="I43" s="141">
        <v>57.3</v>
      </c>
      <c r="K43" s="44">
        <v>44900</v>
      </c>
      <c r="L43" s="141">
        <v>65.25</v>
      </c>
      <c r="O43" s="44">
        <v>44900</v>
      </c>
      <c r="P43" s="141">
        <v>293.35000000000002</v>
      </c>
    </row>
    <row r="44" spans="2:16" outlineLevel="1">
      <c r="B44" s="44">
        <v>44897</v>
      </c>
      <c r="C44" s="141">
        <v>407.95</v>
      </c>
      <c r="E44" s="44">
        <v>44897</v>
      </c>
      <c r="F44" s="141">
        <v>332</v>
      </c>
      <c r="H44" s="44">
        <v>44897</v>
      </c>
      <c r="I44" s="141">
        <v>55.3</v>
      </c>
      <c r="K44" s="44">
        <v>44897</v>
      </c>
      <c r="L44" s="141">
        <v>65.05</v>
      </c>
      <c r="O44" s="44">
        <v>44897</v>
      </c>
      <c r="P44" s="141">
        <v>295.35000000000002</v>
      </c>
    </row>
    <row r="45" spans="2:16" outlineLevel="1">
      <c r="B45" s="44">
        <v>44896</v>
      </c>
      <c r="C45" s="141">
        <v>416.65</v>
      </c>
      <c r="E45" s="44">
        <v>44896</v>
      </c>
      <c r="F45" s="141">
        <v>321.75</v>
      </c>
      <c r="H45" s="44">
        <v>44896</v>
      </c>
      <c r="I45" s="141">
        <v>53.65</v>
      </c>
      <c r="K45" s="44">
        <v>44896</v>
      </c>
      <c r="L45" s="141">
        <v>64</v>
      </c>
      <c r="O45" s="44">
        <v>44896</v>
      </c>
      <c r="P45" s="141">
        <v>294.7</v>
      </c>
    </row>
    <row r="46" spans="2:16" outlineLevel="1">
      <c r="B46" s="44">
        <v>44895</v>
      </c>
      <c r="C46" s="141">
        <v>410.95</v>
      </c>
      <c r="E46" s="44">
        <v>44895</v>
      </c>
      <c r="F46" s="141">
        <v>316.85000000000002</v>
      </c>
      <c r="H46" s="44">
        <v>44895</v>
      </c>
      <c r="I46" s="141">
        <v>53.4</v>
      </c>
      <c r="K46" s="44">
        <v>44895</v>
      </c>
      <c r="L46" s="141">
        <v>63.15</v>
      </c>
      <c r="O46" s="44">
        <v>44895</v>
      </c>
      <c r="P46" s="141">
        <v>294.2</v>
      </c>
    </row>
    <row r="47" spans="2:16" outlineLevel="1">
      <c r="B47" s="44">
        <v>44894</v>
      </c>
      <c r="C47" s="141">
        <v>412.05</v>
      </c>
      <c r="E47" s="44">
        <v>44894</v>
      </c>
      <c r="F47" s="141">
        <v>311.7</v>
      </c>
      <c r="H47" s="44">
        <v>44894</v>
      </c>
      <c r="I47" s="141">
        <v>53.25</v>
      </c>
      <c r="K47" s="44">
        <v>44894</v>
      </c>
      <c r="L47" s="141">
        <v>63.65</v>
      </c>
      <c r="O47" s="44">
        <v>44894</v>
      </c>
      <c r="P47" s="141">
        <v>293.75</v>
      </c>
    </row>
    <row r="48" spans="2:16" outlineLevel="1">
      <c r="B48" s="44">
        <v>44893</v>
      </c>
      <c r="C48" s="141">
        <v>413.8</v>
      </c>
      <c r="E48" s="44">
        <v>44893</v>
      </c>
      <c r="F48" s="141">
        <v>300.35000000000002</v>
      </c>
      <c r="H48" s="44">
        <v>44893</v>
      </c>
      <c r="I48" s="141">
        <v>53.3</v>
      </c>
      <c r="K48" s="44">
        <v>44893</v>
      </c>
      <c r="L48" s="141">
        <v>63.95</v>
      </c>
      <c r="O48" s="44">
        <v>44893</v>
      </c>
      <c r="P48" s="141">
        <v>293</v>
      </c>
    </row>
    <row r="49" spans="2:16" outlineLevel="1">
      <c r="B49" s="44">
        <v>44890</v>
      </c>
      <c r="C49" s="141">
        <v>410.95</v>
      </c>
      <c r="E49" s="44">
        <v>44890</v>
      </c>
      <c r="F49" s="141">
        <v>302.7</v>
      </c>
      <c r="H49" s="44">
        <v>44890</v>
      </c>
      <c r="I49" s="141">
        <v>53</v>
      </c>
      <c r="K49" s="44">
        <v>44890</v>
      </c>
      <c r="L49" s="141">
        <v>64.45</v>
      </c>
      <c r="O49" s="44">
        <v>44890</v>
      </c>
      <c r="P49" s="141">
        <v>293.10000000000002</v>
      </c>
    </row>
    <row r="50" spans="2:16" outlineLevel="1">
      <c r="B50" s="44">
        <v>44889</v>
      </c>
      <c r="C50" s="141">
        <v>408.8</v>
      </c>
      <c r="E50" s="44">
        <v>44889</v>
      </c>
      <c r="F50" s="141">
        <v>307.2</v>
      </c>
      <c r="H50" s="44">
        <v>44889</v>
      </c>
      <c r="I50" s="141">
        <v>52.8</v>
      </c>
      <c r="K50" s="44">
        <v>44889</v>
      </c>
      <c r="L50" s="141">
        <v>63.05</v>
      </c>
      <c r="O50" s="44">
        <v>44889</v>
      </c>
      <c r="P50" s="141">
        <v>291.25</v>
      </c>
    </row>
    <row r="51" spans="2:16" outlineLevel="1">
      <c r="B51" s="44">
        <v>44888</v>
      </c>
      <c r="C51" s="141">
        <v>407.95</v>
      </c>
      <c r="E51" s="44">
        <v>44888</v>
      </c>
      <c r="F51" s="141">
        <v>309.95</v>
      </c>
      <c r="H51" s="44">
        <v>44888</v>
      </c>
      <c r="I51" s="141">
        <v>52.85</v>
      </c>
      <c r="K51" s="44">
        <v>44888</v>
      </c>
      <c r="L51" s="141">
        <v>63.8</v>
      </c>
      <c r="O51" s="44">
        <v>44888</v>
      </c>
      <c r="P51" s="141">
        <v>295.14999999999998</v>
      </c>
    </row>
    <row r="52" spans="2:16" outlineLevel="1">
      <c r="B52" s="44">
        <v>44887</v>
      </c>
      <c r="C52" s="141">
        <v>419.35</v>
      </c>
      <c r="E52" s="44">
        <v>44887</v>
      </c>
      <c r="F52" s="141">
        <v>304.25</v>
      </c>
      <c r="H52" s="44">
        <v>44887</v>
      </c>
      <c r="I52" s="141">
        <v>53.45</v>
      </c>
      <c r="K52" s="44">
        <v>44887</v>
      </c>
      <c r="L52" s="141">
        <v>62.85</v>
      </c>
      <c r="O52" s="44">
        <v>44887</v>
      </c>
      <c r="P52" s="141">
        <v>296.8</v>
      </c>
    </row>
    <row r="53" spans="2:16" outlineLevel="1">
      <c r="B53" s="44">
        <v>44886</v>
      </c>
      <c r="C53" s="141">
        <v>410.75</v>
      </c>
      <c r="E53" s="44">
        <v>44886</v>
      </c>
      <c r="F53" s="141">
        <v>312.14999999999998</v>
      </c>
      <c r="H53" s="44">
        <v>44886</v>
      </c>
      <c r="I53" s="141">
        <v>53.65</v>
      </c>
      <c r="K53" s="44">
        <v>44886</v>
      </c>
      <c r="L53" s="141">
        <v>63.75</v>
      </c>
      <c r="O53" s="44">
        <v>44886</v>
      </c>
      <c r="P53" s="141">
        <v>301.14999999999998</v>
      </c>
    </row>
    <row r="54" spans="2:16" outlineLevel="1">
      <c r="B54" s="44">
        <v>44883</v>
      </c>
      <c r="C54" s="141">
        <v>389.65</v>
      </c>
      <c r="E54" s="44">
        <v>44883</v>
      </c>
      <c r="F54" s="141">
        <v>272.85000000000002</v>
      </c>
      <c r="H54" s="44">
        <v>44883</v>
      </c>
      <c r="I54" s="141">
        <v>52.15</v>
      </c>
      <c r="K54" s="44">
        <v>44883</v>
      </c>
      <c r="L54" s="141">
        <v>65.05</v>
      </c>
      <c r="O54" s="44">
        <v>44883</v>
      </c>
      <c r="P54" s="141">
        <v>296.89999999999998</v>
      </c>
    </row>
    <row r="55" spans="2:16" outlineLevel="1">
      <c r="B55" s="44">
        <v>44882</v>
      </c>
      <c r="C55" s="141">
        <v>382.15</v>
      </c>
      <c r="E55" s="44">
        <v>44882</v>
      </c>
      <c r="F55" s="141">
        <v>266.8</v>
      </c>
      <c r="H55" s="44">
        <v>44882</v>
      </c>
      <c r="I55" s="141">
        <v>53.1</v>
      </c>
      <c r="K55" s="44">
        <v>44882</v>
      </c>
      <c r="L55" s="141">
        <v>66.7</v>
      </c>
      <c r="O55" s="44">
        <v>44882</v>
      </c>
      <c r="P55" s="141">
        <v>300.7</v>
      </c>
    </row>
    <row r="56" spans="2:16" outlineLevel="1">
      <c r="B56" s="44">
        <v>44881</v>
      </c>
      <c r="C56" s="141">
        <v>383.75</v>
      </c>
      <c r="E56" s="44">
        <v>44881</v>
      </c>
      <c r="F56" s="141">
        <v>272.95</v>
      </c>
      <c r="H56" s="44">
        <v>44881</v>
      </c>
      <c r="I56" s="141">
        <v>52.5</v>
      </c>
      <c r="K56" s="44">
        <v>44881</v>
      </c>
      <c r="L56" s="141">
        <v>64.2</v>
      </c>
      <c r="O56" s="44">
        <v>44881</v>
      </c>
      <c r="P56" s="141">
        <v>300.10000000000002</v>
      </c>
    </row>
    <row r="57" spans="2:16" outlineLevel="1">
      <c r="B57" s="44">
        <v>44880</v>
      </c>
      <c r="C57" s="141">
        <v>379.5</v>
      </c>
      <c r="E57" s="44">
        <v>44880</v>
      </c>
      <c r="F57" s="141">
        <v>280.95</v>
      </c>
      <c r="H57" s="44">
        <v>44880</v>
      </c>
      <c r="I57" s="141">
        <v>53</v>
      </c>
      <c r="K57" s="44">
        <v>44880</v>
      </c>
      <c r="L57" s="141">
        <v>62.75</v>
      </c>
      <c r="O57" s="44">
        <v>44880</v>
      </c>
      <c r="P57" s="141">
        <v>303.05</v>
      </c>
    </row>
    <row r="58" spans="2:16" outlineLevel="1">
      <c r="B58" s="44">
        <v>44879</v>
      </c>
      <c r="C58" s="141">
        <v>382.8</v>
      </c>
      <c r="E58" s="44">
        <v>44879</v>
      </c>
      <c r="F58" s="141">
        <v>285.45</v>
      </c>
      <c r="H58" s="44">
        <v>44879</v>
      </c>
      <c r="I58" s="141">
        <v>54.25</v>
      </c>
      <c r="K58" s="44">
        <v>44879</v>
      </c>
      <c r="L58" s="141">
        <v>63.85</v>
      </c>
      <c r="O58" s="44">
        <v>44879</v>
      </c>
      <c r="P58" s="141">
        <v>299</v>
      </c>
    </row>
    <row r="59" spans="2:16" outlineLevel="1">
      <c r="B59" s="44">
        <v>44876</v>
      </c>
      <c r="C59" s="141">
        <v>405.65</v>
      </c>
      <c r="E59" s="44">
        <v>44876</v>
      </c>
      <c r="F59" s="141">
        <v>281.7</v>
      </c>
      <c r="H59" s="44">
        <v>44876</v>
      </c>
      <c r="I59" s="141">
        <v>54.35</v>
      </c>
      <c r="K59" s="44">
        <v>44876</v>
      </c>
      <c r="L59" s="141">
        <v>64.05</v>
      </c>
      <c r="O59" s="44">
        <v>44876</v>
      </c>
      <c r="P59" s="141">
        <v>299.89999999999998</v>
      </c>
    </row>
    <row r="60" spans="2:16" outlineLevel="1">
      <c r="B60" s="44">
        <v>44875</v>
      </c>
      <c r="C60" s="141">
        <v>409.4</v>
      </c>
      <c r="E60" s="44">
        <v>44875</v>
      </c>
      <c r="F60" s="141">
        <v>278</v>
      </c>
      <c r="H60" s="44">
        <v>44875</v>
      </c>
      <c r="I60" s="141">
        <v>53.55</v>
      </c>
      <c r="K60" s="44">
        <v>44875</v>
      </c>
      <c r="L60" s="141">
        <v>63.95</v>
      </c>
      <c r="O60" s="44">
        <v>44875</v>
      </c>
      <c r="P60" s="141">
        <v>299.64999999999998</v>
      </c>
    </row>
    <row r="61" spans="2:16" outlineLevel="1">
      <c r="B61" s="44">
        <v>44874</v>
      </c>
      <c r="C61" s="141">
        <v>419.7</v>
      </c>
      <c r="E61" s="44">
        <v>44874</v>
      </c>
      <c r="F61" s="141">
        <v>280.14999999999998</v>
      </c>
      <c r="H61" s="44">
        <v>44874</v>
      </c>
      <c r="I61" s="141">
        <v>54.7</v>
      </c>
      <c r="K61" s="44">
        <v>44874</v>
      </c>
      <c r="L61" s="141">
        <v>64.05</v>
      </c>
      <c r="O61" s="44">
        <v>44874</v>
      </c>
      <c r="P61" s="141">
        <v>306.39999999999998</v>
      </c>
    </row>
    <row r="62" spans="2:16" outlineLevel="1">
      <c r="B62" s="44">
        <v>44872</v>
      </c>
      <c r="C62" s="141">
        <v>424.9</v>
      </c>
      <c r="E62" s="44">
        <v>44872</v>
      </c>
      <c r="F62" s="141">
        <v>281.7</v>
      </c>
      <c r="H62" s="44">
        <v>44872</v>
      </c>
      <c r="I62" s="141">
        <v>52.4</v>
      </c>
      <c r="K62" s="44">
        <v>44872</v>
      </c>
      <c r="L62" s="141">
        <v>63.65</v>
      </c>
      <c r="O62" s="44">
        <v>44872</v>
      </c>
      <c r="P62" s="141">
        <v>310.45</v>
      </c>
    </row>
    <row r="63" spans="2:16" outlineLevel="1">
      <c r="B63" s="44">
        <v>44869</v>
      </c>
      <c r="C63" s="141">
        <v>430</v>
      </c>
      <c r="E63" s="44">
        <v>44869</v>
      </c>
      <c r="F63" s="141">
        <v>275.35000000000002</v>
      </c>
      <c r="H63" s="44">
        <v>44869</v>
      </c>
      <c r="I63" s="141">
        <v>52.8</v>
      </c>
      <c r="K63" s="44">
        <v>44869</v>
      </c>
      <c r="L63" s="141">
        <v>63.95</v>
      </c>
      <c r="O63" s="44">
        <v>44869</v>
      </c>
      <c r="P63" s="141">
        <v>308.39999999999998</v>
      </c>
    </row>
    <row r="64" spans="2:16" outlineLevel="1">
      <c r="B64" s="44">
        <v>44868</v>
      </c>
      <c r="C64" s="141">
        <v>434.95</v>
      </c>
      <c r="E64" s="44">
        <v>44868</v>
      </c>
      <c r="F64" s="141">
        <v>268.64999999999998</v>
      </c>
      <c r="H64" s="44">
        <v>44868</v>
      </c>
      <c r="I64" s="141">
        <v>51.55</v>
      </c>
      <c r="K64" s="44">
        <v>44868</v>
      </c>
      <c r="L64" s="141">
        <v>60.7</v>
      </c>
      <c r="O64" s="44">
        <v>44868</v>
      </c>
      <c r="P64" s="141">
        <v>301.64999999999998</v>
      </c>
    </row>
    <row r="65" spans="2:16" outlineLevel="1">
      <c r="B65" s="44">
        <v>44867</v>
      </c>
      <c r="C65" s="141">
        <v>436.4</v>
      </c>
      <c r="E65" s="44">
        <v>44867</v>
      </c>
      <c r="F65" s="141">
        <v>268.5</v>
      </c>
      <c r="H65" s="44">
        <v>44867</v>
      </c>
      <c r="I65" s="141">
        <v>51.8</v>
      </c>
      <c r="K65" s="44">
        <v>44867</v>
      </c>
      <c r="L65" s="141">
        <v>61.75</v>
      </c>
      <c r="O65" s="44">
        <v>44867</v>
      </c>
      <c r="P65" s="141">
        <v>303.85000000000002</v>
      </c>
    </row>
    <row r="66" spans="2:16" outlineLevel="1">
      <c r="B66" s="44">
        <v>44866</v>
      </c>
      <c r="C66" s="141">
        <v>439.25</v>
      </c>
      <c r="E66" s="44">
        <v>44866</v>
      </c>
      <c r="F66" s="141">
        <v>267.85000000000002</v>
      </c>
      <c r="H66" s="44">
        <v>44866</v>
      </c>
      <c r="I66" s="141">
        <v>51.65</v>
      </c>
      <c r="K66" s="44">
        <v>44866</v>
      </c>
      <c r="L66" s="141">
        <v>61.8</v>
      </c>
      <c r="O66" s="44">
        <v>44866</v>
      </c>
      <c r="P66" s="141">
        <v>299.85000000000002</v>
      </c>
    </row>
    <row r="67" spans="2:16" outlineLevel="1">
      <c r="B67" s="44">
        <v>44865</v>
      </c>
      <c r="C67" s="141">
        <v>449.05</v>
      </c>
      <c r="E67" s="44">
        <v>44865</v>
      </c>
      <c r="F67" s="141">
        <v>264.3</v>
      </c>
      <c r="H67" s="44">
        <v>44865</v>
      </c>
      <c r="I67" s="141">
        <v>51.5</v>
      </c>
      <c r="K67" s="44">
        <v>44865</v>
      </c>
      <c r="L67" s="141">
        <v>62.25</v>
      </c>
      <c r="O67" s="44">
        <v>44865</v>
      </c>
      <c r="P67" s="141">
        <v>306.05</v>
      </c>
    </row>
    <row r="68" spans="2:16" outlineLevel="1">
      <c r="B68" s="44">
        <v>44862</v>
      </c>
      <c r="C68" s="141">
        <v>447.95</v>
      </c>
      <c r="E68" s="44">
        <v>44862</v>
      </c>
      <c r="F68" s="141">
        <v>261.14999999999998</v>
      </c>
      <c r="H68" s="44">
        <v>44862</v>
      </c>
      <c r="I68" s="141">
        <v>52.2</v>
      </c>
      <c r="K68" s="44">
        <v>44862</v>
      </c>
      <c r="L68" s="141">
        <v>58.75</v>
      </c>
      <c r="O68" s="44">
        <v>44862</v>
      </c>
      <c r="P68" s="141">
        <v>291.2</v>
      </c>
    </row>
    <row r="69" spans="2:16" outlineLevel="1">
      <c r="B69" s="44">
        <v>44861</v>
      </c>
      <c r="C69" s="141">
        <v>446.7</v>
      </c>
      <c r="E69" s="44">
        <v>44861</v>
      </c>
      <c r="F69" s="141">
        <v>262.35000000000002</v>
      </c>
      <c r="H69" s="44">
        <v>44861</v>
      </c>
      <c r="I69" s="141">
        <v>52.25</v>
      </c>
      <c r="K69" s="44">
        <v>44861</v>
      </c>
      <c r="L69" s="141">
        <v>57.75</v>
      </c>
      <c r="O69" s="44">
        <v>44861</v>
      </c>
      <c r="P69" s="141">
        <v>290.89999999999998</v>
      </c>
    </row>
    <row r="70" spans="2:16" outlineLevel="1">
      <c r="B70" s="44">
        <v>44859</v>
      </c>
      <c r="C70" s="141">
        <v>459.9</v>
      </c>
      <c r="E70" s="44">
        <v>44859</v>
      </c>
      <c r="F70" s="141">
        <v>263.89999999999998</v>
      </c>
      <c r="H70" s="44">
        <v>44859</v>
      </c>
      <c r="I70" s="141">
        <v>52</v>
      </c>
      <c r="K70" s="44">
        <v>44859</v>
      </c>
      <c r="L70" s="141">
        <v>57.75</v>
      </c>
      <c r="O70" s="44">
        <v>44859</v>
      </c>
      <c r="P70" s="141">
        <v>293.14999999999998</v>
      </c>
    </row>
    <row r="71" spans="2:16" outlineLevel="1">
      <c r="B71" s="44">
        <v>44858</v>
      </c>
      <c r="C71" s="141">
        <v>460.1</v>
      </c>
      <c r="E71" s="44">
        <v>44858</v>
      </c>
      <c r="F71" s="141">
        <v>263.8</v>
      </c>
      <c r="H71" s="44">
        <v>44858</v>
      </c>
      <c r="I71" s="141">
        <v>51.7</v>
      </c>
      <c r="K71" s="44">
        <v>44858</v>
      </c>
      <c r="L71" s="141">
        <v>58.95</v>
      </c>
      <c r="O71" s="44">
        <v>44858</v>
      </c>
      <c r="P71" s="141">
        <v>298.8</v>
      </c>
    </row>
    <row r="72" spans="2:16" outlineLevel="1">
      <c r="B72" s="44">
        <v>44855</v>
      </c>
      <c r="C72" s="141">
        <v>444.25</v>
      </c>
      <c r="E72" s="44">
        <v>44855</v>
      </c>
      <c r="F72" s="141">
        <v>264.5</v>
      </c>
      <c r="H72" s="44">
        <v>44855</v>
      </c>
      <c r="I72" s="141">
        <v>51.2</v>
      </c>
      <c r="K72" s="44">
        <v>44855</v>
      </c>
      <c r="L72" s="141">
        <v>57.7</v>
      </c>
      <c r="O72" s="44">
        <v>44855</v>
      </c>
      <c r="P72" s="141">
        <v>296.5</v>
      </c>
    </row>
    <row r="73" spans="2:16" outlineLevel="1">
      <c r="B73" s="44">
        <v>44854</v>
      </c>
      <c r="C73" s="141">
        <v>447.35</v>
      </c>
      <c r="E73" s="44">
        <v>44854</v>
      </c>
      <c r="F73" s="141">
        <v>266.45</v>
      </c>
      <c r="H73" s="44">
        <v>44854</v>
      </c>
      <c r="I73" s="141">
        <v>51.4</v>
      </c>
      <c r="K73" s="44">
        <v>44854</v>
      </c>
      <c r="L73" s="141">
        <v>58.25</v>
      </c>
      <c r="O73" s="44">
        <v>44854</v>
      </c>
      <c r="P73" s="141">
        <v>304.25</v>
      </c>
    </row>
    <row r="74" spans="2:16" outlineLevel="1">
      <c r="B74" s="44">
        <v>44853</v>
      </c>
      <c r="C74" s="141">
        <v>457.2</v>
      </c>
      <c r="E74" s="44">
        <v>44853</v>
      </c>
      <c r="F74" s="141">
        <v>272.3</v>
      </c>
      <c r="H74" s="44">
        <v>44853</v>
      </c>
      <c r="I74" s="141">
        <v>51.35</v>
      </c>
      <c r="K74" s="44">
        <v>44853</v>
      </c>
      <c r="L74" s="141">
        <v>59.05</v>
      </c>
      <c r="O74" s="44">
        <v>44853</v>
      </c>
      <c r="P74" s="141">
        <v>299.85000000000002</v>
      </c>
    </row>
    <row r="75" spans="2:16" outlineLevel="1">
      <c r="B75" s="44">
        <v>44852</v>
      </c>
      <c r="C75" s="141">
        <v>461.6</v>
      </c>
      <c r="E75" s="44">
        <v>44852</v>
      </c>
      <c r="F75" s="141">
        <v>262.89999999999998</v>
      </c>
      <c r="H75" s="44">
        <v>44852</v>
      </c>
      <c r="I75" s="141">
        <v>51.65</v>
      </c>
      <c r="K75" s="44">
        <v>44852</v>
      </c>
      <c r="L75" s="141">
        <v>59</v>
      </c>
      <c r="O75" s="44">
        <v>44852</v>
      </c>
      <c r="P75" s="141">
        <v>298.2</v>
      </c>
    </row>
    <row r="76" spans="2:16" outlineLevel="1">
      <c r="B76" s="44">
        <v>44851</v>
      </c>
      <c r="C76" s="141">
        <v>460.6</v>
      </c>
      <c r="E76" s="44">
        <v>44851</v>
      </c>
      <c r="F76" s="141">
        <v>264.75</v>
      </c>
      <c r="H76" s="44">
        <v>44851</v>
      </c>
      <c r="I76" s="141">
        <v>51.65</v>
      </c>
      <c r="K76" s="44">
        <v>44851</v>
      </c>
      <c r="L76" s="141">
        <v>58.9</v>
      </c>
      <c r="O76" s="44">
        <v>44851</v>
      </c>
      <c r="P76" s="141">
        <v>290.39999999999998</v>
      </c>
    </row>
    <row r="77" spans="2:16" outlineLevel="1">
      <c r="B77" s="44">
        <v>44848</v>
      </c>
      <c r="C77" s="141">
        <v>468.55</v>
      </c>
      <c r="E77" s="44">
        <v>44848</v>
      </c>
      <c r="F77" s="141">
        <v>262.89999999999998</v>
      </c>
      <c r="H77" s="44">
        <v>44848</v>
      </c>
      <c r="I77" s="141">
        <v>50.85</v>
      </c>
      <c r="K77" s="44">
        <v>44848</v>
      </c>
      <c r="L77" s="141">
        <v>59.45</v>
      </c>
      <c r="O77" s="44">
        <v>44848</v>
      </c>
      <c r="P77" s="141">
        <v>289.75</v>
      </c>
    </row>
    <row r="78" spans="2:16" outlineLevel="1">
      <c r="B78" s="44">
        <v>44847</v>
      </c>
      <c r="C78" s="141">
        <v>460.9</v>
      </c>
      <c r="E78" s="44">
        <v>44847</v>
      </c>
      <c r="F78" s="141">
        <v>266.5</v>
      </c>
      <c r="H78" s="44">
        <v>44847</v>
      </c>
      <c r="I78" s="141">
        <v>51.6</v>
      </c>
      <c r="K78" s="44">
        <v>44847</v>
      </c>
      <c r="L78" s="141">
        <v>55.1</v>
      </c>
      <c r="O78" s="44">
        <v>44847</v>
      </c>
      <c r="P78" s="141">
        <v>285.75</v>
      </c>
    </row>
    <row r="79" spans="2:16" outlineLevel="1">
      <c r="B79" s="44">
        <v>44846</v>
      </c>
      <c r="C79" s="141">
        <v>444.55</v>
      </c>
      <c r="E79" s="44">
        <v>44846</v>
      </c>
      <c r="F79" s="141">
        <v>270.55</v>
      </c>
      <c r="H79" s="44">
        <v>44846</v>
      </c>
      <c r="I79" s="141">
        <v>52.4</v>
      </c>
      <c r="K79" s="44">
        <v>44846</v>
      </c>
      <c r="L79" s="141">
        <v>56.2</v>
      </c>
      <c r="O79" s="44">
        <v>44846</v>
      </c>
      <c r="P79" s="141">
        <v>284.14999999999998</v>
      </c>
    </row>
    <row r="80" spans="2:16" outlineLevel="1">
      <c r="B80" s="44">
        <v>44845</v>
      </c>
      <c r="C80" s="141">
        <v>458.25</v>
      </c>
      <c r="E80" s="44">
        <v>44845</v>
      </c>
      <c r="F80" s="141">
        <v>270.35000000000002</v>
      </c>
      <c r="H80" s="44">
        <v>44845</v>
      </c>
      <c r="I80" s="141">
        <v>51.55</v>
      </c>
      <c r="K80" s="44">
        <v>44845</v>
      </c>
      <c r="L80" s="141">
        <v>56.8</v>
      </c>
      <c r="O80" s="44">
        <v>44845</v>
      </c>
      <c r="P80" s="141">
        <v>282.05</v>
      </c>
    </row>
    <row r="81" spans="2:16" outlineLevel="1">
      <c r="B81" s="44">
        <v>44844</v>
      </c>
      <c r="C81" s="141">
        <v>467</v>
      </c>
      <c r="E81" s="44">
        <v>44844</v>
      </c>
      <c r="F81" s="141">
        <v>277.60000000000002</v>
      </c>
      <c r="H81" s="44">
        <v>44844</v>
      </c>
      <c r="I81" s="141">
        <v>52.8</v>
      </c>
      <c r="K81" s="44">
        <v>44844</v>
      </c>
      <c r="L81" s="141">
        <v>58.8</v>
      </c>
      <c r="O81" s="44">
        <v>44844</v>
      </c>
      <c r="P81" s="141">
        <v>282.3</v>
      </c>
    </row>
    <row r="82" spans="2:16" outlineLevel="1">
      <c r="B82" s="44">
        <v>44841</v>
      </c>
      <c r="C82" s="141">
        <v>464.9</v>
      </c>
      <c r="E82" s="44">
        <v>44841</v>
      </c>
      <c r="F82" s="141">
        <v>275.5</v>
      </c>
      <c r="H82" s="44">
        <v>44841</v>
      </c>
      <c r="I82" s="141">
        <v>52.85</v>
      </c>
      <c r="K82" s="44">
        <v>44841</v>
      </c>
      <c r="L82" s="141">
        <v>59.8</v>
      </c>
      <c r="O82" s="44">
        <v>44841</v>
      </c>
      <c r="P82" s="141">
        <v>287.7</v>
      </c>
    </row>
    <row r="83" spans="2:16" outlineLevel="1">
      <c r="B83" s="44">
        <v>44840</v>
      </c>
      <c r="C83" s="141">
        <v>473.3</v>
      </c>
      <c r="E83" s="44">
        <v>44840</v>
      </c>
      <c r="F83" s="141">
        <v>276.14999999999998</v>
      </c>
      <c r="H83" s="44">
        <v>44840</v>
      </c>
      <c r="I83" s="141">
        <v>52.65</v>
      </c>
      <c r="K83" s="44">
        <v>44840</v>
      </c>
      <c r="L83" s="141">
        <v>60.25</v>
      </c>
      <c r="O83" s="44">
        <v>44840</v>
      </c>
      <c r="P83" s="141">
        <v>289.45</v>
      </c>
    </row>
    <row r="84" spans="2:16" outlineLevel="1">
      <c r="B84" s="44">
        <v>44838</v>
      </c>
      <c r="C84" s="141">
        <v>469.9</v>
      </c>
      <c r="E84" s="44">
        <v>44838</v>
      </c>
      <c r="F84" s="141">
        <v>275.05</v>
      </c>
      <c r="H84" s="44">
        <v>44838</v>
      </c>
      <c r="I84" s="141">
        <v>52.2</v>
      </c>
      <c r="K84" s="44">
        <v>44838</v>
      </c>
      <c r="L84" s="141">
        <v>59.65</v>
      </c>
      <c r="O84" s="44">
        <v>44838</v>
      </c>
      <c r="P84" s="141">
        <v>287</v>
      </c>
    </row>
    <row r="85" spans="2:16" outlineLevel="1">
      <c r="B85" s="44">
        <v>44837</v>
      </c>
      <c r="C85" s="141">
        <v>462.05</v>
      </c>
      <c r="E85" s="44">
        <v>44837</v>
      </c>
      <c r="F85" s="141">
        <v>274.60000000000002</v>
      </c>
      <c r="H85" s="44">
        <v>44837</v>
      </c>
      <c r="I85" s="141">
        <v>51.55</v>
      </c>
      <c r="K85" s="44">
        <v>44837</v>
      </c>
      <c r="L85" s="141">
        <v>58.55</v>
      </c>
      <c r="O85" s="44">
        <v>44837</v>
      </c>
      <c r="P85" s="141">
        <v>283.8</v>
      </c>
    </row>
    <row r="86" spans="2:16" outlineLevel="1">
      <c r="B86" s="44">
        <v>44834</v>
      </c>
      <c r="C86" s="141">
        <v>465</v>
      </c>
      <c r="E86" s="44">
        <v>44834</v>
      </c>
      <c r="F86" s="141">
        <v>278.14999999999998</v>
      </c>
      <c r="H86" s="44">
        <v>44834</v>
      </c>
      <c r="I86" s="141">
        <v>52</v>
      </c>
      <c r="K86" s="44">
        <v>44834</v>
      </c>
      <c r="L86" s="141">
        <v>58.2</v>
      </c>
      <c r="O86" s="44">
        <v>44834</v>
      </c>
      <c r="P86" s="141">
        <v>286.55</v>
      </c>
    </row>
    <row r="87" spans="2:16" outlineLevel="1">
      <c r="B87" s="44">
        <v>44833</v>
      </c>
      <c r="C87" s="141">
        <v>464.75</v>
      </c>
      <c r="E87" s="44">
        <v>44833</v>
      </c>
      <c r="F87" s="141">
        <v>275</v>
      </c>
      <c r="H87" s="44">
        <v>44833</v>
      </c>
      <c r="I87" s="141">
        <v>51.5</v>
      </c>
      <c r="K87" s="44">
        <v>44833</v>
      </c>
      <c r="L87" s="141">
        <v>58.05</v>
      </c>
      <c r="O87" s="44">
        <v>44833</v>
      </c>
      <c r="P87" s="141">
        <v>287.25</v>
      </c>
    </row>
    <row r="88" spans="2:16" outlineLevel="1">
      <c r="B88" s="44">
        <v>44832</v>
      </c>
      <c r="C88" s="141">
        <v>461.2</v>
      </c>
      <c r="E88" s="44">
        <v>44832</v>
      </c>
      <c r="F88" s="141">
        <v>274.10000000000002</v>
      </c>
      <c r="H88" s="44">
        <v>44832</v>
      </c>
      <c r="I88" s="141">
        <v>51.65</v>
      </c>
      <c r="K88" s="44">
        <v>44832</v>
      </c>
      <c r="L88" s="141">
        <v>59.6</v>
      </c>
      <c r="O88" s="44">
        <v>44832</v>
      </c>
      <c r="P88" s="141">
        <v>291.25</v>
      </c>
    </row>
    <row r="89" spans="2:16" outlineLevel="1">
      <c r="B89" s="44">
        <v>44831</v>
      </c>
      <c r="C89" s="141">
        <v>453.5</v>
      </c>
      <c r="E89" s="44">
        <v>44831</v>
      </c>
      <c r="F89" s="141">
        <v>275.2</v>
      </c>
      <c r="H89" s="44">
        <v>44831</v>
      </c>
      <c r="I89" s="141">
        <v>52.1</v>
      </c>
      <c r="K89" s="44">
        <v>44831</v>
      </c>
      <c r="L89" s="141">
        <v>58.4</v>
      </c>
      <c r="O89" s="44">
        <v>44831</v>
      </c>
      <c r="P89" s="141">
        <v>296.05</v>
      </c>
    </row>
    <row r="90" spans="2:16" outlineLevel="1">
      <c r="B90" s="44">
        <v>44830</v>
      </c>
      <c r="C90" s="141">
        <v>459.75</v>
      </c>
      <c r="E90" s="44">
        <v>44830</v>
      </c>
      <c r="F90" s="141">
        <v>268.2</v>
      </c>
      <c r="H90" s="44">
        <v>44830</v>
      </c>
      <c r="I90" s="141">
        <v>51.6</v>
      </c>
      <c r="K90" s="44">
        <v>44830</v>
      </c>
      <c r="L90" s="141">
        <v>59</v>
      </c>
      <c r="O90" s="44">
        <v>44830</v>
      </c>
      <c r="P90" s="141">
        <v>293.5</v>
      </c>
    </row>
    <row r="91" spans="2:16" outlineLevel="1">
      <c r="B91" s="44">
        <v>44827</v>
      </c>
      <c r="C91" s="141">
        <v>479.75</v>
      </c>
      <c r="E91" s="44">
        <v>44827</v>
      </c>
      <c r="F91" s="141">
        <v>279.3</v>
      </c>
      <c r="H91" s="44">
        <v>44827</v>
      </c>
      <c r="I91" s="141">
        <v>54.4</v>
      </c>
      <c r="K91" s="44">
        <v>44827</v>
      </c>
      <c r="L91" s="141">
        <v>62.05</v>
      </c>
      <c r="O91" s="44">
        <v>44827</v>
      </c>
      <c r="P91" s="141">
        <v>293.3</v>
      </c>
    </row>
    <row r="92" spans="2:16" outlineLevel="1">
      <c r="B92" s="44">
        <v>44826</v>
      </c>
      <c r="C92" s="141">
        <v>479.9</v>
      </c>
      <c r="E92" s="44">
        <v>44826</v>
      </c>
      <c r="F92" s="141">
        <v>284.45</v>
      </c>
      <c r="H92" s="44">
        <v>44826</v>
      </c>
      <c r="I92" s="141">
        <v>55.65</v>
      </c>
      <c r="K92" s="44">
        <v>44826</v>
      </c>
      <c r="L92" s="141">
        <v>62.6</v>
      </c>
      <c r="O92" s="44">
        <v>44826</v>
      </c>
      <c r="P92" s="141">
        <v>293.39999999999998</v>
      </c>
    </row>
    <row r="93" spans="2:16" outlineLevel="1">
      <c r="B93" s="44">
        <v>44825</v>
      </c>
      <c r="C93" s="141">
        <v>474.85</v>
      </c>
      <c r="E93" s="44">
        <v>44825</v>
      </c>
      <c r="F93" s="141">
        <v>279.3</v>
      </c>
      <c r="H93" s="44">
        <v>44825</v>
      </c>
      <c r="I93" s="141">
        <v>56.3</v>
      </c>
      <c r="K93" s="44">
        <v>44825</v>
      </c>
      <c r="L93" s="141">
        <v>63.8</v>
      </c>
      <c r="O93" s="44">
        <v>44825</v>
      </c>
      <c r="P93" s="141">
        <v>294.7</v>
      </c>
    </row>
    <row r="94" spans="2:16" outlineLevel="1">
      <c r="B94" s="44">
        <v>44824</v>
      </c>
      <c r="C94" s="141">
        <v>476.7</v>
      </c>
      <c r="E94" s="44">
        <v>44824</v>
      </c>
      <c r="F94" s="141">
        <v>283.05</v>
      </c>
      <c r="H94" s="44">
        <v>44824</v>
      </c>
      <c r="I94" s="141">
        <v>56.55</v>
      </c>
      <c r="K94" s="44">
        <v>44824</v>
      </c>
      <c r="L94" s="141">
        <v>63.45</v>
      </c>
      <c r="O94" s="44">
        <v>44824</v>
      </c>
      <c r="P94" s="141">
        <v>300.25</v>
      </c>
    </row>
    <row r="95" spans="2:16" outlineLevel="1">
      <c r="B95" s="44">
        <v>44823</v>
      </c>
      <c r="C95" s="141">
        <v>477.4</v>
      </c>
      <c r="E95" s="44">
        <v>44823</v>
      </c>
      <c r="F95" s="141">
        <v>285.10000000000002</v>
      </c>
      <c r="H95" s="44">
        <v>44823</v>
      </c>
      <c r="I95" s="141">
        <v>56.7</v>
      </c>
      <c r="K95" s="44">
        <v>44823</v>
      </c>
      <c r="L95" s="141">
        <v>63.45</v>
      </c>
      <c r="O95" s="44">
        <v>44823</v>
      </c>
      <c r="P95" s="141">
        <v>298.3</v>
      </c>
    </row>
    <row r="96" spans="2:16" outlineLevel="1">
      <c r="B96" s="44">
        <v>44820</v>
      </c>
      <c r="C96" s="141">
        <v>465</v>
      </c>
      <c r="E96" s="44">
        <v>44820</v>
      </c>
      <c r="F96" s="141">
        <v>288.95</v>
      </c>
      <c r="H96" s="44">
        <v>44820</v>
      </c>
      <c r="I96" s="141">
        <v>56.8</v>
      </c>
      <c r="K96" s="44">
        <v>44820</v>
      </c>
      <c r="L96" s="141">
        <v>62.1</v>
      </c>
      <c r="O96" s="44">
        <v>44820</v>
      </c>
      <c r="P96" s="141">
        <v>297.64999999999998</v>
      </c>
    </row>
    <row r="97" spans="2:16" outlineLevel="1">
      <c r="B97" s="44">
        <v>44819</v>
      </c>
      <c r="C97" s="141">
        <v>460</v>
      </c>
      <c r="E97" s="44">
        <v>44819</v>
      </c>
      <c r="F97" s="141">
        <v>293.95</v>
      </c>
      <c r="H97" s="44">
        <v>44819</v>
      </c>
      <c r="I97" s="141">
        <v>57.85</v>
      </c>
      <c r="K97" s="44">
        <v>44819</v>
      </c>
      <c r="L97" s="141">
        <v>63</v>
      </c>
      <c r="O97" s="44">
        <v>44819</v>
      </c>
      <c r="P97" s="141">
        <v>303.3</v>
      </c>
    </row>
    <row r="98" spans="2:16" outlineLevel="1">
      <c r="B98" s="44">
        <v>44818</v>
      </c>
      <c r="C98" s="141">
        <v>462.95</v>
      </c>
      <c r="E98" s="44">
        <v>44818</v>
      </c>
      <c r="F98" s="141">
        <v>302.75</v>
      </c>
      <c r="H98" s="44">
        <v>44818</v>
      </c>
      <c r="I98" s="141">
        <v>58.8</v>
      </c>
      <c r="K98" s="44">
        <v>44818</v>
      </c>
      <c r="L98" s="141">
        <v>63.75</v>
      </c>
      <c r="O98" s="44">
        <v>44818</v>
      </c>
      <c r="P98" s="141">
        <v>304.75</v>
      </c>
    </row>
    <row r="99" spans="2:16" outlineLevel="1">
      <c r="B99" s="44">
        <v>44817</v>
      </c>
      <c r="C99" s="141">
        <v>460.7</v>
      </c>
      <c r="E99" s="44">
        <v>44817</v>
      </c>
      <c r="F99" s="141">
        <v>300.64999999999998</v>
      </c>
      <c r="H99" s="44">
        <v>44817</v>
      </c>
      <c r="I99" s="141">
        <v>58.7</v>
      </c>
      <c r="K99" s="44">
        <v>44817</v>
      </c>
      <c r="L99" s="141">
        <v>63.1</v>
      </c>
      <c r="O99" s="44">
        <v>44817</v>
      </c>
      <c r="P99" s="141">
        <v>303.45</v>
      </c>
    </row>
    <row r="100" spans="2:16" outlineLevel="1">
      <c r="B100" s="44">
        <v>44816</v>
      </c>
      <c r="C100" s="141">
        <v>460.8</v>
      </c>
      <c r="E100" s="44">
        <v>44816</v>
      </c>
      <c r="F100" s="141">
        <v>293.3</v>
      </c>
      <c r="H100" s="44">
        <v>44816</v>
      </c>
      <c r="I100" s="141">
        <v>58.6</v>
      </c>
      <c r="K100" s="44">
        <v>44816</v>
      </c>
      <c r="L100" s="141">
        <v>63.65</v>
      </c>
      <c r="O100" s="44">
        <v>44816</v>
      </c>
      <c r="P100" s="141">
        <v>303.3</v>
      </c>
    </row>
    <row r="101" spans="2:16" outlineLevel="1">
      <c r="B101" s="44">
        <v>44813</v>
      </c>
      <c r="C101" s="141">
        <v>450.45</v>
      </c>
      <c r="E101" s="44">
        <v>44813</v>
      </c>
      <c r="F101" s="141">
        <v>287.45</v>
      </c>
      <c r="H101" s="44">
        <v>44813</v>
      </c>
      <c r="I101" s="141">
        <v>57.25</v>
      </c>
      <c r="K101" s="44">
        <v>44813</v>
      </c>
      <c r="L101" s="141">
        <v>64.05</v>
      </c>
      <c r="O101" s="44">
        <v>44813</v>
      </c>
      <c r="P101" s="141">
        <v>305.3</v>
      </c>
    </row>
    <row r="102" spans="2:16" outlineLevel="1">
      <c r="B102" s="44">
        <v>44812</v>
      </c>
      <c r="C102" s="141">
        <v>441.25</v>
      </c>
      <c r="E102" s="44">
        <v>44812</v>
      </c>
      <c r="F102" s="141">
        <v>291</v>
      </c>
      <c r="H102" s="44">
        <v>44812</v>
      </c>
      <c r="I102" s="141">
        <v>57.65</v>
      </c>
      <c r="K102" s="44">
        <v>44812</v>
      </c>
      <c r="L102" s="141">
        <v>64.400000000000006</v>
      </c>
      <c r="O102" s="44">
        <v>44812</v>
      </c>
      <c r="P102" s="141">
        <v>300.45</v>
      </c>
    </row>
    <row r="103" spans="2:16" outlineLevel="1">
      <c r="B103" s="44">
        <v>44811</v>
      </c>
      <c r="C103" s="141">
        <v>440</v>
      </c>
      <c r="E103" s="44">
        <v>44811</v>
      </c>
      <c r="F103" s="141">
        <v>289.85000000000002</v>
      </c>
      <c r="H103" s="44">
        <v>44811</v>
      </c>
      <c r="I103" s="141">
        <v>57.7</v>
      </c>
      <c r="K103" s="44">
        <v>44811</v>
      </c>
      <c r="L103" s="141">
        <v>64.3</v>
      </c>
      <c r="O103" s="44">
        <v>44811</v>
      </c>
      <c r="P103" s="141">
        <v>300.64999999999998</v>
      </c>
    </row>
    <row r="104" spans="2:16" outlineLevel="1">
      <c r="B104" s="44">
        <v>44810</v>
      </c>
      <c r="C104" s="141">
        <v>439.25</v>
      </c>
      <c r="E104" s="44">
        <v>44810</v>
      </c>
      <c r="F104" s="141">
        <v>288.75</v>
      </c>
      <c r="H104" s="44">
        <v>44810</v>
      </c>
      <c r="I104" s="141">
        <v>56.9</v>
      </c>
      <c r="K104" s="44">
        <v>44810</v>
      </c>
      <c r="L104" s="141">
        <v>64.95</v>
      </c>
      <c r="O104" s="44">
        <v>44810</v>
      </c>
      <c r="P104" s="141">
        <v>303.89999999999998</v>
      </c>
    </row>
    <row r="105" spans="2:16" outlineLevel="1">
      <c r="B105" s="44">
        <v>44809</v>
      </c>
      <c r="C105" s="141">
        <v>438.35</v>
      </c>
      <c r="E105" s="44">
        <v>44809</v>
      </c>
      <c r="F105" s="141">
        <v>287.89999999999998</v>
      </c>
      <c r="H105" s="44">
        <v>44809</v>
      </c>
      <c r="I105" s="141">
        <v>58.3</v>
      </c>
      <c r="K105" s="44">
        <v>44809</v>
      </c>
      <c r="L105" s="141">
        <v>65.150000000000006</v>
      </c>
      <c r="O105" s="44">
        <v>44809</v>
      </c>
      <c r="P105" s="141">
        <v>298.64999999999998</v>
      </c>
    </row>
    <row r="106" spans="2:16" outlineLevel="1">
      <c r="B106" s="44">
        <v>44806</v>
      </c>
      <c r="C106" s="141">
        <v>437.75</v>
      </c>
      <c r="E106" s="44">
        <v>44806</v>
      </c>
      <c r="F106" s="141">
        <v>288.85000000000002</v>
      </c>
      <c r="H106" s="44">
        <v>44806</v>
      </c>
      <c r="I106" s="141">
        <v>59.1</v>
      </c>
      <c r="K106" s="44">
        <v>44806</v>
      </c>
      <c r="L106" s="141">
        <v>65.75</v>
      </c>
      <c r="O106" s="44">
        <v>44806</v>
      </c>
      <c r="P106" s="141">
        <v>295.2</v>
      </c>
    </row>
    <row r="107" spans="2:16" outlineLevel="1">
      <c r="B107" s="44">
        <v>44805</v>
      </c>
      <c r="C107" s="141">
        <v>439.85</v>
      </c>
      <c r="E107" s="44">
        <v>44805</v>
      </c>
      <c r="F107" s="141">
        <v>294.05</v>
      </c>
      <c r="H107" s="44">
        <v>44805</v>
      </c>
      <c r="I107" s="141">
        <v>59.65</v>
      </c>
      <c r="K107" s="44">
        <v>44805</v>
      </c>
      <c r="L107" s="141">
        <v>63.4</v>
      </c>
      <c r="O107" s="44">
        <v>44805</v>
      </c>
      <c r="P107" s="141">
        <v>300.10000000000002</v>
      </c>
    </row>
    <row r="108" spans="2:16" outlineLevel="1">
      <c r="B108" s="44">
        <v>44803</v>
      </c>
      <c r="C108" s="141">
        <v>430.55</v>
      </c>
      <c r="E108" s="44">
        <v>44803</v>
      </c>
      <c r="F108" s="141">
        <v>295.10000000000002</v>
      </c>
      <c r="H108" s="44">
        <v>44803</v>
      </c>
      <c r="I108" s="141">
        <v>56.15</v>
      </c>
      <c r="K108" s="44">
        <v>44803</v>
      </c>
      <c r="L108" s="141">
        <v>63.7</v>
      </c>
      <c r="O108" s="44">
        <v>44803</v>
      </c>
      <c r="P108" s="141">
        <v>301.89999999999998</v>
      </c>
    </row>
    <row r="109" spans="2:16" outlineLevel="1">
      <c r="B109" s="44">
        <v>44802</v>
      </c>
      <c r="C109" s="141">
        <v>436.05</v>
      </c>
      <c r="E109" s="44">
        <v>44802</v>
      </c>
      <c r="F109" s="141">
        <v>293.55</v>
      </c>
      <c r="H109" s="44">
        <v>44802</v>
      </c>
      <c r="I109" s="141">
        <v>57.65</v>
      </c>
      <c r="K109" s="44">
        <v>44802</v>
      </c>
      <c r="L109" s="141">
        <v>63.35</v>
      </c>
      <c r="O109" s="44">
        <v>44802</v>
      </c>
      <c r="P109" s="141">
        <v>297.8</v>
      </c>
    </row>
    <row r="110" spans="2:16" outlineLevel="1">
      <c r="B110" s="44">
        <v>44799</v>
      </c>
      <c r="C110" s="141">
        <v>418.7</v>
      </c>
      <c r="E110" s="44">
        <v>44799</v>
      </c>
      <c r="F110" s="141">
        <v>300.7</v>
      </c>
      <c r="H110" s="44">
        <v>44799</v>
      </c>
      <c r="I110" s="141">
        <v>54.2</v>
      </c>
      <c r="K110" s="44">
        <v>44799</v>
      </c>
      <c r="L110" s="141">
        <v>63.15</v>
      </c>
      <c r="O110" s="44">
        <v>44799</v>
      </c>
      <c r="P110" s="141">
        <v>301.95</v>
      </c>
    </row>
    <row r="111" spans="2:16" outlineLevel="1">
      <c r="B111" s="44">
        <v>44798</v>
      </c>
      <c r="C111" s="141">
        <v>423.8</v>
      </c>
      <c r="E111" s="44">
        <v>44798</v>
      </c>
      <c r="F111" s="141">
        <v>299.39999999999998</v>
      </c>
      <c r="H111" s="44">
        <v>44798</v>
      </c>
      <c r="I111" s="141">
        <v>52.15</v>
      </c>
      <c r="K111" s="44">
        <v>44798</v>
      </c>
      <c r="L111" s="141">
        <v>63.85</v>
      </c>
      <c r="O111" s="44">
        <v>44798</v>
      </c>
      <c r="P111" s="141">
        <v>297.3</v>
      </c>
    </row>
    <row r="112" spans="2:16" outlineLevel="1">
      <c r="B112" s="44">
        <v>44797</v>
      </c>
      <c r="C112" s="141">
        <v>426.65</v>
      </c>
      <c r="E112" s="44">
        <v>44797</v>
      </c>
      <c r="F112" s="141">
        <v>303.64999999999998</v>
      </c>
      <c r="H112" s="44">
        <v>44797</v>
      </c>
      <c r="I112" s="141">
        <v>52.5</v>
      </c>
      <c r="K112" s="44">
        <v>44797</v>
      </c>
      <c r="L112" s="141">
        <v>64.2</v>
      </c>
      <c r="O112" s="44">
        <v>44797</v>
      </c>
      <c r="P112" s="141">
        <v>299.14999999999998</v>
      </c>
    </row>
    <row r="113" spans="2:16" outlineLevel="1">
      <c r="B113" s="44">
        <v>44796</v>
      </c>
      <c r="C113" s="141">
        <v>438.55</v>
      </c>
      <c r="E113" s="44">
        <v>44796</v>
      </c>
      <c r="F113" s="141">
        <v>300.55</v>
      </c>
      <c r="H113" s="44">
        <v>44796</v>
      </c>
      <c r="I113" s="141">
        <v>51.55</v>
      </c>
      <c r="K113" s="44">
        <v>44796</v>
      </c>
      <c r="L113" s="141">
        <v>64.75</v>
      </c>
      <c r="O113" s="44">
        <v>44796</v>
      </c>
      <c r="P113" s="141">
        <v>297.05</v>
      </c>
    </row>
    <row r="114" spans="2:16" outlineLevel="1">
      <c r="B114" s="44">
        <v>44795</v>
      </c>
      <c r="C114" s="141">
        <v>432.35</v>
      </c>
      <c r="E114" s="44">
        <v>44795</v>
      </c>
      <c r="F114" s="141">
        <v>301.14999999999998</v>
      </c>
      <c r="H114" s="44">
        <v>44795</v>
      </c>
      <c r="I114" s="141">
        <v>51.1</v>
      </c>
      <c r="K114" s="44">
        <v>44795</v>
      </c>
      <c r="L114" s="141">
        <v>65.55</v>
      </c>
      <c r="O114" s="44">
        <v>44795</v>
      </c>
      <c r="P114" s="141">
        <v>293.95</v>
      </c>
    </row>
    <row r="115" spans="2:16" outlineLevel="1">
      <c r="B115" s="44">
        <v>44792</v>
      </c>
      <c r="C115" s="141">
        <v>434.2</v>
      </c>
      <c r="E115" s="44">
        <v>44792</v>
      </c>
      <c r="F115" s="141">
        <v>305.14999999999998</v>
      </c>
      <c r="H115" s="44">
        <v>44792</v>
      </c>
      <c r="I115" s="141">
        <v>52.1</v>
      </c>
      <c r="K115" s="44">
        <v>44792</v>
      </c>
      <c r="L115" s="141">
        <v>67.3</v>
      </c>
      <c r="O115" s="44">
        <v>44792</v>
      </c>
      <c r="P115" s="141">
        <v>299.35000000000002</v>
      </c>
    </row>
    <row r="116" spans="2:16" outlineLevel="1">
      <c r="B116" s="44">
        <v>44791</v>
      </c>
      <c r="C116" s="141">
        <v>437.95</v>
      </c>
      <c r="E116" s="44">
        <v>44791</v>
      </c>
      <c r="F116" s="141">
        <v>309.05</v>
      </c>
      <c r="H116" s="44">
        <v>44791</v>
      </c>
      <c r="I116" s="141">
        <v>51.9</v>
      </c>
      <c r="K116" s="44">
        <v>44791</v>
      </c>
      <c r="L116" s="141">
        <v>67.75</v>
      </c>
      <c r="O116" s="44">
        <v>44791</v>
      </c>
      <c r="P116" s="141">
        <v>301.85000000000002</v>
      </c>
    </row>
    <row r="117" spans="2:16" outlineLevel="1">
      <c r="B117" s="44">
        <v>44790</v>
      </c>
      <c r="C117" s="141">
        <v>434.55</v>
      </c>
      <c r="E117" s="44">
        <v>44790</v>
      </c>
      <c r="F117" s="141">
        <v>303.95</v>
      </c>
      <c r="H117" s="44">
        <v>44790</v>
      </c>
      <c r="I117" s="141">
        <v>52</v>
      </c>
      <c r="K117" s="44">
        <v>44790</v>
      </c>
      <c r="L117" s="141">
        <v>68.8</v>
      </c>
      <c r="O117" s="44">
        <v>44790</v>
      </c>
      <c r="P117" s="141">
        <v>300.85000000000002</v>
      </c>
    </row>
    <row r="118" spans="2:16" outlineLevel="1">
      <c r="B118" s="44">
        <v>44789</v>
      </c>
      <c r="C118" s="141">
        <v>429.75</v>
      </c>
      <c r="E118" s="44">
        <v>44789</v>
      </c>
      <c r="F118" s="141">
        <v>297.8</v>
      </c>
      <c r="H118" s="44">
        <v>44789</v>
      </c>
      <c r="I118" s="141">
        <v>52.9</v>
      </c>
      <c r="K118" s="44">
        <v>44789</v>
      </c>
      <c r="L118" s="141">
        <v>68.45</v>
      </c>
      <c r="O118" s="44">
        <v>44789</v>
      </c>
      <c r="P118" s="141">
        <v>299.85000000000002</v>
      </c>
    </row>
    <row r="119" spans="2:16" outlineLevel="1">
      <c r="B119" s="44">
        <v>44785</v>
      </c>
      <c r="C119" s="141">
        <v>420.9</v>
      </c>
      <c r="E119" s="44">
        <v>44785</v>
      </c>
      <c r="F119" s="141">
        <v>291</v>
      </c>
      <c r="H119" s="44">
        <v>44785</v>
      </c>
      <c r="I119" s="141">
        <v>52.85</v>
      </c>
      <c r="K119" s="44">
        <v>44785</v>
      </c>
      <c r="L119" s="141">
        <v>68.8</v>
      </c>
      <c r="O119" s="44">
        <v>44785</v>
      </c>
      <c r="P119" s="141">
        <v>298.35000000000002</v>
      </c>
    </row>
    <row r="120" spans="2:16" outlineLevel="1">
      <c r="B120" s="44">
        <v>44784</v>
      </c>
      <c r="C120" s="141">
        <v>420.1</v>
      </c>
      <c r="E120" s="44">
        <v>44784</v>
      </c>
      <c r="F120" s="141">
        <v>288.35000000000002</v>
      </c>
      <c r="H120" s="44">
        <v>44784</v>
      </c>
      <c r="I120" s="141">
        <v>52.4</v>
      </c>
      <c r="K120" s="44">
        <v>44784</v>
      </c>
      <c r="L120" s="141">
        <v>69.650000000000006</v>
      </c>
      <c r="O120" s="44">
        <v>44784</v>
      </c>
      <c r="P120" s="141">
        <v>297.55</v>
      </c>
    </row>
    <row r="121" spans="2:16" outlineLevel="1">
      <c r="B121" s="44">
        <v>44783</v>
      </c>
      <c r="C121" s="141">
        <v>425.8</v>
      </c>
      <c r="E121" s="44">
        <v>44783</v>
      </c>
      <c r="F121" s="141">
        <v>291.95</v>
      </c>
      <c r="H121" s="44">
        <v>44783</v>
      </c>
      <c r="I121" s="141">
        <v>52.45</v>
      </c>
      <c r="K121" s="44">
        <v>44783</v>
      </c>
      <c r="L121" s="141">
        <v>70.650000000000006</v>
      </c>
      <c r="O121" s="44">
        <v>44783</v>
      </c>
      <c r="P121" s="141">
        <v>301.25</v>
      </c>
    </row>
    <row r="122" spans="2:16" outlineLevel="1">
      <c r="B122" s="44">
        <v>44781</v>
      </c>
      <c r="C122" s="141">
        <v>414.15</v>
      </c>
      <c r="E122" s="44">
        <v>44781</v>
      </c>
      <c r="F122" s="141">
        <v>284.35000000000002</v>
      </c>
      <c r="H122" s="44">
        <v>44781</v>
      </c>
      <c r="I122" s="141">
        <v>52.7</v>
      </c>
      <c r="K122" s="44">
        <v>44781</v>
      </c>
      <c r="L122" s="141">
        <v>71.900000000000006</v>
      </c>
      <c r="O122" s="44">
        <v>44781</v>
      </c>
      <c r="P122" s="141">
        <v>301.05</v>
      </c>
    </row>
    <row r="123" spans="2:16" outlineLevel="1">
      <c r="B123" s="44">
        <v>44778</v>
      </c>
      <c r="C123" s="141">
        <v>395.9</v>
      </c>
      <c r="E123" s="44">
        <v>44778</v>
      </c>
      <c r="F123" s="141">
        <v>285.85000000000002</v>
      </c>
      <c r="H123" s="44">
        <v>44778</v>
      </c>
      <c r="I123" s="141">
        <v>52.1</v>
      </c>
      <c r="K123" s="44">
        <v>44778</v>
      </c>
      <c r="L123" s="141">
        <v>72.95</v>
      </c>
      <c r="O123" s="44">
        <v>44778</v>
      </c>
      <c r="P123" s="141">
        <v>300.7</v>
      </c>
    </row>
    <row r="124" spans="2:16" outlineLevel="1">
      <c r="B124" s="44">
        <v>44777</v>
      </c>
      <c r="C124" s="141">
        <v>395.25</v>
      </c>
      <c r="E124" s="44">
        <v>44777</v>
      </c>
      <c r="F124" s="141">
        <v>280.2</v>
      </c>
      <c r="H124" s="44">
        <v>44777</v>
      </c>
      <c r="I124" s="141">
        <v>52.85</v>
      </c>
      <c r="K124" s="44">
        <v>44777</v>
      </c>
      <c r="L124" s="141">
        <v>71.849999999999994</v>
      </c>
      <c r="O124" s="44">
        <v>44777</v>
      </c>
      <c r="P124" s="141">
        <v>300.95</v>
      </c>
    </row>
    <row r="125" spans="2:16" outlineLevel="1">
      <c r="B125" s="44">
        <v>44776</v>
      </c>
      <c r="C125" s="141">
        <v>403.3</v>
      </c>
      <c r="E125" s="44">
        <v>44776</v>
      </c>
      <c r="F125" s="141">
        <v>281</v>
      </c>
      <c r="H125" s="44">
        <v>44776</v>
      </c>
      <c r="I125" s="141">
        <v>53.75</v>
      </c>
      <c r="K125" s="44">
        <v>44776</v>
      </c>
      <c r="L125" s="141">
        <v>71.55</v>
      </c>
      <c r="O125" s="44">
        <v>44776</v>
      </c>
      <c r="P125" s="141">
        <v>305.10000000000002</v>
      </c>
    </row>
    <row r="126" spans="2:16" outlineLevel="1">
      <c r="B126" s="44">
        <v>44775</v>
      </c>
      <c r="C126" s="141">
        <v>397.6</v>
      </c>
      <c r="E126" s="44">
        <v>44775</v>
      </c>
      <c r="F126" s="141">
        <v>287.39999999999998</v>
      </c>
      <c r="H126" s="44">
        <v>44775</v>
      </c>
      <c r="I126" s="141">
        <v>55.2</v>
      </c>
      <c r="K126" s="44">
        <v>44775</v>
      </c>
      <c r="L126" s="141">
        <v>72.2</v>
      </c>
      <c r="O126" s="44">
        <v>44775</v>
      </c>
      <c r="P126" s="141">
        <v>310.05</v>
      </c>
    </row>
    <row r="127" spans="2:16" outlineLevel="1">
      <c r="B127" s="44">
        <v>44774</v>
      </c>
      <c r="C127" s="141">
        <v>399.35</v>
      </c>
      <c r="E127" s="44">
        <v>44774</v>
      </c>
      <c r="F127" s="141">
        <v>292.05</v>
      </c>
      <c r="H127" s="44">
        <v>44774</v>
      </c>
      <c r="I127" s="141">
        <v>53.75</v>
      </c>
      <c r="K127" s="44">
        <v>44774</v>
      </c>
      <c r="L127" s="141">
        <v>73.95</v>
      </c>
      <c r="O127" s="44">
        <v>44774</v>
      </c>
      <c r="P127" s="141">
        <v>310.85000000000002</v>
      </c>
    </row>
    <row r="128" spans="2:16" outlineLevel="1">
      <c r="B128" s="44">
        <v>44771</v>
      </c>
      <c r="C128" s="141">
        <v>396.7</v>
      </c>
      <c r="E128" s="44">
        <v>44771</v>
      </c>
      <c r="F128" s="141">
        <v>285.55</v>
      </c>
      <c r="H128" s="44">
        <v>44771</v>
      </c>
      <c r="I128" s="141">
        <v>52.75</v>
      </c>
      <c r="K128" s="44">
        <v>44771</v>
      </c>
      <c r="L128" s="141">
        <v>73.8</v>
      </c>
      <c r="O128" s="44">
        <v>44771</v>
      </c>
      <c r="P128" s="141">
        <v>302.5</v>
      </c>
    </row>
    <row r="129" spans="2:16" outlineLevel="1">
      <c r="B129" s="44">
        <v>44770</v>
      </c>
      <c r="C129" s="141">
        <v>391.05</v>
      </c>
      <c r="E129" s="44">
        <v>44770</v>
      </c>
      <c r="F129" s="141">
        <v>281.39999999999998</v>
      </c>
      <c r="H129" s="44">
        <v>44770</v>
      </c>
      <c r="I129" s="141">
        <v>50.35</v>
      </c>
      <c r="K129" s="44">
        <v>44770</v>
      </c>
      <c r="L129" s="141">
        <v>72</v>
      </c>
      <c r="O129" s="44">
        <v>44770</v>
      </c>
      <c r="P129" s="141">
        <v>295.25</v>
      </c>
    </row>
    <row r="130" spans="2:16" outlineLevel="1">
      <c r="B130" s="44">
        <v>44769</v>
      </c>
      <c r="C130" s="141">
        <v>393.55</v>
      </c>
      <c r="E130" s="44">
        <v>44769</v>
      </c>
      <c r="F130" s="141">
        <v>282.39999999999998</v>
      </c>
      <c r="H130" s="44">
        <v>44769</v>
      </c>
      <c r="I130" s="141">
        <v>50.35</v>
      </c>
      <c r="K130" s="44">
        <v>44769</v>
      </c>
      <c r="L130" s="141">
        <v>72.099999999999994</v>
      </c>
      <c r="O130" s="44">
        <v>44769</v>
      </c>
      <c r="P130" s="141">
        <v>290.7</v>
      </c>
    </row>
    <row r="131" spans="2:16" outlineLevel="1">
      <c r="B131" s="44">
        <v>44768</v>
      </c>
      <c r="C131" s="141">
        <v>393.3</v>
      </c>
      <c r="E131" s="44">
        <v>44768</v>
      </c>
      <c r="F131" s="141">
        <v>276.64999999999998</v>
      </c>
      <c r="H131" s="44">
        <v>44768</v>
      </c>
      <c r="I131" s="141">
        <v>50.8</v>
      </c>
      <c r="K131" s="44">
        <v>44768</v>
      </c>
      <c r="L131" s="141">
        <v>71.099999999999994</v>
      </c>
      <c r="O131" s="44">
        <v>44768</v>
      </c>
      <c r="P131" s="141">
        <v>291.35000000000002</v>
      </c>
    </row>
    <row r="132" spans="2:16" outlineLevel="1">
      <c r="B132" s="44">
        <v>44767</v>
      </c>
      <c r="C132" s="141">
        <v>400</v>
      </c>
      <c r="E132" s="44">
        <v>44767</v>
      </c>
      <c r="F132" s="141">
        <v>283.05</v>
      </c>
      <c r="H132" s="44">
        <v>44767</v>
      </c>
      <c r="I132" s="141">
        <v>51.5</v>
      </c>
      <c r="K132" s="44">
        <v>44767</v>
      </c>
      <c r="L132" s="141">
        <v>72</v>
      </c>
      <c r="O132" s="44">
        <v>44767</v>
      </c>
      <c r="P132" s="141">
        <v>295.05</v>
      </c>
    </row>
    <row r="133" spans="2:16" outlineLevel="1">
      <c r="B133" s="44">
        <v>44764</v>
      </c>
      <c r="C133" s="141">
        <v>396.95</v>
      </c>
      <c r="E133" s="44">
        <v>44764</v>
      </c>
      <c r="F133" s="141">
        <v>276.3</v>
      </c>
      <c r="H133" s="44">
        <v>44764</v>
      </c>
      <c r="I133" s="141">
        <v>53.3</v>
      </c>
      <c r="K133" s="44">
        <v>44764</v>
      </c>
      <c r="L133" s="141">
        <v>70</v>
      </c>
      <c r="O133" s="44">
        <v>44764</v>
      </c>
      <c r="P133" s="141">
        <v>297.05</v>
      </c>
    </row>
    <row r="134" spans="2:16" outlineLevel="1">
      <c r="B134" s="44">
        <v>44763</v>
      </c>
      <c r="C134" s="141">
        <v>397.05</v>
      </c>
      <c r="E134" s="44">
        <v>44763</v>
      </c>
      <c r="F134" s="141">
        <v>275.14999999999998</v>
      </c>
      <c r="H134" s="44">
        <v>44763</v>
      </c>
      <c r="I134" s="141">
        <v>51.4</v>
      </c>
      <c r="K134" s="44">
        <v>44763</v>
      </c>
      <c r="L134" s="141">
        <v>68.650000000000006</v>
      </c>
      <c r="O134" s="44">
        <v>44763</v>
      </c>
      <c r="P134" s="141">
        <v>300</v>
      </c>
    </row>
    <row r="135" spans="2:16" outlineLevel="1">
      <c r="B135" s="44">
        <v>44762</v>
      </c>
      <c r="C135" s="141">
        <v>395.75</v>
      </c>
      <c r="E135" s="44">
        <v>44762</v>
      </c>
      <c r="F135" s="141">
        <v>278.25</v>
      </c>
      <c r="H135" s="44">
        <v>44762</v>
      </c>
      <c r="I135" s="141">
        <v>51.35</v>
      </c>
      <c r="K135" s="44">
        <v>44762</v>
      </c>
      <c r="L135" s="141">
        <v>68.8</v>
      </c>
      <c r="O135" s="44">
        <v>44762</v>
      </c>
      <c r="P135" s="141">
        <v>298.3</v>
      </c>
    </row>
    <row r="136" spans="2:16" outlineLevel="1">
      <c r="B136" s="44">
        <v>44761</v>
      </c>
      <c r="C136" s="141">
        <v>397.2</v>
      </c>
      <c r="E136" s="44">
        <v>44761</v>
      </c>
      <c r="F136" s="141">
        <v>283.5</v>
      </c>
      <c r="H136" s="44">
        <v>44761</v>
      </c>
      <c r="I136" s="141">
        <v>50.5</v>
      </c>
      <c r="K136" s="44">
        <v>44761</v>
      </c>
      <c r="L136" s="141">
        <v>68.05</v>
      </c>
      <c r="O136" s="44">
        <v>44761</v>
      </c>
      <c r="P136" s="141">
        <v>294.60000000000002</v>
      </c>
    </row>
    <row r="137" spans="2:16" outlineLevel="1">
      <c r="B137" s="44">
        <v>44760</v>
      </c>
      <c r="C137" s="141">
        <v>395.8</v>
      </c>
      <c r="E137" s="44">
        <v>44760</v>
      </c>
      <c r="F137" s="141">
        <v>270.89999999999998</v>
      </c>
      <c r="H137" s="44">
        <v>44760</v>
      </c>
      <c r="I137" s="141">
        <v>50.7</v>
      </c>
      <c r="K137" s="44">
        <v>44760</v>
      </c>
      <c r="L137" s="141">
        <v>68.099999999999994</v>
      </c>
      <c r="O137" s="44">
        <v>44760</v>
      </c>
      <c r="P137" s="141">
        <v>291.2</v>
      </c>
    </row>
    <row r="138" spans="2:16" outlineLevel="1">
      <c r="B138" s="44">
        <v>44757</v>
      </c>
      <c r="C138" s="141">
        <v>395.75</v>
      </c>
      <c r="E138" s="44">
        <v>44757</v>
      </c>
      <c r="F138" s="141">
        <v>261.95</v>
      </c>
      <c r="H138" s="44">
        <v>44757</v>
      </c>
      <c r="I138" s="141">
        <v>50.55</v>
      </c>
      <c r="K138" s="44">
        <v>44757</v>
      </c>
      <c r="L138" s="141">
        <v>67.099999999999994</v>
      </c>
      <c r="O138" s="44">
        <v>44757</v>
      </c>
      <c r="P138" s="141">
        <v>286.75</v>
      </c>
    </row>
    <row r="139" spans="2:16" outlineLevel="1">
      <c r="B139" s="44">
        <v>44756</v>
      </c>
      <c r="C139" s="141">
        <v>399.95</v>
      </c>
      <c r="E139" s="44">
        <v>44756</v>
      </c>
      <c r="F139" s="141">
        <v>263.7</v>
      </c>
      <c r="H139" s="44">
        <v>44756</v>
      </c>
      <c r="I139" s="141">
        <v>50.85</v>
      </c>
      <c r="K139" s="44">
        <v>44756</v>
      </c>
      <c r="L139" s="141">
        <v>68.45</v>
      </c>
      <c r="O139" s="44">
        <v>44756</v>
      </c>
      <c r="P139" s="141">
        <v>288</v>
      </c>
    </row>
    <row r="140" spans="2:16" outlineLevel="1">
      <c r="B140" s="44">
        <v>44755</v>
      </c>
      <c r="C140" s="141">
        <v>401.95</v>
      </c>
      <c r="E140" s="44">
        <v>44755</v>
      </c>
      <c r="F140" s="141">
        <v>269.05</v>
      </c>
      <c r="H140" s="44">
        <v>44755</v>
      </c>
      <c r="I140" s="141">
        <v>51.7</v>
      </c>
      <c r="K140" s="44">
        <v>44755</v>
      </c>
      <c r="L140" s="141">
        <v>68.599999999999994</v>
      </c>
      <c r="O140" s="44">
        <v>44755</v>
      </c>
      <c r="P140" s="141">
        <v>290.10000000000002</v>
      </c>
    </row>
    <row r="141" spans="2:16" outlineLevel="1">
      <c r="B141" s="44">
        <v>44754</v>
      </c>
      <c r="C141" s="141">
        <v>396.15</v>
      </c>
      <c r="E141" s="44">
        <v>44754</v>
      </c>
      <c r="F141" s="141">
        <v>276.8</v>
      </c>
      <c r="H141" s="44">
        <v>44754</v>
      </c>
      <c r="I141" s="141">
        <v>53.05</v>
      </c>
      <c r="K141" s="44">
        <v>44754</v>
      </c>
      <c r="L141" s="141">
        <v>68.900000000000006</v>
      </c>
      <c r="O141" s="44">
        <v>44754</v>
      </c>
      <c r="P141" s="141">
        <v>291.64999999999998</v>
      </c>
    </row>
    <row r="142" spans="2:16" outlineLevel="1">
      <c r="B142" s="44">
        <v>44753</v>
      </c>
      <c r="C142" s="141">
        <v>400</v>
      </c>
      <c r="E142" s="44">
        <v>44753</v>
      </c>
      <c r="F142" s="141">
        <v>283.3</v>
      </c>
      <c r="H142" s="44">
        <v>44753</v>
      </c>
      <c r="I142" s="141">
        <v>53.35</v>
      </c>
      <c r="K142" s="44">
        <v>44753</v>
      </c>
      <c r="L142" s="141">
        <v>70.95</v>
      </c>
      <c r="O142" s="44">
        <v>44753</v>
      </c>
      <c r="P142" s="141">
        <v>297.39999999999998</v>
      </c>
    </row>
    <row r="143" spans="2:16" outlineLevel="1">
      <c r="B143" s="44">
        <v>44750</v>
      </c>
      <c r="C143" s="141">
        <v>398.15</v>
      </c>
      <c r="E143" s="44">
        <v>44750</v>
      </c>
      <c r="F143" s="141">
        <v>266.3</v>
      </c>
      <c r="H143" s="44">
        <v>44750</v>
      </c>
      <c r="I143" s="141">
        <v>51.45</v>
      </c>
      <c r="K143" s="44">
        <v>44750</v>
      </c>
      <c r="L143" s="141">
        <v>70.599999999999994</v>
      </c>
      <c r="O143" s="44">
        <v>44750</v>
      </c>
      <c r="P143" s="141">
        <v>284.14999999999998</v>
      </c>
    </row>
    <row r="144" spans="2:16" outlineLevel="1">
      <c r="B144" s="44">
        <v>44749</v>
      </c>
      <c r="C144" s="141">
        <v>399.8</v>
      </c>
      <c r="E144" s="44">
        <v>44749</v>
      </c>
      <c r="F144" s="141">
        <v>267.5</v>
      </c>
      <c r="H144" s="44">
        <v>44749</v>
      </c>
      <c r="I144" s="141">
        <v>51.35</v>
      </c>
      <c r="K144" s="44">
        <v>44749</v>
      </c>
      <c r="L144" s="141">
        <v>71.25</v>
      </c>
      <c r="O144" s="44">
        <v>44749</v>
      </c>
      <c r="P144" s="141">
        <v>284.75</v>
      </c>
    </row>
    <row r="145" spans="2:16" outlineLevel="1">
      <c r="B145" s="44">
        <v>44748</v>
      </c>
      <c r="C145" s="141">
        <v>400.95</v>
      </c>
      <c r="E145" s="44">
        <v>44748</v>
      </c>
      <c r="F145" s="141">
        <v>253.75</v>
      </c>
      <c r="H145" s="44">
        <v>44748</v>
      </c>
      <c r="I145" s="141">
        <v>48.7</v>
      </c>
      <c r="K145" s="44">
        <v>44748</v>
      </c>
      <c r="L145" s="141">
        <v>69.400000000000006</v>
      </c>
      <c r="O145" s="44">
        <v>44748</v>
      </c>
      <c r="P145" s="141">
        <v>277.7</v>
      </c>
    </row>
    <row r="146" spans="2:16" outlineLevel="1">
      <c r="B146" s="44">
        <v>44747</v>
      </c>
      <c r="C146" s="141">
        <v>399.45</v>
      </c>
      <c r="E146" s="44">
        <v>44747</v>
      </c>
      <c r="F146" s="141">
        <v>256.8</v>
      </c>
      <c r="H146" s="44">
        <v>44747</v>
      </c>
      <c r="I146" s="141">
        <v>49.25</v>
      </c>
      <c r="K146" s="44">
        <v>44747</v>
      </c>
      <c r="L146" s="141">
        <v>69.05</v>
      </c>
      <c r="O146" s="44">
        <v>44747</v>
      </c>
      <c r="P146" s="141">
        <v>277.95</v>
      </c>
    </row>
    <row r="147" spans="2:16" outlineLevel="1">
      <c r="B147" s="44">
        <v>44746</v>
      </c>
      <c r="C147" s="141">
        <v>404.8</v>
      </c>
      <c r="E147" s="44">
        <v>44746</v>
      </c>
      <c r="F147" s="141">
        <v>256.85000000000002</v>
      </c>
      <c r="H147" s="44">
        <v>44746</v>
      </c>
      <c r="I147" s="141">
        <v>50.3</v>
      </c>
      <c r="K147" s="44">
        <v>44746</v>
      </c>
      <c r="L147" s="141">
        <v>69.55</v>
      </c>
      <c r="O147" s="44">
        <v>44746</v>
      </c>
      <c r="P147" s="141">
        <v>276.5</v>
      </c>
    </row>
    <row r="148" spans="2:16" outlineLevel="1">
      <c r="B148" s="44">
        <v>44743</v>
      </c>
      <c r="C148" s="141">
        <v>399</v>
      </c>
      <c r="E148" s="44">
        <v>44743</v>
      </c>
      <c r="F148" s="141">
        <v>254.6</v>
      </c>
      <c r="H148" s="44">
        <v>44743</v>
      </c>
      <c r="I148" s="141">
        <v>50.4</v>
      </c>
      <c r="K148" s="44">
        <v>44743</v>
      </c>
      <c r="L148" s="141">
        <v>72.099999999999994</v>
      </c>
      <c r="O148" s="44">
        <v>44743</v>
      </c>
      <c r="P148" s="141">
        <v>276.8</v>
      </c>
    </row>
    <row r="149" spans="2:16" outlineLevel="1">
      <c r="B149" s="44">
        <v>44742</v>
      </c>
      <c r="C149" s="141">
        <v>393.15</v>
      </c>
      <c r="E149" s="44">
        <v>44742</v>
      </c>
      <c r="F149" s="141">
        <v>249.5</v>
      </c>
      <c r="H149" s="44">
        <v>44742</v>
      </c>
      <c r="I149" s="141">
        <v>50.6</v>
      </c>
      <c r="K149" s="44">
        <v>44742</v>
      </c>
      <c r="L149" s="141">
        <v>73.3</v>
      </c>
      <c r="O149" s="44">
        <v>44742</v>
      </c>
      <c r="P149" s="141">
        <v>280.39999999999998</v>
      </c>
    </row>
    <row r="150" spans="2:16" outlineLevel="1">
      <c r="B150" s="44">
        <v>44741</v>
      </c>
      <c r="C150" s="141">
        <v>398.2</v>
      </c>
      <c r="E150" s="44">
        <v>44741</v>
      </c>
      <c r="F150" s="141">
        <v>252.6</v>
      </c>
      <c r="H150" s="44">
        <v>44741</v>
      </c>
      <c r="I150" s="141">
        <v>51.65</v>
      </c>
      <c r="K150" s="44">
        <v>44741</v>
      </c>
      <c r="L150" s="141">
        <v>71.099999999999994</v>
      </c>
      <c r="O150" s="44">
        <v>44741</v>
      </c>
      <c r="P150" s="141">
        <v>285.5</v>
      </c>
    </row>
    <row r="151" spans="2:16" outlineLevel="1">
      <c r="B151" s="44">
        <v>44740</v>
      </c>
      <c r="C151" s="141">
        <v>395.35</v>
      </c>
      <c r="E151" s="44">
        <v>44740</v>
      </c>
      <c r="F151" s="141">
        <v>258.25</v>
      </c>
      <c r="H151" s="44">
        <v>44740</v>
      </c>
      <c r="I151" s="141">
        <v>51.1</v>
      </c>
      <c r="K151" s="44">
        <v>44740</v>
      </c>
      <c r="L151" s="141">
        <v>73.349999999999994</v>
      </c>
      <c r="O151" s="44">
        <v>44740</v>
      </c>
      <c r="P151" s="141">
        <v>289.3</v>
      </c>
    </row>
    <row r="152" spans="2:16" outlineLevel="1">
      <c r="B152" s="44">
        <v>44739</v>
      </c>
      <c r="C152" s="141">
        <v>379.7</v>
      </c>
      <c r="E152" s="44">
        <v>44739</v>
      </c>
      <c r="F152" s="141">
        <v>264.35000000000002</v>
      </c>
      <c r="H152" s="44">
        <v>44739</v>
      </c>
      <c r="I152" s="141">
        <v>49.4</v>
      </c>
      <c r="K152" s="44">
        <v>44739</v>
      </c>
      <c r="L152" s="141">
        <v>68.7</v>
      </c>
      <c r="O152" s="44">
        <v>44739</v>
      </c>
      <c r="P152" s="141">
        <v>289.25</v>
      </c>
    </row>
    <row r="153" spans="2:16" outlineLevel="1">
      <c r="B153" s="44">
        <v>44736</v>
      </c>
      <c r="C153" s="141">
        <v>377</v>
      </c>
      <c r="E153" s="44">
        <v>44736</v>
      </c>
      <c r="F153" s="141">
        <v>251.05</v>
      </c>
      <c r="H153" s="44">
        <v>44736</v>
      </c>
      <c r="I153" s="141">
        <v>49.9</v>
      </c>
      <c r="K153" s="44">
        <v>44736</v>
      </c>
      <c r="L153" s="141">
        <v>67.3</v>
      </c>
      <c r="O153" s="44">
        <v>44736</v>
      </c>
      <c r="P153" s="141">
        <v>286.3</v>
      </c>
    </row>
    <row r="154" spans="2:16" outlineLevel="1">
      <c r="B154" s="44">
        <v>44735</v>
      </c>
      <c r="C154" s="141">
        <v>387.05</v>
      </c>
      <c r="E154" s="44">
        <v>44735</v>
      </c>
      <c r="F154" s="141">
        <v>251.55</v>
      </c>
      <c r="H154" s="44">
        <v>44735</v>
      </c>
      <c r="I154" s="141">
        <v>47.8</v>
      </c>
      <c r="K154" s="44">
        <v>44735</v>
      </c>
      <c r="L154" s="141">
        <v>67.45</v>
      </c>
      <c r="O154" s="44">
        <v>44735</v>
      </c>
      <c r="P154" s="141">
        <v>281.14999999999998</v>
      </c>
    </row>
    <row r="155" spans="2:16" outlineLevel="1">
      <c r="B155" s="44">
        <v>44734</v>
      </c>
      <c r="C155" s="141">
        <v>399.15</v>
      </c>
      <c r="E155" s="44">
        <v>44734</v>
      </c>
      <c r="F155" s="141">
        <v>245.7</v>
      </c>
      <c r="H155" s="44">
        <v>44734</v>
      </c>
      <c r="I155" s="141">
        <v>47.5</v>
      </c>
      <c r="K155" s="44">
        <v>44734</v>
      </c>
      <c r="L155" s="141">
        <v>67.900000000000006</v>
      </c>
      <c r="O155" s="44">
        <v>44734</v>
      </c>
      <c r="P155" s="141">
        <v>281.2</v>
      </c>
    </row>
    <row r="156" spans="2:16" outlineLevel="1">
      <c r="B156" s="44">
        <v>44733</v>
      </c>
      <c r="C156" s="141">
        <v>379.3</v>
      </c>
      <c r="E156" s="44">
        <v>44733</v>
      </c>
      <c r="F156" s="141">
        <v>240.5</v>
      </c>
      <c r="H156" s="44">
        <v>44733</v>
      </c>
      <c r="I156" s="141">
        <v>49.3</v>
      </c>
      <c r="K156" s="44">
        <v>44733</v>
      </c>
      <c r="L156" s="141">
        <v>68.5</v>
      </c>
      <c r="O156" s="44">
        <v>44733</v>
      </c>
      <c r="P156" s="141">
        <v>282.45</v>
      </c>
    </row>
    <row r="157" spans="2:16" outlineLevel="1">
      <c r="B157" s="44">
        <v>44732</v>
      </c>
      <c r="C157" s="141">
        <v>318</v>
      </c>
      <c r="E157" s="44">
        <v>44732</v>
      </c>
      <c r="F157" s="141">
        <v>225.35</v>
      </c>
      <c r="H157" s="44">
        <v>44732</v>
      </c>
      <c r="I157" s="141">
        <v>46.4</v>
      </c>
      <c r="K157" s="44">
        <v>44732</v>
      </c>
      <c r="L157" s="141">
        <v>67.25</v>
      </c>
      <c r="O157" s="44">
        <v>44732</v>
      </c>
      <c r="P157" s="141">
        <v>278.35000000000002</v>
      </c>
    </row>
    <row r="158" spans="2:16" outlineLevel="1">
      <c r="B158" s="44">
        <v>44729</v>
      </c>
      <c r="C158" s="141">
        <v>343.95</v>
      </c>
      <c r="E158" s="44">
        <v>44729</v>
      </c>
      <c r="F158" s="141">
        <v>240.35</v>
      </c>
      <c r="H158" s="44">
        <v>44729</v>
      </c>
      <c r="I158" s="141">
        <v>50.05</v>
      </c>
      <c r="K158" s="44">
        <v>44729</v>
      </c>
      <c r="L158" s="141">
        <v>70.099999999999994</v>
      </c>
      <c r="O158" s="44">
        <v>44729</v>
      </c>
      <c r="P158" s="141">
        <v>300.5</v>
      </c>
    </row>
    <row r="159" spans="2:16" outlineLevel="1">
      <c r="B159" s="44">
        <v>44728</v>
      </c>
      <c r="C159" s="141">
        <v>354.2</v>
      </c>
      <c r="E159" s="44">
        <v>44728</v>
      </c>
      <c r="F159" s="141">
        <v>244.05</v>
      </c>
      <c r="H159" s="44">
        <v>44728</v>
      </c>
      <c r="I159" s="141">
        <v>49.75</v>
      </c>
      <c r="K159" s="44">
        <v>44728</v>
      </c>
      <c r="L159" s="141">
        <v>74.2</v>
      </c>
      <c r="O159" s="44">
        <v>44728</v>
      </c>
      <c r="P159" s="141">
        <v>304.85000000000002</v>
      </c>
    </row>
    <row r="160" spans="2:16" outlineLevel="1">
      <c r="B160" s="44">
        <v>44727</v>
      </c>
      <c r="C160" s="141">
        <v>384</v>
      </c>
      <c r="E160" s="44">
        <v>44727</v>
      </c>
      <c r="F160" s="141">
        <v>257.05</v>
      </c>
      <c r="H160" s="44">
        <v>44727</v>
      </c>
      <c r="I160" s="141">
        <v>52.45</v>
      </c>
      <c r="K160" s="44">
        <v>44727</v>
      </c>
      <c r="L160" s="141">
        <v>76.7</v>
      </c>
      <c r="O160" s="44">
        <v>44727</v>
      </c>
      <c r="P160" s="141">
        <v>320.8</v>
      </c>
    </row>
    <row r="161" spans="2:16" outlineLevel="1">
      <c r="B161" s="44">
        <v>44726</v>
      </c>
      <c r="C161" s="141">
        <v>393.4</v>
      </c>
      <c r="E161" s="44">
        <v>44726</v>
      </c>
      <c r="F161" s="141">
        <v>259.5</v>
      </c>
      <c r="H161" s="44">
        <v>44726</v>
      </c>
      <c r="I161" s="141">
        <v>53.15</v>
      </c>
      <c r="K161" s="44">
        <v>44726</v>
      </c>
      <c r="L161" s="141">
        <v>74.900000000000006</v>
      </c>
      <c r="O161" s="44">
        <v>44726</v>
      </c>
      <c r="P161" s="141">
        <v>309.25</v>
      </c>
    </row>
    <row r="162" spans="2:16" outlineLevel="1">
      <c r="B162" s="44">
        <v>44725</v>
      </c>
      <c r="C162" s="141">
        <v>392.35</v>
      </c>
      <c r="E162" s="44">
        <v>44725</v>
      </c>
      <c r="F162" s="141">
        <v>261.39999999999998</v>
      </c>
      <c r="H162" s="44">
        <v>44725</v>
      </c>
      <c r="I162" s="141">
        <v>53.1</v>
      </c>
      <c r="K162" s="44">
        <v>44725</v>
      </c>
      <c r="L162" s="141">
        <v>75.75</v>
      </c>
      <c r="O162" s="44">
        <v>44725</v>
      </c>
      <c r="P162" s="141">
        <v>311.5</v>
      </c>
    </row>
    <row r="163" spans="2:16" outlineLevel="1">
      <c r="B163" s="44">
        <v>44722</v>
      </c>
      <c r="C163" s="141">
        <v>403.95</v>
      </c>
      <c r="E163" s="44">
        <v>44722</v>
      </c>
      <c r="F163" s="141">
        <v>272.7</v>
      </c>
      <c r="H163" s="44">
        <v>44722</v>
      </c>
      <c r="I163" s="141">
        <v>56.55</v>
      </c>
      <c r="K163" s="44">
        <v>44722</v>
      </c>
      <c r="L163" s="141">
        <v>82.7</v>
      </c>
      <c r="O163" s="44">
        <v>44722</v>
      </c>
      <c r="P163" s="141">
        <v>326.10000000000002</v>
      </c>
    </row>
    <row r="164" spans="2:16" outlineLevel="1">
      <c r="B164" s="44">
        <v>44721</v>
      </c>
      <c r="C164" s="141">
        <v>405.8</v>
      </c>
      <c r="E164" s="44">
        <v>44721</v>
      </c>
      <c r="F164" s="141">
        <v>277.45</v>
      </c>
      <c r="H164" s="44">
        <v>44721</v>
      </c>
      <c r="I164" s="141">
        <v>57.9</v>
      </c>
      <c r="K164" s="44">
        <v>44721</v>
      </c>
      <c r="L164" s="141">
        <v>81.3</v>
      </c>
      <c r="O164" s="44">
        <v>44721</v>
      </c>
      <c r="P164" s="141">
        <v>321.75</v>
      </c>
    </row>
    <row r="165" spans="2:16" outlineLevel="1">
      <c r="B165" s="44">
        <v>44720</v>
      </c>
      <c r="C165" s="141">
        <v>406.9</v>
      </c>
      <c r="E165" s="44">
        <v>44720</v>
      </c>
      <c r="F165" s="141">
        <v>278.05</v>
      </c>
      <c r="H165" s="44">
        <v>44720</v>
      </c>
      <c r="I165" s="141">
        <v>58.55</v>
      </c>
      <c r="K165" s="44">
        <v>44720</v>
      </c>
      <c r="L165" s="141">
        <v>75.400000000000006</v>
      </c>
      <c r="O165" s="44">
        <v>44720</v>
      </c>
      <c r="P165" s="141">
        <v>314.14999999999998</v>
      </c>
    </row>
    <row r="166" spans="2:16" outlineLevel="1">
      <c r="B166" s="44">
        <v>44719</v>
      </c>
      <c r="C166" s="141">
        <v>405.85</v>
      </c>
      <c r="E166" s="44">
        <v>44719</v>
      </c>
      <c r="F166" s="141">
        <v>280.64999999999998</v>
      </c>
      <c r="H166" s="44">
        <v>44719</v>
      </c>
      <c r="I166" s="141">
        <v>59</v>
      </c>
      <c r="K166" s="44">
        <v>44719</v>
      </c>
      <c r="L166" s="141">
        <v>75.150000000000006</v>
      </c>
      <c r="O166" s="44">
        <v>44719</v>
      </c>
      <c r="P166" s="141">
        <v>311.2</v>
      </c>
    </row>
    <row r="167" spans="2:16" outlineLevel="1">
      <c r="B167" s="44">
        <v>44718</v>
      </c>
      <c r="C167" s="141">
        <v>418.45</v>
      </c>
      <c r="E167" s="44">
        <v>44718</v>
      </c>
      <c r="F167" s="141">
        <v>282.85000000000002</v>
      </c>
      <c r="H167" s="44">
        <v>44718</v>
      </c>
      <c r="I167" s="141">
        <v>59.25</v>
      </c>
      <c r="K167" s="44">
        <v>44718</v>
      </c>
      <c r="L167" s="141">
        <v>82.5</v>
      </c>
      <c r="O167" s="44">
        <v>44718</v>
      </c>
      <c r="P167" s="141">
        <v>304.2</v>
      </c>
    </row>
    <row r="168" spans="2:16" outlineLevel="1">
      <c r="B168" s="44">
        <v>44715</v>
      </c>
      <c r="C168" s="141">
        <v>415</v>
      </c>
      <c r="E168" s="44">
        <v>44715</v>
      </c>
      <c r="F168" s="141">
        <v>284.89999999999998</v>
      </c>
      <c r="H168" s="44">
        <v>44715</v>
      </c>
      <c r="I168" s="141">
        <v>59.8</v>
      </c>
      <c r="K168" s="44">
        <v>44715</v>
      </c>
      <c r="L168" s="141">
        <v>71.75</v>
      </c>
      <c r="O168" s="44">
        <v>44715</v>
      </c>
      <c r="P168" s="141">
        <v>307.35000000000002</v>
      </c>
    </row>
    <row r="169" spans="2:16" outlineLevel="1">
      <c r="B169" s="44">
        <v>44714</v>
      </c>
      <c r="C169" s="141">
        <v>419.8</v>
      </c>
      <c r="E169" s="44">
        <v>44714</v>
      </c>
      <c r="F169" s="141">
        <v>289.2</v>
      </c>
      <c r="H169" s="44">
        <v>44714</v>
      </c>
      <c r="I169" s="141">
        <v>60.65</v>
      </c>
      <c r="K169" s="44">
        <v>44714</v>
      </c>
      <c r="L169" s="141">
        <v>71.5</v>
      </c>
      <c r="O169" s="44">
        <v>44714</v>
      </c>
      <c r="P169" s="141">
        <v>308.35000000000002</v>
      </c>
    </row>
    <row r="170" spans="2:16" outlineLevel="1">
      <c r="B170" s="44">
        <v>44713</v>
      </c>
      <c r="C170" s="141">
        <v>419.65</v>
      </c>
      <c r="E170" s="44">
        <v>44713</v>
      </c>
      <c r="F170" s="141">
        <v>295.2</v>
      </c>
      <c r="H170" s="44">
        <v>44713</v>
      </c>
      <c r="I170" s="141">
        <v>59.65</v>
      </c>
      <c r="K170" s="44">
        <v>44713</v>
      </c>
      <c r="L170" s="141">
        <v>72.349999999999994</v>
      </c>
      <c r="O170" s="44">
        <v>44713</v>
      </c>
      <c r="P170" s="141">
        <v>311.75</v>
      </c>
    </row>
    <row r="171" spans="2:16" outlineLevel="1">
      <c r="B171" s="44">
        <v>44712</v>
      </c>
      <c r="C171" s="141">
        <v>410.85</v>
      </c>
      <c r="E171" s="44">
        <v>44712</v>
      </c>
      <c r="F171" s="141">
        <v>295.25</v>
      </c>
      <c r="H171" s="44">
        <v>44712</v>
      </c>
      <c r="I171" s="141">
        <v>58.9</v>
      </c>
      <c r="K171" s="44">
        <v>44712</v>
      </c>
      <c r="L171" s="141">
        <v>71.05</v>
      </c>
      <c r="O171" s="44">
        <v>44712</v>
      </c>
      <c r="P171" s="141">
        <v>311.89999999999998</v>
      </c>
    </row>
    <row r="172" spans="2:16" outlineLevel="1">
      <c r="B172" s="44">
        <v>44711</v>
      </c>
      <c r="C172" s="141">
        <v>404.65</v>
      </c>
      <c r="E172" s="44">
        <v>44711</v>
      </c>
      <c r="F172" s="141">
        <v>290.25</v>
      </c>
      <c r="H172" s="44">
        <v>44711</v>
      </c>
      <c r="I172" s="141">
        <v>57.8</v>
      </c>
      <c r="K172" s="44">
        <v>44711</v>
      </c>
      <c r="L172" s="141">
        <v>70.5</v>
      </c>
      <c r="O172" s="44">
        <v>44711</v>
      </c>
      <c r="P172" s="141">
        <v>309.3</v>
      </c>
    </row>
    <row r="173" spans="2:16" outlineLevel="1">
      <c r="B173" s="44">
        <v>44708</v>
      </c>
      <c r="C173" s="141">
        <v>425.6</v>
      </c>
      <c r="E173" s="44">
        <v>44708</v>
      </c>
      <c r="F173" s="141">
        <v>277.05</v>
      </c>
      <c r="H173" s="44">
        <v>44708</v>
      </c>
      <c r="I173" s="141">
        <v>58.85</v>
      </c>
      <c r="K173" s="44">
        <v>44708</v>
      </c>
      <c r="L173" s="141">
        <v>70.5</v>
      </c>
      <c r="O173" s="44">
        <v>44708</v>
      </c>
      <c r="P173" s="141">
        <v>305.39999999999998</v>
      </c>
    </row>
    <row r="174" spans="2:16" outlineLevel="1">
      <c r="B174" s="44">
        <v>44707</v>
      </c>
      <c r="C174" s="141">
        <v>415.55</v>
      </c>
      <c r="E174" s="44">
        <v>44707</v>
      </c>
      <c r="F174" s="141">
        <v>285.64999999999998</v>
      </c>
      <c r="H174" s="44">
        <v>44707</v>
      </c>
      <c r="I174" s="141">
        <v>59.1</v>
      </c>
      <c r="K174" s="44">
        <v>44707</v>
      </c>
      <c r="L174" s="141">
        <v>66.55</v>
      </c>
      <c r="O174" s="44">
        <v>44707</v>
      </c>
      <c r="P174" s="141">
        <v>301.55</v>
      </c>
    </row>
    <row r="175" spans="2:16" outlineLevel="1">
      <c r="B175" s="44">
        <v>44706</v>
      </c>
      <c r="C175" s="141">
        <v>413.65</v>
      </c>
      <c r="E175" s="44">
        <v>44706</v>
      </c>
      <c r="F175" s="141">
        <v>291.5</v>
      </c>
      <c r="H175" s="44">
        <v>44706</v>
      </c>
      <c r="I175" s="141">
        <v>59.55</v>
      </c>
      <c r="K175" s="44">
        <v>44706</v>
      </c>
      <c r="L175" s="141">
        <v>66.900000000000006</v>
      </c>
      <c r="O175" s="44">
        <v>44706</v>
      </c>
      <c r="P175" s="141">
        <v>303.5</v>
      </c>
    </row>
    <row r="176" spans="2:16" outlineLevel="1">
      <c r="B176" s="44">
        <v>44705</v>
      </c>
      <c r="C176" s="141">
        <v>445.9</v>
      </c>
      <c r="E176" s="44">
        <v>44705</v>
      </c>
      <c r="F176" s="141">
        <v>287.14999999999998</v>
      </c>
      <c r="H176" s="44">
        <v>44705</v>
      </c>
      <c r="I176" s="141">
        <v>61.4</v>
      </c>
      <c r="K176" s="44">
        <v>44705</v>
      </c>
      <c r="L176" s="141">
        <v>68.650000000000006</v>
      </c>
      <c r="O176" s="44">
        <v>44705</v>
      </c>
      <c r="P176" s="141">
        <v>306</v>
      </c>
    </row>
    <row r="177" spans="2:16" outlineLevel="1">
      <c r="B177" s="44">
        <v>44704</v>
      </c>
      <c r="C177" s="141">
        <v>448.8</v>
      </c>
      <c r="E177" s="44">
        <v>44704</v>
      </c>
      <c r="F177" s="141">
        <v>311.7</v>
      </c>
      <c r="H177" s="44">
        <v>44704</v>
      </c>
      <c r="I177" s="141">
        <v>61.35</v>
      </c>
      <c r="K177" s="44">
        <v>44704</v>
      </c>
      <c r="L177" s="141">
        <v>69.599999999999994</v>
      </c>
      <c r="O177" s="44">
        <v>44704</v>
      </c>
      <c r="P177" s="141">
        <v>304.3</v>
      </c>
    </row>
    <row r="178" spans="2:16" outlineLevel="1">
      <c r="B178" s="44">
        <v>44701</v>
      </c>
      <c r="C178" s="141">
        <v>486.3</v>
      </c>
      <c r="E178" s="44">
        <v>44701</v>
      </c>
      <c r="F178" s="141">
        <v>389.6</v>
      </c>
      <c r="H178" s="44">
        <v>44701</v>
      </c>
      <c r="I178" s="141">
        <v>65.599999999999994</v>
      </c>
      <c r="K178" s="44">
        <v>44701</v>
      </c>
      <c r="L178" s="141">
        <v>71.349999999999994</v>
      </c>
      <c r="O178" s="44">
        <v>44701</v>
      </c>
      <c r="P178" s="141">
        <v>335</v>
      </c>
    </row>
    <row r="179" spans="2:16" outlineLevel="1">
      <c r="B179" s="44">
        <v>44700</v>
      </c>
      <c r="C179" s="141">
        <v>437.7</v>
      </c>
      <c r="E179" s="44">
        <v>44700</v>
      </c>
      <c r="F179" s="141">
        <v>367.6</v>
      </c>
      <c r="H179" s="44">
        <v>44700</v>
      </c>
      <c r="I179" s="141">
        <v>63</v>
      </c>
      <c r="K179" s="44">
        <v>44700</v>
      </c>
      <c r="L179" s="141">
        <v>69</v>
      </c>
      <c r="O179" s="44">
        <v>44700</v>
      </c>
      <c r="P179" s="141">
        <v>331.7</v>
      </c>
    </row>
    <row r="180" spans="2:16" outlineLevel="1">
      <c r="B180" s="44">
        <v>44699</v>
      </c>
      <c r="C180" s="141">
        <v>466.15</v>
      </c>
      <c r="E180" s="44">
        <v>44699</v>
      </c>
      <c r="F180" s="141">
        <v>377.75</v>
      </c>
      <c r="H180" s="44">
        <v>44699</v>
      </c>
      <c r="I180" s="141">
        <v>65.05</v>
      </c>
      <c r="K180" s="44">
        <v>44699</v>
      </c>
      <c r="L180" s="141">
        <v>70.95</v>
      </c>
      <c r="O180" s="44">
        <v>44699</v>
      </c>
      <c r="P180" s="141">
        <v>342</v>
      </c>
    </row>
    <row r="181" spans="2:16" outlineLevel="1">
      <c r="B181" s="44">
        <v>44698</v>
      </c>
      <c r="C181" s="141">
        <v>459.65</v>
      </c>
      <c r="E181" s="44">
        <v>44698</v>
      </c>
      <c r="F181" s="141">
        <v>378.45</v>
      </c>
      <c r="H181" s="44">
        <v>44698</v>
      </c>
      <c r="I181" s="141">
        <v>65.55</v>
      </c>
      <c r="K181" s="44">
        <v>44698</v>
      </c>
      <c r="L181" s="141">
        <v>70.45</v>
      </c>
      <c r="O181" s="44">
        <v>44698</v>
      </c>
      <c r="P181" s="141">
        <v>329.8</v>
      </c>
    </row>
    <row r="182" spans="2:16" outlineLevel="1">
      <c r="B182" s="44">
        <v>44697</v>
      </c>
      <c r="C182" s="141">
        <v>444.1</v>
      </c>
      <c r="E182" s="44">
        <v>44697</v>
      </c>
      <c r="F182" s="141">
        <v>348.05</v>
      </c>
      <c r="H182" s="44">
        <v>44697</v>
      </c>
      <c r="I182" s="141">
        <v>62.75</v>
      </c>
      <c r="K182" s="44">
        <v>44697</v>
      </c>
      <c r="L182" s="141">
        <v>68.599999999999994</v>
      </c>
      <c r="O182" s="44">
        <v>44697</v>
      </c>
      <c r="P182" s="141">
        <v>299.89999999999998</v>
      </c>
    </row>
    <row r="183" spans="2:16" outlineLevel="1">
      <c r="B183" s="44">
        <v>44694</v>
      </c>
      <c r="C183" s="141">
        <v>449.7</v>
      </c>
      <c r="E183" s="44">
        <v>44694</v>
      </c>
      <c r="F183" s="141">
        <v>338.65</v>
      </c>
      <c r="H183" s="44">
        <v>44694</v>
      </c>
      <c r="I183" s="141">
        <v>63.75</v>
      </c>
      <c r="K183" s="44">
        <v>44694</v>
      </c>
      <c r="L183" s="141">
        <v>65.75</v>
      </c>
      <c r="O183" s="44">
        <v>44694</v>
      </c>
      <c r="P183" s="141">
        <v>301.3</v>
      </c>
    </row>
    <row r="184" spans="2:16" outlineLevel="1">
      <c r="B184" s="44">
        <v>44693</v>
      </c>
      <c r="C184" s="141">
        <v>427.25</v>
      </c>
      <c r="E184" s="44">
        <v>44693</v>
      </c>
      <c r="F184" s="141">
        <v>327.60000000000002</v>
      </c>
      <c r="H184" s="44">
        <v>44693</v>
      </c>
      <c r="I184" s="141">
        <v>61.8</v>
      </c>
      <c r="K184" s="44">
        <v>44693</v>
      </c>
      <c r="L184" s="141">
        <v>62.05</v>
      </c>
      <c r="O184" s="44">
        <v>44693</v>
      </c>
      <c r="P184" s="141">
        <v>299.7</v>
      </c>
    </row>
    <row r="185" spans="2:16" outlineLevel="1">
      <c r="B185" s="44">
        <v>44692</v>
      </c>
      <c r="C185" s="141">
        <v>441.35</v>
      </c>
      <c r="E185" s="44">
        <v>44692</v>
      </c>
      <c r="F185" s="141">
        <v>346.4</v>
      </c>
      <c r="H185" s="44">
        <v>44692</v>
      </c>
      <c r="I185" s="141">
        <v>63.85</v>
      </c>
      <c r="K185" s="44">
        <v>44692</v>
      </c>
      <c r="L185" s="141">
        <v>66.55</v>
      </c>
      <c r="O185" s="44">
        <v>44692</v>
      </c>
      <c r="P185" s="141">
        <v>302</v>
      </c>
    </row>
    <row r="186" spans="2:16" outlineLevel="1">
      <c r="B186" s="44">
        <v>44691</v>
      </c>
      <c r="C186" s="141">
        <v>478.15</v>
      </c>
      <c r="E186" s="44">
        <v>44691</v>
      </c>
      <c r="F186" s="141">
        <v>351.1</v>
      </c>
      <c r="H186" s="44">
        <v>44691</v>
      </c>
      <c r="I186" s="141">
        <v>65.05</v>
      </c>
      <c r="K186" s="44">
        <v>44691</v>
      </c>
      <c r="L186" s="141">
        <v>73.7</v>
      </c>
      <c r="O186" s="44">
        <v>44691</v>
      </c>
      <c r="P186" s="141">
        <v>305.10000000000002</v>
      </c>
    </row>
    <row r="187" spans="2:16" outlineLevel="1">
      <c r="B187" s="44">
        <v>44690</v>
      </c>
      <c r="C187" s="141">
        <v>487.4</v>
      </c>
      <c r="E187" s="44">
        <v>44690</v>
      </c>
      <c r="F187" s="141">
        <v>366.4</v>
      </c>
      <c r="H187" s="44">
        <v>44690</v>
      </c>
      <c r="I187" s="141">
        <v>68.25</v>
      </c>
      <c r="K187" s="44">
        <v>44690</v>
      </c>
      <c r="L187" s="141">
        <v>78.25</v>
      </c>
      <c r="O187" s="44">
        <v>44690</v>
      </c>
      <c r="P187" s="141">
        <v>310.55</v>
      </c>
    </row>
    <row r="188" spans="2:16" outlineLevel="1">
      <c r="B188" s="44">
        <v>44687</v>
      </c>
      <c r="C188" s="141">
        <v>486.45</v>
      </c>
      <c r="E188" s="44">
        <v>44687</v>
      </c>
      <c r="F188" s="141">
        <v>379</v>
      </c>
      <c r="H188" s="44">
        <v>44687</v>
      </c>
      <c r="I188" s="141">
        <v>70.45</v>
      </c>
      <c r="K188" s="44">
        <v>44687</v>
      </c>
      <c r="L188" s="141">
        <v>78.45</v>
      </c>
      <c r="O188" s="44">
        <v>44687</v>
      </c>
      <c r="P188" s="141">
        <v>311.14999999999998</v>
      </c>
    </row>
    <row r="189" spans="2:16" outlineLevel="1">
      <c r="B189" s="44">
        <v>44686</v>
      </c>
      <c r="C189" s="141">
        <v>483.55</v>
      </c>
      <c r="E189" s="44">
        <v>44686</v>
      </c>
      <c r="F189" s="141">
        <v>405.9</v>
      </c>
      <c r="H189" s="44">
        <v>44686</v>
      </c>
      <c r="I189" s="141">
        <v>72.55</v>
      </c>
      <c r="K189" s="44">
        <v>44686</v>
      </c>
      <c r="L189" s="141">
        <v>76.25</v>
      </c>
      <c r="O189" s="44">
        <v>44686</v>
      </c>
      <c r="P189" s="141">
        <v>317.25</v>
      </c>
    </row>
    <row r="190" spans="2:16" outlineLevel="1">
      <c r="B190" s="44">
        <v>44685</v>
      </c>
      <c r="C190" s="141">
        <v>515.15</v>
      </c>
      <c r="E190" s="44">
        <v>44685</v>
      </c>
      <c r="F190" s="141">
        <v>404.1</v>
      </c>
      <c r="H190" s="44">
        <v>44685</v>
      </c>
      <c r="I190" s="141">
        <v>71.2</v>
      </c>
      <c r="K190" s="44">
        <v>44685</v>
      </c>
      <c r="L190" s="141">
        <v>76.099999999999994</v>
      </c>
      <c r="O190" s="44">
        <v>44685</v>
      </c>
      <c r="P190" s="141">
        <v>316.75</v>
      </c>
    </row>
    <row r="191" spans="2:16" outlineLevel="1">
      <c r="B191" s="44">
        <v>44683</v>
      </c>
      <c r="C191" s="141">
        <v>515.95000000000005</v>
      </c>
      <c r="E191" s="44">
        <v>44683</v>
      </c>
      <c r="F191" s="141">
        <v>421.45</v>
      </c>
      <c r="H191" s="44">
        <v>44683</v>
      </c>
      <c r="I191" s="141">
        <v>75.900000000000006</v>
      </c>
      <c r="K191" s="44">
        <v>44683</v>
      </c>
      <c r="L191" s="141">
        <v>74.45</v>
      </c>
      <c r="O191" s="44">
        <v>44683</v>
      </c>
      <c r="P191" s="141">
        <v>317.95</v>
      </c>
    </row>
    <row r="192" spans="2:16" outlineLevel="1">
      <c r="B192" s="44">
        <v>44680</v>
      </c>
      <c r="C192" s="141">
        <v>504.05</v>
      </c>
      <c r="E192" s="44">
        <v>44680</v>
      </c>
      <c r="F192" s="141">
        <v>419.25</v>
      </c>
      <c r="H192" s="44">
        <v>44680</v>
      </c>
      <c r="I192" s="141">
        <v>76.150000000000006</v>
      </c>
      <c r="K192" s="44">
        <v>44680</v>
      </c>
      <c r="L192" s="141">
        <v>72.55</v>
      </c>
      <c r="O192" s="44">
        <v>44680</v>
      </c>
      <c r="P192" s="141">
        <v>327.85</v>
      </c>
    </row>
    <row r="193" spans="2:16" outlineLevel="1">
      <c r="B193" s="44">
        <v>44679</v>
      </c>
      <c r="C193" s="141">
        <v>480.5</v>
      </c>
      <c r="E193" s="44">
        <v>44679</v>
      </c>
      <c r="F193" s="141">
        <v>431.35</v>
      </c>
      <c r="H193" s="44">
        <v>44679</v>
      </c>
      <c r="I193" s="141">
        <v>75.05</v>
      </c>
      <c r="K193" s="44">
        <v>44679</v>
      </c>
      <c r="L193" s="141">
        <v>74.95</v>
      </c>
      <c r="O193" s="44">
        <v>44679</v>
      </c>
      <c r="P193" s="141">
        <v>333.1</v>
      </c>
    </row>
    <row r="194" spans="2:16" outlineLevel="1">
      <c r="B194" s="44">
        <v>44678</v>
      </c>
      <c r="C194" s="141">
        <v>451.75</v>
      </c>
      <c r="E194" s="44">
        <v>44678</v>
      </c>
      <c r="F194" s="141">
        <v>426.65</v>
      </c>
      <c r="H194" s="44">
        <v>44678</v>
      </c>
      <c r="I194" s="141">
        <v>76.599999999999994</v>
      </c>
      <c r="K194" s="44">
        <v>44678</v>
      </c>
      <c r="L194" s="141">
        <v>76.3</v>
      </c>
      <c r="O194" s="44">
        <v>44678</v>
      </c>
      <c r="P194" s="141">
        <v>334.85</v>
      </c>
    </row>
    <row r="195" spans="2:16" outlineLevel="1">
      <c r="B195" s="44">
        <v>44677</v>
      </c>
      <c r="C195" s="141">
        <v>459.2</v>
      </c>
      <c r="E195" s="44">
        <v>44677</v>
      </c>
      <c r="F195" s="141">
        <v>422.25</v>
      </c>
      <c r="H195" s="44">
        <v>44677</v>
      </c>
      <c r="I195" s="141">
        <v>77.599999999999994</v>
      </c>
      <c r="K195" s="44">
        <v>44677</v>
      </c>
      <c r="L195" s="141">
        <v>80</v>
      </c>
      <c r="O195" s="44">
        <v>44677</v>
      </c>
      <c r="P195" s="141">
        <v>337.9</v>
      </c>
    </row>
    <row r="196" spans="2:16" outlineLevel="1">
      <c r="B196" s="44">
        <v>44676</v>
      </c>
      <c r="C196" s="141">
        <v>458</v>
      </c>
      <c r="E196" s="44">
        <v>44676</v>
      </c>
      <c r="F196" s="141">
        <v>437.9</v>
      </c>
      <c r="H196" s="44">
        <v>44676</v>
      </c>
      <c r="I196" s="141">
        <v>78.650000000000006</v>
      </c>
      <c r="K196" s="44">
        <v>44676</v>
      </c>
      <c r="L196" s="141">
        <v>68.05</v>
      </c>
      <c r="O196" s="44">
        <v>44676</v>
      </c>
      <c r="P196" s="141">
        <v>340.2</v>
      </c>
    </row>
    <row r="197" spans="2:16" outlineLevel="1">
      <c r="B197" s="44">
        <v>44673</v>
      </c>
      <c r="C197" s="141">
        <v>465.85</v>
      </c>
      <c r="E197" s="44">
        <v>44673</v>
      </c>
      <c r="F197" s="141">
        <v>467.3</v>
      </c>
      <c r="H197" s="44">
        <v>44673</v>
      </c>
      <c r="I197" s="141">
        <v>81.599999999999994</v>
      </c>
      <c r="K197" s="44">
        <v>44673</v>
      </c>
      <c r="L197" s="141">
        <v>70.25</v>
      </c>
      <c r="O197" s="44">
        <v>44673</v>
      </c>
      <c r="P197" s="141">
        <v>349.15</v>
      </c>
    </row>
    <row r="198" spans="2:16" outlineLevel="1">
      <c r="B198" s="44">
        <v>44672</v>
      </c>
      <c r="C198" s="141">
        <v>465.05</v>
      </c>
      <c r="E198" s="44">
        <v>44672</v>
      </c>
      <c r="F198" s="141">
        <v>445.1</v>
      </c>
      <c r="H198" s="44">
        <v>44672</v>
      </c>
      <c r="I198" s="141">
        <v>84.5</v>
      </c>
      <c r="K198" s="44">
        <v>44672</v>
      </c>
      <c r="L198" s="141">
        <v>69.25</v>
      </c>
      <c r="O198" s="44">
        <v>44672</v>
      </c>
      <c r="P198" s="141">
        <v>351.95</v>
      </c>
    </row>
    <row r="199" spans="2:16" outlineLevel="1">
      <c r="B199" s="44">
        <v>44671</v>
      </c>
      <c r="C199" s="141">
        <v>469.35</v>
      </c>
      <c r="E199" s="44">
        <v>44671</v>
      </c>
      <c r="F199" s="141">
        <v>454.45</v>
      </c>
      <c r="H199" s="44">
        <v>44671</v>
      </c>
      <c r="I199" s="141">
        <v>85.2</v>
      </c>
      <c r="K199" s="44">
        <v>44671</v>
      </c>
      <c r="L199" s="141">
        <v>70.900000000000006</v>
      </c>
      <c r="O199" s="44">
        <v>44671</v>
      </c>
      <c r="P199" s="141">
        <v>350.25</v>
      </c>
    </row>
    <row r="200" spans="2:16" outlineLevel="1">
      <c r="B200" s="44">
        <v>44670</v>
      </c>
      <c r="C200" s="141">
        <v>486.9</v>
      </c>
      <c r="E200" s="44">
        <v>44670</v>
      </c>
      <c r="F200" s="141">
        <v>461.75</v>
      </c>
      <c r="H200" s="44">
        <v>44670</v>
      </c>
      <c r="I200" s="141">
        <v>81.400000000000006</v>
      </c>
      <c r="K200" s="44">
        <v>44670</v>
      </c>
      <c r="L200" s="141">
        <v>72.25</v>
      </c>
      <c r="O200" s="44">
        <v>44670</v>
      </c>
      <c r="P200" s="141">
        <v>352.95</v>
      </c>
    </row>
    <row r="201" spans="2:16" outlineLevel="1">
      <c r="B201" s="44">
        <v>44669</v>
      </c>
      <c r="C201" s="141">
        <v>488.65</v>
      </c>
      <c r="E201" s="44">
        <v>44669</v>
      </c>
      <c r="F201" s="141">
        <v>476.6</v>
      </c>
      <c r="H201" s="44">
        <v>44669</v>
      </c>
      <c r="I201" s="141">
        <v>79.849999999999994</v>
      </c>
      <c r="K201" s="44">
        <v>44669</v>
      </c>
      <c r="L201" s="141">
        <v>71.599999999999994</v>
      </c>
      <c r="O201" s="44">
        <v>44669</v>
      </c>
      <c r="P201" s="141">
        <v>352.65</v>
      </c>
    </row>
    <row r="202" spans="2:16" outlineLevel="1">
      <c r="B202" s="44">
        <v>44664</v>
      </c>
      <c r="C202" s="141">
        <v>476.1</v>
      </c>
      <c r="E202" s="44">
        <v>44664</v>
      </c>
      <c r="F202" s="141">
        <v>481.7</v>
      </c>
      <c r="H202" s="44">
        <v>44664</v>
      </c>
      <c r="I202" s="141">
        <v>82.1</v>
      </c>
      <c r="K202" s="44">
        <v>44664</v>
      </c>
      <c r="L202" s="141">
        <v>69.55</v>
      </c>
      <c r="O202" s="44">
        <v>44664</v>
      </c>
      <c r="P202" s="141">
        <v>361.35</v>
      </c>
    </row>
    <row r="203" spans="2:16" outlineLevel="1">
      <c r="B203" s="44">
        <v>44663</v>
      </c>
      <c r="C203" s="141">
        <v>478.3</v>
      </c>
      <c r="E203" s="44">
        <v>44663</v>
      </c>
      <c r="F203" s="141">
        <v>478.65</v>
      </c>
      <c r="H203" s="44">
        <v>44663</v>
      </c>
      <c r="I203" s="141">
        <v>80.5</v>
      </c>
      <c r="K203" s="44">
        <v>44663</v>
      </c>
      <c r="L203" s="141">
        <v>69</v>
      </c>
      <c r="O203" s="44">
        <v>44663</v>
      </c>
      <c r="P203" s="141">
        <v>358.2</v>
      </c>
    </row>
    <row r="204" spans="2:16" outlineLevel="1">
      <c r="B204" s="44">
        <v>44662</v>
      </c>
      <c r="C204" s="141">
        <v>475.3</v>
      </c>
      <c r="E204" s="44">
        <v>44662</v>
      </c>
      <c r="F204" s="141">
        <v>477.85</v>
      </c>
      <c r="H204" s="44">
        <v>44662</v>
      </c>
      <c r="I204" s="141">
        <v>83.15</v>
      </c>
      <c r="K204" s="44">
        <v>44662</v>
      </c>
      <c r="L204" s="141">
        <v>71.7</v>
      </c>
      <c r="O204" s="44">
        <v>44662</v>
      </c>
      <c r="P204" s="141">
        <v>369.6</v>
      </c>
    </row>
    <row r="205" spans="2:16" outlineLevel="1">
      <c r="B205" s="44">
        <v>44659</v>
      </c>
      <c r="C205" s="141">
        <v>445.7</v>
      </c>
      <c r="E205" s="44">
        <v>44659</v>
      </c>
      <c r="F205" s="141">
        <v>439.7</v>
      </c>
      <c r="H205" s="44">
        <v>44659</v>
      </c>
      <c r="I205" s="141">
        <v>82.45</v>
      </c>
      <c r="K205" s="44">
        <v>44659</v>
      </c>
      <c r="L205" s="141">
        <v>70.650000000000006</v>
      </c>
      <c r="O205" s="44">
        <v>44659</v>
      </c>
      <c r="P205" s="141">
        <v>368.35</v>
      </c>
    </row>
    <row r="206" spans="2:16" outlineLevel="1">
      <c r="B206" s="44">
        <v>44658</v>
      </c>
      <c r="C206" s="141">
        <v>456.05</v>
      </c>
      <c r="E206" s="44">
        <v>44658</v>
      </c>
      <c r="F206" s="141">
        <v>432.55</v>
      </c>
      <c r="H206" s="44">
        <v>44658</v>
      </c>
      <c r="I206" s="141">
        <v>79.599999999999994</v>
      </c>
      <c r="K206" s="44">
        <v>44658</v>
      </c>
      <c r="L206" s="141">
        <v>68.150000000000006</v>
      </c>
      <c r="O206" s="44">
        <v>44658</v>
      </c>
      <c r="P206" s="141">
        <v>365.4</v>
      </c>
    </row>
    <row r="207" spans="2:16" outlineLevel="1">
      <c r="B207" s="44">
        <v>44657</v>
      </c>
      <c r="C207" s="141">
        <v>451.45</v>
      </c>
      <c r="E207" s="44">
        <v>44657</v>
      </c>
      <c r="F207" s="141">
        <v>413.1</v>
      </c>
      <c r="H207" s="44">
        <v>44657</v>
      </c>
      <c r="I207" s="141">
        <v>80.25</v>
      </c>
      <c r="K207" s="44">
        <v>44657</v>
      </c>
      <c r="L207" s="141">
        <v>69.099999999999994</v>
      </c>
      <c r="O207" s="44">
        <v>44657</v>
      </c>
      <c r="P207" s="141">
        <v>371.1</v>
      </c>
    </row>
    <row r="208" spans="2:16" outlineLevel="1">
      <c r="B208" s="44">
        <v>44656</v>
      </c>
      <c r="C208" s="141">
        <v>447.6</v>
      </c>
      <c r="E208" s="44">
        <v>44656</v>
      </c>
      <c r="F208" s="141">
        <v>420.3</v>
      </c>
      <c r="H208" s="44">
        <v>44656</v>
      </c>
      <c r="I208" s="141">
        <v>77.75</v>
      </c>
      <c r="K208" s="44">
        <v>44656</v>
      </c>
      <c r="L208" s="141">
        <v>68.45</v>
      </c>
      <c r="O208" s="44">
        <v>44656</v>
      </c>
      <c r="P208" s="141">
        <v>369.55</v>
      </c>
    </row>
    <row r="209" spans="2:16" outlineLevel="1">
      <c r="B209" s="44">
        <v>44655</v>
      </c>
      <c r="C209" s="141">
        <v>443.75</v>
      </c>
      <c r="E209" s="44">
        <v>44655</v>
      </c>
      <c r="F209" s="141">
        <v>405.85</v>
      </c>
      <c r="H209" s="44">
        <v>44655</v>
      </c>
      <c r="I209" s="141">
        <v>78.2</v>
      </c>
      <c r="K209" s="44">
        <v>44655</v>
      </c>
      <c r="L209" s="141">
        <v>64.2</v>
      </c>
      <c r="O209" s="44">
        <v>44655</v>
      </c>
      <c r="P209" s="141">
        <v>371.55</v>
      </c>
    </row>
    <row r="210" spans="2:16" outlineLevel="1">
      <c r="B210" s="44">
        <v>44652</v>
      </c>
      <c r="C210" s="141">
        <v>425.65</v>
      </c>
      <c r="E210" s="44">
        <v>44652</v>
      </c>
      <c r="F210" s="141">
        <v>389.9</v>
      </c>
      <c r="H210" s="44">
        <v>44652</v>
      </c>
      <c r="I210" s="141">
        <v>76.55</v>
      </c>
      <c r="K210" s="44">
        <v>44652</v>
      </c>
      <c r="L210" s="141">
        <v>62.05</v>
      </c>
      <c r="O210" s="44">
        <v>44652</v>
      </c>
      <c r="P210" s="141">
        <v>363.8</v>
      </c>
    </row>
    <row r="211" spans="2:16" outlineLevel="1">
      <c r="B211" s="44">
        <v>44651</v>
      </c>
      <c r="C211" s="141">
        <v>413.75</v>
      </c>
      <c r="E211" s="44">
        <v>44651</v>
      </c>
      <c r="F211" s="141">
        <v>386.45</v>
      </c>
      <c r="H211" s="44">
        <v>44651</v>
      </c>
      <c r="I211" s="141">
        <v>76.3</v>
      </c>
      <c r="K211" s="44">
        <v>44651</v>
      </c>
      <c r="L211" s="141">
        <v>60.35</v>
      </c>
      <c r="O211" s="44">
        <v>44651</v>
      </c>
      <c r="P211" s="141">
        <v>362</v>
      </c>
    </row>
    <row r="212" spans="2:16" outlineLevel="1">
      <c r="B212" s="44">
        <v>44650</v>
      </c>
      <c r="C212" s="141">
        <v>411.5</v>
      </c>
      <c r="E212" s="44">
        <v>44650</v>
      </c>
      <c r="F212" s="141">
        <v>382.25</v>
      </c>
      <c r="H212" s="44">
        <v>44650</v>
      </c>
      <c r="I212" s="141">
        <v>67.900000000000006</v>
      </c>
      <c r="K212" s="44">
        <v>44650</v>
      </c>
      <c r="L212" s="141">
        <v>60.2</v>
      </c>
      <c r="O212" s="44">
        <v>44650</v>
      </c>
      <c r="P212" s="141">
        <v>363.3</v>
      </c>
    </row>
    <row r="213" spans="2:16" outlineLevel="1">
      <c r="B213" s="44">
        <v>44649</v>
      </c>
      <c r="C213" s="141">
        <v>400.1</v>
      </c>
      <c r="E213" s="44">
        <v>44649</v>
      </c>
      <c r="F213" s="141">
        <v>372.2</v>
      </c>
      <c r="H213" s="44">
        <v>44649</v>
      </c>
      <c r="I213" s="141">
        <v>68.05</v>
      </c>
      <c r="K213" s="44">
        <v>44649</v>
      </c>
      <c r="L213" s="141">
        <v>60.2</v>
      </c>
      <c r="O213" s="44">
        <v>44649</v>
      </c>
      <c r="P213" s="141">
        <v>368.05</v>
      </c>
    </row>
    <row r="214" spans="2:16" outlineLevel="1">
      <c r="B214" s="44">
        <v>44648</v>
      </c>
      <c r="C214" s="141">
        <v>408</v>
      </c>
      <c r="E214" s="44">
        <v>44648</v>
      </c>
      <c r="F214" s="141">
        <v>378.2</v>
      </c>
      <c r="H214" s="44">
        <v>44648</v>
      </c>
      <c r="I214" s="141">
        <v>66.599999999999994</v>
      </c>
      <c r="K214" s="44">
        <v>44648</v>
      </c>
      <c r="L214" s="141">
        <v>60.25</v>
      </c>
      <c r="O214" s="44">
        <v>44648</v>
      </c>
      <c r="P214" s="141">
        <v>361.25</v>
      </c>
    </row>
    <row r="215" spans="2:16" outlineLevel="1">
      <c r="B215" s="44">
        <v>44645</v>
      </c>
      <c r="C215" s="141">
        <v>402.8</v>
      </c>
      <c r="E215" s="44">
        <v>44645</v>
      </c>
      <c r="F215" s="141">
        <v>388.75</v>
      </c>
      <c r="H215" s="44">
        <v>44645</v>
      </c>
      <c r="I215" s="141">
        <v>69.349999999999994</v>
      </c>
      <c r="K215" s="44">
        <v>44645</v>
      </c>
      <c r="L215" s="141">
        <v>61.6</v>
      </c>
      <c r="O215" s="44">
        <v>44645</v>
      </c>
      <c r="P215" s="141">
        <v>370.45</v>
      </c>
    </row>
    <row r="216" spans="2:16" outlineLevel="1">
      <c r="B216" s="44">
        <v>44644</v>
      </c>
      <c r="C216" s="141">
        <v>404.9</v>
      </c>
      <c r="E216" s="44">
        <v>44644</v>
      </c>
      <c r="F216" s="141">
        <v>393.05</v>
      </c>
      <c r="H216" s="44">
        <v>44644</v>
      </c>
      <c r="I216" s="141">
        <v>70.849999999999994</v>
      </c>
      <c r="K216" s="44">
        <v>44644</v>
      </c>
      <c r="L216" s="141">
        <v>63</v>
      </c>
      <c r="O216" s="44">
        <v>44644</v>
      </c>
      <c r="P216" s="141">
        <v>377.8</v>
      </c>
    </row>
    <row r="217" spans="2:16" outlineLevel="1">
      <c r="B217" s="44">
        <v>44643</v>
      </c>
      <c r="C217" s="141">
        <v>412</v>
      </c>
      <c r="E217" s="44">
        <v>44643</v>
      </c>
      <c r="F217" s="141">
        <v>395.55</v>
      </c>
      <c r="H217" s="44">
        <v>44643</v>
      </c>
      <c r="I217" s="141">
        <v>71.400000000000006</v>
      </c>
      <c r="K217" s="44">
        <v>44643</v>
      </c>
      <c r="L217" s="141">
        <v>64.45</v>
      </c>
      <c r="O217" s="44">
        <v>44643</v>
      </c>
      <c r="P217" s="141">
        <v>361.1</v>
      </c>
    </row>
    <row r="218" spans="2:16" outlineLevel="1">
      <c r="B218" s="44">
        <v>44642</v>
      </c>
      <c r="C218" s="141">
        <v>415</v>
      </c>
      <c r="E218" s="44">
        <v>44642</v>
      </c>
      <c r="F218" s="141">
        <v>389</v>
      </c>
      <c r="H218" s="44">
        <v>44642</v>
      </c>
      <c r="I218" s="141">
        <v>70.900000000000006</v>
      </c>
      <c r="K218" s="44">
        <v>44642</v>
      </c>
      <c r="L218" s="141">
        <v>62.55</v>
      </c>
      <c r="O218" s="44">
        <v>44642</v>
      </c>
      <c r="P218" s="141">
        <v>357.35</v>
      </c>
    </row>
    <row r="219" spans="2:16" outlineLevel="1">
      <c r="B219" s="44">
        <v>44641</v>
      </c>
      <c r="C219" s="141">
        <v>413.15</v>
      </c>
      <c r="E219" s="44">
        <v>44641</v>
      </c>
      <c r="F219" s="141">
        <v>378.65</v>
      </c>
      <c r="H219" s="44">
        <v>44641</v>
      </c>
      <c r="I219" s="141">
        <v>72.05</v>
      </c>
      <c r="K219" s="44">
        <v>44641</v>
      </c>
      <c r="L219" s="141">
        <v>64.099999999999994</v>
      </c>
      <c r="O219" s="44">
        <v>44641</v>
      </c>
      <c r="P219" s="141">
        <v>359.6</v>
      </c>
    </row>
    <row r="220" spans="2:16" outlineLevel="1">
      <c r="B220" s="44">
        <v>44637</v>
      </c>
      <c r="C220" s="141">
        <v>405.9</v>
      </c>
      <c r="E220" s="44">
        <v>44637</v>
      </c>
      <c r="F220" s="141">
        <v>378.5</v>
      </c>
      <c r="H220" s="44">
        <v>44637</v>
      </c>
      <c r="I220" s="141">
        <v>71</v>
      </c>
      <c r="K220" s="44">
        <v>44637</v>
      </c>
      <c r="L220" s="141">
        <v>66.099999999999994</v>
      </c>
      <c r="O220" s="44">
        <v>44637</v>
      </c>
      <c r="P220" s="141">
        <v>347.45</v>
      </c>
    </row>
    <row r="221" spans="2:16" outlineLevel="1">
      <c r="B221" s="44">
        <v>44636</v>
      </c>
      <c r="C221" s="141">
        <v>397.2</v>
      </c>
      <c r="E221" s="44">
        <v>44636</v>
      </c>
      <c r="F221" s="141">
        <v>369.95</v>
      </c>
      <c r="H221" s="44">
        <v>44636</v>
      </c>
      <c r="I221" s="141">
        <v>70.55</v>
      </c>
      <c r="K221" s="44">
        <v>44636</v>
      </c>
      <c r="L221" s="141">
        <v>64.55</v>
      </c>
      <c r="O221" s="44">
        <v>44636</v>
      </c>
      <c r="P221" s="141">
        <v>323.7</v>
      </c>
    </row>
    <row r="222" spans="2:16" outlineLevel="1">
      <c r="B222" s="44">
        <v>44635</v>
      </c>
      <c r="C222" s="141">
        <v>399.4</v>
      </c>
      <c r="E222" s="44">
        <v>44635</v>
      </c>
      <c r="F222" s="141">
        <v>361.25</v>
      </c>
      <c r="H222" s="44">
        <v>44635</v>
      </c>
      <c r="I222" s="141">
        <v>67.599999999999994</v>
      </c>
      <c r="K222" s="44">
        <v>44635</v>
      </c>
      <c r="L222" s="141">
        <v>64.25</v>
      </c>
      <c r="O222" s="44">
        <v>44635</v>
      </c>
      <c r="P222" s="141">
        <v>308.35000000000002</v>
      </c>
    </row>
    <row r="223" spans="2:16" outlineLevel="1">
      <c r="B223" s="44">
        <v>44634</v>
      </c>
      <c r="C223" s="141">
        <v>400.85</v>
      </c>
      <c r="E223" s="44">
        <v>44634</v>
      </c>
      <c r="F223" s="141">
        <v>380.15</v>
      </c>
      <c r="H223" s="44">
        <v>44634</v>
      </c>
      <c r="I223" s="141">
        <v>69.849999999999994</v>
      </c>
      <c r="K223" s="44">
        <v>44634</v>
      </c>
      <c r="L223" s="141">
        <v>67.599999999999994</v>
      </c>
      <c r="O223" s="44">
        <v>44634</v>
      </c>
      <c r="P223" s="141">
        <v>313.35000000000002</v>
      </c>
    </row>
    <row r="224" spans="2:16" outlineLevel="1">
      <c r="B224" s="44">
        <v>44631</v>
      </c>
      <c r="C224" s="141">
        <v>402.55</v>
      </c>
      <c r="E224" s="44">
        <v>44631</v>
      </c>
      <c r="F224" s="141">
        <v>386.3</v>
      </c>
      <c r="H224" s="44">
        <v>44631</v>
      </c>
      <c r="I224" s="141">
        <v>70.25</v>
      </c>
      <c r="K224" s="44">
        <v>44631</v>
      </c>
      <c r="L224" s="141">
        <v>65.400000000000006</v>
      </c>
      <c r="O224" s="44">
        <v>44631</v>
      </c>
      <c r="P224" s="141">
        <v>311.25</v>
      </c>
    </row>
    <row r="225" spans="2:16" outlineLevel="1">
      <c r="B225" s="44">
        <v>44630</v>
      </c>
      <c r="C225" s="141">
        <v>397.6</v>
      </c>
      <c r="E225" s="44">
        <v>44630</v>
      </c>
      <c r="F225" s="141">
        <v>356.3</v>
      </c>
      <c r="H225" s="44">
        <v>44630</v>
      </c>
      <c r="I225" s="141">
        <v>67.400000000000006</v>
      </c>
      <c r="K225" s="44">
        <v>44630</v>
      </c>
      <c r="L225" s="141">
        <v>63.65</v>
      </c>
      <c r="O225" s="44">
        <v>44630</v>
      </c>
      <c r="P225" s="141">
        <v>313.05</v>
      </c>
    </row>
    <row r="226" spans="2:16" outlineLevel="1">
      <c r="B226" s="44">
        <v>44629</v>
      </c>
      <c r="C226" s="141">
        <v>400.3</v>
      </c>
      <c r="E226" s="44">
        <v>44629</v>
      </c>
      <c r="F226" s="141">
        <v>354.8</v>
      </c>
      <c r="H226" s="44">
        <v>44629</v>
      </c>
      <c r="I226" s="141">
        <v>64.45</v>
      </c>
      <c r="K226" s="44">
        <v>44629</v>
      </c>
      <c r="L226" s="141">
        <v>64.599999999999994</v>
      </c>
      <c r="O226" s="44">
        <v>44629</v>
      </c>
      <c r="P226" s="141">
        <v>314.5</v>
      </c>
    </row>
    <row r="227" spans="2:16" outlineLevel="1">
      <c r="B227" s="44">
        <v>44628</v>
      </c>
      <c r="C227" s="141">
        <v>388.8</v>
      </c>
      <c r="E227" s="44">
        <v>44628</v>
      </c>
      <c r="F227" s="141">
        <v>351.15</v>
      </c>
      <c r="H227" s="44">
        <v>44628</v>
      </c>
      <c r="I227" s="141">
        <v>63.1</v>
      </c>
      <c r="K227" s="44">
        <v>44628</v>
      </c>
      <c r="L227" s="141">
        <v>61.7</v>
      </c>
      <c r="O227" s="44">
        <v>44628</v>
      </c>
      <c r="P227" s="141">
        <v>310.10000000000002</v>
      </c>
    </row>
    <row r="228" spans="2:16" outlineLevel="1">
      <c r="B228" s="44">
        <v>44627</v>
      </c>
      <c r="C228" s="141">
        <v>395.65</v>
      </c>
      <c r="E228" s="44">
        <v>44627</v>
      </c>
      <c r="F228" s="141">
        <v>346.4</v>
      </c>
      <c r="H228" s="44">
        <v>44627</v>
      </c>
      <c r="I228" s="141">
        <v>62.9</v>
      </c>
      <c r="K228" s="44">
        <v>44627</v>
      </c>
      <c r="L228" s="141">
        <v>61.7</v>
      </c>
      <c r="O228" s="44">
        <v>44627</v>
      </c>
      <c r="P228" s="141">
        <v>308</v>
      </c>
    </row>
    <row r="229" spans="2:16" outlineLevel="1">
      <c r="B229" s="44">
        <v>44624</v>
      </c>
      <c r="C229" s="141">
        <v>397.05</v>
      </c>
      <c r="E229" s="44">
        <v>44624</v>
      </c>
      <c r="F229" s="141">
        <v>355.05</v>
      </c>
      <c r="H229" s="44">
        <v>44624</v>
      </c>
      <c r="I229" s="141">
        <v>64.7</v>
      </c>
      <c r="K229" s="44">
        <v>44624</v>
      </c>
      <c r="L229" s="141">
        <v>62.9</v>
      </c>
      <c r="O229" s="44">
        <v>44624</v>
      </c>
      <c r="P229" s="141">
        <v>309</v>
      </c>
    </row>
    <row r="230" spans="2:16" outlineLevel="1">
      <c r="B230" s="44">
        <v>44623</v>
      </c>
      <c r="C230" s="141">
        <v>397.9</v>
      </c>
      <c r="E230" s="44">
        <v>44623</v>
      </c>
      <c r="F230" s="141">
        <v>363.8</v>
      </c>
      <c r="H230" s="44">
        <v>44623</v>
      </c>
      <c r="I230" s="141">
        <v>66</v>
      </c>
      <c r="K230" s="44">
        <v>44623</v>
      </c>
      <c r="L230" s="141">
        <v>64</v>
      </c>
      <c r="O230" s="44">
        <v>44623</v>
      </c>
      <c r="P230" s="141">
        <v>321.5</v>
      </c>
    </row>
    <row r="231" spans="2:16" outlineLevel="1">
      <c r="B231" s="44">
        <v>44622</v>
      </c>
      <c r="C231" s="141">
        <v>391.65</v>
      </c>
      <c r="E231" s="44">
        <v>44622</v>
      </c>
      <c r="F231" s="141">
        <v>351.15</v>
      </c>
      <c r="H231" s="44">
        <v>44622</v>
      </c>
      <c r="I231" s="141">
        <v>64.55</v>
      </c>
      <c r="K231" s="44">
        <v>44622</v>
      </c>
      <c r="L231" s="141">
        <v>63.55</v>
      </c>
      <c r="O231" s="44">
        <v>44622</v>
      </c>
      <c r="P231" s="141">
        <v>319.60000000000002</v>
      </c>
    </row>
    <row r="232" spans="2:16" outlineLevel="1">
      <c r="B232" s="44">
        <v>44620</v>
      </c>
      <c r="C232" s="141">
        <v>383.85</v>
      </c>
      <c r="E232" s="44">
        <v>44620</v>
      </c>
      <c r="F232" s="141">
        <v>319.25</v>
      </c>
      <c r="H232" s="44">
        <v>44620</v>
      </c>
      <c r="I232" s="141">
        <v>62.4</v>
      </c>
      <c r="K232" s="44">
        <v>44620</v>
      </c>
      <c r="L232" s="141">
        <v>62.45</v>
      </c>
      <c r="O232" s="44">
        <v>44620</v>
      </c>
      <c r="P232" s="141">
        <v>305.5</v>
      </c>
    </row>
    <row r="233" spans="2:16" outlineLevel="1">
      <c r="B233" s="44">
        <v>44617</v>
      </c>
      <c r="C233" s="141">
        <v>381.7</v>
      </c>
      <c r="E233" s="44">
        <v>44617</v>
      </c>
      <c r="F233" s="141">
        <v>294.7</v>
      </c>
      <c r="H233" s="44">
        <v>44617</v>
      </c>
      <c r="I233" s="141">
        <v>60.1</v>
      </c>
      <c r="K233" s="44">
        <v>44617</v>
      </c>
      <c r="L233" s="141">
        <v>60.1</v>
      </c>
      <c r="O233" s="44">
        <v>44617</v>
      </c>
      <c r="P233" s="141">
        <v>300.14999999999998</v>
      </c>
    </row>
    <row r="234" spans="2:16" outlineLevel="1">
      <c r="B234" s="44">
        <v>44616</v>
      </c>
      <c r="C234" s="141">
        <v>338.85</v>
      </c>
      <c r="E234" s="44">
        <v>44616</v>
      </c>
      <c r="F234" s="141">
        <v>284.85000000000002</v>
      </c>
      <c r="H234" s="44">
        <v>44616</v>
      </c>
      <c r="I234" s="141">
        <v>54.35</v>
      </c>
      <c r="K234" s="44">
        <v>44616</v>
      </c>
      <c r="L234" s="141">
        <v>56.75</v>
      </c>
      <c r="O234" s="44">
        <v>44616</v>
      </c>
      <c r="P234" s="141">
        <v>291.05</v>
      </c>
    </row>
    <row r="235" spans="2:16" outlineLevel="1">
      <c r="B235" s="44">
        <v>44615</v>
      </c>
      <c r="C235" s="141">
        <v>399</v>
      </c>
      <c r="E235" s="44">
        <v>44615</v>
      </c>
      <c r="F235" s="141">
        <v>312.25</v>
      </c>
      <c r="H235" s="44">
        <v>44615</v>
      </c>
      <c r="I235" s="141">
        <v>62.55</v>
      </c>
      <c r="K235" s="44">
        <v>44615</v>
      </c>
      <c r="L235" s="141">
        <v>60.75</v>
      </c>
      <c r="O235" s="44">
        <v>44615</v>
      </c>
      <c r="P235" s="141">
        <v>314.05</v>
      </c>
    </row>
    <row r="236" spans="2:16" outlineLevel="1">
      <c r="B236" s="44">
        <v>44614</v>
      </c>
      <c r="C236" s="141">
        <v>391.05</v>
      </c>
      <c r="E236" s="44">
        <v>44614</v>
      </c>
      <c r="F236" s="141">
        <v>303.89999999999998</v>
      </c>
      <c r="H236" s="44">
        <v>44614</v>
      </c>
      <c r="I236" s="141">
        <v>61.9</v>
      </c>
      <c r="K236" s="44">
        <v>44614</v>
      </c>
      <c r="L236" s="141">
        <v>60.45</v>
      </c>
      <c r="O236" s="44">
        <v>44614</v>
      </c>
      <c r="P236" s="141">
        <v>308.64999999999998</v>
      </c>
    </row>
    <row r="237" spans="2:16" outlineLevel="1">
      <c r="B237" s="44">
        <v>44613</v>
      </c>
      <c r="C237" s="141">
        <v>384.45</v>
      </c>
      <c r="E237" s="44">
        <v>44613</v>
      </c>
      <c r="F237" s="141">
        <v>313</v>
      </c>
      <c r="H237" s="44">
        <v>44613</v>
      </c>
      <c r="I237" s="141">
        <v>63.2</v>
      </c>
      <c r="K237" s="44">
        <v>44613</v>
      </c>
      <c r="L237" s="141">
        <v>62.25</v>
      </c>
      <c r="O237" s="44">
        <v>44613</v>
      </c>
      <c r="P237" s="141">
        <v>318</v>
      </c>
    </row>
    <row r="238" spans="2:16" outlineLevel="1">
      <c r="B238" s="44">
        <v>44610</v>
      </c>
      <c r="C238" s="141">
        <v>389.75</v>
      </c>
      <c r="E238" s="44">
        <v>44610</v>
      </c>
      <c r="F238" s="141">
        <v>300.3</v>
      </c>
      <c r="H238" s="44">
        <v>44610</v>
      </c>
      <c r="I238" s="141">
        <v>63.45</v>
      </c>
      <c r="K238" s="44">
        <v>44610</v>
      </c>
      <c r="L238" s="141">
        <v>64.3</v>
      </c>
      <c r="O238" s="44">
        <v>44610</v>
      </c>
      <c r="P238" s="141">
        <v>323.35000000000002</v>
      </c>
    </row>
    <row r="239" spans="2:16" outlineLevel="1">
      <c r="B239" s="44">
        <v>44609</v>
      </c>
      <c r="C239" s="141">
        <v>395.7</v>
      </c>
      <c r="E239" s="44">
        <v>44609</v>
      </c>
      <c r="F239" s="141">
        <v>303.60000000000002</v>
      </c>
      <c r="H239" s="44">
        <v>44609</v>
      </c>
      <c r="I239" s="141">
        <v>62.8</v>
      </c>
      <c r="K239" s="44">
        <v>44609</v>
      </c>
      <c r="L239" s="141">
        <v>65.099999999999994</v>
      </c>
      <c r="O239" s="44">
        <v>44609</v>
      </c>
      <c r="P239" s="141">
        <v>328.1</v>
      </c>
    </row>
    <row r="240" spans="2:16" outlineLevel="1">
      <c r="B240" s="44">
        <v>44608</v>
      </c>
      <c r="C240" s="141">
        <v>398.05</v>
      </c>
      <c r="E240" s="44">
        <v>44608</v>
      </c>
      <c r="F240" s="141">
        <v>307.89999999999998</v>
      </c>
      <c r="H240" s="44">
        <v>44608</v>
      </c>
      <c r="I240" s="141">
        <v>63.05</v>
      </c>
      <c r="K240" s="44">
        <v>44608</v>
      </c>
      <c r="L240" s="141">
        <v>66.349999999999994</v>
      </c>
      <c r="O240" s="44">
        <v>44608</v>
      </c>
      <c r="P240" s="141">
        <v>330.5</v>
      </c>
    </row>
    <row r="241" spans="2:16" outlineLevel="1">
      <c r="B241" s="44">
        <v>44607</v>
      </c>
      <c r="C241" s="141">
        <v>401.95</v>
      </c>
      <c r="E241" s="44">
        <v>44607</v>
      </c>
      <c r="F241" s="141">
        <v>309.7</v>
      </c>
      <c r="H241" s="44">
        <v>44607</v>
      </c>
      <c r="I241" s="141">
        <v>61.1</v>
      </c>
      <c r="K241" s="44">
        <v>44607</v>
      </c>
      <c r="L241" s="141">
        <v>65.349999999999994</v>
      </c>
      <c r="O241" s="44">
        <v>44607</v>
      </c>
      <c r="P241" s="141">
        <v>332.85</v>
      </c>
    </row>
    <row r="242" spans="2:16" outlineLevel="1">
      <c r="B242" s="44">
        <v>44606</v>
      </c>
      <c r="C242" s="141">
        <v>396.2</v>
      </c>
      <c r="E242" s="44">
        <v>44606</v>
      </c>
      <c r="F242" s="141">
        <v>305.85000000000002</v>
      </c>
      <c r="H242" s="44">
        <v>44606</v>
      </c>
      <c r="I242" s="141">
        <v>60.9</v>
      </c>
      <c r="K242" s="44">
        <v>44606</v>
      </c>
      <c r="L242" s="141">
        <v>67.3</v>
      </c>
      <c r="O242" s="44">
        <v>44606</v>
      </c>
      <c r="P242" s="141">
        <v>331.2</v>
      </c>
    </row>
    <row r="243" spans="2:16" outlineLevel="1">
      <c r="B243" s="44">
        <v>44603</v>
      </c>
      <c r="C243" s="141">
        <v>402.3</v>
      </c>
      <c r="E243" s="44">
        <v>44603</v>
      </c>
      <c r="F243" s="141">
        <v>331.5</v>
      </c>
      <c r="H243" s="44">
        <v>44603</v>
      </c>
      <c r="I243" s="141">
        <v>64.3</v>
      </c>
      <c r="K243" s="44">
        <v>44603</v>
      </c>
      <c r="L243" s="141">
        <v>69</v>
      </c>
      <c r="O243" s="44">
        <v>44603</v>
      </c>
      <c r="P243" s="141">
        <v>343.45</v>
      </c>
    </row>
    <row r="244" spans="2:16" outlineLevel="1">
      <c r="B244" s="44">
        <v>44602</v>
      </c>
      <c r="C244" s="141">
        <v>395</v>
      </c>
      <c r="E244" s="44">
        <v>44602</v>
      </c>
      <c r="F244" s="141">
        <v>342.4</v>
      </c>
      <c r="H244" s="44">
        <v>44602</v>
      </c>
      <c r="I244" s="141">
        <v>67.05</v>
      </c>
      <c r="K244" s="44">
        <v>44602</v>
      </c>
      <c r="L244" s="141">
        <v>69.25</v>
      </c>
      <c r="O244" s="44">
        <v>44602</v>
      </c>
      <c r="P244" s="141">
        <v>350.5</v>
      </c>
    </row>
    <row r="245" spans="2:16" outlineLevel="1">
      <c r="B245" s="44">
        <v>44601</v>
      </c>
      <c r="C245" s="141">
        <v>396.45</v>
      </c>
      <c r="E245" s="44">
        <v>44601</v>
      </c>
      <c r="F245" s="141">
        <v>333.5</v>
      </c>
      <c r="H245" s="44">
        <v>44601</v>
      </c>
      <c r="I245" s="141">
        <v>64.849999999999994</v>
      </c>
      <c r="K245" s="44">
        <v>44601</v>
      </c>
      <c r="L245" s="141">
        <v>68.45</v>
      </c>
      <c r="O245" s="44">
        <v>44601</v>
      </c>
      <c r="P245" s="141">
        <v>341.5</v>
      </c>
    </row>
    <row r="246" spans="2:16" outlineLevel="1">
      <c r="B246" s="44">
        <v>44600</v>
      </c>
      <c r="C246" s="141">
        <v>385.95</v>
      </c>
      <c r="E246" s="44">
        <v>44600</v>
      </c>
      <c r="F246" s="141">
        <v>327.14999999999998</v>
      </c>
      <c r="H246" s="44">
        <v>44600</v>
      </c>
      <c r="I246" s="141">
        <v>61.7</v>
      </c>
      <c r="K246" s="44">
        <v>44600</v>
      </c>
      <c r="L246" s="141">
        <v>69.400000000000006</v>
      </c>
      <c r="O246" s="44">
        <v>44600</v>
      </c>
      <c r="P246" s="141">
        <v>336.6</v>
      </c>
    </row>
    <row r="247" spans="2:16" outlineLevel="1">
      <c r="B247" s="44">
        <v>44599</v>
      </c>
      <c r="C247" s="141">
        <v>392</v>
      </c>
      <c r="E247" s="44">
        <v>44599</v>
      </c>
      <c r="F247" s="141">
        <v>323.60000000000002</v>
      </c>
      <c r="H247" s="44">
        <v>44599</v>
      </c>
      <c r="I247" s="141">
        <v>59.85</v>
      </c>
      <c r="K247" s="44">
        <v>44599</v>
      </c>
      <c r="L247" s="141">
        <v>69.599999999999994</v>
      </c>
      <c r="O247" s="44">
        <v>44599</v>
      </c>
      <c r="P247" s="141">
        <v>340.85</v>
      </c>
    </row>
    <row r="248" spans="2:16" outlineLevel="1">
      <c r="B248" s="44">
        <v>44596</v>
      </c>
      <c r="C248" s="141">
        <v>391.25</v>
      </c>
      <c r="E248" s="44">
        <v>44596</v>
      </c>
      <c r="F248" s="141">
        <v>324</v>
      </c>
      <c r="H248" s="44">
        <v>44596</v>
      </c>
      <c r="I248" s="141">
        <v>60.15</v>
      </c>
      <c r="K248" s="44">
        <v>44596</v>
      </c>
      <c r="L248" s="141">
        <v>69.599999999999994</v>
      </c>
      <c r="O248" s="44">
        <v>44596</v>
      </c>
      <c r="P248" s="141">
        <v>345.35</v>
      </c>
    </row>
    <row r="249" spans="2:16" outlineLevel="1">
      <c r="B249" s="44">
        <v>44595</v>
      </c>
      <c r="C249" s="141">
        <v>401</v>
      </c>
      <c r="E249" s="44">
        <v>44595</v>
      </c>
      <c r="F249" s="141">
        <v>320.8</v>
      </c>
      <c r="H249" s="44">
        <v>44595</v>
      </c>
      <c r="I249" s="141">
        <v>61.4</v>
      </c>
      <c r="K249" s="44">
        <v>44595</v>
      </c>
      <c r="L249" s="141">
        <v>69.75</v>
      </c>
      <c r="O249" s="44">
        <v>44595</v>
      </c>
      <c r="P249" s="141">
        <v>342.95</v>
      </c>
    </row>
    <row r="250" spans="2:16" outlineLevel="1">
      <c r="B250" s="44">
        <v>44594</v>
      </c>
      <c r="C250" s="141">
        <v>405.85</v>
      </c>
      <c r="E250" s="44">
        <v>44594</v>
      </c>
      <c r="F250" s="141">
        <v>317.3</v>
      </c>
      <c r="H250" s="44">
        <v>44594</v>
      </c>
      <c r="I250" s="141">
        <v>59.8</v>
      </c>
      <c r="K250" s="44">
        <v>44594</v>
      </c>
      <c r="L250" s="141">
        <v>70.25</v>
      </c>
      <c r="O250" s="44">
        <v>44594</v>
      </c>
      <c r="P250" s="141">
        <v>354.25</v>
      </c>
    </row>
    <row r="251" spans="2:16" outlineLevel="1">
      <c r="B251" s="44">
        <v>44593</v>
      </c>
      <c r="C251" s="141">
        <v>393.25</v>
      </c>
      <c r="E251" s="44">
        <v>44593</v>
      </c>
      <c r="F251" s="141">
        <v>329.75</v>
      </c>
      <c r="H251" s="44">
        <v>44593</v>
      </c>
      <c r="I251" s="141">
        <v>60.25</v>
      </c>
      <c r="K251" s="44">
        <v>44593</v>
      </c>
      <c r="L251" s="141">
        <v>70.25</v>
      </c>
      <c r="O251" s="44">
        <v>44593</v>
      </c>
      <c r="P251" s="141">
        <v>342.55</v>
      </c>
    </row>
    <row r="252" spans="2:16" outlineLevel="1">
      <c r="B252" s="44">
        <v>44592</v>
      </c>
      <c r="C252" s="141">
        <v>395.3</v>
      </c>
      <c r="E252" s="44">
        <v>44592</v>
      </c>
      <c r="F252" s="141">
        <v>299.8</v>
      </c>
      <c r="H252" s="44">
        <v>44592</v>
      </c>
      <c r="I252" s="141">
        <v>60.2</v>
      </c>
      <c r="K252" s="44">
        <v>44592</v>
      </c>
      <c r="L252" s="141">
        <v>70.45</v>
      </c>
      <c r="O252" s="44">
        <v>44592</v>
      </c>
      <c r="P252" s="141">
        <v>326.64999999999998</v>
      </c>
    </row>
    <row r="253" spans="2:16" outlineLevel="1">
      <c r="B253" s="44">
        <v>44589</v>
      </c>
      <c r="C253" s="141">
        <v>388.25</v>
      </c>
      <c r="E253" s="44">
        <v>44589</v>
      </c>
      <c r="F253" s="141">
        <v>289.75</v>
      </c>
      <c r="H253" s="44">
        <v>44589</v>
      </c>
      <c r="I253" s="141">
        <v>59.9</v>
      </c>
      <c r="K253" s="44">
        <v>44589</v>
      </c>
      <c r="L253" s="141">
        <v>68.2</v>
      </c>
      <c r="O253" s="44">
        <v>44589</v>
      </c>
      <c r="P253" s="141">
        <v>333.9</v>
      </c>
    </row>
    <row r="254" spans="2:16" outlineLevel="1">
      <c r="B254" s="44">
        <v>44588</v>
      </c>
      <c r="C254" s="141">
        <v>394.9</v>
      </c>
      <c r="E254" s="44">
        <v>44588</v>
      </c>
      <c r="F254" s="141">
        <v>278.10000000000002</v>
      </c>
      <c r="H254" s="44">
        <v>44588</v>
      </c>
      <c r="I254" s="141">
        <v>58.85</v>
      </c>
      <c r="K254" s="44">
        <v>44588</v>
      </c>
      <c r="L254" s="141">
        <v>67.349999999999994</v>
      </c>
      <c r="O254" s="44">
        <v>44588</v>
      </c>
      <c r="P254" s="141">
        <v>332.6</v>
      </c>
    </row>
    <row r="255" spans="2:16" outlineLevel="1">
      <c r="B255" s="44">
        <v>44586</v>
      </c>
      <c r="C255" s="141">
        <v>377.3</v>
      </c>
      <c r="E255" s="44">
        <v>44586</v>
      </c>
      <c r="F255" s="141">
        <v>275.10000000000002</v>
      </c>
      <c r="H255" s="44">
        <v>44586</v>
      </c>
      <c r="I255" s="141">
        <v>58.55</v>
      </c>
      <c r="K255" s="44">
        <v>44586</v>
      </c>
      <c r="L255" s="141">
        <v>68.599999999999994</v>
      </c>
      <c r="O255" s="44">
        <v>44586</v>
      </c>
      <c r="P255" s="141">
        <v>331.9</v>
      </c>
    </row>
    <row r="256" spans="2:16" outlineLevel="1">
      <c r="B256" s="44">
        <v>44585</v>
      </c>
      <c r="C256" s="141">
        <v>369.85</v>
      </c>
      <c r="E256" s="44">
        <v>44585</v>
      </c>
      <c r="F256" s="141">
        <v>267.39999999999998</v>
      </c>
      <c r="H256" s="44">
        <v>44585</v>
      </c>
      <c r="I256" s="141">
        <v>57.1</v>
      </c>
      <c r="K256" s="44">
        <v>44585</v>
      </c>
      <c r="L256" s="141">
        <v>67.45</v>
      </c>
      <c r="O256" s="44">
        <v>44585</v>
      </c>
      <c r="P256" s="141">
        <v>322.55</v>
      </c>
    </row>
    <row r="257" spans="2:16" outlineLevel="1">
      <c r="B257" s="44">
        <v>44582</v>
      </c>
      <c r="C257" s="141">
        <v>393.25</v>
      </c>
      <c r="E257" s="44">
        <v>44582</v>
      </c>
      <c r="F257" s="141">
        <v>275.45</v>
      </c>
      <c r="H257" s="44">
        <v>44582</v>
      </c>
      <c r="I257" s="141">
        <v>60.6</v>
      </c>
      <c r="K257" s="44">
        <v>44582</v>
      </c>
      <c r="L257" s="141">
        <v>70.900000000000006</v>
      </c>
      <c r="O257" s="44">
        <v>44582</v>
      </c>
      <c r="P257" s="141">
        <v>340.35</v>
      </c>
    </row>
    <row r="258" spans="2:16" outlineLevel="1">
      <c r="B258" s="44">
        <v>44581</v>
      </c>
      <c r="C258" s="141">
        <v>394.35</v>
      </c>
      <c r="E258" s="44">
        <v>44581</v>
      </c>
      <c r="F258" s="141">
        <v>281.55</v>
      </c>
      <c r="H258" s="44">
        <v>44581</v>
      </c>
      <c r="I258" s="141">
        <v>60.75</v>
      </c>
      <c r="K258" s="44">
        <v>44581</v>
      </c>
      <c r="L258" s="141">
        <v>71.05</v>
      </c>
      <c r="O258" s="44">
        <v>44581</v>
      </c>
      <c r="P258" s="141">
        <v>339.3</v>
      </c>
    </row>
    <row r="259" spans="2:16" outlineLevel="1">
      <c r="B259" s="44">
        <v>44580</v>
      </c>
      <c r="C259" s="141">
        <v>391.95</v>
      </c>
      <c r="E259" s="44">
        <v>44580</v>
      </c>
      <c r="F259" s="141">
        <v>270</v>
      </c>
      <c r="H259" s="44">
        <v>44580</v>
      </c>
      <c r="I259" s="141">
        <v>60.15</v>
      </c>
      <c r="K259" s="44">
        <v>44580</v>
      </c>
      <c r="L259" s="141">
        <v>71.599999999999994</v>
      </c>
      <c r="O259" s="44">
        <v>44580</v>
      </c>
      <c r="P259" s="141">
        <v>347.45</v>
      </c>
    </row>
    <row r="260" spans="2:16" outlineLevel="1">
      <c r="B260" s="44">
        <v>44579</v>
      </c>
      <c r="C260" s="141">
        <v>396.05</v>
      </c>
      <c r="E260" s="44">
        <v>44579</v>
      </c>
      <c r="F260" s="141">
        <v>268.60000000000002</v>
      </c>
      <c r="H260" s="44">
        <v>44579</v>
      </c>
      <c r="I260" s="141">
        <v>61.2</v>
      </c>
      <c r="K260" s="44">
        <v>44579</v>
      </c>
      <c r="L260" s="141">
        <v>71.650000000000006</v>
      </c>
      <c r="O260" s="44">
        <v>44579</v>
      </c>
      <c r="P260" s="141">
        <v>350.55</v>
      </c>
    </row>
    <row r="261" spans="2:16" outlineLevel="1">
      <c r="B261" s="44">
        <v>44578</v>
      </c>
      <c r="C261" s="141">
        <v>401.25</v>
      </c>
      <c r="E261" s="44">
        <v>44578</v>
      </c>
      <c r="F261" s="141">
        <v>275.5</v>
      </c>
      <c r="H261" s="44">
        <v>44578</v>
      </c>
      <c r="I261" s="141">
        <v>63.55</v>
      </c>
      <c r="K261" s="44">
        <v>44578</v>
      </c>
      <c r="L261" s="141">
        <v>73.8</v>
      </c>
      <c r="O261" s="44">
        <v>44578</v>
      </c>
      <c r="P261" s="141">
        <v>353.25</v>
      </c>
    </row>
    <row r="262" spans="2:16" outlineLevel="1">
      <c r="B262" s="44">
        <v>44575</v>
      </c>
      <c r="C262" s="141">
        <v>401</v>
      </c>
      <c r="E262" s="44">
        <v>44575</v>
      </c>
      <c r="F262" s="141">
        <v>280.8</v>
      </c>
      <c r="H262" s="44">
        <v>44575</v>
      </c>
      <c r="I262" s="141">
        <v>61.15</v>
      </c>
      <c r="K262" s="44">
        <v>44575</v>
      </c>
      <c r="L262" s="141">
        <v>71.400000000000006</v>
      </c>
      <c r="O262" s="44">
        <v>44575</v>
      </c>
      <c r="P262" s="141">
        <v>350.3</v>
      </c>
    </row>
    <row r="263" spans="2:16" outlineLevel="1">
      <c r="B263" s="44">
        <v>44574</v>
      </c>
      <c r="C263" s="141">
        <v>396.2</v>
      </c>
      <c r="E263" s="44">
        <v>44574</v>
      </c>
      <c r="F263" s="141">
        <v>279.55</v>
      </c>
      <c r="H263" s="44">
        <v>44574</v>
      </c>
      <c r="I263" s="141">
        <v>61.35</v>
      </c>
      <c r="K263" s="44">
        <v>44574</v>
      </c>
      <c r="L263" s="141">
        <v>70.25</v>
      </c>
      <c r="O263" s="44">
        <v>44574</v>
      </c>
      <c r="P263" s="141">
        <v>351.75</v>
      </c>
    </row>
    <row r="264" spans="2:16" outlineLevel="1">
      <c r="B264" s="44">
        <v>44573</v>
      </c>
      <c r="C264" s="141">
        <v>403.7</v>
      </c>
      <c r="E264" s="44">
        <v>44573</v>
      </c>
      <c r="F264" s="141">
        <v>262.14999999999998</v>
      </c>
      <c r="H264" s="44">
        <v>44573</v>
      </c>
      <c r="I264" s="141">
        <v>60.45</v>
      </c>
      <c r="K264" s="44">
        <v>44573</v>
      </c>
      <c r="L264" s="141">
        <v>67.8</v>
      </c>
      <c r="O264" s="44">
        <v>44573</v>
      </c>
      <c r="P264" s="141">
        <v>346.2</v>
      </c>
    </row>
    <row r="265" spans="2:16" outlineLevel="1">
      <c r="B265" s="44">
        <v>44572</v>
      </c>
      <c r="C265" s="141">
        <v>398.95</v>
      </c>
      <c r="E265" s="44">
        <v>44572</v>
      </c>
      <c r="F265" s="141">
        <v>268.05</v>
      </c>
      <c r="H265" s="44">
        <v>44572</v>
      </c>
      <c r="I265" s="141">
        <v>59.75</v>
      </c>
      <c r="K265" s="44">
        <v>44572</v>
      </c>
      <c r="L265" s="141">
        <v>71</v>
      </c>
      <c r="O265" s="44">
        <v>44572</v>
      </c>
      <c r="P265" s="141">
        <v>350.85</v>
      </c>
    </row>
    <row r="266" spans="2:16" outlineLevel="1">
      <c r="B266" s="44">
        <v>44571</v>
      </c>
      <c r="C266" s="141">
        <v>416.7</v>
      </c>
      <c r="E266" s="44">
        <v>44571</v>
      </c>
      <c r="F266" s="141">
        <v>275.10000000000002</v>
      </c>
      <c r="H266" s="44">
        <v>44571</v>
      </c>
      <c r="I266" s="141">
        <v>56.55</v>
      </c>
      <c r="K266" s="44">
        <v>44571</v>
      </c>
      <c r="L266" s="141">
        <v>73.05</v>
      </c>
      <c r="O266" s="44">
        <v>44571</v>
      </c>
      <c r="P266" s="141">
        <v>349.65</v>
      </c>
    </row>
    <row r="267" spans="2:16" outlineLevel="1">
      <c r="B267" s="44">
        <v>44568</v>
      </c>
      <c r="C267" s="141">
        <v>370.25</v>
      </c>
      <c r="E267" s="44">
        <v>44568</v>
      </c>
      <c r="F267" s="141">
        <v>278.85000000000002</v>
      </c>
      <c r="H267" s="44">
        <v>44568</v>
      </c>
      <c r="I267" s="141">
        <v>55.9</v>
      </c>
      <c r="K267" s="44">
        <v>44568</v>
      </c>
      <c r="L267" s="141">
        <v>72.75</v>
      </c>
      <c r="O267" s="44">
        <v>44568</v>
      </c>
      <c r="P267" s="141">
        <v>350.6</v>
      </c>
    </row>
    <row r="268" spans="2:16" outlineLevel="1">
      <c r="B268" s="44">
        <v>44567</v>
      </c>
      <c r="C268" s="141">
        <v>372.6</v>
      </c>
      <c r="E268" s="44">
        <v>44567</v>
      </c>
      <c r="F268" s="141">
        <v>269.60000000000002</v>
      </c>
      <c r="H268" s="44">
        <v>44567</v>
      </c>
      <c r="I268" s="141">
        <v>56</v>
      </c>
      <c r="K268" s="44">
        <v>44567</v>
      </c>
      <c r="L268" s="141">
        <v>72.900000000000006</v>
      </c>
      <c r="O268" s="44">
        <v>44567</v>
      </c>
      <c r="P268" s="141">
        <v>344.45</v>
      </c>
    </row>
    <row r="269" spans="2:16" outlineLevel="1">
      <c r="B269" s="44">
        <v>44566</v>
      </c>
      <c r="C269" s="141">
        <v>366.65</v>
      </c>
      <c r="E269" s="44">
        <v>44566</v>
      </c>
      <c r="F269" s="141">
        <v>271.3</v>
      </c>
      <c r="H269" s="44">
        <v>44566</v>
      </c>
      <c r="I269" s="141">
        <v>55.65</v>
      </c>
      <c r="K269" s="44">
        <v>44566</v>
      </c>
      <c r="L269" s="141">
        <v>73.150000000000006</v>
      </c>
      <c r="O269" s="44">
        <v>44566</v>
      </c>
      <c r="P269" s="141">
        <v>343.4</v>
      </c>
    </row>
    <row r="270" spans="2:16" outlineLevel="1">
      <c r="B270" s="44">
        <v>44565</v>
      </c>
      <c r="C270" s="141">
        <v>362.85</v>
      </c>
      <c r="E270" s="44">
        <v>44565</v>
      </c>
      <c r="F270" s="141">
        <v>272.8</v>
      </c>
      <c r="H270" s="44">
        <v>44565</v>
      </c>
      <c r="I270" s="141">
        <v>54.4</v>
      </c>
      <c r="K270" s="44">
        <v>44565</v>
      </c>
      <c r="L270" s="141">
        <v>74</v>
      </c>
      <c r="O270" s="44">
        <v>44565</v>
      </c>
      <c r="P270" s="141">
        <v>334.25</v>
      </c>
    </row>
    <row r="271" spans="2:16" outlineLevel="1">
      <c r="B271" s="44">
        <v>44564</v>
      </c>
      <c r="C271" s="141">
        <v>362.4</v>
      </c>
      <c r="E271" s="44">
        <v>44564</v>
      </c>
      <c r="F271" s="141">
        <v>276.35000000000002</v>
      </c>
      <c r="H271" s="44">
        <v>44564</v>
      </c>
      <c r="I271" s="141">
        <v>54.65</v>
      </c>
      <c r="K271" s="44">
        <v>44564</v>
      </c>
      <c r="L271" s="141">
        <v>73.25</v>
      </c>
      <c r="O271" s="44">
        <v>44564</v>
      </c>
      <c r="P271" s="141">
        <v>339.3</v>
      </c>
    </row>
    <row r="275" spans="2:6" ht="15">
      <c r="B275"/>
      <c r="C275"/>
      <c r="E275"/>
      <c r="F275"/>
    </row>
    <row r="276" spans="2:6" ht="15">
      <c r="B276"/>
      <c r="C276"/>
      <c r="E276"/>
      <c r="F276"/>
    </row>
    <row r="277" spans="2:6" ht="15">
      <c r="B277"/>
      <c r="C277"/>
      <c r="E277"/>
      <c r="F277"/>
    </row>
    <row r="278" spans="2:6" ht="15" outlineLevel="1">
      <c r="B278"/>
      <c r="C278"/>
      <c r="E278"/>
      <c r="F278"/>
    </row>
    <row r="279" spans="2:6" ht="15" outlineLevel="1">
      <c r="B279"/>
      <c r="C279"/>
      <c r="E279"/>
      <c r="F279"/>
    </row>
    <row r="280" spans="2:6" ht="15" outlineLevel="1">
      <c r="B280"/>
      <c r="C280"/>
      <c r="E280"/>
      <c r="F280"/>
    </row>
    <row r="281" spans="2:6" ht="15" outlineLevel="1">
      <c r="B281"/>
      <c r="C281"/>
      <c r="E281"/>
      <c r="F281"/>
    </row>
    <row r="282" spans="2:6" ht="15" outlineLevel="1">
      <c r="B282"/>
      <c r="C282"/>
      <c r="E282"/>
      <c r="F282"/>
    </row>
    <row r="283" spans="2:6" ht="15" outlineLevel="1">
      <c r="B283"/>
      <c r="C283"/>
      <c r="E283"/>
      <c r="F283"/>
    </row>
    <row r="284" spans="2:6" ht="15" outlineLevel="1">
      <c r="B284"/>
      <c r="C284"/>
      <c r="E284"/>
      <c r="F284"/>
    </row>
    <row r="285" spans="2:6" ht="15" outlineLevel="1">
      <c r="B285"/>
      <c r="C285"/>
      <c r="E285"/>
      <c r="F285"/>
    </row>
    <row r="286" spans="2:6" ht="15" outlineLevel="1">
      <c r="B286"/>
      <c r="C286"/>
      <c r="E286"/>
      <c r="F286"/>
    </row>
    <row r="287" spans="2:6" ht="15" outlineLevel="1">
      <c r="B287"/>
      <c r="C287"/>
      <c r="E287"/>
      <c r="F287"/>
    </row>
    <row r="288" spans="2:6" ht="15" outlineLevel="1">
      <c r="B288"/>
      <c r="C288"/>
      <c r="E288"/>
      <c r="F288"/>
    </row>
    <row r="289" spans="2:6" ht="15" outlineLevel="1">
      <c r="B289"/>
      <c r="C289"/>
      <c r="E289"/>
      <c r="F289"/>
    </row>
    <row r="290" spans="2:6" ht="15" outlineLevel="1">
      <c r="B290"/>
      <c r="C290"/>
      <c r="E290"/>
      <c r="F290"/>
    </row>
    <row r="291" spans="2:6" ht="15" outlineLevel="1">
      <c r="B291"/>
      <c r="C291"/>
      <c r="E291"/>
      <c r="F291"/>
    </row>
    <row r="292" spans="2:6" ht="15" outlineLevel="1">
      <c r="B292"/>
      <c r="C292"/>
      <c r="E292"/>
      <c r="F292"/>
    </row>
    <row r="293" spans="2:6" ht="15" outlineLevel="1">
      <c r="B293"/>
      <c r="C293"/>
      <c r="E293"/>
      <c r="F293"/>
    </row>
    <row r="294" spans="2:6" ht="15" outlineLevel="1">
      <c r="B294"/>
      <c r="C294"/>
      <c r="E294"/>
      <c r="F294"/>
    </row>
    <row r="295" spans="2:6" ht="15" outlineLevel="1">
      <c r="B295"/>
      <c r="C295"/>
      <c r="E295"/>
      <c r="F295"/>
    </row>
    <row r="296" spans="2:6" ht="15" outlineLevel="1">
      <c r="B296"/>
      <c r="C296"/>
      <c r="E296"/>
      <c r="F296"/>
    </row>
    <row r="297" spans="2:6" ht="15" outlineLevel="1">
      <c r="B297"/>
      <c r="C297"/>
      <c r="E297"/>
      <c r="F297"/>
    </row>
    <row r="298" spans="2:6" ht="15" outlineLevel="1">
      <c r="B298"/>
      <c r="C298"/>
      <c r="E298"/>
      <c r="F298"/>
    </row>
    <row r="299" spans="2:6" ht="15" outlineLevel="1">
      <c r="B299"/>
      <c r="C299"/>
      <c r="E299"/>
      <c r="F299"/>
    </row>
    <row r="300" spans="2:6" ht="15" outlineLevel="1">
      <c r="B300"/>
      <c r="C300"/>
      <c r="E300"/>
      <c r="F300"/>
    </row>
    <row r="301" spans="2:6" ht="15" outlineLevel="1">
      <c r="B301"/>
      <c r="C301"/>
      <c r="E301"/>
      <c r="F301"/>
    </row>
    <row r="302" spans="2:6" ht="15" outlineLevel="1">
      <c r="B302"/>
      <c r="C302"/>
      <c r="E302"/>
      <c r="F302"/>
    </row>
    <row r="303" spans="2:6" ht="15" outlineLevel="1">
      <c r="B303"/>
      <c r="C303"/>
      <c r="E303"/>
      <c r="F303"/>
    </row>
    <row r="304" spans="2:6" ht="15" outlineLevel="1">
      <c r="B304"/>
      <c r="C304"/>
      <c r="E304"/>
      <c r="F304"/>
    </row>
    <row r="305" spans="2:6" ht="15" outlineLevel="1">
      <c r="B305"/>
      <c r="C305"/>
      <c r="E305"/>
      <c r="F305"/>
    </row>
    <row r="306" spans="2:6" ht="15" outlineLevel="1">
      <c r="B306"/>
      <c r="C306"/>
      <c r="E306"/>
      <c r="F306"/>
    </row>
    <row r="307" spans="2:6" ht="15" outlineLevel="1">
      <c r="B307"/>
      <c r="C307"/>
      <c r="E307"/>
      <c r="F307"/>
    </row>
    <row r="308" spans="2:6" ht="15" outlineLevel="1">
      <c r="B308"/>
      <c r="C308"/>
      <c r="E308"/>
      <c r="F308"/>
    </row>
    <row r="309" spans="2:6" ht="15" outlineLevel="1">
      <c r="B309"/>
      <c r="C309"/>
      <c r="E309"/>
      <c r="F309"/>
    </row>
    <row r="310" spans="2:6" ht="15" outlineLevel="1">
      <c r="B310"/>
      <c r="C310"/>
      <c r="E310"/>
      <c r="F310"/>
    </row>
    <row r="311" spans="2:6" ht="15" outlineLevel="1">
      <c r="B311"/>
      <c r="C311"/>
      <c r="E311"/>
      <c r="F311"/>
    </row>
    <row r="312" spans="2:6" ht="15" outlineLevel="1">
      <c r="B312"/>
      <c r="C312"/>
      <c r="E312"/>
      <c r="F312"/>
    </row>
    <row r="313" spans="2:6" ht="15" outlineLevel="1">
      <c r="B313"/>
      <c r="C313"/>
      <c r="E313"/>
      <c r="F313"/>
    </row>
    <row r="314" spans="2:6" ht="15" outlineLevel="1">
      <c r="B314"/>
      <c r="C314"/>
      <c r="E314"/>
      <c r="F314"/>
    </row>
    <row r="315" spans="2:6" ht="15" outlineLevel="1">
      <c r="B315"/>
      <c r="C315"/>
      <c r="E315"/>
      <c r="F315"/>
    </row>
    <row r="316" spans="2:6" ht="15" outlineLevel="1">
      <c r="B316"/>
      <c r="C316"/>
      <c r="E316"/>
      <c r="F316"/>
    </row>
    <row r="317" spans="2:6" ht="15" outlineLevel="1">
      <c r="B317"/>
      <c r="C317"/>
      <c r="E317"/>
      <c r="F317"/>
    </row>
    <row r="318" spans="2:6" ht="15" outlineLevel="1">
      <c r="B318"/>
      <c r="C318"/>
      <c r="E318"/>
      <c r="F318"/>
    </row>
    <row r="319" spans="2:6" ht="15" outlineLevel="1">
      <c r="B319"/>
      <c r="C319"/>
      <c r="E319"/>
      <c r="F319"/>
    </row>
    <row r="320" spans="2:6" ht="15" outlineLevel="1">
      <c r="B320"/>
      <c r="C320"/>
      <c r="E320"/>
      <c r="F320"/>
    </row>
    <row r="321" spans="2:6" ht="15" outlineLevel="1">
      <c r="B321"/>
      <c r="C321"/>
      <c r="E321"/>
      <c r="F321"/>
    </row>
    <row r="322" spans="2:6" ht="15" outlineLevel="1">
      <c r="B322"/>
      <c r="C322"/>
      <c r="E322"/>
      <c r="F322"/>
    </row>
    <row r="323" spans="2:6" ht="15" outlineLevel="1">
      <c r="B323"/>
      <c r="C323"/>
      <c r="E323"/>
      <c r="F323"/>
    </row>
    <row r="324" spans="2:6" ht="15" outlineLevel="1">
      <c r="B324"/>
      <c r="C324"/>
      <c r="E324"/>
      <c r="F324"/>
    </row>
    <row r="325" spans="2:6" ht="15" outlineLevel="1">
      <c r="B325"/>
      <c r="C325"/>
      <c r="E325"/>
      <c r="F325"/>
    </row>
    <row r="326" spans="2:6" ht="15" outlineLevel="1">
      <c r="B326"/>
      <c r="C326"/>
      <c r="E326"/>
      <c r="F326"/>
    </row>
    <row r="327" spans="2:6" ht="15" outlineLevel="1">
      <c r="B327"/>
      <c r="C327"/>
      <c r="E327"/>
      <c r="F327"/>
    </row>
    <row r="328" spans="2:6" ht="15" outlineLevel="1">
      <c r="B328"/>
      <c r="C328"/>
      <c r="E328"/>
      <c r="F328"/>
    </row>
    <row r="329" spans="2:6" ht="15" outlineLevel="1">
      <c r="B329"/>
      <c r="C329"/>
      <c r="E329"/>
      <c r="F329"/>
    </row>
    <row r="330" spans="2:6" ht="15" outlineLevel="1">
      <c r="B330"/>
      <c r="C330"/>
      <c r="E330"/>
      <c r="F330"/>
    </row>
    <row r="331" spans="2:6" ht="15" outlineLevel="1">
      <c r="B331"/>
      <c r="C331"/>
      <c r="E331"/>
      <c r="F331"/>
    </row>
    <row r="332" spans="2:6" ht="15" outlineLevel="1">
      <c r="B332"/>
      <c r="C332"/>
      <c r="E332"/>
      <c r="F332"/>
    </row>
    <row r="333" spans="2:6" ht="15" outlineLevel="1">
      <c r="B333"/>
      <c r="C333"/>
      <c r="E333"/>
      <c r="F333"/>
    </row>
    <row r="334" spans="2:6" ht="15" outlineLevel="1">
      <c r="B334"/>
      <c r="C334"/>
      <c r="E334"/>
      <c r="F334"/>
    </row>
    <row r="335" spans="2:6" ht="15" outlineLevel="1">
      <c r="B335"/>
      <c r="C335"/>
      <c r="E335"/>
      <c r="F335"/>
    </row>
    <row r="336" spans="2:6" ht="15" outlineLevel="1">
      <c r="B336"/>
      <c r="C336"/>
      <c r="E336"/>
      <c r="F336"/>
    </row>
    <row r="337" spans="2:6" ht="15" outlineLevel="1">
      <c r="B337"/>
      <c r="C337"/>
      <c r="E337"/>
      <c r="F337"/>
    </row>
    <row r="338" spans="2:6" ht="15" outlineLevel="1">
      <c r="B338"/>
      <c r="C338"/>
      <c r="E338"/>
      <c r="F338"/>
    </row>
    <row r="339" spans="2:6" ht="15" outlineLevel="1">
      <c r="B339"/>
      <c r="C339"/>
      <c r="E339"/>
      <c r="F339"/>
    </row>
    <row r="340" spans="2:6" ht="15" outlineLevel="1">
      <c r="B340"/>
      <c r="C340"/>
      <c r="E340"/>
      <c r="F340"/>
    </row>
    <row r="341" spans="2:6" ht="15" outlineLevel="1">
      <c r="B341"/>
      <c r="C341"/>
      <c r="E341"/>
      <c r="F341"/>
    </row>
    <row r="342" spans="2:6" ht="15" outlineLevel="1">
      <c r="B342"/>
      <c r="C342"/>
      <c r="E342"/>
      <c r="F342"/>
    </row>
    <row r="343" spans="2:6" ht="15" outlineLevel="1">
      <c r="B343"/>
      <c r="C343"/>
      <c r="E343"/>
      <c r="F343"/>
    </row>
    <row r="344" spans="2:6" ht="15" outlineLevel="1">
      <c r="B344"/>
      <c r="C344"/>
      <c r="E344"/>
      <c r="F344"/>
    </row>
    <row r="345" spans="2:6" ht="15" outlineLevel="1">
      <c r="B345"/>
      <c r="C345"/>
      <c r="E345"/>
      <c r="F345"/>
    </row>
    <row r="346" spans="2:6" ht="15" outlineLevel="1">
      <c r="B346"/>
      <c r="C346"/>
      <c r="E346"/>
      <c r="F346"/>
    </row>
    <row r="347" spans="2:6" ht="15" outlineLevel="1">
      <c r="B347"/>
      <c r="C347"/>
      <c r="E347"/>
      <c r="F347"/>
    </row>
    <row r="348" spans="2:6" ht="15" outlineLevel="1">
      <c r="B348"/>
      <c r="C348"/>
      <c r="E348"/>
      <c r="F348"/>
    </row>
    <row r="349" spans="2:6" ht="15" outlineLevel="1">
      <c r="B349"/>
      <c r="C349"/>
      <c r="E349"/>
      <c r="F349"/>
    </row>
    <row r="350" spans="2:6" ht="15" outlineLevel="1">
      <c r="B350"/>
      <c r="C350"/>
      <c r="E350"/>
      <c r="F350"/>
    </row>
    <row r="351" spans="2:6" ht="15" outlineLevel="1">
      <c r="B351"/>
      <c r="C351"/>
      <c r="E351"/>
      <c r="F351"/>
    </row>
    <row r="352" spans="2:6" ht="15" outlineLevel="1">
      <c r="B352"/>
      <c r="C352"/>
      <c r="E352"/>
      <c r="F352"/>
    </row>
    <row r="353" spans="2:6" ht="15" outlineLevel="1">
      <c r="B353"/>
      <c r="C353"/>
      <c r="E353"/>
      <c r="F353"/>
    </row>
    <row r="354" spans="2:6" ht="15" outlineLevel="1">
      <c r="B354"/>
      <c r="C354"/>
      <c r="E354"/>
      <c r="F354"/>
    </row>
    <row r="355" spans="2:6" ht="15" outlineLevel="1">
      <c r="B355"/>
      <c r="C355"/>
      <c r="E355"/>
      <c r="F355"/>
    </row>
    <row r="356" spans="2:6" ht="15" outlineLevel="1">
      <c r="B356"/>
      <c r="C356"/>
      <c r="E356"/>
      <c r="F356"/>
    </row>
    <row r="357" spans="2:6" ht="15" outlineLevel="1">
      <c r="B357"/>
      <c r="C357"/>
      <c r="E357"/>
      <c r="F357"/>
    </row>
    <row r="358" spans="2:6" ht="15" outlineLevel="1">
      <c r="B358"/>
      <c r="C358"/>
      <c r="E358"/>
      <c r="F358"/>
    </row>
    <row r="359" spans="2:6" ht="15" outlineLevel="1">
      <c r="B359"/>
      <c r="C359"/>
      <c r="E359"/>
      <c r="F359"/>
    </row>
    <row r="360" spans="2:6" ht="15" outlineLevel="1">
      <c r="B360"/>
      <c r="C360"/>
      <c r="E360"/>
      <c r="F360"/>
    </row>
    <row r="361" spans="2:6" ht="15" outlineLevel="1">
      <c r="B361"/>
      <c r="C361"/>
      <c r="E361"/>
      <c r="F361"/>
    </row>
    <row r="362" spans="2:6" ht="15" outlineLevel="1">
      <c r="B362"/>
      <c r="C362"/>
      <c r="E362"/>
      <c r="F362"/>
    </row>
    <row r="363" spans="2:6" ht="15" outlineLevel="1">
      <c r="B363"/>
      <c r="C363"/>
      <c r="E363"/>
      <c r="F363"/>
    </row>
    <row r="364" spans="2:6" ht="15" outlineLevel="1">
      <c r="B364"/>
      <c r="C364"/>
      <c r="E364"/>
      <c r="F364"/>
    </row>
    <row r="365" spans="2:6" ht="15" outlineLevel="1">
      <c r="B365"/>
      <c r="C365"/>
      <c r="E365"/>
      <c r="F365"/>
    </row>
    <row r="366" spans="2:6" ht="15" outlineLevel="1">
      <c r="B366"/>
      <c r="C366"/>
      <c r="E366"/>
      <c r="F366"/>
    </row>
    <row r="367" spans="2:6" ht="15" outlineLevel="1">
      <c r="B367"/>
      <c r="C367"/>
      <c r="E367"/>
      <c r="F367"/>
    </row>
    <row r="368" spans="2:6" ht="15" outlineLevel="1">
      <c r="B368"/>
      <c r="C368"/>
      <c r="E368"/>
      <c r="F368"/>
    </row>
    <row r="369" spans="2:6" ht="15" outlineLevel="1">
      <c r="B369"/>
      <c r="C369"/>
      <c r="E369"/>
      <c r="F369"/>
    </row>
    <row r="370" spans="2:6" ht="15" outlineLevel="1">
      <c r="B370"/>
      <c r="C370"/>
      <c r="E370"/>
      <c r="F370"/>
    </row>
    <row r="371" spans="2:6" ht="15" outlineLevel="1">
      <c r="B371"/>
      <c r="C371"/>
      <c r="E371"/>
      <c r="F371"/>
    </row>
    <row r="372" spans="2:6" ht="15" outlineLevel="1">
      <c r="B372"/>
      <c r="C372"/>
      <c r="E372"/>
      <c r="F372"/>
    </row>
    <row r="373" spans="2:6" ht="15" outlineLevel="1">
      <c r="B373"/>
      <c r="C373"/>
      <c r="E373"/>
      <c r="F373"/>
    </row>
    <row r="374" spans="2:6" ht="15" outlineLevel="1">
      <c r="B374"/>
      <c r="C374"/>
      <c r="E374"/>
      <c r="F374"/>
    </row>
    <row r="375" spans="2:6" ht="15" outlineLevel="1">
      <c r="B375"/>
      <c r="C375"/>
      <c r="E375"/>
      <c r="F375"/>
    </row>
    <row r="376" spans="2:6" ht="15" outlineLevel="1">
      <c r="B376"/>
      <c r="C376"/>
      <c r="E376"/>
      <c r="F376"/>
    </row>
    <row r="377" spans="2:6" ht="15" outlineLevel="1">
      <c r="B377"/>
      <c r="C377"/>
      <c r="E377"/>
      <c r="F377"/>
    </row>
    <row r="378" spans="2:6" ht="15" outlineLevel="1">
      <c r="B378"/>
      <c r="C378"/>
      <c r="E378"/>
      <c r="F378"/>
    </row>
    <row r="379" spans="2:6" ht="15" outlineLevel="1">
      <c r="B379"/>
      <c r="C379"/>
      <c r="E379"/>
      <c r="F379"/>
    </row>
    <row r="380" spans="2:6" ht="15" outlineLevel="1">
      <c r="B380"/>
      <c r="C380"/>
      <c r="E380"/>
      <c r="F380"/>
    </row>
    <row r="381" spans="2:6" ht="15" outlineLevel="1">
      <c r="B381"/>
      <c r="C381"/>
      <c r="E381"/>
      <c r="F381"/>
    </row>
    <row r="382" spans="2:6" ht="15" outlineLevel="1">
      <c r="B382"/>
      <c r="C382"/>
      <c r="E382"/>
      <c r="F382"/>
    </row>
    <row r="383" spans="2:6" ht="15" outlineLevel="1">
      <c r="B383"/>
      <c r="C383"/>
      <c r="E383"/>
      <c r="F383"/>
    </row>
    <row r="384" spans="2:6" ht="15" outlineLevel="1">
      <c r="B384"/>
      <c r="C384"/>
      <c r="E384"/>
      <c r="F384"/>
    </row>
    <row r="385" spans="2:6" ht="15" outlineLevel="1">
      <c r="B385"/>
      <c r="C385"/>
      <c r="E385"/>
      <c r="F385"/>
    </row>
    <row r="386" spans="2:6" ht="15" outlineLevel="1">
      <c r="B386"/>
      <c r="C386"/>
      <c r="E386"/>
      <c r="F386"/>
    </row>
    <row r="387" spans="2:6" ht="15" outlineLevel="1">
      <c r="B387"/>
      <c r="C387"/>
      <c r="E387"/>
      <c r="F387"/>
    </row>
    <row r="388" spans="2:6" ht="15" outlineLevel="1">
      <c r="B388"/>
      <c r="C388"/>
      <c r="E388"/>
      <c r="F388"/>
    </row>
    <row r="389" spans="2:6" ht="15" outlineLevel="1">
      <c r="B389"/>
      <c r="C389"/>
      <c r="E389"/>
      <c r="F389"/>
    </row>
    <row r="390" spans="2:6" ht="15" outlineLevel="1">
      <c r="B390"/>
      <c r="C390"/>
      <c r="E390"/>
      <c r="F390"/>
    </row>
    <row r="391" spans="2:6" ht="15" outlineLevel="1">
      <c r="B391"/>
      <c r="C391"/>
      <c r="E391"/>
      <c r="F391"/>
    </row>
    <row r="392" spans="2:6" ht="15" outlineLevel="1">
      <c r="B392"/>
      <c r="C392"/>
      <c r="E392"/>
      <c r="F392"/>
    </row>
    <row r="393" spans="2:6" ht="15" outlineLevel="1">
      <c r="B393"/>
      <c r="C393"/>
      <c r="E393"/>
      <c r="F393"/>
    </row>
    <row r="394" spans="2:6" ht="15" outlineLevel="1">
      <c r="B394"/>
      <c r="C394"/>
      <c r="E394"/>
      <c r="F394"/>
    </row>
    <row r="395" spans="2:6" ht="15" outlineLevel="1">
      <c r="B395"/>
      <c r="C395"/>
      <c r="E395"/>
      <c r="F395"/>
    </row>
    <row r="396" spans="2:6" ht="15" outlineLevel="1">
      <c r="B396"/>
      <c r="C396"/>
      <c r="E396"/>
      <c r="F396"/>
    </row>
    <row r="397" spans="2:6" ht="15" outlineLevel="1">
      <c r="B397"/>
      <c r="C397"/>
      <c r="E397"/>
      <c r="F397"/>
    </row>
    <row r="398" spans="2:6" ht="15" outlineLevel="1">
      <c r="B398"/>
      <c r="C398"/>
      <c r="E398"/>
      <c r="F398"/>
    </row>
    <row r="399" spans="2:6" ht="15" outlineLevel="1">
      <c r="B399"/>
      <c r="C399"/>
      <c r="E399"/>
      <c r="F399"/>
    </row>
    <row r="400" spans="2:6" ht="15" outlineLevel="1">
      <c r="B400"/>
      <c r="C400"/>
      <c r="E400"/>
      <c r="F400"/>
    </row>
    <row r="401" spans="2:6" ht="15" outlineLevel="1">
      <c r="B401"/>
      <c r="C401"/>
      <c r="E401"/>
      <c r="F401"/>
    </row>
    <row r="402" spans="2:6" ht="15" outlineLevel="1">
      <c r="B402"/>
      <c r="C402"/>
      <c r="E402"/>
      <c r="F402"/>
    </row>
    <row r="403" spans="2:6" ht="15" outlineLevel="1">
      <c r="B403"/>
      <c r="C403"/>
      <c r="E403"/>
      <c r="F403"/>
    </row>
    <row r="404" spans="2:6" ht="15" outlineLevel="1">
      <c r="B404"/>
      <c r="C404"/>
      <c r="E404"/>
      <c r="F404"/>
    </row>
    <row r="405" spans="2:6" ht="15" outlineLevel="1">
      <c r="B405"/>
      <c r="C405"/>
      <c r="E405"/>
      <c r="F405"/>
    </row>
    <row r="406" spans="2:6" ht="15" outlineLevel="1">
      <c r="B406"/>
      <c r="C406"/>
      <c r="E406"/>
      <c r="F406"/>
    </row>
    <row r="407" spans="2:6" ht="15" outlineLevel="1">
      <c r="B407"/>
      <c r="C407"/>
      <c r="E407"/>
      <c r="F407"/>
    </row>
    <row r="408" spans="2:6" ht="15" outlineLevel="1">
      <c r="B408"/>
      <c r="C408"/>
      <c r="E408"/>
      <c r="F408"/>
    </row>
    <row r="409" spans="2:6" ht="15" outlineLevel="1">
      <c r="B409"/>
      <c r="C409"/>
      <c r="E409"/>
      <c r="F409"/>
    </row>
    <row r="410" spans="2:6" ht="15" outlineLevel="1">
      <c r="B410"/>
      <c r="C410"/>
      <c r="E410"/>
      <c r="F410"/>
    </row>
    <row r="411" spans="2:6" ht="15" outlineLevel="1">
      <c r="B411"/>
      <c r="C411"/>
      <c r="E411"/>
      <c r="F411"/>
    </row>
    <row r="412" spans="2:6" ht="15" outlineLevel="1">
      <c r="B412"/>
      <c r="C412"/>
      <c r="E412"/>
      <c r="F412"/>
    </row>
    <row r="413" spans="2:6" ht="15" outlineLevel="1">
      <c r="B413"/>
      <c r="C413"/>
      <c r="E413"/>
      <c r="F413"/>
    </row>
    <row r="414" spans="2:6" ht="15" outlineLevel="1">
      <c r="B414"/>
      <c r="C414"/>
      <c r="E414"/>
      <c r="F414"/>
    </row>
    <row r="415" spans="2:6" ht="15" outlineLevel="1">
      <c r="B415"/>
      <c r="C415"/>
      <c r="E415"/>
      <c r="F415"/>
    </row>
    <row r="416" spans="2:6" ht="15" outlineLevel="1">
      <c r="B416"/>
      <c r="C416"/>
      <c r="E416"/>
      <c r="F416"/>
    </row>
    <row r="417" spans="2:6" ht="15" outlineLevel="1">
      <c r="B417"/>
      <c r="C417"/>
      <c r="E417"/>
      <c r="F417"/>
    </row>
    <row r="418" spans="2:6" ht="15" outlineLevel="1">
      <c r="B418"/>
      <c r="C418"/>
      <c r="E418"/>
      <c r="F418"/>
    </row>
    <row r="419" spans="2:6" ht="15" outlineLevel="1">
      <c r="B419"/>
      <c r="C419"/>
      <c r="E419"/>
      <c r="F419"/>
    </row>
    <row r="420" spans="2:6" ht="15" outlineLevel="1">
      <c r="B420"/>
      <c r="C420"/>
      <c r="E420"/>
      <c r="F420"/>
    </row>
    <row r="421" spans="2:6" ht="15" outlineLevel="1">
      <c r="B421"/>
      <c r="C421"/>
      <c r="E421"/>
      <c r="F421"/>
    </row>
    <row r="422" spans="2:6" ht="15" outlineLevel="1">
      <c r="B422"/>
      <c r="C422"/>
      <c r="E422"/>
      <c r="F422"/>
    </row>
    <row r="423" spans="2:6" ht="15" outlineLevel="1">
      <c r="B423"/>
      <c r="C423"/>
      <c r="E423"/>
      <c r="F423"/>
    </row>
    <row r="424" spans="2:6" ht="15" outlineLevel="1">
      <c r="B424"/>
      <c r="C424"/>
      <c r="E424"/>
      <c r="F424"/>
    </row>
    <row r="425" spans="2:6" ht="15" outlineLevel="1">
      <c r="B425"/>
      <c r="C425"/>
      <c r="E425"/>
      <c r="F425"/>
    </row>
    <row r="426" spans="2:6" ht="15" outlineLevel="1">
      <c r="B426"/>
      <c r="C426"/>
      <c r="E426"/>
      <c r="F426"/>
    </row>
    <row r="427" spans="2:6" ht="15" outlineLevel="1">
      <c r="B427"/>
      <c r="C427"/>
      <c r="E427"/>
      <c r="F427"/>
    </row>
    <row r="428" spans="2:6" ht="15" outlineLevel="1">
      <c r="B428"/>
      <c r="C428"/>
      <c r="E428"/>
      <c r="F428"/>
    </row>
    <row r="429" spans="2:6" ht="15" outlineLevel="1">
      <c r="B429"/>
      <c r="C429"/>
      <c r="E429"/>
      <c r="F429"/>
    </row>
    <row r="430" spans="2:6" ht="15" outlineLevel="1">
      <c r="B430"/>
      <c r="C430"/>
      <c r="E430"/>
      <c r="F430"/>
    </row>
    <row r="431" spans="2:6" ht="15" outlineLevel="1">
      <c r="B431"/>
      <c r="C431"/>
      <c r="E431"/>
      <c r="F431"/>
    </row>
    <row r="432" spans="2:6" ht="15" outlineLevel="1">
      <c r="B432"/>
      <c r="C432"/>
      <c r="E432"/>
      <c r="F432"/>
    </row>
    <row r="433" spans="2:6" ht="15" outlineLevel="1">
      <c r="B433"/>
      <c r="C433"/>
      <c r="E433"/>
      <c r="F433"/>
    </row>
    <row r="434" spans="2:6" ht="15" outlineLevel="1">
      <c r="B434"/>
      <c r="C434"/>
      <c r="E434"/>
      <c r="F434"/>
    </row>
    <row r="435" spans="2:6" ht="15" outlineLevel="1">
      <c r="B435"/>
      <c r="C435"/>
      <c r="E435"/>
      <c r="F435"/>
    </row>
    <row r="436" spans="2:6" ht="15" outlineLevel="1">
      <c r="B436"/>
      <c r="C436"/>
      <c r="E436"/>
      <c r="F436"/>
    </row>
    <row r="437" spans="2:6" ht="15" outlineLevel="1">
      <c r="B437"/>
      <c r="C437"/>
      <c r="E437"/>
      <c r="F437"/>
    </row>
    <row r="438" spans="2:6" ht="15" outlineLevel="1">
      <c r="B438"/>
      <c r="C438"/>
      <c r="E438"/>
      <c r="F438"/>
    </row>
    <row r="439" spans="2:6" ht="15" outlineLevel="1">
      <c r="B439"/>
      <c r="C439"/>
      <c r="E439"/>
      <c r="F439"/>
    </row>
    <row r="440" spans="2:6" ht="15" outlineLevel="1">
      <c r="B440"/>
      <c r="C440"/>
      <c r="E440"/>
      <c r="F440"/>
    </row>
    <row r="441" spans="2:6" ht="15" outlineLevel="1">
      <c r="B441"/>
      <c r="C441"/>
      <c r="E441"/>
      <c r="F441"/>
    </row>
    <row r="442" spans="2:6" ht="15" outlineLevel="1">
      <c r="B442"/>
      <c r="C442"/>
      <c r="E442"/>
      <c r="F442"/>
    </row>
    <row r="443" spans="2:6" ht="15" outlineLevel="1">
      <c r="B443"/>
      <c r="C443"/>
      <c r="E443"/>
      <c r="F443"/>
    </row>
    <row r="444" spans="2:6" ht="15" outlineLevel="1">
      <c r="B444"/>
      <c r="C444"/>
      <c r="E444"/>
      <c r="F444"/>
    </row>
    <row r="445" spans="2:6" ht="15" outlineLevel="1">
      <c r="B445"/>
      <c r="C445"/>
      <c r="E445"/>
      <c r="F445"/>
    </row>
    <row r="446" spans="2:6" ht="15" outlineLevel="1">
      <c r="B446"/>
      <c r="C446"/>
      <c r="E446"/>
      <c r="F446"/>
    </row>
    <row r="447" spans="2:6" ht="15" outlineLevel="1">
      <c r="B447"/>
      <c r="C447"/>
      <c r="E447"/>
      <c r="F447"/>
    </row>
    <row r="448" spans="2:6" ht="15" outlineLevel="1">
      <c r="B448"/>
      <c r="C448"/>
      <c r="E448"/>
      <c r="F448"/>
    </row>
    <row r="449" spans="2:6" ht="15" outlineLevel="1">
      <c r="B449"/>
      <c r="C449"/>
      <c r="E449"/>
      <c r="F449"/>
    </row>
    <row r="450" spans="2:6" ht="15" outlineLevel="1">
      <c r="B450"/>
      <c r="C450"/>
      <c r="E450"/>
      <c r="F450"/>
    </row>
    <row r="451" spans="2:6" ht="15" outlineLevel="1">
      <c r="B451"/>
      <c r="C451"/>
      <c r="E451"/>
      <c r="F451"/>
    </row>
    <row r="452" spans="2:6" ht="15" outlineLevel="1">
      <c r="B452"/>
      <c r="C452"/>
      <c r="E452"/>
      <c r="F452"/>
    </row>
    <row r="453" spans="2:6" ht="15" outlineLevel="1">
      <c r="B453"/>
      <c r="C453"/>
      <c r="E453"/>
      <c r="F453"/>
    </row>
    <row r="454" spans="2:6" ht="15" outlineLevel="1">
      <c r="B454"/>
      <c r="C454"/>
      <c r="E454"/>
      <c r="F454"/>
    </row>
    <row r="455" spans="2:6" ht="15" outlineLevel="1">
      <c r="B455"/>
      <c r="C455"/>
      <c r="E455"/>
      <c r="F455"/>
    </row>
    <row r="456" spans="2:6" ht="15" outlineLevel="1">
      <c r="B456"/>
      <c r="C456"/>
      <c r="E456"/>
      <c r="F456"/>
    </row>
    <row r="457" spans="2:6" ht="15" outlineLevel="1">
      <c r="B457"/>
      <c r="C457"/>
      <c r="E457"/>
      <c r="F457"/>
    </row>
    <row r="458" spans="2:6" ht="15" outlineLevel="1">
      <c r="B458"/>
      <c r="C458"/>
      <c r="E458"/>
      <c r="F458"/>
    </row>
    <row r="459" spans="2:6" ht="15" outlineLevel="1">
      <c r="B459"/>
      <c r="C459"/>
      <c r="E459"/>
      <c r="F459"/>
    </row>
    <row r="460" spans="2:6" ht="15" outlineLevel="1">
      <c r="B460"/>
      <c r="C460"/>
      <c r="E460"/>
      <c r="F460"/>
    </row>
    <row r="461" spans="2:6" ht="15" outlineLevel="1">
      <c r="B461"/>
      <c r="C461"/>
      <c r="E461"/>
      <c r="F461"/>
    </row>
    <row r="462" spans="2:6" ht="15" outlineLevel="1">
      <c r="B462"/>
      <c r="C462"/>
      <c r="E462"/>
      <c r="F462"/>
    </row>
    <row r="463" spans="2:6" ht="15" outlineLevel="1">
      <c r="B463"/>
      <c r="C463"/>
      <c r="E463"/>
      <c r="F463"/>
    </row>
    <row r="464" spans="2:6" ht="15" outlineLevel="1">
      <c r="B464"/>
      <c r="C464"/>
      <c r="E464"/>
      <c r="F464"/>
    </row>
    <row r="465" spans="2:6" ht="15" outlineLevel="1">
      <c r="B465"/>
      <c r="C465"/>
      <c r="E465"/>
      <c r="F465"/>
    </row>
    <row r="466" spans="2:6" ht="15" outlineLevel="1">
      <c r="B466"/>
      <c r="C466"/>
      <c r="E466"/>
      <c r="F466"/>
    </row>
    <row r="467" spans="2:6" ht="15" outlineLevel="1">
      <c r="B467"/>
      <c r="C467"/>
      <c r="E467"/>
      <c r="F467"/>
    </row>
    <row r="468" spans="2:6" ht="15" outlineLevel="1">
      <c r="B468"/>
      <c r="C468"/>
      <c r="E468"/>
      <c r="F468"/>
    </row>
    <row r="469" spans="2:6" ht="15" outlineLevel="1">
      <c r="B469"/>
      <c r="C469"/>
      <c r="E469"/>
      <c r="F469"/>
    </row>
    <row r="470" spans="2:6" ht="15" outlineLevel="1">
      <c r="B470"/>
      <c r="C470"/>
      <c r="E470"/>
      <c r="F470"/>
    </row>
    <row r="471" spans="2:6" ht="15" outlineLevel="1">
      <c r="B471"/>
      <c r="C471"/>
      <c r="E471"/>
      <c r="F471"/>
    </row>
    <row r="472" spans="2:6" ht="15" outlineLevel="1">
      <c r="B472"/>
      <c r="C472"/>
      <c r="E472"/>
      <c r="F472"/>
    </row>
    <row r="473" spans="2:6" ht="15" outlineLevel="1">
      <c r="B473"/>
      <c r="C473"/>
      <c r="E473"/>
      <c r="F473"/>
    </row>
    <row r="474" spans="2:6" ht="15" outlineLevel="1">
      <c r="B474"/>
      <c r="C474"/>
      <c r="E474"/>
      <c r="F474"/>
    </row>
    <row r="475" spans="2:6" ht="15" outlineLevel="1">
      <c r="B475"/>
      <c r="C475"/>
      <c r="E475"/>
      <c r="F475"/>
    </row>
    <row r="476" spans="2:6" ht="15" outlineLevel="1">
      <c r="B476"/>
      <c r="C476"/>
      <c r="E476"/>
      <c r="F476"/>
    </row>
    <row r="477" spans="2:6" ht="15" outlineLevel="1">
      <c r="B477"/>
      <c r="C477"/>
      <c r="E477"/>
      <c r="F477"/>
    </row>
    <row r="478" spans="2:6" ht="15" outlineLevel="1">
      <c r="B478"/>
      <c r="C478"/>
      <c r="E478"/>
      <c r="F478"/>
    </row>
    <row r="479" spans="2:6" ht="15" outlineLevel="1">
      <c r="B479"/>
      <c r="C479"/>
      <c r="E479"/>
      <c r="F479"/>
    </row>
    <row r="480" spans="2:6" ht="15" outlineLevel="1">
      <c r="B480"/>
      <c r="C480"/>
      <c r="E480"/>
      <c r="F480"/>
    </row>
    <row r="481" spans="2:6" ht="15" outlineLevel="1">
      <c r="B481"/>
      <c r="C481"/>
      <c r="E481"/>
      <c r="F481"/>
    </row>
    <row r="482" spans="2:6" ht="15" outlineLevel="1">
      <c r="B482"/>
      <c r="C482"/>
      <c r="E482"/>
      <c r="F482"/>
    </row>
    <row r="483" spans="2:6" ht="15" outlineLevel="1">
      <c r="B483"/>
      <c r="C483"/>
      <c r="E483"/>
      <c r="F483"/>
    </row>
    <row r="484" spans="2:6" ht="15" outlineLevel="1">
      <c r="B484"/>
      <c r="C484"/>
      <c r="E484"/>
      <c r="F484"/>
    </row>
    <row r="485" spans="2:6" ht="15" outlineLevel="1">
      <c r="B485"/>
      <c r="C485"/>
      <c r="E485"/>
      <c r="F485"/>
    </row>
    <row r="486" spans="2:6" ht="15" outlineLevel="1">
      <c r="B486"/>
      <c r="C486"/>
      <c r="E486"/>
      <c r="F486"/>
    </row>
    <row r="487" spans="2:6" ht="15" outlineLevel="1">
      <c r="B487"/>
      <c r="C487"/>
      <c r="E487"/>
      <c r="F487"/>
    </row>
    <row r="488" spans="2:6" ht="15" outlineLevel="1">
      <c r="B488"/>
      <c r="C488"/>
      <c r="E488"/>
      <c r="F488"/>
    </row>
    <row r="489" spans="2:6" ht="15" outlineLevel="1">
      <c r="B489"/>
      <c r="C489"/>
      <c r="E489"/>
      <c r="F489"/>
    </row>
    <row r="490" spans="2:6" ht="15" outlineLevel="1">
      <c r="B490"/>
      <c r="C490"/>
      <c r="E490"/>
      <c r="F490"/>
    </row>
    <row r="491" spans="2:6" ht="15" outlineLevel="1">
      <c r="B491"/>
      <c r="C491"/>
      <c r="E491"/>
      <c r="F491"/>
    </row>
    <row r="492" spans="2:6" ht="15" outlineLevel="1">
      <c r="B492"/>
      <c r="C492"/>
      <c r="E492"/>
      <c r="F492"/>
    </row>
    <row r="493" spans="2:6" ht="15" outlineLevel="1">
      <c r="B493"/>
      <c r="C493"/>
      <c r="E493"/>
      <c r="F493"/>
    </row>
    <row r="494" spans="2:6" ht="15" outlineLevel="1">
      <c r="B494"/>
      <c r="C494"/>
      <c r="E494"/>
      <c r="F494"/>
    </row>
    <row r="495" spans="2:6" ht="15" outlineLevel="1">
      <c r="B495"/>
      <c r="C495"/>
      <c r="E495"/>
      <c r="F495"/>
    </row>
    <row r="496" spans="2:6" ht="15" outlineLevel="1">
      <c r="B496"/>
      <c r="C496"/>
      <c r="E496"/>
      <c r="F496"/>
    </row>
    <row r="497" spans="2:6" ht="15" outlineLevel="1">
      <c r="B497"/>
      <c r="C497"/>
      <c r="E497"/>
      <c r="F497"/>
    </row>
    <row r="498" spans="2:6" ht="15" outlineLevel="1">
      <c r="B498"/>
      <c r="C498"/>
      <c r="E498"/>
      <c r="F498"/>
    </row>
    <row r="499" spans="2:6" ht="15" outlineLevel="1">
      <c r="B499"/>
      <c r="C499"/>
      <c r="E499"/>
      <c r="F499"/>
    </row>
    <row r="500" spans="2:6" ht="15" outlineLevel="1">
      <c r="B500"/>
      <c r="C500"/>
      <c r="E500"/>
      <c r="F500"/>
    </row>
    <row r="501" spans="2:6" ht="15" outlineLevel="1">
      <c r="B501"/>
      <c r="C501"/>
      <c r="E501"/>
      <c r="F501"/>
    </row>
    <row r="502" spans="2:6" ht="15" outlineLevel="1">
      <c r="B502"/>
      <c r="C502"/>
      <c r="E502"/>
      <c r="F502"/>
    </row>
    <row r="503" spans="2:6" ht="15" outlineLevel="1">
      <c r="B503"/>
      <c r="C503"/>
      <c r="E503"/>
      <c r="F503"/>
    </row>
    <row r="504" spans="2:6" ht="15" outlineLevel="1">
      <c r="B504"/>
      <c r="C504"/>
      <c r="E504"/>
      <c r="F504"/>
    </row>
    <row r="505" spans="2:6" ht="15" outlineLevel="1">
      <c r="B505"/>
      <c r="C505"/>
      <c r="E505"/>
      <c r="F505"/>
    </row>
    <row r="506" spans="2:6" ht="15" outlineLevel="1">
      <c r="B506"/>
      <c r="C506"/>
      <c r="E506"/>
      <c r="F506"/>
    </row>
    <row r="507" spans="2:6" ht="15" outlineLevel="1">
      <c r="B507"/>
      <c r="C507"/>
      <c r="E507"/>
      <c r="F507"/>
    </row>
    <row r="508" spans="2:6" ht="15" outlineLevel="1">
      <c r="B508"/>
      <c r="C508"/>
      <c r="E508"/>
      <c r="F508"/>
    </row>
    <row r="509" spans="2:6" ht="15" outlineLevel="1">
      <c r="B509"/>
      <c r="C509"/>
      <c r="E509"/>
      <c r="F509"/>
    </row>
    <row r="510" spans="2:6" ht="15" outlineLevel="1">
      <c r="B510"/>
      <c r="C510"/>
      <c r="E510"/>
      <c r="F510"/>
    </row>
    <row r="511" spans="2:6" ht="15" outlineLevel="1">
      <c r="B511"/>
      <c r="C511"/>
      <c r="E511"/>
      <c r="F511"/>
    </row>
    <row r="512" spans="2:6" ht="15" outlineLevel="1">
      <c r="B512"/>
      <c r="C512"/>
      <c r="E512"/>
      <c r="F512"/>
    </row>
    <row r="513" spans="2:6" ht="15" outlineLevel="1">
      <c r="B513"/>
      <c r="C513"/>
      <c r="E513"/>
      <c r="F513"/>
    </row>
    <row r="514" spans="2:6" ht="15" outlineLevel="1">
      <c r="B514"/>
      <c r="C514"/>
      <c r="E514"/>
      <c r="F514"/>
    </row>
    <row r="515" spans="2:6" ht="15" outlineLevel="1">
      <c r="B515"/>
      <c r="C515"/>
      <c r="E515"/>
      <c r="F515"/>
    </row>
    <row r="516" spans="2:6" ht="15" outlineLevel="1">
      <c r="B516"/>
      <c r="C516"/>
      <c r="E516"/>
      <c r="F516"/>
    </row>
    <row r="517" spans="2:6" ht="15" outlineLevel="1">
      <c r="B517"/>
      <c r="C517"/>
      <c r="E517"/>
      <c r="F517"/>
    </row>
    <row r="518" spans="2:6" ht="15" outlineLevel="1">
      <c r="B518"/>
      <c r="C518"/>
      <c r="E518"/>
      <c r="F518"/>
    </row>
    <row r="519" spans="2:6" ht="15" outlineLevel="1">
      <c r="B519"/>
      <c r="C519"/>
      <c r="E519"/>
      <c r="F519"/>
    </row>
    <row r="520" spans="2:6" ht="15" outlineLevel="1">
      <c r="B520"/>
      <c r="C520"/>
      <c r="E520"/>
      <c r="F520"/>
    </row>
    <row r="521" spans="2:6" ht="15" outlineLevel="1">
      <c r="B521"/>
      <c r="C521"/>
      <c r="E521"/>
      <c r="F521"/>
    </row>
    <row r="522" spans="2:6" ht="15" outlineLevel="1">
      <c r="B522"/>
      <c r="C522"/>
      <c r="E522"/>
      <c r="F522"/>
    </row>
    <row r="523" spans="2:6" ht="15" outlineLevel="1">
      <c r="B523"/>
      <c r="C523"/>
      <c r="E523"/>
      <c r="F523"/>
    </row>
    <row r="524" spans="2:6" ht="15" outlineLevel="1">
      <c r="B524"/>
      <c r="C524"/>
      <c r="E524"/>
      <c r="F524"/>
    </row>
    <row r="525" spans="2:6" ht="15" outlineLevel="1">
      <c r="B525"/>
      <c r="C525"/>
      <c r="E525"/>
      <c r="F525"/>
    </row>
  </sheetData>
  <mergeCells count="4">
    <mergeCell ref="M6:R6"/>
    <mergeCell ref="G7:I7"/>
    <mergeCell ref="U7:AB7"/>
    <mergeCell ref="AD7:AF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R K DCF</vt:lpstr>
      <vt:lpstr>Valuation Summary</vt:lpstr>
      <vt:lpstr>DCF</vt:lpstr>
      <vt:lpstr>PL </vt:lpstr>
      <vt:lpstr>BS </vt:lpstr>
      <vt:lpstr>Valuation_NAV</vt:lpstr>
      <vt:lpstr>Valuation_CCM</vt:lpstr>
      <vt:lpstr>Company Beta</vt:lpstr>
      <vt:lpstr>CCM Inputs</vt:lpstr>
      <vt:lpstr>Beta</vt:lpstr>
      <vt:lpstr>Tax and net debt</vt:lpstr>
      <vt:lpstr>Summary </vt:lpstr>
      <vt:lpstr>DSCR</vt:lpstr>
      <vt:lpstr>BS</vt:lpstr>
      <vt:lpstr>Monthly BS</vt:lpstr>
      <vt:lpstr>Monthly PL</vt:lpstr>
      <vt:lpstr>Capex Plan</vt:lpstr>
      <vt:lpstr>PL</vt:lpstr>
      <vt:lpstr>CF Capex</vt:lpstr>
      <vt:lpstr>CF</vt:lpstr>
      <vt:lpstr>Monthly CF</vt:lpstr>
      <vt:lpstr>IRR</vt:lpstr>
      <vt:lpstr>Debt (2)</vt:lpstr>
      <vt:lpstr>Water Revenue</vt:lpstr>
      <vt:lpstr>NOR Revenue</vt:lpstr>
      <vt:lpstr>O&amp;M</vt:lpstr>
      <vt:lpstr>Expenses</vt:lpstr>
      <vt:lpstr>IT</vt:lpstr>
      <vt:lpstr>F&amp;A</vt:lpstr>
      <vt:lpstr>G&amp;A</vt:lpstr>
      <vt:lpstr>List</vt:lpstr>
      <vt:lpstr>Work Schedule</vt:lpstr>
      <vt:lpstr>Work CF</vt:lpstr>
      <vt:lpstr>CF Working</vt:lpstr>
      <vt:lpstr>Works Working</vt:lpstr>
      <vt:lpstr>Automation</vt:lpstr>
      <vt:lpstr>Existing UGRs</vt:lpstr>
      <vt:lpstr>New UGRs</vt:lpstr>
      <vt:lpstr>WTP</vt:lpstr>
      <vt:lpstr>Supply Revenue</vt:lpstr>
      <vt:lpstr>Supply Cost</vt:lpstr>
      <vt:lpstr>Execulation Revenue</vt:lpstr>
      <vt:lpstr>Execution Cost</vt:lpstr>
      <vt:lpstr>R&amp;P</vt:lpstr>
      <vt:lpstr>Work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2024-01-05T12:36:22Z</dcterms:modified>
</cp:coreProperties>
</file>